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A PINDAHAN\2022\RPJMD\"/>
    </mc:Choice>
  </mc:AlternateContent>
  <bookViews>
    <workbookView xWindow="0" yWindow="0" windowWidth="28800" windowHeight="12300" activeTab="4"/>
  </bookViews>
  <sheets>
    <sheet name="Misi I" sheetId="9" r:id="rId1"/>
    <sheet name="Misi II" sheetId="10" r:id="rId2"/>
    <sheet name="Misi III" sheetId="11" r:id="rId3"/>
    <sheet name="Misi IV" sheetId="12" r:id="rId4"/>
    <sheet name="Misi V" sheetId="13" r:id="rId5"/>
  </sheets>
  <definedNames>
    <definedName name="_xlnm._FilterDatabase" localSheetId="4" hidden="1">'Misi V'!$A$10:$AK$85</definedName>
    <definedName name="_xlnm.Print_Area" localSheetId="0">'Misi I'!$A$1:$AH$140</definedName>
    <definedName name="_xlnm.Print_Area" localSheetId="1">'Misi II'!$A$1:$AH$150</definedName>
    <definedName name="_xlnm.Print_Area" localSheetId="2">'Misi III'!$A$1:$AH$75</definedName>
    <definedName name="_xlnm.Print_Area" localSheetId="3">'Misi IV'!$A$1:$AH$72</definedName>
    <definedName name="_xlnm.Print_Area" localSheetId="4">'Misi V'!$A$1:$AH$174</definedName>
    <definedName name="_xlnm.Print_Titles" localSheetId="0">'Misi I'!$11:$16</definedName>
    <definedName name="_xlnm.Print_Titles" localSheetId="1">'Misi II'!$12:$17</definedName>
    <definedName name="_xlnm.Print_Titles" localSheetId="2">'Misi III'!$7:$12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A149" i="13" l="1"/>
  <c r="AA138" i="13"/>
  <c r="AA119" i="13"/>
  <c r="AA86" i="13"/>
  <c r="AA41" i="13"/>
  <c r="AA17" i="13"/>
  <c r="AA40" i="12"/>
  <c r="AA29" i="12"/>
  <c r="Z29" i="12"/>
  <c r="AC29" i="12"/>
  <c r="AB29" i="12"/>
  <c r="AA15" i="12"/>
  <c r="AA44" i="11"/>
  <c r="AA40" i="11"/>
  <c r="AB40" i="11"/>
  <c r="AA32" i="11"/>
  <c r="AA28" i="11"/>
  <c r="AA115" i="10"/>
  <c r="AA108" i="10"/>
  <c r="AA103" i="10"/>
  <c r="AA96" i="10"/>
  <c r="Z58" i="10"/>
  <c r="AA45" i="10"/>
  <c r="Z45" i="10"/>
  <c r="Z38" i="10"/>
  <c r="AA31" i="10"/>
  <c r="Y31" i="10"/>
  <c r="AA23" i="10"/>
  <c r="AA114" i="9"/>
  <c r="AA82" i="9"/>
  <c r="Z67" i="9"/>
  <c r="AA59" i="9"/>
  <c r="AA43" i="9"/>
  <c r="Z43" i="9"/>
  <c r="AA19" i="9"/>
  <c r="U32" i="11" l="1"/>
  <c r="U153" i="13" l="1"/>
  <c r="Y153" i="13"/>
  <c r="Z153" i="13"/>
  <c r="AA153" i="13"/>
  <c r="W153" i="13"/>
  <c r="S153" i="13"/>
  <c r="Q153" i="13"/>
  <c r="AC135" i="13" l="1"/>
  <c r="U113" i="9" l="1"/>
  <c r="U112" i="9"/>
  <c r="Z31" i="10" l="1"/>
  <c r="AB70" i="9" l="1"/>
  <c r="AB69" i="9"/>
  <c r="AB66" i="9"/>
  <c r="AC69" i="9"/>
  <c r="Y59" i="9"/>
  <c r="W59" i="9"/>
  <c r="AA52" i="9" l="1"/>
  <c r="AA36" i="9"/>
  <c r="AA30" i="9"/>
  <c r="AA54" i="12" l="1"/>
  <c r="Y54" i="12"/>
  <c r="W54" i="12"/>
  <c r="W52" i="11"/>
  <c r="Y52" i="11"/>
  <c r="AG94" i="9"/>
  <c r="AB94" i="13" l="1"/>
  <c r="AA94" i="13"/>
  <c r="AC119" i="13" l="1"/>
  <c r="J154" i="13" l="1"/>
  <c r="J153" i="13" s="1"/>
  <c r="AC153" i="13"/>
  <c r="AE153" i="13"/>
  <c r="AF153" i="13" s="1"/>
  <c r="Y143" i="13"/>
  <c r="AC142" i="13"/>
  <c r="AE142" i="13" s="1"/>
  <c r="AF142" i="13" s="1"/>
  <c r="AC138" i="13"/>
  <c r="AE138" i="13" s="1"/>
  <c r="AF138" i="13" s="1"/>
  <c r="AC137" i="13"/>
  <c r="AE137" i="13" s="1"/>
  <c r="AF137" i="13" s="1"/>
  <c r="AC118" i="13"/>
  <c r="AE118" i="13" s="1"/>
  <c r="AF118" i="13" s="1"/>
  <c r="Y110" i="13"/>
  <c r="W110" i="13"/>
  <c r="Y108" i="13"/>
  <c r="AC107" i="13"/>
  <c r="AE107" i="13" s="1"/>
  <c r="AF107" i="13" s="1"/>
  <c r="AD106" i="13"/>
  <c r="AG106" i="13" s="1"/>
  <c r="AC106" i="13"/>
  <c r="AE106" i="13" s="1"/>
  <c r="AF106" i="13" s="1"/>
  <c r="AB106" i="13"/>
  <c r="AA106" i="13"/>
  <c r="AC104" i="13"/>
  <c r="AE104" i="13" s="1"/>
  <c r="AF104" i="13" s="1"/>
  <c r="AA104" i="13"/>
  <c r="AC105" i="13"/>
  <c r="AE105" i="13" s="1"/>
  <c r="AF105" i="13" s="1"/>
  <c r="AD103" i="13"/>
  <c r="AG103" i="13" s="1"/>
  <c r="AC103" i="13"/>
  <c r="AE103" i="13" s="1"/>
  <c r="AF103" i="13" s="1"/>
  <c r="U101" i="13"/>
  <c r="AA100" i="13"/>
  <c r="AC102" i="13" l="1"/>
  <c r="AC101" i="13"/>
  <c r="AE101" i="13" s="1"/>
  <c r="AF101" i="13" s="1"/>
  <c r="AE102" i="13"/>
  <c r="AF102" i="13" s="1"/>
  <c r="AD100" i="13"/>
  <c r="AG100" i="13" s="1"/>
  <c r="AC100" i="13"/>
  <c r="AE100" i="13" s="1"/>
  <c r="AF100" i="13" s="1"/>
  <c r="J97" i="13"/>
  <c r="V97" i="13"/>
  <c r="L97" i="13"/>
  <c r="AF97" i="13"/>
  <c r="AC96" i="13"/>
  <c r="AE96" i="13" s="1"/>
  <c r="AF96" i="13" s="1"/>
  <c r="AD96" i="13"/>
  <c r="AG96" i="13" s="1"/>
  <c r="AC95" i="13"/>
  <c r="AE95" i="13" s="1"/>
  <c r="AF95" i="13" s="1"/>
  <c r="AA92" i="13"/>
  <c r="AC93" i="13"/>
  <c r="AE93" i="13" s="1"/>
  <c r="AF93" i="13" s="1"/>
  <c r="AD93" i="13"/>
  <c r="AG93" i="13" s="1"/>
  <c r="AC94" i="13"/>
  <c r="AE94" i="13" s="1"/>
  <c r="AF94" i="13" s="1"/>
  <c r="AD94" i="13"/>
  <c r="AG94" i="13" s="1"/>
  <c r="AD92" i="13"/>
  <c r="AG92" i="13" s="1"/>
  <c r="AC92" i="13"/>
  <c r="AE92" i="13" s="1"/>
  <c r="AF92" i="13" s="1"/>
  <c r="AD58" i="13"/>
  <c r="AG58" i="13" s="1"/>
  <c r="AC41" i="13"/>
  <c r="AE41" i="13"/>
  <c r="AF41" i="13" l="1"/>
  <c r="AC33" i="13"/>
  <c r="AE33" i="13"/>
  <c r="AF33" i="13" s="1"/>
  <c r="AD33" i="13"/>
  <c r="AG33" i="13" s="1"/>
  <c r="AE17" i="13"/>
  <c r="AF17" i="13" s="1"/>
  <c r="V16" i="12"/>
  <c r="V15" i="12" s="1"/>
  <c r="J16" i="12"/>
  <c r="AD49" i="11" l="1"/>
  <c r="AG49" i="11" s="1"/>
  <c r="AA26" i="11" l="1"/>
  <c r="AC25" i="11"/>
  <c r="AD24" i="11" l="1"/>
  <c r="AG24" i="11" s="1"/>
  <c r="AF25" i="11" l="1"/>
  <c r="AC118" i="10" l="1"/>
  <c r="AE118" i="10" s="1"/>
  <c r="AF118" i="10" s="1"/>
  <c r="AC117" i="10"/>
  <c r="AC116" i="10"/>
  <c r="AE116" i="10" s="1"/>
  <c r="AF116" i="10" s="1"/>
  <c r="AE117" i="10"/>
  <c r="AF117" i="10" s="1"/>
  <c r="AC115" i="10"/>
  <c r="AE115" i="10" s="1"/>
  <c r="AF115" i="10" s="1"/>
  <c r="AA112" i="10"/>
  <c r="W105" i="10"/>
  <c r="AC103" i="10"/>
  <c r="AE103" i="10" s="1"/>
  <c r="AF103" i="10" s="1"/>
  <c r="AC109" i="10"/>
  <c r="AE109" i="10" s="1"/>
  <c r="AF109" i="10" s="1"/>
  <c r="AD114" i="10"/>
  <c r="AD113" i="10"/>
  <c r="AG113" i="10" s="1"/>
  <c r="P108" i="10"/>
  <c r="J108" i="10"/>
  <c r="AG114" i="10"/>
  <c r="AC106" i="10"/>
  <c r="AE106" i="10" s="1"/>
  <c r="AF106" i="10" s="1"/>
  <c r="AC105" i="10"/>
  <c r="AE105" i="10" s="1"/>
  <c r="AF105" i="10" s="1"/>
  <c r="AC104" i="10"/>
  <c r="AE104" i="10" s="1"/>
  <c r="AF104" i="10" s="1"/>
  <c r="AD95" i="10" l="1"/>
  <c r="AD83" i="10" l="1"/>
  <c r="AD82" i="10"/>
  <c r="AD81" i="10"/>
  <c r="AD80" i="10"/>
  <c r="AD79" i="10"/>
  <c r="AG79" i="10" s="1"/>
  <c r="AD77" i="10"/>
  <c r="AC77" i="10"/>
  <c r="AC76" i="10" l="1"/>
  <c r="AE76" i="10" s="1"/>
  <c r="AF76" i="10" s="1"/>
  <c r="AF73" i="10"/>
  <c r="W73" i="10"/>
  <c r="AC62" i="10"/>
  <c r="AE62" i="10" s="1"/>
  <c r="AF62" i="10" s="1"/>
  <c r="W21" i="10" l="1"/>
  <c r="AC121" i="9" l="1"/>
  <c r="AE121" i="9" s="1"/>
  <c r="AF121" i="9" s="1"/>
  <c r="AC120" i="9"/>
  <c r="AE120" i="9" s="1"/>
  <c r="AF120" i="9" s="1"/>
  <c r="AC119" i="9"/>
  <c r="AE119" i="9" s="1"/>
  <c r="AF119" i="9" s="1"/>
  <c r="AA120" i="9" l="1"/>
  <c r="AA121" i="9"/>
  <c r="AA119" i="9"/>
  <c r="AA118" i="9" l="1"/>
  <c r="P114" i="9" l="1"/>
  <c r="J114" i="9"/>
  <c r="U104" i="9"/>
  <c r="U102" i="9"/>
  <c r="U99" i="9"/>
  <c r="AE109" i="9"/>
  <c r="AF109" i="9" s="1"/>
  <c r="U91" i="9"/>
  <c r="AA91" i="9" s="1"/>
  <c r="AE86" i="9" l="1"/>
  <c r="W86" i="9"/>
  <c r="AC85" i="9"/>
  <c r="AE85" i="9" s="1"/>
  <c r="AC84" i="9" l="1"/>
  <c r="AE84" i="9" s="1"/>
  <c r="AF84" i="9" s="1"/>
  <c r="AF91" i="9"/>
  <c r="AF86" i="9"/>
  <c r="AF85" i="9"/>
  <c r="AE67" i="9"/>
  <c r="AC67" i="9"/>
  <c r="U31" i="9" l="1"/>
  <c r="AA31" i="9" s="1"/>
  <c r="U36" i="9"/>
  <c r="U34" i="9"/>
  <c r="AD65" i="9" l="1"/>
  <c r="AD66" i="9"/>
  <c r="AC64" i="9"/>
  <c r="AD64" i="9"/>
  <c r="AD62" i="9"/>
  <c r="Y51" i="9"/>
  <c r="AD49" i="9"/>
  <c r="AC49" i="9"/>
  <c r="AE49" i="9" s="1"/>
  <c r="AE77" i="9"/>
  <c r="AF77" i="9" s="1"/>
  <c r="AE53" i="9"/>
  <c r="AF53" i="9" s="1"/>
  <c r="AC36" i="9"/>
  <c r="AB41" i="9" l="1"/>
  <c r="AB30" i="9"/>
  <c r="AC30" i="9"/>
  <c r="S29" i="9" l="1"/>
  <c r="Q29" i="9"/>
  <c r="AC28" i="9"/>
  <c r="AE36" i="9"/>
  <c r="AF36" i="9" s="1"/>
  <c r="AE30" i="9"/>
  <c r="AF30" i="9" s="1"/>
  <c r="AG29" i="9"/>
  <c r="AF28" i="9"/>
  <c r="AG26" i="9"/>
  <c r="AG23" i="9"/>
  <c r="V153" i="13"/>
  <c r="P153" i="13"/>
  <c r="V149" i="13"/>
  <c r="P149" i="13"/>
  <c r="V138" i="13"/>
  <c r="P138" i="13"/>
  <c r="AD155" i="13"/>
  <c r="AG155" i="13" s="1"/>
  <c r="AC155" i="13"/>
  <c r="AE155" i="13" s="1"/>
  <c r="AF155" i="13" s="1"/>
  <c r="AA155" i="13"/>
  <c r="AB155" i="13"/>
  <c r="AC152" i="13" l="1"/>
  <c r="AE152" i="13" s="1"/>
  <c r="AF152" i="13" s="1"/>
  <c r="AD152" i="13"/>
  <c r="AG152" i="13" s="1"/>
  <c r="O152" i="13"/>
  <c r="AD151" i="13"/>
  <c r="AG151" i="13" s="1"/>
  <c r="AC151" i="13"/>
  <c r="AE151" i="13" s="1"/>
  <c r="AF151" i="13" s="1"/>
  <c r="AB151" i="13"/>
  <c r="AA151" i="13"/>
  <c r="AD148" i="13" l="1"/>
  <c r="AG148" i="13" s="1"/>
  <c r="AC148" i="13"/>
  <c r="AE148" i="13" s="1"/>
  <c r="AF148" i="13" s="1"/>
  <c r="AB146" i="13"/>
  <c r="AC147" i="13"/>
  <c r="AE147" i="13" s="1"/>
  <c r="AF147" i="13" s="1"/>
  <c r="AA147" i="13"/>
  <c r="AD146" i="13"/>
  <c r="AG146" i="13" s="1"/>
  <c r="AC146" i="13"/>
  <c r="AE146" i="13" s="1"/>
  <c r="AF146" i="13" s="1"/>
  <c r="AA146" i="13"/>
  <c r="AC145" i="13"/>
  <c r="AE145" i="13" s="1"/>
  <c r="AF145" i="13" s="1"/>
  <c r="AD144" i="13"/>
  <c r="AG144" i="13" s="1"/>
  <c r="AC144" i="13"/>
  <c r="AE144" i="13" s="1"/>
  <c r="AF144" i="13" s="1"/>
  <c r="AC143" i="13"/>
  <c r="AE143" i="13" s="1"/>
  <c r="AF143" i="13" s="1"/>
  <c r="AA145" i="13"/>
  <c r="AA137" i="13" l="1"/>
  <c r="AD136" i="13"/>
  <c r="AG136" i="13" s="1"/>
  <c r="AB136" i="13"/>
  <c r="U136" i="13"/>
  <c r="AA136" i="13" s="1"/>
  <c r="AC136" i="13" l="1"/>
  <c r="AE136" i="13" s="1"/>
  <c r="AF136" i="13" s="1"/>
  <c r="AD132" i="13"/>
  <c r="AG132" i="13" s="1"/>
  <c r="AC127" i="13"/>
  <c r="AE127" i="13" s="1"/>
  <c r="AF127" i="13" s="1"/>
  <c r="AC128" i="13"/>
  <c r="AE128" i="13" s="1"/>
  <c r="AF128" i="13" s="1"/>
  <c r="AC129" i="13"/>
  <c r="AE129" i="13" s="1"/>
  <c r="AF129" i="13" s="1"/>
  <c r="AC130" i="13"/>
  <c r="AE130" i="13" s="1"/>
  <c r="AF130" i="13" s="1"/>
  <c r="AC131" i="13"/>
  <c r="AE131" i="13" s="1"/>
  <c r="AF131" i="13" s="1"/>
  <c r="AC132" i="13"/>
  <c r="AE132" i="13" s="1"/>
  <c r="AF132" i="13" s="1"/>
  <c r="AC133" i="13"/>
  <c r="AE133" i="13" s="1"/>
  <c r="AF133" i="13" s="1"/>
  <c r="AC134" i="13"/>
  <c r="AE134" i="13" s="1"/>
  <c r="AF134" i="13" s="1"/>
  <c r="AC126" i="13"/>
  <c r="AE126" i="13" s="1"/>
  <c r="AF126" i="13" s="1"/>
  <c r="AA126" i="13"/>
  <c r="AA134" i="13"/>
  <c r="AA133" i="13"/>
  <c r="AA132" i="13"/>
  <c r="AD126" i="13"/>
  <c r="AG126" i="13" s="1"/>
  <c r="P119" i="13"/>
  <c r="V119" i="13"/>
  <c r="AA129" i="13"/>
  <c r="AA128" i="13"/>
  <c r="AA127" i="13"/>
  <c r="AA130" i="13"/>
  <c r="AB119" i="13" l="1"/>
  <c r="AD118" i="13"/>
  <c r="AG118" i="13" s="1"/>
  <c r="AD117" i="13"/>
  <c r="AG117" i="13" s="1"/>
  <c r="AD116" i="13"/>
  <c r="AG116" i="13" s="1"/>
  <c r="AC116" i="13"/>
  <c r="AE116" i="13" s="1"/>
  <c r="AF116" i="13" s="1"/>
  <c r="AA116" i="13"/>
  <c r="AB116" i="13"/>
  <c r="AD112" i="13"/>
  <c r="AG112" i="13" s="1"/>
  <c r="AC113" i="13"/>
  <c r="AE113" i="13" s="1"/>
  <c r="AF113" i="13" s="1"/>
  <c r="AC114" i="13"/>
  <c r="AE114" i="13" s="1"/>
  <c r="AF114" i="13" s="1"/>
  <c r="AC115" i="13"/>
  <c r="AE115" i="13" s="1"/>
  <c r="AF115" i="13" s="1"/>
  <c r="AC112" i="13"/>
  <c r="AE112" i="13" s="1"/>
  <c r="AF112" i="13" s="1"/>
  <c r="AD108" i="13"/>
  <c r="AG108" i="13" s="1"/>
  <c r="AB112" i="13"/>
  <c r="AC108" i="13" l="1"/>
  <c r="AE108" i="13" s="1"/>
  <c r="AF108" i="13" s="1"/>
  <c r="W95" i="13" l="1"/>
  <c r="AD84" i="13" l="1"/>
  <c r="AG84" i="13" s="1"/>
  <c r="AC84" i="13"/>
  <c r="AE84" i="13" s="1"/>
  <c r="AF84" i="13" s="1"/>
  <c r="AC83" i="13"/>
  <c r="AE83" i="13" s="1"/>
  <c r="AF83" i="13" s="1"/>
  <c r="X84" i="13"/>
  <c r="W84" i="13"/>
  <c r="AD85" i="13"/>
  <c r="AG85" i="13" s="1"/>
  <c r="AC85" i="13"/>
  <c r="AE85" i="13" s="1"/>
  <c r="AF85" i="13" s="1"/>
  <c r="AC82" i="13"/>
  <c r="AE82" i="13" s="1"/>
  <c r="AF82" i="13" s="1"/>
  <c r="AD83" i="13" l="1"/>
  <c r="AG83" i="13" s="1"/>
  <c r="AD81" i="13" l="1"/>
  <c r="AG81" i="13" s="1"/>
  <c r="AC81" i="13"/>
  <c r="AE81" i="13" s="1"/>
  <c r="AF81" i="13" s="1"/>
  <c r="AD78" i="13" l="1"/>
  <c r="AG78" i="13" s="1"/>
  <c r="AC78" i="13"/>
  <c r="AE78" i="13" s="1"/>
  <c r="AF78" i="13" s="1"/>
  <c r="AD76" i="13"/>
  <c r="AG76" i="13" s="1"/>
  <c r="AC76" i="13"/>
  <c r="AE76" i="13" s="1"/>
  <c r="AF76" i="13" s="1"/>
  <c r="AB76" i="13" l="1"/>
  <c r="AA76" i="13"/>
  <c r="Y29" i="13" l="1"/>
  <c r="AA16" i="13" l="1"/>
  <c r="AC16" i="13" l="1"/>
  <c r="AE16" i="13" s="1"/>
  <c r="AF16" i="13" s="1"/>
  <c r="AC17" i="13"/>
  <c r="Y17" i="13"/>
  <c r="AB33" i="13" l="1"/>
  <c r="AA33" i="13"/>
  <c r="AD74" i="13" l="1"/>
  <c r="AG74" i="13" s="1"/>
  <c r="AC74" i="13"/>
  <c r="AE74" i="13" s="1"/>
  <c r="AF74" i="13" s="1"/>
  <c r="AB74" i="13"/>
  <c r="AA74" i="13"/>
  <c r="AD71" i="13" l="1"/>
  <c r="AG71" i="13" s="1"/>
  <c r="AC71" i="13"/>
  <c r="AE71" i="13" s="1"/>
  <c r="AF71" i="13" s="1"/>
  <c r="U67" i="13" l="1"/>
  <c r="AC67" i="13" s="1"/>
  <c r="AE67" i="13" s="1"/>
  <c r="AF67" i="13" s="1"/>
  <c r="AD67" i="13"/>
  <c r="AG67" i="13" s="1"/>
  <c r="AC66" i="13" l="1"/>
  <c r="AE66" i="13" s="1"/>
  <c r="AF66" i="13" s="1"/>
  <c r="AA66" i="13"/>
  <c r="AC65" i="13"/>
  <c r="AE65" i="13" s="1"/>
  <c r="AF65" i="13" s="1"/>
  <c r="AA65" i="13"/>
  <c r="AC64" i="13"/>
  <c r="AE64" i="13" s="1"/>
  <c r="AF64" i="13" s="1"/>
  <c r="AA64" i="13"/>
  <c r="AD63" i="13"/>
  <c r="AG63" i="13" s="1"/>
  <c r="AC63" i="13"/>
  <c r="AE63" i="13" s="1"/>
  <c r="AF63" i="13" s="1"/>
  <c r="AB63" i="13"/>
  <c r="AA63" i="13"/>
  <c r="AD59" i="13" l="1"/>
  <c r="AG59" i="13" s="1"/>
  <c r="AC59" i="13"/>
  <c r="AE59" i="13" s="1"/>
  <c r="AF59" i="13" s="1"/>
  <c r="AC55" i="13" l="1"/>
  <c r="AE55" i="13" s="1"/>
  <c r="AF55" i="13" s="1"/>
  <c r="AD55" i="13"/>
  <c r="AG55" i="13" s="1"/>
  <c r="AC56" i="13"/>
  <c r="AE56" i="13" s="1"/>
  <c r="AF56" i="13" s="1"/>
  <c r="AD56" i="13"/>
  <c r="AG56" i="13" s="1"/>
  <c r="AD54" i="13"/>
  <c r="AG54" i="13" s="1"/>
  <c r="AC54" i="13"/>
  <c r="AE54" i="13" s="1"/>
  <c r="AF54" i="13" s="1"/>
  <c r="AD49" i="13" l="1"/>
  <c r="AG49" i="13" s="1"/>
  <c r="AD48" i="13"/>
  <c r="AG48" i="13" s="1"/>
  <c r="AC48" i="13"/>
  <c r="AE48" i="13" s="1"/>
  <c r="AF48" i="13" s="1"/>
  <c r="U49" i="13"/>
  <c r="AC49" i="13" s="1"/>
  <c r="AE49" i="13" s="1"/>
  <c r="AF49" i="13" s="1"/>
  <c r="O49" i="13"/>
  <c r="AC47" i="13"/>
  <c r="AE47" i="13" s="1"/>
  <c r="AF47" i="13" s="1"/>
  <c r="AD46" i="13"/>
  <c r="AG46" i="13" s="1"/>
  <c r="AC46" i="13"/>
  <c r="AE46" i="13" s="1"/>
  <c r="AF46" i="13" s="1"/>
  <c r="AB46" i="13"/>
  <c r="AA47" i="13"/>
  <c r="U46" i="13"/>
  <c r="O46" i="13"/>
  <c r="AC44" i="13" l="1"/>
  <c r="AE44" i="13" s="1"/>
  <c r="AF44" i="13" s="1"/>
  <c r="AA44" i="13"/>
  <c r="AD43" i="13"/>
  <c r="AG43" i="13" s="1"/>
  <c r="AB43" i="13"/>
  <c r="U43" i="13"/>
  <c r="AC43" i="13" s="1"/>
  <c r="AE43" i="13" s="1"/>
  <c r="AF43" i="13" s="1"/>
  <c r="V41" i="13"/>
  <c r="T41" i="13"/>
  <c r="R41" i="13"/>
  <c r="P41" i="13"/>
  <c r="AB41" i="13" s="1"/>
  <c r="N41" i="13"/>
  <c r="L41" i="13"/>
  <c r="J41" i="13"/>
  <c r="AC39" i="13"/>
  <c r="AE39" i="13" s="1"/>
  <c r="AF39" i="13" s="1"/>
  <c r="AD39" i="13"/>
  <c r="AG39" i="13" s="1"/>
  <c r="AD40" i="13"/>
  <c r="AG40" i="13" s="1"/>
  <c r="U40" i="13"/>
  <c r="AC40" i="13" s="1"/>
  <c r="AE40" i="13" s="1"/>
  <c r="AF40" i="13" s="1"/>
  <c r="O40" i="13"/>
  <c r="H40" i="13"/>
  <c r="AC38" i="13"/>
  <c r="AE38" i="13" s="1"/>
  <c r="AF38" i="13" s="1"/>
  <c r="AD38" i="13"/>
  <c r="AG38" i="13" s="1"/>
  <c r="AD37" i="13"/>
  <c r="AG37" i="13" s="1"/>
  <c r="AD36" i="13"/>
  <c r="AG36" i="13" s="1"/>
  <c r="AC37" i="13"/>
  <c r="AE37" i="13" s="1"/>
  <c r="AF37" i="13" s="1"/>
  <c r="AC36" i="13"/>
  <c r="AE36" i="13" s="1"/>
  <c r="AF36" i="13" s="1"/>
  <c r="AD41" i="13" l="1"/>
  <c r="AG41" i="13" s="1"/>
  <c r="AA43" i="13"/>
  <c r="AD28" i="13" l="1"/>
  <c r="AG28" i="13" s="1"/>
  <c r="U28" i="13"/>
  <c r="AC28" i="13" s="1"/>
  <c r="AE28" i="13" s="1"/>
  <c r="AF28" i="13" s="1"/>
  <c r="AC25" i="13"/>
  <c r="AE25" i="13" s="1"/>
  <c r="AF25" i="13" s="1"/>
  <c r="AC26" i="13"/>
  <c r="AE26" i="13" s="1"/>
  <c r="AF26" i="13" s="1"/>
  <c r="AC27" i="13"/>
  <c r="AE27" i="13" s="1"/>
  <c r="AF27" i="13" s="1"/>
  <c r="AC24" i="13"/>
  <c r="AE24" i="13" s="1"/>
  <c r="AF24" i="13" s="1"/>
  <c r="AD24" i="13"/>
  <c r="AG24" i="13" s="1"/>
  <c r="AD23" i="13" l="1"/>
  <c r="AG23" i="13" s="1"/>
  <c r="AC23" i="13"/>
  <c r="AE23" i="13" s="1"/>
  <c r="AF23" i="13" s="1"/>
  <c r="AD19" i="13" l="1"/>
  <c r="AG19" i="13" s="1"/>
  <c r="AC20" i="13"/>
  <c r="AE20" i="13" s="1"/>
  <c r="AF20" i="13" s="1"/>
  <c r="U19" i="13"/>
  <c r="AC19" i="13" s="1"/>
  <c r="AE19" i="13" s="1"/>
  <c r="AF19" i="13" s="1"/>
  <c r="AA20" i="13"/>
  <c r="V17" i="13" l="1"/>
  <c r="T17" i="13"/>
  <c r="R17" i="13"/>
  <c r="P17" i="13"/>
  <c r="N17" i="13"/>
  <c r="J17" i="13"/>
  <c r="L17" i="13"/>
  <c r="AD17" i="13" l="1"/>
  <c r="AG17" i="13" s="1"/>
  <c r="AD52" i="12" l="1"/>
  <c r="AG52" i="12" s="1"/>
  <c r="AD53" i="12"/>
  <c r="AG53" i="12" s="1"/>
  <c r="AD51" i="12"/>
  <c r="AG51" i="12" s="1"/>
  <c r="AC51" i="12"/>
  <c r="AE51" i="12" s="1"/>
  <c r="AF51" i="12" s="1"/>
  <c r="AC52" i="12"/>
  <c r="AE52" i="12" s="1"/>
  <c r="AF52" i="12" s="1"/>
  <c r="AC53" i="12"/>
  <c r="AE53" i="12" s="1"/>
  <c r="AF53" i="12" s="1"/>
  <c r="AD48" i="12"/>
  <c r="AG48" i="12" s="1"/>
  <c r="AC49" i="12"/>
  <c r="AE49" i="12" s="1"/>
  <c r="AF49" i="12" s="1"/>
  <c r="AC50" i="12"/>
  <c r="AE50" i="12" s="1"/>
  <c r="AF50" i="12" s="1"/>
  <c r="AC48" i="12"/>
  <c r="AE48" i="12" s="1"/>
  <c r="AF48" i="12" s="1"/>
  <c r="AB48" i="12"/>
  <c r="AC41" i="12"/>
  <c r="AE41" i="12" s="1"/>
  <c r="AF41" i="12" s="1"/>
  <c r="AC40" i="12"/>
  <c r="V41" i="12"/>
  <c r="P41" i="12"/>
  <c r="P40" i="12"/>
  <c r="AA35" i="12" l="1"/>
  <c r="AD39" i="12"/>
  <c r="AG39" i="12" s="1"/>
  <c r="AD38" i="12"/>
  <c r="AG38" i="12" s="1"/>
  <c r="AC39" i="12"/>
  <c r="AE39" i="12" s="1"/>
  <c r="AF39" i="12" s="1"/>
  <c r="AC38" i="12"/>
  <c r="AE38" i="12" s="1"/>
  <c r="AF38" i="12" s="1"/>
  <c r="AC37" i="12"/>
  <c r="AE37" i="12" s="1"/>
  <c r="AF37" i="12" s="1"/>
  <c r="AC35" i="12"/>
  <c r="AE35" i="12" s="1"/>
  <c r="AF35" i="12" s="1"/>
  <c r="V35" i="12"/>
  <c r="P35" i="12"/>
  <c r="AD34" i="12"/>
  <c r="AG34" i="12" s="1"/>
  <c r="AD33" i="12"/>
  <c r="AG33" i="12" s="1"/>
  <c r="AC34" i="12"/>
  <c r="AE34" i="12" s="1"/>
  <c r="AF34" i="12" s="1"/>
  <c r="U33" i="12"/>
  <c r="AC33" i="12" s="1"/>
  <c r="O33" i="12"/>
  <c r="H33" i="12"/>
  <c r="AE33" i="12" l="1"/>
  <c r="AF33" i="12" s="1"/>
  <c r="AC30" i="12"/>
  <c r="AE30" i="12" s="1"/>
  <c r="AF30" i="12" s="1"/>
  <c r="V30" i="12"/>
  <c r="P30" i="12"/>
  <c r="AC108" i="10"/>
  <c r="AE108" i="10" s="1"/>
  <c r="AF108" i="10" s="1"/>
  <c r="AC44" i="11"/>
  <c r="AE44" i="11" s="1"/>
  <c r="AF44" i="11" s="1"/>
  <c r="AC40" i="11"/>
  <c r="AE40" i="11" s="1"/>
  <c r="AF40" i="11" s="1"/>
  <c r="AC32" i="11"/>
  <c r="AE32" i="11" s="1"/>
  <c r="AF32" i="11" s="1"/>
  <c r="AC28" i="11"/>
  <c r="AE28" i="11" s="1"/>
  <c r="AF28" i="11" s="1"/>
  <c r="AC17" i="11"/>
  <c r="AE17" i="11" s="1"/>
  <c r="AF17" i="11" s="1"/>
  <c r="AC23" i="12"/>
  <c r="AE23" i="12" s="1"/>
  <c r="AF23" i="12" s="1"/>
  <c r="AC22" i="12"/>
  <c r="AE22" i="12" s="1"/>
  <c r="AF22" i="12" s="1"/>
  <c r="AC16" i="12"/>
  <c r="AE16" i="12" s="1"/>
  <c r="AF16" i="12" s="1"/>
  <c r="AD28" i="12"/>
  <c r="AG28" i="12" s="1"/>
  <c r="AC28" i="12"/>
  <c r="O28" i="12"/>
  <c r="H28" i="12"/>
  <c r="AD26" i="12"/>
  <c r="AG26" i="12" s="1"/>
  <c r="AC27" i="12"/>
  <c r="AC26" i="12"/>
  <c r="H27" i="12"/>
  <c r="H26" i="12"/>
  <c r="AD24" i="12"/>
  <c r="AG24" i="12" s="1"/>
  <c r="AC24" i="12"/>
  <c r="U25" i="12"/>
  <c r="AC25" i="12" s="1"/>
  <c r="AE25" i="12" s="1"/>
  <c r="AF25" i="12" s="1"/>
  <c r="O24" i="12"/>
  <c r="O25" i="12"/>
  <c r="H24" i="12"/>
  <c r="AE28" i="12" l="1"/>
  <c r="AF28" i="12" s="1"/>
  <c r="AE24" i="12"/>
  <c r="AF24" i="12" s="1"/>
  <c r="AA25" i="12"/>
  <c r="AE26" i="12"/>
  <c r="AF26" i="12" s="1"/>
  <c r="AE27" i="12"/>
  <c r="AF27" i="12" s="1"/>
  <c r="Z22" i="12"/>
  <c r="AD20" i="12"/>
  <c r="AG20" i="12" s="1"/>
  <c r="AD21" i="12"/>
  <c r="AG21" i="12" s="1"/>
  <c r="AD19" i="12"/>
  <c r="AG19" i="12" s="1"/>
  <c r="U21" i="12"/>
  <c r="AC21" i="12" s="1"/>
  <c r="O21" i="12"/>
  <c r="H21" i="12"/>
  <c r="U20" i="12"/>
  <c r="AC20" i="12" s="1"/>
  <c r="AE20" i="12" s="1"/>
  <c r="AF20" i="12" s="1"/>
  <c r="O20" i="12"/>
  <c r="H20" i="12"/>
  <c r="U19" i="12"/>
  <c r="AC19" i="12" s="1"/>
  <c r="O19" i="12"/>
  <c r="H19" i="12"/>
  <c r="AC15" i="12"/>
  <c r="AE15" i="12" s="1"/>
  <c r="AF15" i="12" s="1"/>
  <c r="P16" i="12"/>
  <c r="P15" i="12" s="1"/>
  <c r="N16" i="12"/>
  <c r="AE21" i="12" l="1"/>
  <c r="AF21" i="12" s="1"/>
  <c r="AE19" i="12"/>
  <c r="AF19" i="12" s="1"/>
  <c r="AD50" i="11"/>
  <c r="AG50" i="11" s="1"/>
  <c r="AD51" i="11"/>
  <c r="AG51" i="11" s="1"/>
  <c r="AD47" i="11"/>
  <c r="AG47" i="11" s="1"/>
  <c r="AC48" i="11"/>
  <c r="AE48" i="11" s="1"/>
  <c r="AF48" i="11" s="1"/>
  <c r="AC49" i="11"/>
  <c r="AE49" i="11" s="1"/>
  <c r="AF49" i="11" s="1"/>
  <c r="AC50" i="11"/>
  <c r="AE50" i="11" s="1"/>
  <c r="AF50" i="11" s="1"/>
  <c r="AC51" i="11"/>
  <c r="AE51" i="11" s="1"/>
  <c r="AF51" i="11" s="1"/>
  <c r="AC47" i="11"/>
  <c r="AE47" i="11" s="1"/>
  <c r="AF47" i="11" s="1"/>
  <c r="V44" i="11"/>
  <c r="P44" i="11"/>
  <c r="AD43" i="11"/>
  <c r="AG43" i="11" s="1"/>
  <c r="AC43" i="11"/>
  <c r="AE43" i="11" s="1"/>
  <c r="AF43" i="11" s="1"/>
  <c r="AB43" i="11"/>
  <c r="AA43" i="11"/>
  <c r="V40" i="11"/>
  <c r="P40" i="11"/>
  <c r="V32" i="11" l="1"/>
  <c r="AD38" i="11"/>
  <c r="AG38" i="11" s="1"/>
  <c r="AD39" i="11"/>
  <c r="AG39" i="11" s="1"/>
  <c r="AD37" i="11"/>
  <c r="AG37" i="11" s="1"/>
  <c r="AC38" i="11"/>
  <c r="AE38" i="11" s="1"/>
  <c r="AF38" i="11" s="1"/>
  <c r="AC39" i="11"/>
  <c r="AE39" i="11" s="1"/>
  <c r="AF39" i="11" s="1"/>
  <c r="AC37" i="11"/>
  <c r="AE37" i="11" s="1"/>
  <c r="AF37" i="11" s="1"/>
  <c r="AA38" i="11"/>
  <c r="AA37" i="11"/>
  <c r="P32" i="11"/>
  <c r="V28" i="11"/>
  <c r="AD31" i="11"/>
  <c r="AG31" i="11" s="1"/>
  <c r="AC31" i="11"/>
  <c r="AE31" i="11" s="1"/>
  <c r="AF31" i="11" s="1"/>
  <c r="AB31" i="11"/>
  <c r="AA31" i="11"/>
  <c r="P28" i="11"/>
  <c r="AD27" i="11"/>
  <c r="AG27" i="11" s="1"/>
  <c r="AC27" i="11"/>
  <c r="AE27" i="11" s="1"/>
  <c r="AF27" i="11" s="1"/>
  <c r="AD25" i="11"/>
  <c r="AG25" i="11" s="1"/>
  <c r="AC26" i="11"/>
  <c r="AE26" i="11" s="1"/>
  <c r="AF26" i="11" s="1"/>
  <c r="U16" i="11" l="1"/>
  <c r="AC16" i="11" s="1"/>
  <c r="AE16" i="11" s="1"/>
  <c r="AF16" i="11" s="1"/>
  <c r="AD21" i="11"/>
  <c r="AG21" i="11" s="1"/>
  <c r="AC21" i="11"/>
  <c r="AE21" i="11" s="1"/>
  <c r="AF21" i="11" s="1"/>
  <c r="AB21" i="11"/>
  <c r="AA21" i="11"/>
  <c r="V17" i="11"/>
  <c r="P17" i="11"/>
  <c r="P16" i="11"/>
  <c r="Y115" i="10" l="1"/>
  <c r="Y128" i="10" s="1"/>
  <c r="W115" i="10"/>
  <c r="V115" i="10"/>
  <c r="P115" i="10"/>
  <c r="AD125" i="10"/>
  <c r="AG125" i="10" s="1"/>
  <c r="AD126" i="10"/>
  <c r="AG126" i="10" s="1"/>
  <c r="AD127" i="10"/>
  <c r="AG127" i="10" s="1"/>
  <c r="AD124" i="10"/>
  <c r="AG124" i="10" s="1"/>
  <c r="AC125" i="10"/>
  <c r="AE125" i="10" s="1"/>
  <c r="AF125" i="10" s="1"/>
  <c r="AC126" i="10"/>
  <c r="AE126" i="10" s="1"/>
  <c r="AF126" i="10" s="1"/>
  <c r="AC127" i="10"/>
  <c r="AE127" i="10" s="1"/>
  <c r="AF127" i="10" s="1"/>
  <c r="AC124" i="10"/>
  <c r="AA127" i="10"/>
  <c r="AA126" i="10"/>
  <c r="AA124" i="10"/>
  <c r="H124" i="10"/>
  <c r="AE124" i="10" l="1"/>
  <c r="AF124" i="10" s="1"/>
  <c r="AD120" i="10"/>
  <c r="AG120" i="10" s="1"/>
  <c r="AD121" i="10"/>
  <c r="AG121" i="10" s="1"/>
  <c r="AD119" i="10"/>
  <c r="AG119" i="10" s="1"/>
  <c r="AC120" i="10"/>
  <c r="AE120" i="10" s="1"/>
  <c r="AF120" i="10" s="1"/>
  <c r="AC121" i="10"/>
  <c r="AC122" i="10"/>
  <c r="AC119" i="10"/>
  <c r="AE119" i="10" s="1"/>
  <c r="AF119" i="10" s="1"/>
  <c r="H122" i="10"/>
  <c r="H121" i="10"/>
  <c r="AA122" i="10"/>
  <c r="AE122" i="10" l="1"/>
  <c r="AF122" i="10" s="1"/>
  <c r="AE121" i="10"/>
  <c r="AF121" i="10" s="1"/>
  <c r="AB114" i="10"/>
  <c r="AC114" i="10" l="1"/>
  <c r="AE114" i="10" s="1"/>
  <c r="AF114" i="10" s="1"/>
  <c r="AC113" i="10"/>
  <c r="AE113" i="10" s="1"/>
  <c r="AF113" i="10" s="1"/>
  <c r="V108" i="10"/>
  <c r="AD111" i="10"/>
  <c r="AG111" i="10" s="1"/>
  <c r="AC112" i="10"/>
  <c r="AE112" i="10" s="1"/>
  <c r="AF112" i="10" s="1"/>
  <c r="AC111" i="10"/>
  <c r="AE111" i="10" s="1"/>
  <c r="AF111" i="10" s="1"/>
  <c r="AB111" i="10"/>
  <c r="AA128" i="10"/>
  <c r="AC107" i="10"/>
  <c r="AE107" i="10" s="1"/>
  <c r="AF107" i="10" s="1"/>
  <c r="AD106" i="10"/>
  <c r="AG106" i="10" s="1"/>
  <c r="P103" i="10"/>
  <c r="V103" i="10"/>
  <c r="AB103" i="10" l="1"/>
  <c r="AC58" i="10"/>
  <c r="AE58" i="10" s="1"/>
  <c r="AF58" i="10" s="1"/>
  <c r="AC49" i="10"/>
  <c r="AE49" i="10" s="1"/>
  <c r="AF49" i="10" s="1"/>
  <c r="AC48" i="10"/>
  <c r="AE48" i="10" s="1"/>
  <c r="AF48" i="10" s="1"/>
  <c r="AC47" i="10"/>
  <c r="AE47" i="10" s="1"/>
  <c r="AF47" i="10" s="1"/>
  <c r="AC45" i="10"/>
  <c r="AE45" i="10" s="1"/>
  <c r="AF45" i="10" s="1"/>
  <c r="AC38" i="10"/>
  <c r="AE38" i="10" s="1"/>
  <c r="AF38" i="10" s="1"/>
  <c r="AC31" i="10"/>
  <c r="AE31" i="10" s="1"/>
  <c r="AF31" i="10" s="1"/>
  <c r="AC30" i="10"/>
  <c r="AE30" i="10" s="1"/>
  <c r="AF30" i="10" s="1"/>
  <c r="AC23" i="10"/>
  <c r="AE23" i="10" s="1"/>
  <c r="AF23" i="10" s="1"/>
  <c r="AC22" i="10"/>
  <c r="AE22" i="10" s="1"/>
  <c r="AF22" i="10" s="1"/>
  <c r="AC21" i="10"/>
  <c r="AE21" i="10" s="1"/>
  <c r="AF21" i="10" s="1"/>
  <c r="AC114" i="9"/>
  <c r="AE114" i="9" s="1"/>
  <c r="AF114" i="9" s="1"/>
  <c r="AC97" i="9"/>
  <c r="AE97" i="9" s="1"/>
  <c r="AF97" i="9" s="1"/>
  <c r="AC96" i="9"/>
  <c r="AE96" i="9" s="1"/>
  <c r="AF96" i="9" s="1"/>
  <c r="AC95" i="9"/>
  <c r="AE95" i="9" s="1"/>
  <c r="AF95" i="9" s="1"/>
  <c r="AC93" i="9"/>
  <c r="AE93" i="9" s="1"/>
  <c r="AF93" i="9" s="1"/>
  <c r="AC82" i="9"/>
  <c r="AE82" i="9" s="1"/>
  <c r="AF82" i="9" s="1"/>
  <c r="AA42" i="9"/>
  <c r="AC70" i="9"/>
  <c r="AE70" i="9" s="1"/>
  <c r="AF70" i="9" s="1"/>
  <c r="AF67" i="9"/>
  <c r="AC59" i="9"/>
  <c r="AE59" i="9" s="1"/>
  <c r="AF59" i="9" s="1"/>
  <c r="AC51" i="9"/>
  <c r="AE51" i="9" s="1"/>
  <c r="AF51" i="9" s="1"/>
  <c r="AC50" i="9"/>
  <c r="AF49" i="9"/>
  <c r="AC48" i="9"/>
  <c r="AE48" i="9" s="1"/>
  <c r="AF48" i="9" s="1"/>
  <c r="AC45" i="9"/>
  <c r="AE45" i="9" s="1"/>
  <c r="AF45" i="9" s="1"/>
  <c r="AC43" i="9"/>
  <c r="AE43" i="9" s="1"/>
  <c r="AF43" i="9" s="1"/>
  <c r="AC42" i="9"/>
  <c r="AE42" i="9" s="1"/>
  <c r="AF42" i="9" s="1"/>
  <c r="AC41" i="9"/>
  <c r="AE41" i="9" s="1"/>
  <c r="AF41" i="9" s="1"/>
  <c r="AC40" i="9"/>
  <c r="AE40" i="9" s="1"/>
  <c r="AF40" i="9" s="1"/>
  <c r="AC29" i="9"/>
  <c r="AE29" i="9" s="1"/>
  <c r="AF29" i="9" s="1"/>
  <c r="AC27" i="9"/>
  <c r="AE27" i="9" s="1"/>
  <c r="AF27" i="9" s="1"/>
  <c r="AC26" i="9"/>
  <c r="AE26" i="9" s="1"/>
  <c r="AF26" i="9" s="1"/>
  <c r="AC24" i="9"/>
  <c r="AE24" i="9" s="1"/>
  <c r="AF24" i="9" s="1"/>
  <c r="AC23" i="9"/>
  <c r="AE23" i="9" s="1"/>
  <c r="AF23" i="9" s="1"/>
  <c r="AC21" i="9"/>
  <c r="AE21" i="9" s="1"/>
  <c r="AF21" i="9" s="1"/>
  <c r="AC20" i="9"/>
  <c r="AE20" i="9" s="1"/>
  <c r="AF20" i="9" s="1"/>
  <c r="AC19" i="9"/>
  <c r="AE19" i="9" s="1"/>
  <c r="AF19" i="9" s="1"/>
  <c r="AC18" i="9"/>
  <c r="AE18" i="9" s="1"/>
  <c r="AF18" i="9" s="1"/>
  <c r="AC17" i="9"/>
  <c r="AE17" i="9" s="1"/>
  <c r="AF17" i="9" s="1"/>
  <c r="U96" i="10"/>
  <c r="AC96" i="10" s="1"/>
  <c r="AE96" i="10" s="1"/>
  <c r="AF96" i="10" s="1"/>
  <c r="V96" i="10"/>
  <c r="AB96" i="10" s="1"/>
  <c r="P96" i="10"/>
  <c r="O102" i="10"/>
  <c r="H102" i="10"/>
  <c r="U101" i="10"/>
  <c r="O101" i="10"/>
  <c r="H101" i="10"/>
  <c r="AE50" i="9" l="1"/>
  <c r="AF50" i="9" s="1"/>
  <c r="AE69" i="9"/>
  <c r="AF69" i="9" s="1"/>
  <c r="AD102" i="10"/>
  <c r="AG102" i="10" s="1"/>
  <c r="AD101" i="10"/>
  <c r="AG101" i="10" s="1"/>
  <c r="AC102" i="10"/>
  <c r="AE102" i="10" s="1"/>
  <c r="AF102" i="10" s="1"/>
  <c r="AC101" i="10"/>
  <c r="AE101" i="10" s="1"/>
  <c r="AF101" i="10" s="1"/>
  <c r="AD93" i="10"/>
  <c r="AG93" i="10" s="1"/>
  <c r="AD89" i="10"/>
  <c r="AG89" i="10" s="1"/>
  <c r="AD88" i="10"/>
  <c r="AG88" i="10" s="1"/>
  <c r="AC95" i="10"/>
  <c r="AE95" i="10" s="1"/>
  <c r="AF95" i="10" s="1"/>
  <c r="AC92" i="10"/>
  <c r="AE92" i="10" s="1"/>
  <c r="AF92" i="10" s="1"/>
  <c r="AG77" i="10"/>
  <c r="AC83" i="10"/>
  <c r="AE83" i="10" s="1"/>
  <c r="AF83" i="10" s="1"/>
  <c r="AC82" i="10"/>
  <c r="AE82" i="10" s="1"/>
  <c r="AF82" i="10" s="1"/>
  <c r="AC81" i="10"/>
  <c r="AE81" i="10" s="1"/>
  <c r="AF81" i="10" s="1"/>
  <c r="AC80" i="10"/>
  <c r="AE80" i="10" s="1"/>
  <c r="AF80" i="10" s="1"/>
  <c r="AC79" i="10"/>
  <c r="AE79" i="10" s="1"/>
  <c r="AF79" i="10" s="1"/>
  <c r="AC78" i="10"/>
  <c r="AE78" i="10" s="1"/>
  <c r="AF78" i="10" s="1"/>
  <c r="AE77" i="10"/>
  <c r="AF77" i="10" s="1"/>
  <c r="AC57" i="10"/>
  <c r="AE57" i="10" s="1"/>
  <c r="AF57" i="10" s="1"/>
  <c r="AC50" i="10"/>
  <c r="AE50" i="10" s="1"/>
  <c r="AF50" i="10" s="1"/>
  <c r="AC72" i="10"/>
  <c r="AE72" i="10" s="1"/>
  <c r="AF72" i="10" s="1"/>
  <c r="AA95" i="10"/>
  <c r="J95" i="10"/>
  <c r="AG95" i="10" s="1"/>
  <c r="U94" i="10"/>
  <c r="AC94" i="10" s="1"/>
  <c r="AE94" i="10" s="1"/>
  <c r="AF94" i="10" s="1"/>
  <c r="O94" i="10"/>
  <c r="U93" i="10"/>
  <c r="AC93" i="10" s="1"/>
  <c r="AE93" i="10" s="1"/>
  <c r="AF93" i="10" s="1"/>
  <c r="O93" i="10"/>
  <c r="U91" i="10"/>
  <c r="AC91" i="10" s="1"/>
  <c r="AE91" i="10" s="1"/>
  <c r="AF91" i="10" s="1"/>
  <c r="O91" i="10"/>
  <c r="U90" i="10"/>
  <c r="AC90" i="10" s="1"/>
  <c r="AE90" i="10" s="1"/>
  <c r="AF90" i="10" s="1"/>
  <c r="O90" i="10"/>
  <c r="U89" i="10"/>
  <c r="AC89" i="10" s="1"/>
  <c r="AE89" i="10" s="1"/>
  <c r="AF89" i="10" s="1"/>
  <c r="O89" i="10"/>
  <c r="U88" i="10" l="1"/>
  <c r="AC88" i="10" s="1"/>
  <c r="AE88" i="10" s="1"/>
  <c r="AF88" i="10" s="1"/>
  <c r="O88" i="10"/>
  <c r="AB79" i="10" l="1"/>
  <c r="AA79" i="10"/>
  <c r="AA58" i="10" l="1"/>
  <c r="AC55" i="10"/>
  <c r="AE55" i="10" s="1"/>
  <c r="AF55" i="10" s="1"/>
  <c r="AA55" i="10"/>
  <c r="AC54" i="10"/>
  <c r="AE54" i="10" s="1"/>
  <c r="AF54" i="10" s="1"/>
  <c r="AA54" i="10"/>
  <c r="V45" i="10" l="1"/>
  <c r="P45" i="10"/>
  <c r="N45" i="10"/>
  <c r="O43" i="10"/>
  <c r="O42" i="10"/>
  <c r="U37" i="10"/>
  <c r="O36" i="10"/>
  <c r="O35" i="10"/>
  <c r="W34" i="10" l="1"/>
  <c r="S34" i="10"/>
  <c r="Y34" i="10" s="1"/>
  <c r="T31" i="10"/>
  <c r="V31" i="10"/>
  <c r="P31" i="10"/>
  <c r="N31" i="10"/>
  <c r="U29" i="10"/>
  <c r="AC29" i="10" s="1"/>
  <c r="AE29" i="10" s="1"/>
  <c r="AF29" i="10" s="1"/>
  <c r="O29" i="10"/>
  <c r="V22" i="10"/>
  <c r="AD28" i="10"/>
  <c r="AB28" i="10"/>
  <c r="U28" i="10"/>
  <c r="O28" i="10"/>
  <c r="J28" i="10"/>
  <c r="P22" i="10"/>
  <c r="P21" i="10" s="1"/>
  <c r="U27" i="10"/>
  <c r="O27" i="10"/>
  <c r="U26" i="10"/>
  <c r="O26" i="10"/>
  <c r="AB118" i="9"/>
  <c r="V114" i="9"/>
  <c r="T114" i="9"/>
  <c r="R114" i="9"/>
  <c r="N114" i="9"/>
  <c r="L114" i="9"/>
  <c r="L93" i="9"/>
  <c r="V71" i="9"/>
  <c r="T71" i="9"/>
  <c r="R71" i="9"/>
  <c r="P71" i="9"/>
  <c r="N71" i="9"/>
  <c r="L71" i="9"/>
  <c r="V67" i="9"/>
  <c r="T67" i="9"/>
  <c r="R67" i="9"/>
  <c r="P67" i="9"/>
  <c r="N67" i="9"/>
  <c r="L67" i="9"/>
  <c r="V82" i="9"/>
  <c r="T82" i="9"/>
  <c r="R82" i="9"/>
  <c r="P82" i="9"/>
  <c r="N82" i="9"/>
  <c r="L82" i="9"/>
  <c r="V93" i="9"/>
  <c r="T93" i="9"/>
  <c r="R93" i="9"/>
  <c r="P93" i="9"/>
  <c r="N93" i="9"/>
  <c r="AD29" i="10"/>
  <c r="AG29" i="10" s="1"/>
  <c r="AB29" i="10"/>
  <c r="AD27" i="10"/>
  <c r="AC27" i="10"/>
  <c r="AE27" i="10" s="1"/>
  <c r="AF27" i="10" s="1"/>
  <c r="AB27" i="10"/>
  <c r="J27" i="10"/>
  <c r="AD118" i="9"/>
  <c r="AG118" i="9" s="1"/>
  <c r="AG28" i="10" l="1"/>
  <c r="AG27" i="10"/>
  <c r="AD93" i="9"/>
  <c r="AA29" i="10"/>
  <c r="AA27" i="10"/>
  <c r="AA28" i="10"/>
  <c r="AC28" i="10"/>
  <c r="AE28" i="10" s="1"/>
  <c r="AF28" i="10" s="1"/>
  <c r="AC118" i="9"/>
  <c r="AE118" i="9" s="1"/>
  <c r="AF118" i="9" s="1"/>
  <c r="AD82" i="9"/>
  <c r="AD71" i="9"/>
  <c r="AD114" i="9"/>
  <c r="AG114" i="9" s="1"/>
  <c r="AD67" i="9"/>
  <c r="O113" i="9"/>
  <c r="O112" i="9"/>
  <c r="U110" i="9" l="1"/>
  <c r="O110" i="9"/>
  <c r="U92" i="9"/>
  <c r="U90" i="9"/>
  <c r="O90" i="9"/>
  <c r="U88" i="9"/>
  <c r="O88" i="9"/>
  <c r="U54" i="9" l="1"/>
  <c r="O54" i="9"/>
  <c r="U78" i="9"/>
  <c r="O78" i="9"/>
  <c r="U66" i="9"/>
  <c r="O66" i="9"/>
  <c r="J52" i="9" l="1"/>
  <c r="V18" i="9"/>
  <c r="AA41" i="9"/>
  <c r="AA20" i="9" l="1"/>
  <c r="Y20" i="9"/>
  <c r="J83" i="10" l="1"/>
  <c r="AG83" i="10" s="1"/>
  <c r="J82" i="10"/>
  <c r="AG82" i="10" s="1"/>
  <c r="J81" i="10"/>
  <c r="AG81" i="10" s="1"/>
  <c r="J80" i="10"/>
  <c r="AG80" i="10" s="1"/>
  <c r="J57" i="10" l="1"/>
  <c r="J56" i="10"/>
  <c r="J53" i="10"/>
  <c r="J52" i="10"/>
  <c r="J51" i="10"/>
  <c r="AC51" i="10"/>
  <c r="AE51" i="10" s="1"/>
  <c r="AF51" i="10" s="1"/>
  <c r="AD51" i="10"/>
  <c r="AG51" i="10" s="1"/>
  <c r="AC52" i="10"/>
  <c r="AE52" i="10" s="1"/>
  <c r="AF52" i="10" s="1"/>
  <c r="AD52" i="10"/>
  <c r="AC53" i="10"/>
  <c r="AE53" i="10" s="1"/>
  <c r="AF53" i="10" s="1"/>
  <c r="AD53" i="10"/>
  <c r="AG53" i="10" s="1"/>
  <c r="AC56" i="10"/>
  <c r="AE56" i="10" s="1"/>
  <c r="AF56" i="10" s="1"/>
  <c r="AD56" i="10"/>
  <c r="AD57" i="10"/>
  <c r="AG57" i="10" s="1"/>
  <c r="AD50" i="10"/>
  <c r="J50" i="10"/>
  <c r="V38" i="10"/>
  <c r="P38" i="10"/>
  <c r="AG56" i="10" l="1"/>
  <c r="AG50" i="10"/>
  <c r="AG52" i="10"/>
  <c r="J44" i="10"/>
  <c r="AC43" i="10"/>
  <c r="AE43" i="10" s="1"/>
  <c r="AF43" i="10" s="1"/>
  <c r="AD43" i="10"/>
  <c r="J43" i="10"/>
  <c r="AD42" i="10"/>
  <c r="AG42" i="10" s="1"/>
  <c r="AC42" i="10"/>
  <c r="AE42" i="10" s="1"/>
  <c r="AF42" i="10" s="1"/>
  <c r="J42" i="10"/>
  <c r="AC37" i="10"/>
  <c r="AE37" i="10" s="1"/>
  <c r="AF37" i="10" s="1"/>
  <c r="AD37" i="10"/>
  <c r="J37" i="10"/>
  <c r="AC36" i="10"/>
  <c r="AE36" i="10" s="1"/>
  <c r="AF36" i="10" s="1"/>
  <c r="AD36" i="10"/>
  <c r="J36" i="10"/>
  <c r="AD35" i="10"/>
  <c r="AC35" i="10"/>
  <c r="AE35" i="10" s="1"/>
  <c r="AF35" i="10" s="1"/>
  <c r="AG36" i="10" l="1"/>
  <c r="AG37" i="10"/>
  <c r="AG43" i="10"/>
  <c r="J35" i="10"/>
  <c r="AG35" i="10" s="1"/>
  <c r="AD26" i="10"/>
  <c r="AC26" i="10"/>
  <c r="AE26" i="10" s="1"/>
  <c r="AF26" i="10" s="1"/>
  <c r="AB26" i="10"/>
  <c r="AA26" i="10"/>
  <c r="J26" i="10"/>
  <c r="AG26" i="10" l="1"/>
  <c r="AC113" i="9"/>
  <c r="AE113" i="9" s="1"/>
  <c r="AF113" i="9" s="1"/>
  <c r="AD113" i="9"/>
  <c r="J113" i="9"/>
  <c r="AD112" i="9"/>
  <c r="AC112" i="9"/>
  <c r="AE112" i="9" s="1"/>
  <c r="AF112" i="9" s="1"/>
  <c r="AG113" i="9" l="1"/>
  <c r="J112" i="9"/>
  <c r="AG112" i="9" s="1"/>
  <c r="AC110" i="9"/>
  <c r="AE110" i="9" s="1"/>
  <c r="AF110" i="9" s="1"/>
  <c r="AA110" i="9"/>
  <c r="AD108" i="9"/>
  <c r="AC108" i="9"/>
  <c r="AE108" i="9" s="1"/>
  <c r="AF108" i="9" s="1"/>
  <c r="AB108" i="9"/>
  <c r="AA108" i="9"/>
  <c r="J108" i="9"/>
  <c r="AC105" i="9"/>
  <c r="AE105" i="9" s="1"/>
  <c r="AF105" i="9" s="1"/>
  <c r="AA105" i="9"/>
  <c r="AC104" i="9"/>
  <c r="AE104" i="9" s="1"/>
  <c r="AF104" i="9" s="1"/>
  <c r="AA104" i="9"/>
  <c r="AC103" i="9"/>
  <c r="AE103" i="9" s="1"/>
  <c r="AF103" i="9" s="1"/>
  <c r="AA103" i="9"/>
  <c r="AC102" i="9"/>
  <c r="AE102" i="9" s="1"/>
  <c r="AF102" i="9" s="1"/>
  <c r="AA102" i="9"/>
  <c r="AC101" i="9"/>
  <c r="AE101" i="9" s="1"/>
  <c r="AF101" i="9" s="1"/>
  <c r="AA101" i="9"/>
  <c r="AC100" i="9"/>
  <c r="AE100" i="9" s="1"/>
  <c r="AF100" i="9" s="1"/>
  <c r="AA100" i="9"/>
  <c r="AC99" i="9"/>
  <c r="AE99" i="9" s="1"/>
  <c r="AF99" i="9" s="1"/>
  <c r="AA99" i="9"/>
  <c r="AD98" i="9"/>
  <c r="AC98" i="9"/>
  <c r="AE98" i="9" s="1"/>
  <c r="AF98" i="9" s="1"/>
  <c r="AA98" i="9"/>
  <c r="J98" i="9"/>
  <c r="AD92" i="9"/>
  <c r="AD91" i="9"/>
  <c r="AG91" i="9" s="1"/>
  <c r="AD89" i="9"/>
  <c r="AC89" i="9"/>
  <c r="AE89" i="9" s="1"/>
  <c r="AF89" i="9" s="1"/>
  <c r="AC90" i="9"/>
  <c r="AE90" i="9" s="1"/>
  <c r="AF90" i="9" s="1"/>
  <c r="AC91" i="9"/>
  <c r="AC92" i="9"/>
  <c r="AE92" i="9" s="1"/>
  <c r="AF92" i="9" s="1"/>
  <c r="AA92" i="9"/>
  <c r="J92" i="9"/>
  <c r="AB92" i="9"/>
  <c r="AG108" i="9" l="1"/>
  <c r="AG92" i="9"/>
  <c r="AG98" i="9"/>
  <c r="J93" i="9"/>
  <c r="AG93" i="9" s="1"/>
  <c r="J89" i="9"/>
  <c r="AG89" i="9" s="1"/>
  <c r="J88" i="9"/>
  <c r="AC78" i="9"/>
  <c r="AE78" i="9" s="1"/>
  <c r="AF78" i="9" s="1"/>
  <c r="AA78" i="9"/>
  <c r="AD76" i="9"/>
  <c r="AC76" i="9"/>
  <c r="AE76" i="9" s="1"/>
  <c r="AF76" i="9" s="1"/>
  <c r="AB76" i="9"/>
  <c r="AA76" i="9"/>
  <c r="J76" i="9"/>
  <c r="J71" i="9" s="1"/>
  <c r="AG71" i="9" s="1"/>
  <c r="AD70" i="9"/>
  <c r="AD69" i="9"/>
  <c r="AG66" i="9"/>
  <c r="J65" i="9"/>
  <c r="AG65" i="9" s="1"/>
  <c r="AG64" i="9"/>
  <c r="J58" i="9"/>
  <c r="J57" i="9"/>
  <c r="J70" i="9"/>
  <c r="J56" i="9"/>
  <c r="J69" i="9"/>
  <c r="AA70" i="9"/>
  <c r="L18" i="9"/>
  <c r="J30" i="9"/>
  <c r="J18" i="9" s="1"/>
  <c r="AA69" i="9"/>
  <c r="AA55" i="9"/>
  <c r="AD52" i="9"/>
  <c r="AG52" i="9" s="1"/>
  <c r="AB52" i="9"/>
  <c r="AC52" i="9"/>
  <c r="AE52" i="9" s="1"/>
  <c r="AF52" i="9" s="1"/>
  <c r="AG70" i="9" l="1"/>
  <c r="J82" i="9"/>
  <c r="AG82" i="9" s="1"/>
  <c r="AG69" i="9"/>
  <c r="AG76" i="9"/>
  <c r="J67" i="9"/>
  <c r="AG67" i="9" s="1"/>
  <c r="AB91" i="9"/>
  <c r="AB89" i="9"/>
  <c r="AA90" i="9"/>
  <c r="AA89" i="9"/>
  <c r="AD88" i="9"/>
  <c r="AG88" i="9" s="1"/>
  <c r="AC88" i="9"/>
  <c r="AE88" i="9" s="1"/>
  <c r="AF88" i="9" s="1"/>
  <c r="AC87" i="9"/>
  <c r="AE87" i="9" s="1"/>
  <c r="AF87" i="9" s="1"/>
  <c r="AB88" i="9"/>
  <c r="V59" i="9" l="1"/>
  <c r="V43" i="9" s="1"/>
  <c r="T59" i="9"/>
  <c r="T43" i="9" s="1"/>
  <c r="R59" i="9"/>
  <c r="P59" i="9"/>
  <c r="P43" i="9" s="1"/>
  <c r="N59" i="9"/>
  <c r="N43" i="9" s="1"/>
  <c r="L59" i="9"/>
  <c r="L43" i="9" s="1"/>
  <c r="J59" i="9"/>
  <c r="J43" i="9" s="1"/>
  <c r="G43" i="9"/>
  <c r="AD59" i="9" l="1"/>
  <c r="AG59" i="9" s="1"/>
  <c r="R43" i="9"/>
  <c r="AD43" i="9" s="1"/>
  <c r="AG43" i="9" s="1"/>
  <c r="AB59" i="9"/>
  <c r="AA67" i="9"/>
  <c r="AD68" i="9"/>
  <c r="AG68" i="9" s="1"/>
  <c r="Z68" i="9"/>
  <c r="X68" i="9"/>
  <c r="W68" i="9"/>
  <c r="T18" i="9" l="1"/>
  <c r="R18" i="9"/>
  <c r="AD41" i="9"/>
  <c r="AG41" i="9" s="1"/>
  <c r="AD39" i="9"/>
  <c r="AG39" i="9" s="1"/>
  <c r="AD38" i="9"/>
  <c r="AG38" i="9" s="1"/>
  <c r="AD30" i="9"/>
  <c r="AG30" i="9" s="1"/>
  <c r="AC38" i="9"/>
  <c r="AE38" i="9" s="1"/>
  <c r="AF38" i="9" s="1"/>
  <c r="AC37" i="9"/>
  <c r="AE37" i="9" s="1"/>
  <c r="AF37" i="9" s="1"/>
  <c r="AC31" i="9"/>
  <c r="AE31" i="9" s="1"/>
  <c r="AF31" i="9" s="1"/>
  <c r="AC32" i="9"/>
  <c r="AE32" i="9" s="1"/>
  <c r="AF32" i="9" s="1"/>
  <c r="AC34" i="9"/>
  <c r="AE34" i="9" s="1"/>
  <c r="AF34" i="9" s="1"/>
  <c r="AC33" i="9"/>
  <c r="AE33" i="9" s="1"/>
  <c r="AF33" i="9" s="1"/>
  <c r="AC35" i="9"/>
  <c r="AE35" i="9" s="1"/>
  <c r="AF35" i="9" s="1"/>
  <c r="AC80" i="9"/>
  <c r="AE80" i="9" s="1"/>
  <c r="AF80" i="9" s="1"/>
  <c r="AC79" i="9"/>
  <c r="AE79" i="9" s="1"/>
  <c r="AF79" i="9" s="1"/>
  <c r="AD74" i="9"/>
  <c r="AG74" i="9" s="1"/>
  <c r="AC75" i="9"/>
  <c r="AE75" i="9" s="1"/>
  <c r="AF75" i="9" s="1"/>
  <c r="AD18" i="9" l="1"/>
  <c r="AG18" i="9" s="1"/>
  <c r="AC65" i="9"/>
  <c r="AE65" i="9" s="1"/>
  <c r="AF65" i="9" s="1"/>
  <c r="AB65" i="9"/>
  <c r="AA65" i="9"/>
  <c r="AE64" i="9"/>
  <c r="AF64" i="9" s="1"/>
  <c r="AC66" i="9"/>
  <c r="AE66" i="9" s="1"/>
  <c r="AF66" i="9" s="1"/>
  <c r="AD58" i="9" l="1"/>
  <c r="AG58" i="9" s="1"/>
  <c r="AD56" i="9"/>
  <c r="AG56" i="9" s="1"/>
  <c r="AB56" i="9"/>
  <c r="U56" i="9"/>
  <c r="AC56" i="9" s="1"/>
  <c r="AE56" i="9" s="1"/>
  <c r="AF56" i="9" s="1"/>
  <c r="O56" i="9"/>
  <c r="AD57" i="9"/>
  <c r="AG57" i="9" s="1"/>
  <c r="AD50" i="9"/>
  <c r="AG50" i="9" s="1"/>
  <c r="AC55" i="9"/>
  <c r="AE55" i="9" s="1"/>
  <c r="AF55" i="9" s="1"/>
  <c r="AC57" i="9"/>
  <c r="AE57" i="9" s="1"/>
  <c r="AF57" i="9" s="1"/>
  <c r="AC58" i="9"/>
  <c r="AE58" i="9" s="1"/>
  <c r="AF58" i="9" s="1"/>
  <c r="AC54" i="9"/>
  <c r="AE54" i="9" s="1"/>
  <c r="AF54" i="9" s="1"/>
  <c r="AA56" i="9" l="1"/>
  <c r="Z39" i="9"/>
  <c r="W39" i="9"/>
  <c r="X39" i="9"/>
  <c r="AB152" i="13" l="1"/>
  <c r="AA152" i="13"/>
  <c r="AB148" i="13" l="1"/>
  <c r="AA148" i="13"/>
  <c r="AB144" i="13"/>
  <c r="AA144" i="13"/>
  <c r="AB132" i="13" l="1"/>
  <c r="AA131" i="13"/>
  <c r="AB126" i="13"/>
  <c r="AA115" i="13"/>
  <c r="AA114" i="13"/>
  <c r="AA113" i="13"/>
  <c r="AA112" i="13"/>
  <c r="AA103" i="13"/>
  <c r="AA107" i="13"/>
  <c r="AA105" i="13"/>
  <c r="AB103" i="13"/>
  <c r="AA102" i="13"/>
  <c r="AA101" i="13"/>
  <c r="AB100" i="13"/>
  <c r="AB96" i="13" l="1"/>
  <c r="AA96" i="13"/>
  <c r="AB93" i="13" l="1"/>
  <c r="AA93" i="13"/>
  <c r="AB92" i="13"/>
  <c r="AB85" i="13"/>
  <c r="AA85" i="13"/>
  <c r="AB83" i="13" l="1"/>
  <c r="AA83" i="13"/>
  <c r="AB81" i="13"/>
  <c r="AA81" i="13"/>
  <c r="AB78" i="13" l="1"/>
  <c r="AA78" i="13"/>
  <c r="AB71" i="13" l="1"/>
  <c r="AA71" i="13"/>
  <c r="AB67" i="13" l="1"/>
  <c r="AA67" i="13"/>
  <c r="W68" i="13"/>
  <c r="X68" i="13"/>
  <c r="Y68" i="13"/>
  <c r="Z68" i="13"/>
  <c r="AB59" i="13" l="1"/>
  <c r="AA59" i="13"/>
  <c r="AB56" i="13"/>
  <c r="AA56" i="13"/>
  <c r="AB55" i="13"/>
  <c r="AA55" i="13"/>
  <c r="AB54" i="13"/>
  <c r="AA54" i="13"/>
  <c r="AB49" i="13" l="1"/>
  <c r="AA49" i="13"/>
  <c r="AB48" i="13"/>
  <c r="AA48" i="13"/>
  <c r="AA46" i="13"/>
  <c r="AB40" i="13" l="1"/>
  <c r="AA40" i="13"/>
  <c r="AB39" i="13"/>
  <c r="AA39" i="13"/>
  <c r="AB38" i="13"/>
  <c r="AA38" i="13"/>
  <c r="AB37" i="13"/>
  <c r="AA37" i="13"/>
  <c r="AB36" i="13"/>
  <c r="AA36" i="13"/>
  <c r="AB28" i="13" l="1"/>
  <c r="AA28" i="13"/>
  <c r="AA25" i="13"/>
  <c r="AA26" i="13"/>
  <c r="AA27" i="13"/>
  <c r="AB24" i="13"/>
  <c r="AA24" i="13"/>
  <c r="AB23" i="13" l="1"/>
  <c r="AA23" i="13"/>
  <c r="AB19" i="13" l="1"/>
  <c r="AA19" i="13"/>
  <c r="AB53" i="12" l="1"/>
  <c r="AA53" i="12"/>
  <c r="AB52" i="12"/>
  <c r="AA52" i="12"/>
  <c r="AB51" i="12"/>
  <c r="AA51" i="12"/>
  <c r="AA50" i="12"/>
  <c r="AA49" i="12"/>
  <c r="AA48" i="12"/>
  <c r="AB39" i="12" l="1"/>
  <c r="AA39" i="12"/>
  <c r="AB38" i="12"/>
  <c r="AA38" i="12"/>
  <c r="AB34" i="12" l="1"/>
  <c r="AA34" i="12"/>
  <c r="AB33" i="12"/>
  <c r="AA33" i="12"/>
  <c r="AB28" i="12" l="1"/>
  <c r="AA28" i="12"/>
  <c r="AA27" i="12"/>
  <c r="AB26" i="12"/>
  <c r="AA26" i="12"/>
  <c r="AB24" i="12"/>
  <c r="AA24" i="12"/>
  <c r="AB21" i="12" l="1"/>
  <c r="AA21" i="12"/>
  <c r="AB20" i="12"/>
  <c r="AA20" i="12"/>
  <c r="AB19" i="12"/>
  <c r="AA19" i="12"/>
  <c r="AB51" i="11" l="1"/>
  <c r="AA51" i="11"/>
  <c r="AB50" i="11"/>
  <c r="AA50" i="11"/>
  <c r="AB49" i="11"/>
  <c r="AA49" i="11"/>
  <c r="AA48" i="11"/>
  <c r="AB47" i="11"/>
  <c r="AA47" i="11"/>
  <c r="AB39" i="11" l="1"/>
  <c r="AA39" i="11"/>
  <c r="AB38" i="11"/>
  <c r="AB37" i="11"/>
  <c r="AB27" i="11" l="1"/>
  <c r="AA27" i="11"/>
  <c r="AB25" i="11"/>
  <c r="AB127" i="10"/>
  <c r="AA125" i="10"/>
  <c r="AB125" i="10"/>
  <c r="AB126" i="10"/>
  <c r="AB124" i="10"/>
  <c r="AB121" i="10" l="1"/>
  <c r="AA121" i="10"/>
  <c r="AB120" i="10"/>
  <c r="AA120" i="10"/>
  <c r="AB119" i="10"/>
  <c r="AA119" i="10"/>
  <c r="AA111" i="10" l="1"/>
  <c r="AA114" i="10" l="1"/>
  <c r="AB113" i="10"/>
  <c r="AA113" i="10"/>
  <c r="AA107" i="10"/>
  <c r="AB106" i="10"/>
  <c r="AA106" i="10"/>
  <c r="AB102" i="10" l="1"/>
  <c r="AA102" i="10"/>
  <c r="AB101" i="10"/>
  <c r="AA101" i="10"/>
  <c r="AB95" i="10"/>
  <c r="AA94" i="10"/>
  <c r="AB93" i="10"/>
  <c r="AA93" i="10"/>
  <c r="AA92" i="10"/>
  <c r="AA91" i="10"/>
  <c r="AA90" i="10"/>
  <c r="AB89" i="10"/>
  <c r="AA89" i="10"/>
  <c r="AB88" i="10"/>
  <c r="AA88" i="10"/>
  <c r="AB83" i="10" l="1"/>
  <c r="AA83" i="10"/>
  <c r="AB82" i="10"/>
  <c r="AA82" i="10"/>
  <c r="AB81" i="10"/>
  <c r="AA81" i="10"/>
  <c r="AB80" i="10"/>
  <c r="AA80" i="10"/>
  <c r="AA77" i="10"/>
  <c r="AA78" i="10"/>
  <c r="AB77" i="10"/>
  <c r="AA56" i="10" l="1"/>
  <c r="AA51" i="10" l="1"/>
  <c r="AB57" i="10"/>
  <c r="AA57" i="10"/>
  <c r="AB56" i="10"/>
  <c r="AB53" i="10"/>
  <c r="AA53" i="10"/>
  <c r="AB52" i="10"/>
  <c r="AA52" i="10"/>
  <c r="AB51" i="10"/>
  <c r="AB50" i="10"/>
  <c r="AA50" i="10"/>
  <c r="AB43" i="10" l="1"/>
  <c r="AA43" i="10"/>
  <c r="AB42" i="10"/>
  <c r="AA42" i="10"/>
  <c r="AA37" i="10"/>
  <c r="AB37" i="10" l="1"/>
  <c r="AB35" i="10"/>
  <c r="AA35" i="10"/>
  <c r="AB36" i="10"/>
  <c r="AA36" i="10"/>
  <c r="O21" i="10"/>
  <c r="AB113" i="9" l="1"/>
  <c r="AB112" i="9"/>
  <c r="AB58" i="9" l="1"/>
  <c r="AA58" i="9"/>
  <c r="AB57" i="9"/>
  <c r="AA57" i="9"/>
  <c r="AA113" i="9" l="1"/>
  <c r="AA112" i="9"/>
  <c r="AA88" i="9" l="1"/>
  <c r="AA64" i="9" l="1"/>
  <c r="AB64" i="9"/>
  <c r="AA66" i="9"/>
  <c r="AD48" i="9"/>
  <c r="AG48" i="9" s="1"/>
  <c r="AA54" i="9"/>
  <c r="AA35" i="9"/>
  <c r="AA37" i="9"/>
  <c r="AA32" i="9"/>
  <c r="AA34" i="9"/>
  <c r="AA33" i="9"/>
  <c r="W23" i="9"/>
  <c r="P18" i="9"/>
  <c r="AB18" i="9" s="1"/>
  <c r="AA21" i="9"/>
  <c r="AA18" i="9"/>
  <c r="Y109" i="10" l="1"/>
  <c r="V86" i="13" l="1"/>
  <c r="P97" i="13"/>
  <c r="P86" i="13"/>
  <c r="AA30" i="12"/>
  <c r="AA16" i="12"/>
  <c r="V40" i="12"/>
  <c r="AA41" i="12"/>
  <c r="V29" i="12"/>
  <c r="P29" i="12"/>
  <c r="AA16" i="11"/>
  <c r="AA17" i="11"/>
  <c r="AA38" i="10"/>
  <c r="AA30" i="10"/>
  <c r="AA22" i="10"/>
  <c r="V58" i="10"/>
  <c r="V21" i="10"/>
  <c r="P58" i="10"/>
  <c r="AA21" i="10"/>
  <c r="AA93" i="9"/>
  <c r="AA17" i="9"/>
  <c r="AA52" i="11" l="1"/>
  <c r="AA156" i="13"/>
  <c r="AA157" i="13" s="1"/>
  <c r="P16" i="13"/>
  <c r="V16" i="13"/>
  <c r="V16" i="11"/>
  <c r="AB97" i="13"/>
  <c r="AB153" i="13"/>
  <c r="AB17" i="13"/>
  <c r="AB86" i="13"/>
  <c r="AB138" i="13"/>
  <c r="AB149" i="13"/>
  <c r="AB41" i="12"/>
  <c r="AB40" i="12"/>
  <c r="AB16" i="12"/>
  <c r="AB30" i="12"/>
  <c r="AB35" i="12"/>
  <c r="AB32" i="11"/>
  <c r="AB44" i="11"/>
  <c r="AB28" i="11"/>
  <c r="P30" i="10"/>
  <c r="AB45" i="10"/>
  <c r="AB58" i="10"/>
  <c r="AB21" i="10"/>
  <c r="AB108" i="10"/>
  <c r="AB38" i="10"/>
  <c r="AB115" i="10"/>
  <c r="AB15" i="12"/>
  <c r="AB17" i="11"/>
  <c r="AB31" i="10"/>
  <c r="V30" i="10"/>
  <c r="AB22" i="10"/>
  <c r="AA129" i="10"/>
  <c r="V17" i="9"/>
  <c r="U71" i="9"/>
  <c r="AB67" i="9"/>
  <c r="AA71" i="9" l="1"/>
  <c r="AA122" i="9" s="1"/>
  <c r="AC71" i="9"/>
  <c r="AE71" i="9" s="1"/>
  <c r="AF71" i="9" s="1"/>
  <c r="AB16" i="13"/>
  <c r="AB30" i="10"/>
  <c r="AB16" i="11"/>
  <c r="AA55" i="12"/>
  <c r="AA53" i="11"/>
  <c r="P17" i="9"/>
  <c r="AB17" i="9" s="1"/>
  <c r="AB71" i="9"/>
  <c r="AB82" i="9"/>
  <c r="AB93" i="9"/>
  <c r="AB114" i="9"/>
  <c r="Z154" i="13"/>
  <c r="AB43" i="9" l="1"/>
  <c r="AA123" i="9"/>
  <c r="W108" i="13"/>
  <c r="Y80" i="13" l="1"/>
  <c r="S46" i="12" l="1"/>
  <c r="S45" i="12"/>
  <c r="Y45" i="12" s="1"/>
  <c r="W45" i="12"/>
  <c r="K40" i="12"/>
  <c r="M40" i="12"/>
  <c r="Z23" i="12" l="1"/>
  <c r="Y23" i="10" l="1"/>
  <c r="Y30" i="10"/>
  <c r="W18" i="13" l="1"/>
  <c r="Y18" i="13"/>
  <c r="Z18" i="13"/>
  <c r="S41" i="12" l="1"/>
  <c r="S40" i="12" s="1"/>
  <c r="Q41" i="12"/>
  <c r="Q40" i="12" s="1"/>
  <c r="Y16" i="13" l="1"/>
  <c r="Y58" i="10"/>
  <c r="Y45" i="10"/>
  <c r="W58" i="10"/>
  <c r="W45" i="10"/>
  <c r="Y38" i="10"/>
  <c r="W38" i="10"/>
  <c r="W31" i="10"/>
  <c r="W23" i="10"/>
  <c r="Y93" i="9"/>
  <c r="W93" i="9"/>
  <c r="W94" i="9"/>
  <c r="S68" i="9" l="1"/>
  <c r="Y68" i="9" l="1"/>
  <c r="AC68" i="9"/>
  <c r="AE68" i="9" s="1"/>
  <c r="AF68" i="9" s="1"/>
  <c r="S25" i="9" l="1"/>
  <c r="AC25" i="9" s="1"/>
  <c r="AE25" i="9" s="1"/>
  <c r="AF25" i="9" s="1"/>
  <c r="Q25" i="9"/>
  <c r="W25" i="9" s="1"/>
  <c r="E25" i="9"/>
  <c r="Y25" i="9" l="1"/>
  <c r="S32" i="11" l="1"/>
  <c r="AC33" i="11"/>
  <c r="AE33" i="11" s="1"/>
  <c r="AF33" i="11" s="1"/>
  <c r="Y32" i="11" l="1"/>
  <c r="S29" i="11"/>
  <c r="Q29" i="11"/>
  <c r="Z75" i="10" l="1"/>
  <c r="Z72" i="9" l="1"/>
  <c r="Y67" i="9" l="1"/>
  <c r="Y108" i="10" l="1"/>
  <c r="Y123" i="10" l="1"/>
  <c r="W123" i="10"/>
  <c r="W108" i="10" l="1"/>
  <c r="Z116" i="9" l="1"/>
  <c r="Z111" i="9" l="1"/>
  <c r="X111" i="9"/>
  <c r="W111" i="9"/>
  <c r="Z106" i="9"/>
  <c r="Y96" i="9"/>
  <c r="Z96" i="9"/>
  <c r="Z95" i="9"/>
  <c r="Z94" i="9"/>
  <c r="Z46" i="9" l="1"/>
  <c r="Y45" i="9"/>
  <c r="W45" i="9"/>
  <c r="W67" i="9" l="1"/>
  <c r="Z22" i="9" l="1"/>
  <c r="X22" i="9"/>
  <c r="Q32" i="11"/>
  <c r="W32" i="11" s="1"/>
  <c r="W119" i="13" l="1"/>
  <c r="Y119" i="13"/>
  <c r="S111" i="9" l="1"/>
  <c r="Y34" i="11"/>
  <c r="Y111" i="9" l="1"/>
  <c r="AC111" i="9"/>
  <c r="AE111" i="9" s="1"/>
  <c r="AF111" i="9" s="1"/>
  <c r="S17" i="11"/>
  <c r="S28" i="11"/>
  <c r="Q28" i="11"/>
  <c r="Y20" i="11"/>
  <c r="Z18" i="11"/>
  <c r="Y18" i="11"/>
  <c r="Q17" i="11"/>
  <c r="Y17" i="11" l="1"/>
  <c r="Y28" i="11"/>
  <c r="S21" i="9"/>
  <c r="Q138" i="13" l="1"/>
  <c r="S138" i="13"/>
  <c r="N153" i="13" l="1"/>
  <c r="S150" i="13" l="1"/>
  <c r="Q150" i="13"/>
  <c r="Q149" i="13"/>
  <c r="S149" i="13"/>
  <c r="M138" i="13" l="1"/>
  <c r="Y138" i="13" s="1"/>
  <c r="S124" i="13" l="1"/>
  <c r="S122" i="13"/>
  <c r="S121" i="13"/>
  <c r="S120" i="13"/>
  <c r="Q72" i="13" l="1"/>
  <c r="S72" i="13"/>
  <c r="AC72" i="13" l="1"/>
  <c r="AE72" i="13" s="1"/>
  <c r="AF72" i="13" s="1"/>
  <c r="S62" i="13"/>
  <c r="S58" i="13"/>
  <c r="S50" i="13" l="1"/>
  <c r="S114" i="9" l="1"/>
  <c r="Y114" i="9" s="1"/>
  <c r="S36" i="12" l="1"/>
  <c r="AC36" i="12" s="1"/>
  <c r="AE36" i="12" s="1"/>
  <c r="AF36" i="12" s="1"/>
  <c r="Q36" i="12"/>
  <c r="S32" i="12"/>
  <c r="AC32" i="12" s="1"/>
  <c r="AE32" i="12" s="1"/>
  <c r="AF32" i="12" s="1"/>
  <c r="Q32" i="12"/>
  <c r="Q31" i="12"/>
  <c r="S31" i="12"/>
  <c r="AC31" i="12" s="1"/>
  <c r="AE31" i="12" s="1"/>
  <c r="AF31" i="12" s="1"/>
  <c r="S18" i="12" l="1"/>
  <c r="Q18" i="12"/>
  <c r="S17" i="12"/>
  <c r="Q17" i="12"/>
  <c r="Y17" i="12" l="1"/>
  <c r="AC17" i="12"/>
  <c r="AE17" i="12" s="1"/>
  <c r="AF17" i="12" s="1"/>
  <c r="Y18" i="12"/>
  <c r="AC18" i="12"/>
  <c r="AE18" i="12" s="1"/>
  <c r="AF18" i="12" s="1"/>
  <c r="Q35" i="12"/>
  <c r="W35" i="12" s="1"/>
  <c r="S35" i="12"/>
  <c r="Y35" i="12" s="1"/>
  <c r="S46" i="11"/>
  <c r="Q46" i="11"/>
  <c r="Y45" i="11"/>
  <c r="S44" i="11"/>
  <c r="Q44" i="11"/>
  <c r="Q16" i="11" s="1"/>
  <c r="K44" i="11"/>
  <c r="M44" i="11"/>
  <c r="S41" i="11"/>
  <c r="S40" i="11" s="1"/>
  <c r="S16" i="11" s="1"/>
  <c r="S42" i="11"/>
  <c r="Y44" i="11" l="1"/>
  <c r="Q23" i="11"/>
  <c r="Q22" i="11"/>
  <c r="Q24" i="11"/>
  <c r="W24" i="11" s="1"/>
  <c r="S24" i="11"/>
  <c r="AC24" i="11" s="1"/>
  <c r="AE24" i="11" s="1"/>
  <c r="AF24" i="11" s="1"/>
  <c r="S23" i="11"/>
  <c r="S22" i="11"/>
  <c r="Y22" i="11" s="1"/>
  <c r="Y117" i="10" l="1"/>
  <c r="T115" i="10" l="1"/>
  <c r="Y104" i="10" l="1"/>
  <c r="S100" i="10" l="1"/>
  <c r="T96" i="10"/>
  <c r="N96" i="10"/>
  <c r="S99" i="10"/>
  <c r="AC99" i="10" s="1"/>
  <c r="AE99" i="10" s="1"/>
  <c r="AF99" i="10" s="1"/>
  <c r="S98" i="10"/>
  <c r="AC98" i="10" s="1"/>
  <c r="AE98" i="10" s="1"/>
  <c r="AF98" i="10" s="1"/>
  <c r="S97" i="10"/>
  <c r="AC97" i="10" s="1"/>
  <c r="AE97" i="10" s="1"/>
  <c r="AF97" i="10" s="1"/>
  <c r="AC86" i="10" l="1"/>
  <c r="AE86" i="10" s="1"/>
  <c r="AF86" i="10" s="1"/>
  <c r="Y47" i="10" l="1"/>
  <c r="S41" i="10" l="1"/>
  <c r="Y41" i="10" s="1"/>
  <c r="S40" i="10"/>
  <c r="S39" i="10"/>
  <c r="AC39" i="10" s="1"/>
  <c r="AE39" i="10" s="1"/>
  <c r="AF39" i="10" s="1"/>
  <c r="S33" i="10"/>
  <c r="AC33" i="10" s="1"/>
  <c r="AE33" i="10" s="1"/>
  <c r="AF33" i="10" s="1"/>
  <c r="S32" i="10"/>
  <c r="AC32" i="10" s="1"/>
  <c r="AE32" i="10" s="1"/>
  <c r="AF32" i="10" s="1"/>
  <c r="Y40" i="10" l="1"/>
  <c r="AC40" i="10"/>
  <c r="AE40" i="10" s="1"/>
  <c r="AF40" i="10" s="1"/>
  <c r="S25" i="10"/>
  <c r="AC25" i="10" s="1"/>
  <c r="AE25" i="10" s="1"/>
  <c r="AF25" i="10" s="1"/>
  <c r="S24" i="10"/>
  <c r="Y24" i="10" l="1"/>
  <c r="AC24" i="10"/>
  <c r="AE24" i="10" s="1"/>
  <c r="AF24" i="10" s="1"/>
  <c r="S117" i="9"/>
  <c r="AC117" i="9" s="1"/>
  <c r="AE117" i="9" s="1"/>
  <c r="AF117" i="9" s="1"/>
  <c r="S116" i="9"/>
  <c r="AC116" i="9" s="1"/>
  <c r="AE116" i="9" s="1"/>
  <c r="AF116" i="9" s="1"/>
  <c r="S46" i="9" l="1"/>
  <c r="AC46" i="9" s="1"/>
  <c r="AE46" i="9" s="1"/>
  <c r="AF46" i="9" s="1"/>
  <c r="S106" i="9"/>
  <c r="AC106" i="9" s="1"/>
  <c r="AE106" i="9" s="1"/>
  <c r="AF106" i="9" s="1"/>
  <c r="S115" i="9" l="1"/>
  <c r="AC115" i="9" s="1"/>
  <c r="AE115" i="9" s="1"/>
  <c r="AF115" i="9" s="1"/>
  <c r="S107" i="9" l="1"/>
  <c r="AC107" i="9" s="1"/>
  <c r="AE107" i="9" s="1"/>
  <c r="AF107" i="9" s="1"/>
  <c r="Q106" i="9"/>
  <c r="S94" i="9" l="1"/>
  <c r="AC94" i="9" s="1"/>
  <c r="AE94" i="9" s="1"/>
  <c r="AF94" i="9" s="1"/>
  <c r="Y86" i="9" l="1"/>
  <c r="Y82" i="9"/>
  <c r="S72" i="9" l="1"/>
  <c r="Q72" i="9"/>
  <c r="M72" i="9"/>
  <c r="K72" i="9"/>
  <c r="S71" i="9" l="1"/>
  <c r="Q71" i="9"/>
  <c r="M71" i="9"/>
  <c r="K71" i="9"/>
  <c r="S63" i="9" l="1"/>
  <c r="AC63" i="9" s="1"/>
  <c r="AE63" i="9" s="1"/>
  <c r="AF63" i="9" s="1"/>
  <c r="M62" i="9"/>
  <c r="K62" i="9"/>
  <c r="S62" i="9"/>
  <c r="AC62" i="9" s="1"/>
  <c r="AE62" i="9" s="1"/>
  <c r="AF62" i="9" s="1"/>
  <c r="Q62" i="9"/>
  <c r="S61" i="9"/>
  <c r="S60" i="9"/>
  <c r="AC60" i="9" s="1"/>
  <c r="AE60" i="9" s="1"/>
  <c r="AF60" i="9" s="1"/>
  <c r="S47" i="9" l="1"/>
  <c r="AC47" i="9" s="1"/>
  <c r="AE47" i="9" s="1"/>
  <c r="AF47" i="9" s="1"/>
  <c r="S39" i="9" l="1"/>
  <c r="AC39" i="9" l="1"/>
  <c r="AE39" i="9" s="1"/>
  <c r="AF39" i="9" s="1"/>
  <c r="Y39" i="9"/>
  <c r="S103" i="10"/>
  <c r="Y103" i="10" s="1"/>
  <c r="Q103" i="10"/>
  <c r="W103" i="10" l="1"/>
  <c r="X106" i="9"/>
  <c r="X44" i="9" l="1"/>
  <c r="W44" i="9"/>
  <c r="AC83" i="9" l="1"/>
  <c r="AE83" i="9" s="1"/>
  <c r="AF83" i="9" s="1"/>
  <c r="Q61" i="9" l="1"/>
  <c r="Q60" i="9"/>
  <c r="Q51" i="9" l="1"/>
  <c r="Q50" i="9"/>
  <c r="Q47" i="9"/>
  <c r="Q46" i="9"/>
  <c r="S22" i="9" l="1"/>
  <c r="Q22" i="9"/>
  <c r="Y22" i="9" l="1"/>
  <c r="AC22" i="9"/>
  <c r="AE22" i="9" s="1"/>
  <c r="AF22" i="9" s="1"/>
  <c r="AD154" i="13"/>
  <c r="AG154" i="13" s="1"/>
  <c r="AC154" i="13"/>
  <c r="AE154" i="13" s="1"/>
  <c r="AF154" i="13" s="1"/>
  <c r="Y154" i="13"/>
  <c r="AD150" i="13"/>
  <c r="AG150" i="13" s="1"/>
  <c r="AD143" i="13"/>
  <c r="AG143" i="13" s="1"/>
  <c r="AD141" i="13"/>
  <c r="AG141" i="13" s="1"/>
  <c r="AC149" i="13"/>
  <c r="AE149" i="13" s="1"/>
  <c r="AF149" i="13" s="1"/>
  <c r="AC150" i="13"/>
  <c r="AE150" i="13" s="1"/>
  <c r="AF150" i="13" s="1"/>
  <c r="AC140" i="13"/>
  <c r="AE140" i="13" s="1"/>
  <c r="AF140" i="13" s="1"/>
  <c r="AC141" i="13"/>
  <c r="AE141" i="13" s="1"/>
  <c r="AF141" i="13" s="1"/>
  <c r="AD139" i="13"/>
  <c r="AG139" i="13" s="1"/>
  <c r="AC139" i="13"/>
  <c r="AE139" i="13" s="1"/>
  <c r="AF139" i="13" s="1"/>
  <c r="AD135" i="13"/>
  <c r="AG135" i="13" s="1"/>
  <c r="AE135" i="13"/>
  <c r="AF135" i="13" s="1"/>
  <c r="AC125" i="13"/>
  <c r="AE125" i="13" s="1"/>
  <c r="AF125" i="13" s="1"/>
  <c r="AD124" i="13"/>
  <c r="AG124" i="13" s="1"/>
  <c r="AC124" i="13"/>
  <c r="AE124" i="13" s="1"/>
  <c r="AF124" i="13" s="1"/>
  <c r="AD123" i="13"/>
  <c r="AG123" i="13" s="1"/>
  <c r="AC123" i="13"/>
  <c r="AE123" i="13" s="1"/>
  <c r="AF123" i="13" s="1"/>
  <c r="AC121" i="13"/>
  <c r="AE121" i="13" s="1"/>
  <c r="AF121" i="13" s="1"/>
  <c r="AC122" i="13"/>
  <c r="AE122" i="13" s="1"/>
  <c r="AF122" i="13" s="1"/>
  <c r="AD120" i="13"/>
  <c r="AG120" i="13" s="1"/>
  <c r="AC120" i="13"/>
  <c r="AE120" i="13" s="1"/>
  <c r="AF120" i="13" s="1"/>
  <c r="AE119" i="13"/>
  <c r="AF119" i="13" s="1"/>
  <c r="AC117" i="13"/>
  <c r="AE117" i="13" s="1"/>
  <c r="AF117" i="13" s="1"/>
  <c r="AC109" i="13"/>
  <c r="AE109" i="13" s="1"/>
  <c r="AF109" i="13" s="1"/>
  <c r="AC110" i="13"/>
  <c r="AE110" i="13" s="1"/>
  <c r="AF110" i="13" s="1"/>
  <c r="AC111" i="13"/>
  <c r="AE111" i="13" s="1"/>
  <c r="AF111" i="13" s="1"/>
  <c r="AD99" i="13"/>
  <c r="AG99" i="13" s="1"/>
  <c r="AC99" i="13"/>
  <c r="AE99" i="13" s="1"/>
  <c r="AF99" i="13" s="1"/>
  <c r="AD98" i="13"/>
  <c r="AG98" i="13" s="1"/>
  <c r="AC98" i="13"/>
  <c r="AE98" i="13" s="1"/>
  <c r="AF98" i="13" s="1"/>
  <c r="AC97" i="13"/>
  <c r="AD95" i="13"/>
  <c r="AG95" i="13" s="1"/>
  <c r="AD91" i="13"/>
  <c r="AG91" i="13" s="1"/>
  <c r="AC91" i="13"/>
  <c r="AE91" i="13" s="1"/>
  <c r="AF91" i="13" s="1"/>
  <c r="AD90" i="13"/>
  <c r="AG90" i="13" s="1"/>
  <c r="AC90" i="13"/>
  <c r="AE90" i="13" s="1"/>
  <c r="AF90" i="13" s="1"/>
  <c r="AD89" i="13"/>
  <c r="AG89" i="13" s="1"/>
  <c r="AC89" i="13"/>
  <c r="AE89" i="13" s="1"/>
  <c r="AF89" i="13" s="1"/>
  <c r="AD88" i="13"/>
  <c r="AG88" i="13" s="1"/>
  <c r="AC88" i="13"/>
  <c r="AE88" i="13" s="1"/>
  <c r="AF88" i="13" s="1"/>
  <c r="AD87" i="13"/>
  <c r="AG87" i="13" s="1"/>
  <c r="AC87" i="13"/>
  <c r="AE87" i="13" s="1"/>
  <c r="AF87" i="13" s="1"/>
  <c r="AC86" i="13"/>
  <c r="AE86" i="13" s="1"/>
  <c r="AF86" i="13" s="1"/>
  <c r="AD82" i="13"/>
  <c r="AG82" i="13" s="1"/>
  <c r="AC80" i="13"/>
  <c r="AE80" i="13" s="1"/>
  <c r="AF80" i="13" s="1"/>
  <c r="AD79" i="13"/>
  <c r="AG79" i="13" s="1"/>
  <c r="AC79" i="13"/>
  <c r="AE79" i="13" s="1"/>
  <c r="AF79" i="13" s="1"/>
  <c r="AD77" i="13"/>
  <c r="AG77" i="13" s="1"/>
  <c r="AC77" i="13"/>
  <c r="AE77" i="13" s="1"/>
  <c r="AF77" i="13" s="1"/>
  <c r="AC75" i="13"/>
  <c r="AE75" i="13" s="1"/>
  <c r="AF75" i="13" s="1"/>
  <c r="AD75" i="13"/>
  <c r="AG75" i="13" s="1"/>
  <c r="AC73" i="13"/>
  <c r="AE73" i="13" s="1"/>
  <c r="AF73" i="13" s="1"/>
  <c r="AD72" i="13"/>
  <c r="AG72" i="13" s="1"/>
  <c r="AD70" i="13"/>
  <c r="AG70" i="13" s="1"/>
  <c r="AC70" i="13"/>
  <c r="AE70" i="13" s="1"/>
  <c r="AF70" i="13" s="1"/>
  <c r="AD69" i="13"/>
  <c r="AG69" i="13" s="1"/>
  <c r="AC69" i="13"/>
  <c r="AE69" i="13" s="1"/>
  <c r="AF69" i="13" s="1"/>
  <c r="AD68" i="13"/>
  <c r="AG68" i="13" s="1"/>
  <c r="AC68" i="13"/>
  <c r="AE68" i="13" s="1"/>
  <c r="AF68" i="13" s="1"/>
  <c r="AD62" i="13"/>
  <c r="AG62" i="13" s="1"/>
  <c r="AC62" i="13"/>
  <c r="AE62" i="13" s="1"/>
  <c r="AF62" i="13" s="1"/>
  <c r="AD61" i="13"/>
  <c r="AG61" i="13" s="1"/>
  <c r="AC61" i="13"/>
  <c r="AE61" i="13" s="1"/>
  <c r="AF61" i="13" s="1"/>
  <c r="AD60" i="13"/>
  <c r="AG60" i="13" s="1"/>
  <c r="AC60" i="13"/>
  <c r="AE60" i="13" s="1"/>
  <c r="AF60" i="13" s="1"/>
  <c r="AC58" i="13"/>
  <c r="AE58" i="13" s="1"/>
  <c r="AF58" i="13" s="1"/>
  <c r="AD57" i="13"/>
  <c r="AG57" i="13" s="1"/>
  <c r="AC57" i="13"/>
  <c r="AE57" i="13" s="1"/>
  <c r="AF57" i="13" s="1"/>
  <c r="AD53" i="13"/>
  <c r="AG53" i="13" s="1"/>
  <c r="AC53" i="13"/>
  <c r="AE53" i="13" s="1"/>
  <c r="AF53" i="13" s="1"/>
  <c r="AD52" i="13"/>
  <c r="AG52" i="13" s="1"/>
  <c r="AC52" i="13"/>
  <c r="AE52" i="13" s="1"/>
  <c r="AF52" i="13" s="1"/>
  <c r="AD51" i="13"/>
  <c r="AG51" i="13" s="1"/>
  <c r="AC51" i="13"/>
  <c r="AE51" i="13" s="1"/>
  <c r="AF51" i="13" s="1"/>
  <c r="AD50" i="13"/>
  <c r="AG50" i="13" s="1"/>
  <c r="AC50" i="13"/>
  <c r="AE50" i="13" s="1"/>
  <c r="AF50" i="13" s="1"/>
  <c r="AD45" i="13"/>
  <c r="AG45" i="13" s="1"/>
  <c r="AC45" i="13"/>
  <c r="AE45" i="13" s="1"/>
  <c r="AF45" i="13" s="1"/>
  <c r="AD42" i="13"/>
  <c r="AG42" i="13" s="1"/>
  <c r="AC42" i="13"/>
  <c r="AE42" i="13" s="1"/>
  <c r="AF42" i="13" s="1"/>
  <c r="AD35" i="13"/>
  <c r="AG35" i="13" s="1"/>
  <c r="AC35" i="13"/>
  <c r="AE35" i="13" s="1"/>
  <c r="AF35" i="13" s="1"/>
  <c r="AD34" i="13"/>
  <c r="AG34" i="13" s="1"/>
  <c r="AC34" i="13"/>
  <c r="AE34" i="13" s="1"/>
  <c r="AF34" i="13" s="1"/>
  <c r="AD32" i="13"/>
  <c r="AG32" i="13" s="1"/>
  <c r="AC32" i="13"/>
  <c r="AE32" i="13" s="1"/>
  <c r="AF32" i="13" s="1"/>
  <c r="AD31" i="13"/>
  <c r="AG31" i="13" s="1"/>
  <c r="AC31" i="13"/>
  <c r="AE31" i="13" s="1"/>
  <c r="AF31" i="13" s="1"/>
  <c r="AC30" i="13"/>
  <c r="AE30" i="13" s="1"/>
  <c r="AF30" i="13" s="1"/>
  <c r="AD29" i="13"/>
  <c r="AG29" i="13" s="1"/>
  <c r="AC29" i="13"/>
  <c r="AE29" i="13" s="1"/>
  <c r="AF29" i="13" s="1"/>
  <c r="AC22" i="13"/>
  <c r="AE22" i="13" s="1"/>
  <c r="AF22" i="13" s="1"/>
  <c r="AD21" i="13"/>
  <c r="AG21" i="13" s="1"/>
  <c r="AC21" i="13"/>
  <c r="AE21" i="13" s="1"/>
  <c r="AF21" i="13" s="1"/>
  <c r="AC18" i="13"/>
  <c r="AE18" i="13" s="1"/>
  <c r="AF18" i="13" s="1"/>
  <c r="AD18" i="13"/>
  <c r="AG18" i="13" s="1"/>
  <c r="AC46" i="12"/>
  <c r="AE46" i="12" s="1"/>
  <c r="AF46" i="12" s="1"/>
  <c r="AC47" i="12"/>
  <c r="AE47" i="12" s="1"/>
  <c r="AF47" i="12" s="1"/>
  <c r="AD45" i="12"/>
  <c r="AG45" i="12" s="1"/>
  <c r="AC45" i="12"/>
  <c r="AE45" i="12" s="1"/>
  <c r="AF45" i="12" s="1"/>
  <c r="AC44" i="12"/>
  <c r="AE44" i="12" s="1"/>
  <c r="AF44" i="12" s="1"/>
  <c r="AC43" i="12"/>
  <c r="AE43" i="12" s="1"/>
  <c r="AF43" i="12" s="1"/>
  <c r="AD42" i="12"/>
  <c r="AG42" i="12" s="1"/>
  <c r="AC42" i="12"/>
  <c r="AE42" i="12" s="1"/>
  <c r="AF42" i="12" s="1"/>
  <c r="AD37" i="12"/>
  <c r="AG37" i="12" s="1"/>
  <c r="AD36" i="12"/>
  <c r="AG36" i="12" s="1"/>
  <c r="AD32" i="12"/>
  <c r="AG32" i="12" s="1"/>
  <c r="Y32" i="12"/>
  <c r="AD31" i="12"/>
  <c r="AG31" i="12" s="1"/>
  <c r="AD23" i="12"/>
  <c r="AG23" i="12" s="1"/>
  <c r="AD22" i="12"/>
  <c r="AG22" i="12" s="1"/>
  <c r="AD18" i="12"/>
  <c r="AG18" i="12" s="1"/>
  <c r="AD17" i="12"/>
  <c r="AG17" i="12" s="1"/>
  <c r="AD46" i="11"/>
  <c r="AG46" i="11" s="1"/>
  <c r="AC46" i="11"/>
  <c r="AE46" i="11" s="1"/>
  <c r="AF46" i="11" s="1"/>
  <c r="AD45" i="11"/>
  <c r="AG45" i="11" s="1"/>
  <c r="AC45" i="11"/>
  <c r="AE45" i="11" s="1"/>
  <c r="AF45" i="11" s="1"/>
  <c r="AD42" i="11"/>
  <c r="AG42" i="11" s="1"/>
  <c r="AC42" i="11"/>
  <c r="AE42" i="11" s="1"/>
  <c r="AF42" i="11" s="1"/>
  <c r="AD41" i="11"/>
  <c r="AG41" i="11" s="1"/>
  <c r="AC41" i="11"/>
  <c r="AE41" i="11" s="1"/>
  <c r="AF41" i="11" s="1"/>
  <c r="AC36" i="11"/>
  <c r="AE36" i="11" s="1"/>
  <c r="AF36" i="11" s="1"/>
  <c r="AD36" i="11"/>
  <c r="AG36" i="11" s="1"/>
  <c r="AC35" i="11"/>
  <c r="AE35" i="11" s="1"/>
  <c r="AF35" i="11" s="1"/>
  <c r="AD34" i="11"/>
  <c r="AG34" i="11" s="1"/>
  <c r="AC34" i="11"/>
  <c r="AE34" i="11" s="1"/>
  <c r="AF34" i="11" s="1"/>
  <c r="AD33" i="11"/>
  <c r="AG33" i="11" s="1"/>
  <c r="AD30" i="11"/>
  <c r="AG30" i="11" s="1"/>
  <c r="AC30" i="11"/>
  <c r="AE30" i="11" s="1"/>
  <c r="AF30" i="11" s="1"/>
  <c r="AD29" i="11"/>
  <c r="AG29" i="11" s="1"/>
  <c r="AC29" i="11"/>
  <c r="AE29" i="11" s="1"/>
  <c r="AF29" i="11" s="1"/>
  <c r="AD22" i="11"/>
  <c r="AG22" i="11" s="1"/>
  <c r="AC23" i="11"/>
  <c r="AE23" i="11" s="1"/>
  <c r="AF23" i="11" s="1"/>
  <c r="AC22" i="11"/>
  <c r="AE22" i="11" s="1"/>
  <c r="AF22" i="11" s="1"/>
  <c r="AC20" i="11"/>
  <c r="AE20" i="11" s="1"/>
  <c r="AF20" i="11" s="1"/>
  <c r="AD20" i="11"/>
  <c r="AG20" i="11" s="1"/>
  <c r="AC19" i="11"/>
  <c r="AE19" i="11" s="1"/>
  <c r="AF19" i="11" s="1"/>
  <c r="AD19" i="11"/>
  <c r="AG19" i="11" s="1"/>
  <c r="AD18" i="11"/>
  <c r="AG18" i="11" s="1"/>
  <c r="AC18" i="11"/>
  <c r="AE18" i="11" s="1"/>
  <c r="AF18" i="11" s="1"/>
  <c r="Y16" i="11"/>
  <c r="AD123" i="10"/>
  <c r="AG123" i="10" s="1"/>
  <c r="Z123" i="10"/>
  <c r="AC123" i="10"/>
  <c r="AE123" i="10" s="1"/>
  <c r="AF123" i="10" s="1"/>
  <c r="AD118" i="10" l="1"/>
  <c r="AG118" i="10" s="1"/>
  <c r="AD117" i="10"/>
  <c r="AG117" i="10" s="1"/>
  <c r="AD116" i="10" l="1"/>
  <c r="AG116" i="10" s="1"/>
  <c r="AC110" i="10"/>
  <c r="AE110" i="10" s="1"/>
  <c r="AF110" i="10" s="1"/>
  <c r="AD110" i="10"/>
  <c r="AG110" i="10" s="1"/>
  <c r="AD109" i="10"/>
  <c r="AG109" i="10" s="1"/>
  <c r="AD105" i="10"/>
  <c r="AG105" i="10" s="1"/>
  <c r="AD104" i="10"/>
  <c r="AG104" i="10" s="1"/>
  <c r="AC100" i="10"/>
  <c r="AE100" i="10" s="1"/>
  <c r="AF100" i="10" s="1"/>
  <c r="AD100" i="10"/>
  <c r="AG100" i="10" s="1"/>
  <c r="AD97" i="10"/>
  <c r="AG97" i="10" s="1"/>
  <c r="AC87" i="10"/>
  <c r="AE87" i="10" s="1"/>
  <c r="AF87" i="10" s="1"/>
  <c r="AD87" i="10"/>
  <c r="AG87" i="10" s="1"/>
  <c r="AD86" i="10"/>
  <c r="AG86" i="10" s="1"/>
  <c r="AC85" i="10"/>
  <c r="AE85" i="10" s="1"/>
  <c r="AF85" i="10" s="1"/>
  <c r="AD85" i="10"/>
  <c r="AG85" i="10" s="1"/>
  <c r="AC84" i="10"/>
  <c r="AE84" i="10" s="1"/>
  <c r="AF84" i="10" s="1"/>
  <c r="AD84" i="10"/>
  <c r="AG84" i="10" s="1"/>
  <c r="AD76" i="10"/>
  <c r="AG76" i="10" s="1"/>
  <c r="AC75" i="10"/>
  <c r="AE75" i="10" s="1"/>
  <c r="AF75" i="10" s="1"/>
  <c r="AD75" i="10"/>
  <c r="AG75" i="10" s="1"/>
  <c r="AC74" i="10"/>
  <c r="AE74" i="10" s="1"/>
  <c r="AF74" i="10" s="1"/>
  <c r="AC73" i="10"/>
  <c r="AD73" i="10"/>
  <c r="AG73" i="10" s="1"/>
  <c r="AD72" i="10"/>
  <c r="AG72" i="10" s="1"/>
  <c r="AC71" i="10"/>
  <c r="AE71" i="10" s="1"/>
  <c r="AF71" i="10" s="1"/>
  <c r="AC70" i="10"/>
  <c r="AE70" i="10" s="1"/>
  <c r="AF70" i="10" s="1"/>
  <c r="AD69" i="10"/>
  <c r="AG69" i="10" s="1"/>
  <c r="AC69" i="10"/>
  <c r="AE69" i="10" s="1"/>
  <c r="AF69" i="10" s="1"/>
  <c r="AC68" i="10"/>
  <c r="AE68" i="10" s="1"/>
  <c r="AF68" i="10" s="1"/>
  <c r="AC67" i="10"/>
  <c r="AE67" i="10" s="1"/>
  <c r="AF67" i="10" s="1"/>
  <c r="AD66" i="10"/>
  <c r="AG66" i="10" s="1"/>
  <c r="AC66" i="10"/>
  <c r="AE66" i="10" s="1"/>
  <c r="AF66" i="10" s="1"/>
  <c r="AC65" i="10"/>
  <c r="AE65" i="10" s="1"/>
  <c r="AF65" i="10" s="1"/>
  <c r="AC64" i="10"/>
  <c r="AE64" i="10" s="1"/>
  <c r="AF64" i="10" s="1"/>
  <c r="AC63" i="10"/>
  <c r="AE63" i="10" s="1"/>
  <c r="AF63" i="10" s="1"/>
  <c r="AD62" i="10"/>
  <c r="AG62" i="10" s="1"/>
  <c r="AC60" i="10"/>
  <c r="AE60" i="10" s="1"/>
  <c r="AF60" i="10" s="1"/>
  <c r="AC61" i="10"/>
  <c r="AE61" i="10" s="1"/>
  <c r="AF61" i="10" s="1"/>
  <c r="AC59" i="10"/>
  <c r="AE59" i="10" s="1"/>
  <c r="AF59" i="10" s="1"/>
  <c r="AD59" i="10"/>
  <c r="AG59" i="10" s="1"/>
  <c r="AD48" i="10"/>
  <c r="AG48" i="10" s="1"/>
  <c r="AD47" i="10"/>
  <c r="AG47" i="10" s="1"/>
  <c r="AC46" i="10"/>
  <c r="AE46" i="10" s="1"/>
  <c r="AF46" i="10" s="1"/>
  <c r="AD46" i="10"/>
  <c r="AG46" i="10" s="1"/>
  <c r="AD41" i="10"/>
  <c r="AG41" i="10" s="1"/>
  <c r="AC41" i="10"/>
  <c r="AE41" i="10" s="1"/>
  <c r="AF41" i="10" s="1"/>
  <c r="AD39" i="10"/>
  <c r="AG39" i="10" s="1"/>
  <c r="AC34" i="10"/>
  <c r="AE34" i="10" s="1"/>
  <c r="AF34" i="10" s="1"/>
  <c r="AD34" i="10"/>
  <c r="AG34" i="10" s="1"/>
  <c r="AD32" i="10"/>
  <c r="AG32" i="10" s="1"/>
  <c r="AD25" i="10"/>
  <c r="AG25" i="10" s="1"/>
  <c r="AD24" i="10"/>
  <c r="AG24" i="10" s="1"/>
  <c r="AD116" i="9"/>
  <c r="AG116" i="9" s="1"/>
  <c r="AD115" i="9"/>
  <c r="AG115" i="9" s="1"/>
  <c r="AD111" i="9"/>
  <c r="AG111" i="9" s="1"/>
  <c r="AD106" i="9"/>
  <c r="AG106" i="9" s="1"/>
  <c r="AD97" i="9"/>
  <c r="AG97" i="9" s="1"/>
  <c r="AD96" i="9"/>
  <c r="AG96" i="9" s="1"/>
  <c r="AD95" i="9"/>
  <c r="AG95" i="9" s="1"/>
  <c r="AD94" i="9"/>
  <c r="AC86" i="9"/>
  <c r="AD86" i="9"/>
  <c r="AG86" i="9" s="1"/>
  <c r="AD84" i="9"/>
  <c r="AG84" i="9" s="1"/>
  <c r="AD83" i="9"/>
  <c r="AG83" i="9" s="1"/>
  <c r="AD79" i="9"/>
  <c r="AG79" i="9" s="1"/>
  <c r="AC81" i="9"/>
  <c r="AE81" i="9" s="1"/>
  <c r="AF81" i="9" s="1"/>
  <c r="AC74" i="9"/>
  <c r="AE74" i="9" s="1"/>
  <c r="AF74" i="9" s="1"/>
  <c r="AC73" i="9"/>
  <c r="AE73" i="9" s="1"/>
  <c r="AF73" i="9" s="1"/>
  <c r="AC72" i="9"/>
  <c r="AE72" i="9" s="1"/>
  <c r="AF72" i="9" s="1"/>
  <c r="AC61" i="9"/>
  <c r="AE61" i="9" s="1"/>
  <c r="AF61" i="9" s="1"/>
  <c r="AD46" i="9"/>
  <c r="AG46" i="9" s="1"/>
  <c r="AG49" i="9"/>
  <c r="AD60" i="9"/>
  <c r="AG60" i="9" s="1"/>
  <c r="AG62" i="9"/>
  <c r="AD72" i="9"/>
  <c r="AG72" i="9" s="1"/>
  <c r="AD45" i="9"/>
  <c r="AG45" i="9" s="1"/>
  <c r="AC44" i="9"/>
  <c r="AE44" i="9" s="1"/>
  <c r="AF44" i="9" s="1"/>
  <c r="AD44" i="9"/>
  <c r="AG44" i="9" s="1"/>
  <c r="AD22" i="9"/>
  <c r="AG22" i="9" s="1"/>
  <c r="N18" i="9"/>
  <c r="X154" i="13"/>
  <c r="W154" i="13"/>
  <c r="T153" i="13"/>
  <c r="R153" i="13"/>
  <c r="L153" i="13"/>
  <c r="AD153" i="13" l="1"/>
  <c r="AG153" i="13" s="1"/>
  <c r="X153" i="13"/>
  <c r="Z150" i="13"/>
  <c r="Y150" i="13"/>
  <c r="Y149" i="13"/>
  <c r="X150" i="13"/>
  <c r="W150" i="13"/>
  <c r="W149" i="13"/>
  <c r="T149" i="13" l="1"/>
  <c r="R149" i="13"/>
  <c r="AD149" i="13" s="1"/>
  <c r="AG149" i="13" s="1"/>
  <c r="N149" i="13"/>
  <c r="L149" i="13"/>
  <c r="J149" i="13"/>
  <c r="T138" i="13"/>
  <c r="R138" i="13"/>
  <c r="AD138" i="13" s="1"/>
  <c r="N138" i="13"/>
  <c r="L138" i="13"/>
  <c r="J138" i="13"/>
  <c r="Z143" i="13"/>
  <c r="Y142" i="13"/>
  <c r="Z141" i="13"/>
  <c r="Y141" i="13"/>
  <c r="Y140" i="13"/>
  <c r="Z139" i="13"/>
  <c r="Y139" i="13"/>
  <c r="X143" i="13"/>
  <c r="X141" i="13"/>
  <c r="X139" i="13"/>
  <c r="W140" i="13"/>
  <c r="W141" i="13"/>
  <c r="W142" i="13"/>
  <c r="W143" i="13"/>
  <c r="W139" i="13"/>
  <c r="W138" i="13"/>
  <c r="AG138" i="13" l="1"/>
  <c r="X149" i="13"/>
  <c r="X138" i="13"/>
  <c r="Z149" i="13"/>
  <c r="Z135" i="13"/>
  <c r="Y125" i="13"/>
  <c r="Y124" i="13"/>
  <c r="Y123" i="13"/>
  <c r="Y122" i="13"/>
  <c r="Y121" i="13"/>
  <c r="T119" i="13"/>
  <c r="R119" i="13"/>
  <c r="N119" i="13"/>
  <c r="L119" i="13"/>
  <c r="J119" i="13"/>
  <c r="Y135" i="13"/>
  <c r="Z124" i="13"/>
  <c r="Z123" i="13"/>
  <c r="Z120" i="13"/>
  <c r="Y120" i="13"/>
  <c r="Z118" i="13"/>
  <c r="Y118" i="13"/>
  <c r="Z117" i="13"/>
  <c r="Y117" i="13"/>
  <c r="Y111" i="13"/>
  <c r="Y109" i="13"/>
  <c r="Z108" i="13"/>
  <c r="Z99" i="13"/>
  <c r="Y99" i="13"/>
  <c r="Z98" i="13"/>
  <c r="Y98" i="13"/>
  <c r="W122" i="13"/>
  <c r="W121" i="13"/>
  <c r="W120" i="13"/>
  <c r="X120" i="13"/>
  <c r="X135" i="13"/>
  <c r="X124" i="13"/>
  <c r="X123" i="13"/>
  <c r="W123" i="13"/>
  <c r="W124" i="13"/>
  <c r="W125" i="13"/>
  <c r="W135" i="13"/>
  <c r="AD119" i="13" l="1"/>
  <c r="AG119" i="13" s="1"/>
  <c r="Z119" i="13"/>
  <c r="X119" i="13"/>
  <c r="X117" i="13"/>
  <c r="X118" i="13"/>
  <c r="X108" i="13"/>
  <c r="X99" i="13"/>
  <c r="X98" i="13"/>
  <c r="W117" i="13"/>
  <c r="W118" i="13"/>
  <c r="W99" i="13"/>
  <c r="W109" i="13"/>
  <c r="W111" i="13"/>
  <c r="W98" i="13"/>
  <c r="T97" i="13" l="1"/>
  <c r="R97" i="13"/>
  <c r="N97" i="13"/>
  <c r="T86" i="13"/>
  <c r="R86" i="13"/>
  <c r="N86" i="13"/>
  <c r="L86" i="13"/>
  <c r="J86" i="13"/>
  <c r="Z95" i="13"/>
  <c r="Y95" i="13"/>
  <c r="Z91" i="13"/>
  <c r="Y91" i="13"/>
  <c r="Z90" i="13"/>
  <c r="Y90" i="13"/>
  <c r="Z89" i="13"/>
  <c r="Y89" i="13"/>
  <c r="Z88" i="13"/>
  <c r="Y88" i="13"/>
  <c r="Z87" i="13"/>
  <c r="Y87" i="13"/>
  <c r="Y86" i="13"/>
  <c r="X95" i="13"/>
  <c r="X88" i="13"/>
  <c r="X89" i="13"/>
  <c r="X90" i="13"/>
  <c r="X91" i="13"/>
  <c r="X87" i="13"/>
  <c r="W91" i="13"/>
  <c r="W88" i="13"/>
  <c r="W89" i="13"/>
  <c r="W90" i="13"/>
  <c r="W87" i="13"/>
  <c r="W86" i="13"/>
  <c r="AD86" i="13" l="1"/>
  <c r="AG86" i="13" s="1"/>
  <c r="R16" i="13"/>
  <c r="AD97" i="13"/>
  <c r="AG97" i="13" s="1"/>
  <c r="N16" i="13"/>
  <c r="J16" i="13"/>
  <c r="T16" i="13"/>
  <c r="AD16" i="13" s="1"/>
  <c r="L16" i="13"/>
  <c r="Z97" i="13"/>
  <c r="Z86" i="13"/>
  <c r="X97" i="13"/>
  <c r="X86" i="13"/>
  <c r="Y75" i="13"/>
  <c r="Y62" i="13"/>
  <c r="Z61" i="13"/>
  <c r="Z60" i="13"/>
  <c r="Y60" i="13"/>
  <c r="Y57" i="13"/>
  <c r="Z82" i="13"/>
  <c r="Y82" i="13"/>
  <c r="Z79" i="13"/>
  <c r="Y79" i="13"/>
  <c r="Z77" i="13"/>
  <c r="Y77" i="13"/>
  <c r="Z75" i="13"/>
  <c r="Y73" i="13"/>
  <c r="Z72" i="13"/>
  <c r="Y72" i="13"/>
  <c r="Z70" i="13"/>
  <c r="Y70" i="13"/>
  <c r="Z69" i="13"/>
  <c r="Y69" i="13"/>
  <c r="Z62" i="13"/>
  <c r="Y61" i="13"/>
  <c r="Z58" i="13"/>
  <c r="Y58" i="13"/>
  <c r="Z57" i="13"/>
  <c r="Z53" i="13"/>
  <c r="Y53" i="13"/>
  <c r="Z52" i="13"/>
  <c r="Y52" i="13"/>
  <c r="Z51" i="13"/>
  <c r="Y51" i="13"/>
  <c r="Z50" i="13"/>
  <c r="Y50" i="13"/>
  <c r="Z45" i="13"/>
  <c r="Y45" i="13"/>
  <c r="Z42" i="13"/>
  <c r="Y42" i="13"/>
  <c r="Z41" i="13"/>
  <c r="Y41" i="13"/>
  <c r="X61" i="13"/>
  <c r="X82" i="13"/>
  <c r="X79" i="13"/>
  <c r="X77" i="13"/>
  <c r="X75" i="13"/>
  <c r="X72" i="13"/>
  <c r="X70" i="13"/>
  <c r="X62" i="13"/>
  <c r="X69" i="13"/>
  <c r="X58" i="13"/>
  <c r="X60" i="13"/>
  <c r="X52" i="13"/>
  <c r="X53" i="13"/>
  <c r="X57" i="13"/>
  <c r="X45" i="13"/>
  <c r="X50" i="13"/>
  <c r="X51" i="13"/>
  <c r="X42" i="13"/>
  <c r="W45" i="13"/>
  <c r="W50" i="13"/>
  <c r="W51" i="13"/>
  <c r="W52" i="13"/>
  <c r="W53" i="13"/>
  <c r="W57" i="13"/>
  <c r="W58" i="13"/>
  <c r="W60" i="13"/>
  <c r="W61" i="13"/>
  <c r="W62" i="13"/>
  <c r="W69" i="13"/>
  <c r="W70" i="13"/>
  <c r="W72" i="13"/>
  <c r="W73" i="13"/>
  <c r="W75" i="13"/>
  <c r="W77" i="13"/>
  <c r="W79" i="13"/>
  <c r="W80" i="13"/>
  <c r="W82" i="13"/>
  <c r="W42" i="13"/>
  <c r="X41" i="13"/>
  <c r="AG16" i="13" l="1"/>
  <c r="W41" i="13"/>
  <c r="Z35" i="13"/>
  <c r="Z34" i="13"/>
  <c r="Y35" i="13"/>
  <c r="Y34" i="13"/>
  <c r="X35" i="13"/>
  <c r="X34" i="13"/>
  <c r="W35" i="13"/>
  <c r="W34" i="13"/>
  <c r="W32" i="13"/>
  <c r="W29" i="13" l="1"/>
  <c r="Z21" i="13"/>
  <c r="Z32" i="13"/>
  <c r="Y32" i="13"/>
  <c r="Z31" i="13"/>
  <c r="Y31" i="13"/>
  <c r="Y30" i="13"/>
  <c r="Z29" i="13"/>
  <c r="Y22" i="13"/>
  <c r="Y21" i="13"/>
  <c r="Z16" i="13"/>
  <c r="X29" i="13"/>
  <c r="X32" i="13"/>
  <c r="X31" i="13"/>
  <c r="X21" i="13"/>
  <c r="X18" i="13"/>
  <c r="W30" i="13"/>
  <c r="W31" i="13"/>
  <c r="W21" i="13"/>
  <c r="W22" i="13"/>
  <c r="W17" i="13"/>
  <c r="W16" i="13"/>
  <c r="X16" i="13"/>
  <c r="W156" i="13" l="1"/>
  <c r="Y156" i="13"/>
  <c r="Y157" i="13" s="1"/>
  <c r="X17" i="13"/>
  <c r="Z17" i="13"/>
  <c r="Y47" i="12"/>
  <c r="Y46" i="12"/>
  <c r="Z45" i="12"/>
  <c r="Y44" i="12"/>
  <c r="Y43" i="12"/>
  <c r="Z42" i="12"/>
  <c r="Y42" i="12"/>
  <c r="Y41" i="12"/>
  <c r="Y40" i="12"/>
  <c r="W47" i="12"/>
  <c r="W46" i="12"/>
  <c r="X45" i="12"/>
  <c r="X42" i="12"/>
  <c r="W42" i="12"/>
  <c r="W40" i="12"/>
  <c r="W43" i="12"/>
  <c r="W44" i="12"/>
  <c r="W41" i="12"/>
  <c r="Y55" i="12" l="1"/>
  <c r="T41" i="12"/>
  <c r="R41" i="12"/>
  <c r="N41" i="12"/>
  <c r="L41" i="12"/>
  <c r="L40" i="12" s="1"/>
  <c r="J41" i="12"/>
  <c r="Y37" i="12"/>
  <c r="Y36" i="12"/>
  <c r="Z37" i="12"/>
  <c r="Z36" i="12"/>
  <c r="X37" i="12"/>
  <c r="W37" i="12"/>
  <c r="X36" i="12"/>
  <c r="W36" i="12"/>
  <c r="T35" i="12"/>
  <c r="R35" i="12"/>
  <c r="N35" i="12"/>
  <c r="L35" i="12"/>
  <c r="J35" i="12"/>
  <c r="Z32" i="12"/>
  <c r="Z31" i="12"/>
  <c r="Y31" i="12"/>
  <c r="Y30" i="12"/>
  <c r="W32" i="12"/>
  <c r="W31" i="12"/>
  <c r="X32" i="12"/>
  <c r="X31" i="12"/>
  <c r="W30" i="12"/>
  <c r="W29" i="12"/>
  <c r="T30" i="12"/>
  <c r="R30" i="12"/>
  <c r="N30" i="12"/>
  <c r="N29" i="12" s="1"/>
  <c r="L30" i="12"/>
  <c r="L29" i="12" s="1"/>
  <c r="J30" i="12"/>
  <c r="J29" i="12" s="1"/>
  <c r="AD30" i="12" l="1"/>
  <c r="AG30" i="12" s="1"/>
  <c r="AD41" i="12"/>
  <c r="AG41" i="12" s="1"/>
  <c r="AD35" i="12"/>
  <c r="AG35" i="12" s="1"/>
  <c r="X35" i="12"/>
  <c r="X30" i="12"/>
  <c r="R29" i="12"/>
  <c r="R40" i="12"/>
  <c r="X41" i="12"/>
  <c r="T40" i="12"/>
  <c r="N40" i="12"/>
  <c r="Z41" i="12"/>
  <c r="Z35" i="12"/>
  <c r="T29" i="12"/>
  <c r="Z30" i="12"/>
  <c r="W23" i="12"/>
  <c r="Y22" i="12"/>
  <c r="Y23" i="12"/>
  <c r="W22" i="12"/>
  <c r="X22" i="12"/>
  <c r="X23" i="12"/>
  <c r="X29" i="12" l="1"/>
  <c r="AD29" i="12"/>
  <c r="AG29" i="12" s="1"/>
  <c r="X40" i="12"/>
  <c r="AD40" i="12"/>
  <c r="Z40" i="12"/>
  <c r="Z17" i="12"/>
  <c r="W18" i="12"/>
  <c r="Y16" i="12"/>
  <c r="X18" i="12"/>
  <c r="X17" i="12"/>
  <c r="W17" i="12"/>
  <c r="W16" i="12"/>
  <c r="W15" i="12"/>
  <c r="T16" i="12"/>
  <c r="R16" i="12"/>
  <c r="L16" i="12"/>
  <c r="R15" i="12" l="1"/>
  <c r="X15" i="12" s="1"/>
  <c r="AD16" i="12"/>
  <c r="AG16" i="12" s="1"/>
  <c r="X16" i="12"/>
  <c r="T15" i="12"/>
  <c r="Z16" i="12"/>
  <c r="N15" i="12"/>
  <c r="Z46" i="11"/>
  <c r="Z45" i="11"/>
  <c r="Y46" i="11"/>
  <c r="X46" i="11"/>
  <c r="X45" i="11"/>
  <c r="W46" i="11"/>
  <c r="W45" i="11"/>
  <c r="W44" i="11"/>
  <c r="T44" i="11"/>
  <c r="R44" i="11"/>
  <c r="N44" i="11"/>
  <c r="L44" i="11"/>
  <c r="Z42" i="11"/>
  <c r="Z41" i="11"/>
  <c r="Y42" i="11"/>
  <c r="Y41" i="11"/>
  <c r="X42" i="11"/>
  <c r="X41" i="11"/>
  <c r="W42" i="11"/>
  <c r="W41" i="11"/>
  <c r="W40" i="11"/>
  <c r="T40" i="11"/>
  <c r="R40" i="11"/>
  <c r="AD40" i="11" s="1"/>
  <c r="AG40" i="11" s="1"/>
  <c r="N40" i="11"/>
  <c r="L40" i="11"/>
  <c r="J40" i="11"/>
  <c r="AD15" i="12" l="1"/>
  <c r="AD44" i="11"/>
  <c r="Z15" i="12"/>
  <c r="X44" i="11"/>
  <c r="X40" i="11"/>
  <c r="Z44" i="11"/>
  <c r="Z40" i="11"/>
  <c r="Y35" i="11"/>
  <c r="Z34" i="11"/>
  <c r="Z33" i="11"/>
  <c r="Y33" i="11"/>
  <c r="X36" i="11"/>
  <c r="X34" i="11"/>
  <c r="X33" i="11"/>
  <c r="W34" i="11"/>
  <c r="W35" i="11"/>
  <c r="W36" i="11"/>
  <c r="W33" i="11"/>
  <c r="J32" i="11"/>
  <c r="T32" i="11"/>
  <c r="R32" i="11"/>
  <c r="N32" i="11"/>
  <c r="L32" i="11"/>
  <c r="G32" i="11"/>
  <c r="Z30" i="11"/>
  <c r="Y30" i="11"/>
  <c r="Z29" i="11"/>
  <c r="Y29" i="11"/>
  <c r="X30" i="11"/>
  <c r="X29" i="11"/>
  <c r="W30" i="11"/>
  <c r="W29" i="11"/>
  <c r="W28" i="11"/>
  <c r="T28" i="11"/>
  <c r="R28" i="11"/>
  <c r="N28" i="11"/>
  <c r="L28" i="11"/>
  <c r="G28" i="11"/>
  <c r="J28" i="11"/>
  <c r="Z24" i="11"/>
  <c r="X24" i="11"/>
  <c r="Z22" i="11"/>
  <c r="X22" i="11"/>
  <c r="X19" i="11"/>
  <c r="Y23" i="11"/>
  <c r="Y24" i="11"/>
  <c r="W23" i="11"/>
  <c r="W18" i="11"/>
  <c r="W19" i="11"/>
  <c r="W22" i="11"/>
  <c r="AD28" i="11" l="1"/>
  <c r="AG28" i="11" s="1"/>
  <c r="AD32" i="11"/>
  <c r="AG32" i="11" s="1"/>
  <c r="X28" i="11"/>
  <c r="X32" i="11"/>
  <c r="Z32" i="11"/>
  <c r="Z28" i="11"/>
  <c r="Z20" i="11"/>
  <c r="X18" i="11"/>
  <c r="W17" i="11"/>
  <c r="W16" i="11"/>
  <c r="T17" i="11"/>
  <c r="R17" i="11"/>
  <c r="N17" i="11"/>
  <c r="N16" i="11" s="1"/>
  <c r="J17" i="11"/>
  <c r="L17" i="11"/>
  <c r="L16" i="11" s="1"/>
  <c r="J16" i="11" l="1"/>
  <c r="R16" i="11"/>
  <c r="AD17" i="11"/>
  <c r="AG17" i="11" s="1"/>
  <c r="X16" i="11"/>
  <c r="X17" i="11"/>
  <c r="T16" i="11"/>
  <c r="Z17" i="11"/>
  <c r="Z117" i="10"/>
  <c r="Z116" i="10"/>
  <c r="Y116" i="10"/>
  <c r="X117" i="10"/>
  <c r="X118" i="10"/>
  <c r="X123" i="10"/>
  <c r="X116" i="10"/>
  <c r="W117" i="10"/>
  <c r="W118" i="10"/>
  <c r="W116" i="10"/>
  <c r="R115" i="10"/>
  <c r="AD115" i="10" s="1"/>
  <c r="AG115" i="10" s="1"/>
  <c r="N115" i="10"/>
  <c r="Z115" i="10" s="1"/>
  <c r="L115" i="10"/>
  <c r="J115" i="10"/>
  <c r="AD16" i="11" l="1"/>
  <c r="AG16" i="11" s="1"/>
  <c r="X115" i="10"/>
  <c r="Z16" i="11"/>
  <c r="W109" i="10"/>
  <c r="Z110" i="10"/>
  <c r="Y110" i="10"/>
  <c r="Z109" i="10"/>
  <c r="X110" i="10"/>
  <c r="X109" i="10"/>
  <c r="W110" i="10"/>
  <c r="T108" i="10"/>
  <c r="R108" i="10"/>
  <c r="N108" i="10"/>
  <c r="L108" i="10"/>
  <c r="AD108" i="10" l="1"/>
  <c r="AG108" i="10" s="1"/>
  <c r="Z108" i="10"/>
  <c r="X108" i="10"/>
  <c r="Y129" i="10"/>
  <c r="Z105" i="10"/>
  <c r="Y105" i="10"/>
  <c r="Z104" i="10"/>
  <c r="X105" i="10"/>
  <c r="X104" i="10"/>
  <c r="W104" i="10"/>
  <c r="T103" i="10" l="1"/>
  <c r="R103" i="10"/>
  <c r="N103" i="10"/>
  <c r="L103" i="10"/>
  <c r="J103" i="10"/>
  <c r="AK100" i="10"/>
  <c r="Z100" i="10"/>
  <c r="Y100" i="10"/>
  <c r="Y99" i="10"/>
  <c r="Y98" i="10"/>
  <c r="Z97" i="10"/>
  <c r="Y97" i="10"/>
  <c r="Y96" i="10"/>
  <c r="X97" i="10"/>
  <c r="W98" i="10"/>
  <c r="W99" i="10"/>
  <c r="W97" i="10"/>
  <c r="W96" i="10"/>
  <c r="R96" i="10"/>
  <c r="AD96" i="10" s="1"/>
  <c r="L96" i="10"/>
  <c r="J96" i="10"/>
  <c r="AG96" i="10" l="1"/>
  <c r="AD103" i="10"/>
  <c r="AG103" i="10" s="1"/>
  <c r="X96" i="10"/>
  <c r="X103" i="10"/>
  <c r="Z103" i="10"/>
  <c r="Z96" i="10"/>
  <c r="Z87" i="10"/>
  <c r="Y87" i="10"/>
  <c r="Z86" i="10"/>
  <c r="Y86" i="10"/>
  <c r="Z85" i="10"/>
  <c r="Y85" i="10"/>
  <c r="Z84" i="10"/>
  <c r="Y84" i="10"/>
  <c r="X85" i="10"/>
  <c r="X86" i="10"/>
  <c r="X87" i="10"/>
  <c r="W85" i="10"/>
  <c r="W86" i="10"/>
  <c r="W87" i="10"/>
  <c r="X84" i="10"/>
  <c r="W84" i="10"/>
  <c r="X76" i="10"/>
  <c r="X75" i="10"/>
  <c r="Z76" i="10" l="1"/>
  <c r="Y76" i="10"/>
  <c r="Y75" i="10"/>
  <c r="Y71" i="10"/>
  <c r="Z72" i="10"/>
  <c r="Y72" i="10"/>
  <c r="Y70" i="10"/>
  <c r="Z69" i="10"/>
  <c r="Y69" i="10"/>
  <c r="Y68" i="10"/>
  <c r="Y67" i="10"/>
  <c r="Z66" i="10"/>
  <c r="Y66" i="10"/>
  <c r="Y65" i="10"/>
  <c r="Y64" i="10"/>
  <c r="Y63" i="10"/>
  <c r="Z62" i="10"/>
  <c r="Y62" i="10"/>
  <c r="Y61" i="10"/>
  <c r="Y60" i="10"/>
  <c r="Z59" i="10"/>
  <c r="Y59" i="10"/>
  <c r="X73" i="10"/>
  <c r="X72" i="10"/>
  <c r="X69" i="10"/>
  <c r="X66" i="10"/>
  <c r="X62" i="10"/>
  <c r="X59" i="10"/>
  <c r="W60" i="10"/>
  <c r="W61" i="10"/>
  <c r="W62" i="10"/>
  <c r="W63" i="10"/>
  <c r="W64" i="10"/>
  <c r="W65" i="10"/>
  <c r="W66" i="10"/>
  <c r="W67" i="10"/>
  <c r="W68" i="10"/>
  <c r="W69" i="10"/>
  <c r="W70" i="10"/>
  <c r="W71" i="10"/>
  <c r="W72" i="10"/>
  <c r="W74" i="10"/>
  <c r="W75" i="10"/>
  <c r="W76" i="10"/>
  <c r="W59" i="10"/>
  <c r="L58" i="10"/>
  <c r="T58" i="10" l="1"/>
  <c r="R58" i="10"/>
  <c r="N58" i="10"/>
  <c r="Z48" i="10"/>
  <c r="Y49" i="10"/>
  <c r="Y48" i="10"/>
  <c r="Z47" i="10"/>
  <c r="Z46" i="10"/>
  <c r="Y46" i="10"/>
  <c r="X48" i="10"/>
  <c r="X47" i="10"/>
  <c r="X46" i="10"/>
  <c r="W49" i="10"/>
  <c r="W48" i="10"/>
  <c r="W47" i="10"/>
  <c r="W46" i="10"/>
  <c r="X58" i="10" l="1"/>
  <c r="AD58" i="10"/>
  <c r="AG58" i="10" s="1"/>
  <c r="T45" i="10"/>
  <c r="R45" i="10"/>
  <c r="L45" i="10"/>
  <c r="J45" i="10"/>
  <c r="Z41" i="10"/>
  <c r="Z39" i="10"/>
  <c r="Y39" i="10"/>
  <c r="W39" i="10"/>
  <c r="X39" i="10"/>
  <c r="W40" i="10"/>
  <c r="T38" i="10"/>
  <c r="R38" i="10"/>
  <c r="AD38" i="10" s="1"/>
  <c r="AG38" i="10" s="1"/>
  <c r="N38" i="10"/>
  <c r="N30" i="10" s="1"/>
  <c r="L38" i="10"/>
  <c r="J38" i="10"/>
  <c r="Z34" i="10"/>
  <c r="Y33" i="10"/>
  <c r="Z32" i="10"/>
  <c r="Y32" i="10"/>
  <c r="X34" i="10"/>
  <c r="X32" i="10"/>
  <c r="W33" i="10"/>
  <c r="W32" i="10"/>
  <c r="R31" i="10"/>
  <c r="AD31" i="10" s="1"/>
  <c r="AG31" i="10" s="1"/>
  <c r="L31" i="10"/>
  <c r="J31" i="10"/>
  <c r="W30" i="10"/>
  <c r="W128" i="10" s="1"/>
  <c r="AD45" i="10" l="1"/>
  <c r="AG45" i="10" s="1"/>
  <c r="L30" i="10"/>
  <c r="R30" i="10"/>
  <c r="J30" i="10"/>
  <c r="X38" i="10"/>
  <c r="X31" i="10"/>
  <c r="X45" i="10"/>
  <c r="T30" i="10"/>
  <c r="Z25" i="10"/>
  <c r="Y25" i="10"/>
  <c r="Z24" i="10"/>
  <c r="Y22" i="10"/>
  <c r="T22" i="10"/>
  <c r="T21" i="10" s="1"/>
  <c r="R22" i="10"/>
  <c r="N22" i="10"/>
  <c r="N21" i="10" s="1"/>
  <c r="L22" i="10"/>
  <c r="L21" i="10" s="1"/>
  <c r="J22" i="10"/>
  <c r="J21" i="10" s="1"/>
  <c r="X25" i="10"/>
  <c r="X24" i="10"/>
  <c r="W25" i="10"/>
  <c r="W24" i="10"/>
  <c r="W22" i="10"/>
  <c r="AD30" i="10" l="1"/>
  <c r="AG30" i="10" s="1"/>
  <c r="R21" i="10"/>
  <c r="AD21" i="10" s="1"/>
  <c r="AG21" i="10" s="1"/>
  <c r="AD22" i="10"/>
  <c r="AG22" i="10" s="1"/>
  <c r="X30" i="10"/>
  <c r="Z30" i="10"/>
  <c r="Z22" i="10"/>
  <c r="X22" i="10"/>
  <c r="Z21" i="10" l="1"/>
  <c r="Y117" i="9"/>
  <c r="Y116" i="9"/>
  <c r="Z115" i="9"/>
  <c r="Y115" i="9"/>
  <c r="W117" i="9"/>
  <c r="W116" i="9"/>
  <c r="W115" i="9"/>
  <c r="W114" i="9"/>
  <c r="X116" i="9" l="1"/>
  <c r="X115" i="9"/>
  <c r="Z114" i="9" l="1"/>
  <c r="X114" i="9"/>
  <c r="W106" i="9"/>
  <c r="Y106" i="9"/>
  <c r="Y107" i="9"/>
  <c r="W107" i="9"/>
  <c r="Z97" i="9" l="1"/>
  <c r="Y97" i="9"/>
  <c r="Y95" i="9"/>
  <c r="Y94" i="9"/>
  <c r="X95" i="9"/>
  <c r="X96" i="9"/>
  <c r="X97" i="9"/>
  <c r="X94" i="9"/>
  <c r="W95" i="9"/>
  <c r="W96" i="9"/>
  <c r="W97" i="9"/>
  <c r="T17" i="9" l="1"/>
  <c r="Y84" i="9"/>
  <c r="Y87" i="9"/>
  <c r="Z86" i="9"/>
  <c r="Y85" i="9"/>
  <c r="Z84" i="9"/>
  <c r="W87" i="9"/>
  <c r="X86" i="9"/>
  <c r="X83" i="9"/>
  <c r="W83" i="9"/>
  <c r="W82" i="9"/>
  <c r="L17" i="9" l="1"/>
  <c r="Z82" i="9"/>
  <c r="Z93" i="9"/>
  <c r="X93" i="9"/>
  <c r="X82" i="9"/>
  <c r="Y79" i="9" l="1"/>
  <c r="Y81" i="9"/>
  <c r="Y74" i="9"/>
  <c r="Y71" i="9"/>
  <c r="X50" i="9"/>
  <c r="Y48" i="9"/>
  <c r="Z79" i="9"/>
  <c r="Y75" i="9"/>
  <c r="Z74" i="9"/>
  <c r="Y73" i="9"/>
  <c r="Y72" i="9"/>
  <c r="Z71" i="9"/>
  <c r="Y63" i="9"/>
  <c r="Z62" i="9"/>
  <c r="Y62" i="9"/>
  <c r="Y61" i="9"/>
  <c r="Z60" i="9"/>
  <c r="Y60" i="9"/>
  <c r="Z59" i="9"/>
  <c r="Z50" i="9"/>
  <c r="Y50" i="9"/>
  <c r="Z48" i="9"/>
  <c r="Y47" i="9"/>
  <c r="Y46" i="9"/>
  <c r="Z45" i="9"/>
  <c r="Y43" i="9"/>
  <c r="X79" i="9"/>
  <c r="W81" i="9"/>
  <c r="W80" i="9"/>
  <c r="W79" i="9"/>
  <c r="X74" i="9"/>
  <c r="W74" i="9"/>
  <c r="X72" i="9"/>
  <c r="W73" i="9"/>
  <c r="W72" i="9"/>
  <c r="W71" i="9"/>
  <c r="X67" i="9" l="1"/>
  <c r="N17" i="9"/>
  <c r="R17" i="9" l="1"/>
  <c r="AD17" i="9" s="1"/>
  <c r="Z17" i="9"/>
  <c r="W62" i="9"/>
  <c r="W63" i="9"/>
  <c r="X60" i="9"/>
  <c r="W60" i="9"/>
  <c r="X71" i="9"/>
  <c r="X62" i="9"/>
  <c r="X59" i="9"/>
  <c r="W61" i="9"/>
  <c r="W51" i="9"/>
  <c r="Y17" i="9" l="1"/>
  <c r="Y40" i="9"/>
  <c r="Y29" i="9"/>
  <c r="Y27" i="9"/>
  <c r="Y26" i="9"/>
  <c r="Y24" i="9"/>
  <c r="Y23" i="9"/>
  <c r="Y21" i="9"/>
  <c r="Y19" i="9"/>
  <c r="Z18" i="9"/>
  <c r="Y18" i="9"/>
  <c r="X49" i="9"/>
  <c r="W49" i="9"/>
  <c r="X48" i="9"/>
  <c r="W47" i="9"/>
  <c r="X46" i="9"/>
  <c r="W46" i="9"/>
  <c r="Y122" i="9" l="1"/>
  <c r="Y123" i="9" s="1"/>
  <c r="X45" i="9"/>
  <c r="X43" i="9"/>
  <c r="W48" i="9"/>
  <c r="W50" i="9"/>
  <c r="W75" i="9"/>
  <c r="W43" i="9"/>
  <c r="W38" i="9" l="1"/>
  <c r="W40" i="9"/>
  <c r="X38" i="9" l="1"/>
  <c r="X18" i="9"/>
  <c r="X17" i="9"/>
  <c r="W24" i="9"/>
  <c r="W26" i="9"/>
  <c r="W27" i="9"/>
  <c r="W29" i="9"/>
  <c r="W19" i="9"/>
  <c r="W20" i="9"/>
  <c r="W21" i="9"/>
  <c r="W22" i="9"/>
  <c r="W18" i="9"/>
  <c r="W17" i="9"/>
  <c r="W122" i="9" l="1"/>
  <c r="AK63" i="9"/>
  <c r="AK62" i="9"/>
  <c r="AK85" i="9" l="1"/>
  <c r="AK154" i="13" l="1"/>
  <c r="AK153" i="13"/>
  <c r="AK139" i="13"/>
  <c r="AK140" i="13"/>
  <c r="AK141" i="13"/>
  <c r="AK142" i="13"/>
  <c r="AK143" i="13"/>
  <c r="AK149" i="13"/>
  <c r="AK87" i="13"/>
  <c r="AK88" i="13"/>
  <c r="AK89" i="13"/>
  <c r="AK90" i="13"/>
  <c r="AK91" i="13"/>
  <c r="AK95" i="13"/>
  <c r="AK97" i="13"/>
  <c r="AK98" i="13"/>
  <c r="AK99" i="13"/>
  <c r="AK108" i="13"/>
  <c r="AK109" i="13"/>
  <c r="AK110" i="13"/>
  <c r="AK111" i="13"/>
  <c r="AK117" i="13"/>
  <c r="AK118" i="13"/>
  <c r="AK119" i="13"/>
  <c r="AK120" i="13"/>
  <c r="AK121" i="13"/>
  <c r="AK122" i="13"/>
  <c r="AK123" i="13"/>
  <c r="AK124" i="13"/>
  <c r="AK125" i="13"/>
  <c r="AK135" i="13"/>
  <c r="AK86" i="13"/>
  <c r="AK17" i="13"/>
  <c r="AK18" i="13"/>
  <c r="AK21" i="13"/>
  <c r="AK22" i="13"/>
  <c r="AK29" i="13"/>
  <c r="AK30" i="13"/>
  <c r="AK31" i="13"/>
  <c r="AK32" i="13"/>
  <c r="AK35" i="13"/>
  <c r="AK41" i="13"/>
  <c r="AK42" i="13"/>
  <c r="AK45" i="13"/>
  <c r="AK50" i="13"/>
  <c r="AK51" i="13"/>
  <c r="AK52" i="13"/>
  <c r="AK53" i="13"/>
  <c r="AK57" i="13"/>
  <c r="AK58" i="13"/>
  <c r="AK60" i="13"/>
  <c r="AK61" i="13"/>
  <c r="AK62" i="13"/>
  <c r="AK68" i="13"/>
  <c r="AK69" i="13"/>
  <c r="AK70" i="13"/>
  <c r="AK72" i="13"/>
  <c r="AK73" i="13"/>
  <c r="AK75" i="13"/>
  <c r="AK77" i="13"/>
  <c r="AK79" i="13"/>
  <c r="AK80" i="13"/>
  <c r="AK82" i="13"/>
  <c r="AK84" i="13"/>
  <c r="AK16" i="13"/>
  <c r="J40" i="12"/>
  <c r="AG40" i="12" s="1"/>
  <c r="H40" i="12"/>
  <c r="AE40" i="12" s="1"/>
  <c r="AF40" i="12" s="1"/>
  <c r="M29" i="12"/>
  <c r="Y29" i="12" s="1"/>
  <c r="H29" i="12"/>
  <c r="AE29" i="12" s="1"/>
  <c r="AF29" i="12" s="1"/>
  <c r="M15" i="12"/>
  <c r="Y15" i="12" s="1"/>
  <c r="J15" i="12"/>
  <c r="AG15" i="12" s="1"/>
  <c r="AK41" i="12"/>
  <c r="AK42" i="12"/>
  <c r="AK43" i="12"/>
  <c r="AK44" i="12"/>
  <c r="AK45" i="12"/>
  <c r="AK46" i="12"/>
  <c r="AK47" i="12"/>
  <c r="AK31" i="12"/>
  <c r="AK32" i="12"/>
  <c r="AK35" i="12"/>
  <c r="AK36" i="12"/>
  <c r="AK37" i="12"/>
  <c r="AK30" i="12"/>
  <c r="AK16" i="12"/>
  <c r="AK17" i="12"/>
  <c r="AK18" i="12"/>
  <c r="AK22" i="12"/>
  <c r="AK23" i="12"/>
  <c r="AK15" i="12"/>
  <c r="AK40" i="11"/>
  <c r="M40" i="11"/>
  <c r="Y40" i="11" s="1"/>
  <c r="AK18" i="11"/>
  <c r="AK19" i="11"/>
  <c r="AK20" i="11"/>
  <c r="AK22" i="11"/>
  <c r="AK23" i="11"/>
  <c r="AK24" i="11"/>
  <c r="AK28" i="11"/>
  <c r="AK29" i="11"/>
  <c r="AK30" i="11"/>
  <c r="AK32" i="11"/>
  <c r="AK33" i="11"/>
  <c r="AK34" i="11"/>
  <c r="AK35" i="11"/>
  <c r="AK36" i="11"/>
  <c r="AK41" i="11"/>
  <c r="AK42" i="11"/>
  <c r="AK45" i="11"/>
  <c r="AK46" i="11"/>
  <c r="AK16" i="11"/>
  <c r="M21" i="10"/>
  <c r="Y21" i="10" s="1"/>
  <c r="AK116" i="10"/>
  <c r="AK117" i="10"/>
  <c r="AK118" i="10"/>
  <c r="AK123" i="10"/>
  <c r="AK97" i="10"/>
  <c r="AK98" i="10"/>
  <c r="AK99" i="10"/>
  <c r="AK115" i="10"/>
  <c r="AK109" i="10"/>
  <c r="AK110" i="10"/>
  <c r="AK108" i="10"/>
  <c r="AK104" i="10"/>
  <c r="AK105" i="10"/>
  <c r="AK103" i="10"/>
  <c r="AK39" i="10"/>
  <c r="AK40" i="10"/>
  <c r="AK41" i="10"/>
  <c r="AK45" i="10"/>
  <c r="AK46" i="10"/>
  <c r="AK47" i="10"/>
  <c r="AK48" i="10"/>
  <c r="AK49" i="10"/>
  <c r="AK58" i="10"/>
  <c r="AK59" i="10"/>
  <c r="AK60" i="10"/>
  <c r="AK61" i="10"/>
  <c r="AK62" i="10"/>
  <c r="AK63" i="10"/>
  <c r="AK64" i="10"/>
  <c r="AK65" i="10"/>
  <c r="AK66" i="10"/>
  <c r="AK67" i="10"/>
  <c r="AK68" i="10"/>
  <c r="AK69" i="10"/>
  <c r="AK70" i="10"/>
  <c r="AK71" i="10"/>
  <c r="AK72" i="10"/>
  <c r="AK73" i="10"/>
  <c r="AK74" i="10"/>
  <c r="AK75" i="10"/>
  <c r="AK76" i="10"/>
  <c r="AK84" i="10"/>
  <c r="AK85" i="10"/>
  <c r="AK86" i="10"/>
  <c r="AK87" i="10"/>
  <c r="AK96" i="10"/>
  <c r="AK38" i="10"/>
  <c r="AK32" i="10"/>
  <c r="AK33" i="10"/>
  <c r="AK34" i="10"/>
  <c r="AK30" i="10"/>
  <c r="AK23" i="10"/>
  <c r="AK24" i="10"/>
  <c r="AK25" i="10"/>
  <c r="AK18" i="9"/>
  <c r="AK19" i="9"/>
  <c r="AK20" i="9"/>
  <c r="AK21" i="9"/>
  <c r="AK22" i="9"/>
  <c r="AK23" i="9"/>
  <c r="AK24" i="9"/>
  <c r="AK25" i="9"/>
  <c r="AK26" i="9"/>
  <c r="AK27" i="9"/>
  <c r="AK28" i="9"/>
  <c r="AK29" i="9"/>
  <c r="AK38" i="9"/>
  <c r="AK39" i="9"/>
  <c r="AK40" i="9"/>
  <c r="AK43" i="9"/>
  <c r="AK44" i="9"/>
  <c r="AK46" i="9"/>
  <c r="AK47" i="9"/>
  <c r="AK48" i="9"/>
  <c r="AK49" i="9"/>
  <c r="AK50" i="9"/>
  <c r="AK51" i="9"/>
  <c r="AK45" i="9"/>
  <c r="AK59" i="9"/>
  <c r="AK60" i="9"/>
  <c r="AK61" i="9"/>
  <c r="AK68" i="9"/>
  <c r="AK71" i="9"/>
  <c r="AK72" i="9"/>
  <c r="AK73" i="9"/>
  <c r="AK74" i="9"/>
  <c r="AK75" i="9"/>
  <c r="AK79" i="9"/>
  <c r="AK80" i="9"/>
  <c r="AK81" i="9"/>
  <c r="AK82" i="9"/>
  <c r="AK83" i="9"/>
  <c r="AK84" i="9"/>
  <c r="AK86" i="9"/>
  <c r="AK87" i="9"/>
  <c r="AK93" i="9"/>
  <c r="AK94" i="9"/>
  <c r="AK95" i="9"/>
  <c r="AK96" i="9"/>
  <c r="AK97" i="9"/>
  <c r="AK106" i="9"/>
  <c r="AK107" i="9"/>
  <c r="AK111" i="9"/>
  <c r="AK114" i="9"/>
  <c r="AK115" i="9"/>
  <c r="AK116" i="9"/>
  <c r="AK117" i="9"/>
  <c r="AK17" i="9"/>
  <c r="Y53" i="11" l="1"/>
  <c r="AK21" i="10"/>
  <c r="X21" i="10"/>
  <c r="AK22" i="10"/>
  <c r="AQ41" i="13"/>
  <c r="Z138" i="13" l="1"/>
  <c r="AK138" i="13"/>
  <c r="AK150" i="13"/>
  <c r="AK67" i="9" l="1"/>
  <c r="J17" i="9"/>
  <c r="AG17" i="9" s="1"/>
  <c r="AK44" i="11" l="1"/>
  <c r="J44" i="11"/>
  <c r="AG44" i="11" s="1"/>
  <c r="AK17" i="11" l="1"/>
  <c r="G17" i="11"/>
  <c r="AK40" i="12" l="1"/>
  <c r="AK31" i="10" l="1"/>
  <c r="W157" i="13" l="1"/>
  <c r="W55" i="12" l="1"/>
  <c r="W53" i="11" l="1"/>
  <c r="W129" i="10" l="1"/>
  <c r="W123" i="9" l="1"/>
  <c r="AK34" i="13" l="1"/>
</calcChain>
</file>

<file path=xl/comments1.xml><?xml version="1.0" encoding="utf-8"?>
<comments xmlns="http://schemas.openxmlformats.org/spreadsheetml/2006/main">
  <authors>
    <author>W10 PRO</author>
    <author>Ultimate</author>
  </authors>
  <commentList>
    <comment ref="Q22" authorId="0" shapeId="0">
      <text>
        <r>
          <rPr>
            <b/>
            <sz val="12"/>
            <color indexed="81"/>
            <rFont val="Tahoma"/>
            <family val="2"/>
          </rPr>
          <t>Jumlah peserta didik PAUD/Jumlah penduduk usia 5-6 th dikali 100</t>
        </r>
      </text>
    </comment>
    <comment ref="E25" authorId="0" shapeId="0">
      <text>
        <r>
          <rPr>
            <b/>
            <sz val="12"/>
            <color indexed="81"/>
            <rFont val="Tahoma"/>
            <family val="2"/>
          </rPr>
          <t>Jumlah siswa putus sekolah/jumlah seluruh siswa dikali 100</t>
        </r>
      </text>
    </comment>
    <comment ref="H38" authorId="0" shapeId="0">
      <text>
        <r>
          <rPr>
            <b/>
            <sz val="14"/>
            <color indexed="81"/>
            <rFont val="Tahoma"/>
            <family val="2"/>
          </rPr>
          <t>Bab VI 100</t>
        </r>
      </text>
    </comment>
    <comment ref="Q46" authorId="0" shapeId="0">
      <text>
        <r>
          <rPr>
            <b/>
            <sz val="12"/>
            <color indexed="81"/>
            <rFont val="Tahoma"/>
            <family val="2"/>
          </rPr>
          <t>Jumlah poskesdes/jumlah desa dikali 100</t>
        </r>
      </text>
    </comment>
    <comment ref="S46" authorId="0" shapeId="0">
      <text>
        <r>
          <rPr>
            <b/>
            <sz val="12"/>
            <color indexed="81"/>
            <rFont val="Tahoma"/>
            <family val="2"/>
          </rPr>
          <t>Jumlah poskesdes/jumlah desa dikali 100</t>
        </r>
      </text>
    </comment>
    <comment ref="D47" authorId="0" shapeId="0">
      <text>
        <r>
          <rPr>
            <b/>
            <sz val="9"/>
            <color indexed="81"/>
            <rFont val="Tahoma"/>
            <family val="2"/>
          </rPr>
          <t>W10 PRO:</t>
        </r>
        <r>
          <rPr>
            <sz val="9"/>
            <color indexed="81"/>
            <rFont val="Tahoma"/>
            <family val="2"/>
          </rPr>
          <t xml:space="preserve">
</t>
        </r>
        <r>
          <rPr>
            <sz val="12"/>
            <color indexed="81"/>
            <rFont val="Tahoma"/>
            <family val="2"/>
          </rPr>
          <t>Capaian Triwulanan agar diakumulasi</t>
        </r>
      </text>
    </comment>
    <comment ref="Q47" authorId="0" shapeId="0">
      <text>
        <r>
          <rPr>
            <b/>
            <sz val="11"/>
            <color indexed="81"/>
            <rFont val="Tahoma"/>
            <family val="2"/>
          </rPr>
          <t>Jumlah alkes rata-rata per PKM/Jumlah alkes standar per PKM dikali 100</t>
        </r>
      </text>
    </comment>
    <comment ref="S47" authorId="0" shapeId="0">
      <text>
        <r>
          <rPr>
            <b/>
            <sz val="11"/>
            <color indexed="81"/>
            <rFont val="Tahoma"/>
            <family val="2"/>
          </rPr>
          <t>Jumlah alkes rata-rata per PKM/Jumlah alkes standar per PKM dikali 100</t>
        </r>
      </text>
    </comment>
    <comment ref="Q50" authorId="0" shapeId="0">
      <text>
        <r>
          <rPr>
            <b/>
            <sz val="12"/>
            <color indexed="81"/>
            <rFont val="Tahoma"/>
            <family val="2"/>
          </rPr>
          <t>Rata-rata capaian 6 indikator pemenuhan SPM penyakit menular dan tidak menular</t>
        </r>
      </text>
    </comment>
    <comment ref="D51" authorId="0" shapeId="0">
      <text>
        <r>
          <rPr>
            <b/>
            <sz val="9"/>
            <color indexed="81"/>
            <rFont val="Tahoma"/>
            <family val="2"/>
          </rPr>
          <t>W10 PRO:</t>
        </r>
        <r>
          <rPr>
            <sz val="9"/>
            <color indexed="81"/>
            <rFont val="Tahoma"/>
            <family val="2"/>
          </rPr>
          <t xml:space="preserve">
</t>
        </r>
        <r>
          <rPr>
            <sz val="12"/>
            <color indexed="81"/>
            <rFont val="Tahoma"/>
            <family val="2"/>
          </rPr>
          <t>Capaian triwulanan agar diakumulasi</t>
        </r>
      </text>
    </comment>
    <comment ref="Q51" authorId="0" shapeId="0">
      <text>
        <r>
          <rPr>
            <b/>
            <sz val="12"/>
            <color indexed="81"/>
            <rFont val="Tahoma"/>
            <family val="2"/>
          </rPr>
          <t>rata-rata capaian 5 indikator pengendalian penyakit menular</t>
        </r>
      </text>
    </comment>
    <comment ref="H60" authorId="0" shapeId="0">
      <text>
        <r>
          <rPr>
            <b/>
            <sz val="14"/>
            <color indexed="81"/>
            <rFont val="Tahoma"/>
            <family val="2"/>
          </rPr>
          <t>Bab VI 89,28</t>
        </r>
      </text>
    </comment>
    <comment ref="Q60" authorId="0" shapeId="0">
      <text>
        <r>
          <rPr>
            <b/>
            <sz val="11"/>
            <color indexed="81"/>
            <rFont val="Tahoma"/>
            <family val="2"/>
          </rPr>
          <t>jumlah organisasi yg menindaklanjuti kesepakatan PUP/Jumlah organisasi yg menyepakati PUP dikali 100</t>
        </r>
      </text>
    </comment>
    <comment ref="S60" authorId="0" shapeId="0">
      <text>
        <r>
          <rPr>
            <b/>
            <sz val="12"/>
            <color indexed="81"/>
            <rFont val="Tahoma"/>
            <family val="2"/>
          </rPr>
          <t>jumlah organisasi yg menindaklanjuti kesepakatan PUP/Jumlah organisasi yg menyepakati PUP dikali 100</t>
        </r>
      </text>
    </comment>
    <comment ref="Q61" authorId="0" shapeId="0">
      <text>
        <r>
          <rPr>
            <b/>
            <sz val="12"/>
            <color indexed="81"/>
            <rFont val="Tahoma"/>
            <family val="2"/>
          </rPr>
          <t>jumlah peserta KB aktif/jumlah PUS dikali 100</t>
        </r>
      </text>
    </comment>
    <comment ref="H62" authorId="0" shapeId="0">
      <text>
        <r>
          <rPr>
            <b/>
            <sz val="14"/>
            <color indexed="81"/>
            <rFont val="Tahoma"/>
            <family val="2"/>
          </rPr>
          <t>Bab VI 89,28</t>
        </r>
      </text>
    </comment>
    <comment ref="D80" authorId="0" shapeId="0">
      <text>
        <r>
          <rPr>
            <b/>
            <sz val="12"/>
            <color indexed="81"/>
            <rFont val="Tahoma"/>
            <family val="2"/>
          </rPr>
          <t>Tidak digunakan lagi di tahun 2020</t>
        </r>
      </text>
    </comment>
    <comment ref="C84" authorId="1" shapeId="0">
      <text>
        <r>
          <rPr>
            <b/>
            <sz val="9"/>
            <color indexed="81"/>
            <rFont val="Tahoma"/>
            <family val="2"/>
          </rPr>
          <t>Ultimate:</t>
        </r>
        <r>
          <rPr>
            <sz val="9"/>
            <color indexed="81"/>
            <rFont val="Tahoma"/>
            <family val="2"/>
          </rPr>
          <t xml:space="preserve">
Program tahun 2020</t>
        </r>
      </text>
    </comment>
    <comment ref="H115" authorId="0" shapeId="0">
      <text>
        <r>
          <rPr>
            <b/>
            <sz val="14"/>
            <color indexed="81"/>
            <rFont val="Tahoma"/>
            <family val="2"/>
          </rPr>
          <t>Bab VI 52</t>
        </r>
      </text>
    </comment>
  </commentList>
</comments>
</file>

<file path=xl/comments2.xml><?xml version="1.0" encoding="utf-8"?>
<comments xmlns="http://schemas.openxmlformats.org/spreadsheetml/2006/main">
  <authors>
    <author>W10 PRO</author>
    <author>user</author>
  </authors>
  <commentList>
    <comment ref="O26" authorId="0" shapeId="0">
      <text>
        <r>
          <rPr>
            <b/>
            <sz val="12"/>
            <color indexed="81"/>
            <rFont val="Tahoma"/>
            <family val="2"/>
          </rPr>
          <t>Jumlah PSKS yang Memiliki Kompetensi dibagi Jumlah PSKS yang terdatax100</t>
        </r>
      </text>
    </comment>
    <comment ref="O29" authorId="0" shapeId="0">
      <text>
        <r>
          <rPr>
            <b/>
            <sz val="12"/>
            <color indexed="81"/>
            <rFont val="Tahoma"/>
            <family val="2"/>
          </rPr>
          <t>Jumlah PSKS yang Memiliki Kompetensi dibagi Jumlah PSKS yang terdatax100</t>
        </r>
      </text>
    </comment>
    <comment ref="H32" authorId="0" shapeId="0">
      <text>
        <r>
          <rPr>
            <b/>
            <sz val="14"/>
            <color indexed="81"/>
            <rFont val="Tahoma"/>
            <family val="2"/>
          </rPr>
          <t>Bab VI 4,11</t>
        </r>
      </text>
    </comment>
    <comment ref="K46" authorId="0" shapeId="0">
      <text>
        <r>
          <rPr>
            <b/>
            <sz val="14"/>
            <color indexed="81"/>
            <rFont val="Tahoma"/>
            <family val="2"/>
          </rPr>
          <t>Bab VI 10</t>
        </r>
      </text>
    </comment>
    <comment ref="W46" authorId="0" shapeId="0">
      <text>
        <r>
          <rPr>
            <b/>
            <sz val="14"/>
            <color indexed="81"/>
            <rFont val="Tahoma"/>
            <family val="2"/>
          </rPr>
          <t>Peningkatan atau penurunan</t>
        </r>
      </text>
    </comment>
    <comment ref="Y46" authorId="0" shapeId="0">
      <text>
        <r>
          <rPr>
            <b/>
            <sz val="14"/>
            <color indexed="81"/>
            <rFont val="Tahoma"/>
            <family val="2"/>
          </rPr>
          <t>Peningkatan atau penurunan</t>
        </r>
      </text>
    </comment>
    <comment ref="AA46" authorId="0" shapeId="0">
      <text>
        <r>
          <rPr>
            <b/>
            <sz val="14"/>
            <color indexed="81"/>
            <rFont val="Tahoma"/>
            <family val="2"/>
          </rPr>
          <t>Peningkatan atau penurunan</t>
        </r>
      </text>
    </comment>
    <comment ref="H48" authorId="0" shapeId="0">
      <text>
        <r>
          <rPr>
            <b/>
            <sz val="14"/>
            <color indexed="81"/>
            <rFont val="Tahoma"/>
            <family val="2"/>
          </rPr>
          <t>Bab VI 97,64</t>
        </r>
      </text>
    </comment>
    <comment ref="AI48" authorId="1" shapeId="0">
      <text>
        <r>
          <rPr>
            <b/>
            <sz val="9"/>
            <color indexed="81"/>
            <rFont val="Tahoma"/>
            <family val="2"/>
          </rPr>
          <t>user:</t>
        </r>
        <r>
          <rPr>
            <sz val="9"/>
            <color indexed="81"/>
            <rFont val="Tahoma"/>
            <family val="2"/>
          </rPr>
          <t xml:space="preserve">
4 m plus DAK
</t>
        </r>
      </text>
    </comment>
    <comment ref="T84" authorId="0" shapeId="0">
      <text>
        <r>
          <rPr>
            <b/>
            <sz val="12"/>
            <color indexed="81"/>
            <rFont val="Tahoma"/>
            <family val="2"/>
          </rPr>
          <t>Bimtek Albumin</t>
        </r>
      </text>
    </comment>
    <comment ref="V84" authorId="0" shapeId="0">
      <text>
        <r>
          <rPr>
            <b/>
            <sz val="12"/>
            <color indexed="81"/>
            <rFont val="Tahoma"/>
            <family val="2"/>
          </rPr>
          <t>Bimtek Albumin</t>
        </r>
      </text>
    </comment>
    <comment ref="D98" authorId="0" shapeId="0">
      <text>
        <r>
          <rPr>
            <b/>
            <sz val="9"/>
            <color indexed="81"/>
            <rFont val="Tahoma"/>
            <family val="2"/>
          </rPr>
          <t>W10 PRO:</t>
        </r>
        <r>
          <rPr>
            <sz val="9"/>
            <color indexed="81"/>
            <rFont val="Tahoma"/>
            <family val="2"/>
          </rPr>
          <t xml:space="preserve">
</t>
        </r>
        <r>
          <rPr>
            <sz val="12"/>
            <color indexed="81"/>
            <rFont val="Tahoma"/>
            <family val="2"/>
          </rPr>
          <t>Anggaran jadi satu dengan indikator Usaha Kecil</t>
        </r>
      </text>
    </comment>
    <comment ref="Q103" authorId="0" shapeId="0">
      <text>
        <r>
          <rPr>
            <b/>
            <sz val="12"/>
            <color indexed="81"/>
            <rFont val="Tahoma"/>
            <family val="2"/>
          </rPr>
          <t>29.528.978.331
Audited</t>
        </r>
      </text>
    </comment>
    <comment ref="S103" authorId="0" shapeId="0">
      <text>
        <r>
          <rPr>
            <b/>
            <sz val="12"/>
            <color indexed="81"/>
            <rFont val="Tahoma"/>
            <family val="2"/>
          </rPr>
          <t>20.519.889.923
Unaudited
20.507.139.923
Audited</t>
        </r>
      </text>
    </comment>
    <comment ref="U103" authorId="0" shapeId="0">
      <text>
        <r>
          <rPr>
            <b/>
            <sz val="12"/>
            <color indexed="81"/>
            <rFont val="Tahoma"/>
            <family val="2"/>
          </rPr>
          <t>20.151.302.902
Audited</t>
        </r>
      </text>
    </comment>
    <comment ref="Q104" authorId="0" shapeId="0">
      <text>
        <r>
          <rPr>
            <b/>
            <sz val="12"/>
            <color indexed="81"/>
            <rFont val="Tahoma"/>
            <family val="2"/>
          </rPr>
          <t>27.561.440.448
Audited</t>
        </r>
      </text>
    </comment>
    <comment ref="S104" authorId="0" shapeId="0">
      <text>
        <r>
          <rPr>
            <b/>
            <sz val="12"/>
            <color indexed="81"/>
            <rFont val="Tahoma"/>
            <family val="2"/>
          </rPr>
          <t>18.352.144.983
Audited</t>
        </r>
      </text>
    </comment>
    <comment ref="Q105" authorId="0" shapeId="0">
      <text>
        <r>
          <rPr>
            <b/>
            <sz val="12"/>
            <color indexed="81"/>
            <rFont val="Tahoma"/>
            <family val="2"/>
          </rPr>
          <t>1.967.537.883
PBB 1.295.901.294
BPHTB 671.636.589
Audited</t>
        </r>
      </text>
    </comment>
    <comment ref="S105" authorId="0" shapeId="0">
      <text>
        <r>
          <rPr>
            <b/>
            <sz val="12"/>
            <color indexed="81"/>
            <rFont val="Tahoma"/>
            <family val="2"/>
          </rPr>
          <t>2.154.994.940
PBB 1.175.286.591
BPHTB 979.708.349
Audited</t>
        </r>
      </text>
    </comment>
    <comment ref="Q108" authorId="0" shapeId="0">
      <text>
        <r>
          <rPr>
            <b/>
            <sz val="12"/>
            <color indexed="81"/>
            <rFont val="Tahoma"/>
            <family val="2"/>
          </rPr>
          <t>Nilai realisasi investasi (nilai PMDN tahun n - nilai PMDN tahun n-1)/nilai PMDN tahun n-1 dikali 100</t>
        </r>
      </text>
    </comment>
    <comment ref="S115" authorId="0" shapeId="0">
      <text>
        <r>
          <rPr>
            <b/>
            <sz val="12"/>
            <color indexed="81"/>
            <rFont val="Tahoma"/>
            <family val="2"/>
          </rPr>
          <t>(271,75x100)*270.000</t>
        </r>
      </text>
    </comment>
    <comment ref="U115" authorId="0" shapeId="0">
      <text>
        <r>
          <rPr>
            <b/>
            <sz val="12"/>
            <color indexed="81"/>
            <rFont val="Tahoma"/>
            <family val="2"/>
          </rPr>
          <t>(271,75x100)*270.000</t>
        </r>
      </text>
    </comment>
    <comment ref="U125" authorId="0" shapeId="0">
      <text>
        <r>
          <rPr>
            <b/>
            <sz val="9"/>
            <color indexed="81"/>
            <rFont val="Tahoma"/>
            <family val="2"/>
          </rPr>
          <t>Kegiatan napak tilas tidak terlaksana karena pandemi covid 19</t>
        </r>
      </text>
    </comment>
    <comment ref="V125" authorId="0" shapeId="0">
      <text>
        <r>
          <rPr>
            <b/>
            <sz val="9"/>
            <color indexed="81"/>
            <rFont val="Tahoma"/>
            <family val="2"/>
          </rPr>
          <t>Realisasi belanja handycam, benda2 bersejarah, tape recorder, jasa penulisan dan terjemah (cetak buku sejarah aluh idut)</t>
        </r>
      </text>
    </comment>
  </commentList>
</comments>
</file>

<file path=xl/comments3.xml><?xml version="1.0" encoding="utf-8"?>
<comments xmlns="http://schemas.openxmlformats.org/spreadsheetml/2006/main">
  <authors>
    <author>USER</author>
    <author>W10 PRO</author>
  </authors>
  <commentList>
    <comment ref="O21" authorId="0" shapeId="0">
      <text>
        <r>
          <rPr>
            <b/>
            <sz val="9"/>
            <color indexed="81"/>
            <rFont val="Tahoma"/>
            <family val="2"/>
          </rPr>
          <t>Panjang kondisi baik/sedang dibagi panjang total jalan kabupatenx100</t>
        </r>
      </text>
    </comment>
    <comment ref="Q29" authorId="1" shapeId="0">
      <text>
        <r>
          <rPr>
            <b/>
            <sz val="11"/>
            <color indexed="81"/>
            <rFont val="Tahoma"/>
            <family val="2"/>
          </rPr>
          <t>Jumlah ketersediaan air irigasi (1,2 L perdet/ha) pada setiap musim tanam/jumlah ketersediaan air irigasi seluruh hektar dikali 100</t>
        </r>
      </text>
    </comment>
  </commentList>
</comments>
</file>

<file path=xl/comments4.xml><?xml version="1.0" encoding="utf-8"?>
<comments xmlns="http://schemas.openxmlformats.org/spreadsheetml/2006/main">
  <authors>
    <author>W10 PRO</author>
    <author>Ultimate</author>
  </authors>
  <commentList>
    <comment ref="N18" authorId="0" shapeId="0">
      <text>
        <r>
          <rPr>
            <b/>
            <sz val="12"/>
            <color indexed="81"/>
            <rFont val="Tahoma"/>
            <family val="2"/>
          </rPr>
          <t>Anggaran dihapus utk penanganan covid 19</t>
        </r>
      </text>
    </comment>
    <comment ref="P18" authorId="0" shapeId="0">
      <text>
        <r>
          <rPr>
            <b/>
            <sz val="12"/>
            <color indexed="81"/>
            <rFont val="Tahoma"/>
            <family val="2"/>
          </rPr>
          <t>Anggaran dihapus utk penanganan covid 19</t>
        </r>
      </text>
    </comment>
    <comment ref="T18" authorId="0" shapeId="0">
      <text>
        <r>
          <rPr>
            <b/>
            <sz val="12"/>
            <color indexed="81"/>
            <rFont val="Tahoma"/>
            <family val="2"/>
          </rPr>
          <t>Anggaran dihapus utk penanganan covid 19</t>
        </r>
      </text>
    </comment>
    <comment ref="E30" authorId="0" shapeId="0">
      <text>
        <r>
          <rPr>
            <b/>
            <sz val="9"/>
            <color indexed="81"/>
            <rFont val="Tahoma"/>
            <family val="2"/>
          </rPr>
          <t>W10 PRO:</t>
        </r>
        <r>
          <rPr>
            <sz val="9"/>
            <color indexed="81"/>
            <rFont val="Tahoma"/>
            <family val="2"/>
          </rPr>
          <t xml:space="preserve">
atau 90,07</t>
        </r>
      </text>
    </comment>
    <comment ref="S31" authorId="0" shapeId="0">
      <text>
        <r>
          <rPr>
            <b/>
            <sz val="11"/>
            <color indexed="81"/>
            <rFont val="Tahoma"/>
            <family val="2"/>
          </rPr>
          <t>Jumlah SKPD yg perencanaan dan penganggaran responsif gender/jumlah seluruh SKPD dikali 100</t>
        </r>
      </text>
    </comment>
    <comment ref="H32" authorId="0" shapeId="0">
      <text>
        <r>
          <rPr>
            <b/>
            <sz val="16"/>
            <color indexed="81"/>
            <rFont val="Tahoma"/>
            <family val="2"/>
          </rPr>
          <t>Bab VI 52,97</t>
        </r>
      </text>
    </comment>
    <comment ref="M32" authorId="0" shapeId="0">
      <text>
        <r>
          <rPr>
            <b/>
            <sz val="14"/>
            <color indexed="81"/>
            <rFont val="Tahoma"/>
            <family val="2"/>
          </rPr>
          <t>21,08</t>
        </r>
      </text>
    </comment>
    <comment ref="Q32" authorId="0" shapeId="0">
      <text>
        <r>
          <rPr>
            <b/>
            <sz val="11"/>
            <color indexed="81"/>
            <rFont val="Tahoma"/>
            <family val="2"/>
          </rPr>
          <t>Jumlah organisasi perempuan penyedia pelayanan perlindungan perempuan yg dibina/jumlah organisasi perempuan di kab.hss dikali 100</t>
        </r>
      </text>
    </comment>
    <comment ref="S32" authorId="0" shapeId="0">
      <text>
        <r>
          <rPr>
            <b/>
            <sz val="11"/>
            <color indexed="81"/>
            <rFont val="Tahoma"/>
            <family val="2"/>
          </rPr>
          <t>Jumlah organisasi perempuan penyedia pelayanan perlindungan perempuan yg dibina/jumlah organisasi perempuan di kab.hss dikali 100</t>
        </r>
      </text>
    </comment>
    <comment ref="O33" authorId="1" shapeId="0">
      <text>
        <r>
          <rPr>
            <sz val="14"/>
            <color indexed="81"/>
            <rFont val="Tahoma"/>
            <family val="2"/>
          </rPr>
          <t>Jumlah wanita pekerja dibagi jumlah wanita di Kab. HSS dikali 100</t>
        </r>
      </text>
    </comment>
    <comment ref="U33" authorId="1" shapeId="0">
      <text>
        <r>
          <rPr>
            <sz val="14"/>
            <color indexed="81"/>
            <rFont val="Tahoma"/>
            <family val="2"/>
          </rPr>
          <t>Jumlah wanita pekerja dibagi jumlah wanita di Kab. HSS dikali 100</t>
        </r>
      </text>
    </comment>
    <comment ref="Q36" authorId="0" shapeId="0">
      <text>
        <r>
          <rPr>
            <b/>
            <sz val="11"/>
            <color indexed="81"/>
            <rFont val="Tahoma"/>
            <family val="2"/>
          </rPr>
          <t>Jumlah indikator yg terpenuhi/jumlah seluruh indikator dikali 100</t>
        </r>
      </text>
    </comment>
    <comment ref="S36" authorId="0" shapeId="0">
      <text>
        <r>
          <rPr>
            <b/>
            <sz val="11"/>
            <color indexed="81"/>
            <rFont val="Tahoma"/>
            <family val="2"/>
          </rPr>
          <t>Jumlah indikator yg terpenuhi/jumlah seluruh indikator dikali 100</t>
        </r>
      </text>
    </comment>
    <comment ref="U36" authorId="0" shapeId="0">
      <text>
        <r>
          <rPr>
            <b/>
            <sz val="11"/>
            <color indexed="81"/>
            <rFont val="Tahoma"/>
            <family val="2"/>
          </rPr>
          <t>Jumlah indikator yg terpenuhi/jumlah seluruh indikator dikali 100</t>
        </r>
      </text>
    </comment>
    <comment ref="S45" authorId="0" shapeId="0">
      <text>
        <r>
          <rPr>
            <b/>
            <sz val="12"/>
            <color indexed="81"/>
            <rFont val="Tahoma"/>
            <family val="2"/>
          </rPr>
          <t>Jumlah tonase sampah TPA yg dikelola secara control landfill/potensi timbunan sampah per tahun dikali 100</t>
        </r>
      </text>
    </comment>
    <comment ref="S46" authorId="0" shapeId="0">
      <text>
        <r>
          <rPr>
            <b/>
            <sz val="12"/>
            <color indexed="81"/>
            <rFont val="Tahoma"/>
            <family val="2"/>
          </rPr>
          <t>Jumlah tonase sampah yang diolah secara 3R/potensi timbunan sampah per tahun dikali 100</t>
        </r>
      </text>
    </comment>
  </commentList>
</comments>
</file>

<file path=xl/comments5.xml><?xml version="1.0" encoding="utf-8"?>
<comments xmlns="http://schemas.openxmlformats.org/spreadsheetml/2006/main">
  <authors>
    <author>W10 PRO</author>
    <author>USER</author>
  </authors>
  <commentList>
    <comment ref="S21" authorId="0" shapeId="0">
      <text>
        <r>
          <rPr>
            <b/>
            <sz val="12"/>
            <color indexed="81"/>
            <rFont val="Tahoma"/>
            <family val="2"/>
          </rPr>
          <t>informasi dari bagian pem nilai belum keluar</t>
        </r>
      </text>
    </comment>
    <comment ref="O46" authorId="1" shapeId="0">
      <text>
        <r>
          <rPr>
            <b/>
            <sz val="12"/>
            <color indexed="81"/>
            <rFont val="Tahoma"/>
            <family val="2"/>
          </rPr>
          <t>Jumlah pelaksanaan pelayanan perizinan dan non perizinan sesuai standar/Jumlah seluruh layanan perizinan dan non perizinan X 100</t>
        </r>
      </text>
    </comment>
    <comment ref="O48" authorId="1" shapeId="0">
      <text>
        <r>
          <rPr>
            <b/>
            <sz val="12"/>
            <color indexed="81"/>
            <rFont val="Tahoma"/>
            <family val="2"/>
          </rPr>
          <t>Jumlah Konfirmasi Status Wajib Pajak yang Tertagih/Jumlah KSWP seluruhnya X 100</t>
        </r>
      </text>
    </comment>
    <comment ref="C70" authorId="0" shapeId="0">
      <text>
        <r>
          <rPr>
            <b/>
            <sz val="9"/>
            <color indexed="81"/>
            <rFont val="Tahoma"/>
            <family val="2"/>
          </rPr>
          <t>W10 PRO:</t>
        </r>
        <r>
          <rPr>
            <sz val="9"/>
            <color indexed="81"/>
            <rFont val="Tahoma"/>
            <family val="2"/>
          </rPr>
          <t xml:space="preserve">
</t>
        </r>
        <r>
          <rPr>
            <sz val="11"/>
            <color indexed="81"/>
            <rFont val="Tahoma"/>
            <family val="2"/>
          </rPr>
          <t>dokumen rpjmd itkab dan setwan, anggran setwan yang sesuai</t>
        </r>
      </text>
    </comment>
    <comment ref="S80" authorId="0" shapeId="0">
      <text>
        <r>
          <rPr>
            <b/>
            <sz val="12"/>
            <color indexed="81"/>
            <rFont val="Tahoma"/>
            <family val="2"/>
          </rPr>
          <t>capaian sama dengan tahun lalu karena masih proses penambahan standarisasi</t>
        </r>
      </text>
    </comment>
    <comment ref="U80" authorId="0" shapeId="0">
      <text>
        <r>
          <rPr>
            <b/>
            <sz val="12"/>
            <color indexed="81"/>
            <rFont val="Tahoma"/>
            <family val="2"/>
          </rPr>
          <t>capaian sama dengan tahun lalu karena masih proses penambahan standarisasi</t>
        </r>
      </text>
    </comment>
    <comment ref="K95" authorId="0" shapeId="0">
      <text>
        <r>
          <rPr>
            <b/>
            <sz val="14"/>
            <color indexed="81"/>
            <rFont val="Tahoma"/>
            <family val="2"/>
          </rPr>
          <t>Bab VI 18</t>
        </r>
      </text>
    </comment>
    <comment ref="M95" authorId="0" shapeId="0">
      <text>
        <r>
          <rPr>
            <b/>
            <sz val="14"/>
            <color indexed="81"/>
            <rFont val="Tahoma"/>
            <family val="2"/>
          </rPr>
          <t>Bab VI 18</t>
        </r>
      </text>
    </comment>
    <comment ref="O95" authorId="0" shapeId="0">
      <text>
        <r>
          <rPr>
            <b/>
            <sz val="14"/>
            <color indexed="81"/>
            <rFont val="Tahoma"/>
            <family val="2"/>
          </rPr>
          <t>Bab VI 18</t>
        </r>
      </text>
    </comment>
    <comment ref="H120" authorId="0" shapeId="0">
      <text>
        <r>
          <rPr>
            <b/>
            <sz val="16"/>
            <color indexed="81"/>
            <rFont val="Tahoma"/>
            <family val="2"/>
          </rPr>
          <t>Bab VI 28</t>
        </r>
      </text>
    </comment>
  </commentList>
</comments>
</file>

<file path=xl/sharedStrings.xml><?xml version="1.0" encoding="utf-8"?>
<sst xmlns="http://schemas.openxmlformats.org/spreadsheetml/2006/main" count="1989" uniqueCount="853">
  <si>
    <t>No</t>
  </si>
  <si>
    <t>Program Prioritas</t>
  </si>
  <si>
    <t>K</t>
  </si>
  <si>
    <t>Rp</t>
  </si>
  <si>
    <t>Rasio Capaian Akhir (%)</t>
  </si>
  <si>
    <t>Rata-rata Capaian Kinerja (%)</t>
  </si>
  <si>
    <t>Predikat Kinerja</t>
  </si>
  <si>
    <t>Faktor pendorong keberhasilan pencapaian:</t>
  </si>
  <si>
    <t>Faktor penghambat pencapaian kinerja:</t>
  </si>
  <si>
    <t>Tindak lanjut yang diperlukan dalam RKPD kabupaten/kota berikutnya:</t>
  </si>
  <si>
    <t>Tindak lanjut yang diperlukan dalam RPJMD kabupaten/kota berikutnya:</t>
  </si>
  <si>
    <t>Sasaran Pembangunan Jangka Menengah:</t>
  </si>
  <si>
    <t>[kolom (12)(K) : kolom (7)(K)] x 100%</t>
  </si>
  <si>
    <t>[Kolom (12)(Rp) : Kolom (7)(Rp)] x 100%</t>
  </si>
  <si>
    <t>[Kolom (13)(K) : Kolom (8)(K)] x 100%</t>
  </si>
  <si>
    <t>[Kolom (13)(Rp) : Kolom (8)(Rp)] x 100%</t>
  </si>
  <si>
    <t>[Kolom (22)(Rp) : Kolom (6)(Rp)] x 100%</t>
  </si>
  <si>
    <t>[Kolom (22)(K) : Kolom (6)(K)] x 100%</t>
  </si>
  <si>
    <t>Capaian Pada Akhir Tahun Perencanaan</t>
  </si>
  <si>
    <t>Target Kinerja RPJMD pada Tahun 2023</t>
  </si>
  <si>
    <t>Data Kondisi awal Capaian Kinerja RPJMD Tahun 2018</t>
  </si>
  <si>
    <t>Predikat Kinerja (Buruk, sedang, baik, sangat baik)</t>
  </si>
  <si>
    <t>Program Peningkatan Perencanaan, Pelaporan Capaian Kinerja dan Keuangan</t>
  </si>
  <si>
    <t xml:space="preserve">EVALUASI TERHADAP HASIL RENCANA PEMBANGUNAN JANGKA MENENGAH DAERAH </t>
  </si>
  <si>
    <t>KABUPATEN HULU SUNGAI SELATAN</t>
  </si>
  <si>
    <t>Indeks</t>
  </si>
  <si>
    <t>BB</t>
  </si>
  <si>
    <t>%</t>
  </si>
  <si>
    <t>Program Pengendalian Pembangunan Daerah</t>
  </si>
  <si>
    <t>Program Evaluasi Pembangunan Daerah</t>
  </si>
  <si>
    <t>Nilai</t>
  </si>
  <si>
    <t>Program Peningkatan Pelayanan Kinerja Perangkat Daerah</t>
  </si>
  <si>
    <t>tabel 5.2 rpjmd, misi 5, hal 207</t>
  </si>
  <si>
    <t>tabel  6,1 renstra kolom 5</t>
  </si>
  <si>
    <t>tabel  6,1 renstra kolom 6</t>
  </si>
  <si>
    <t>tabel  6,1 renstra kolom 9</t>
  </si>
  <si>
    <t>tabel  6,1 renstra kolom 18</t>
  </si>
  <si>
    <t>tabel  6,1 Renstra kolom 19</t>
  </si>
  <si>
    <t>tabel  6,1 Renstra kolom 10</t>
  </si>
  <si>
    <t>tabel  6,1 renstra kolom 11</t>
  </si>
  <si>
    <t>sistem emonev triwulan II</t>
  </si>
  <si>
    <t>Program Peningkatan Akses Pendidikan Anak Usia Dini</t>
  </si>
  <si>
    <t>Program Peningkatan Mutu Pendidikan Sekolah Dasar</t>
  </si>
  <si>
    <t>Program Pelayanan Kesehatan Masyarakat</t>
  </si>
  <si>
    <t>A</t>
  </si>
  <si>
    <t>Program Pengembangan dan Pengelolaan Jaringan Irigasi, Rawa dan Jaringan Pengairan Lainnya</t>
  </si>
  <si>
    <t>Program Pengembangan Pengelolaan dan Konservasi Sungai, Danau dan Lainnya</t>
  </si>
  <si>
    <t>Program Pembangunan Jalan dan Jembatan</t>
  </si>
  <si>
    <t>Program Pemeliharaan Jalan dan Jembatan</t>
  </si>
  <si>
    <t>Program Pembangunan Sarana dan Prasarana Publik</t>
  </si>
  <si>
    <t>Program Pemberdayaan Penyandang Masalah Kesejahteraan Sosial (PMKS)</t>
  </si>
  <si>
    <t>Menurunnya tingkat penganguran terbuka</t>
  </si>
  <si>
    <t>Program Peningkatan Kesempatan Kerja</t>
  </si>
  <si>
    <t>Program Peningkatan Kualitas dan Perlindungan Tenaga Kerja</t>
  </si>
  <si>
    <t>Meningkatnya laju pertumbuhan ekonomi sektor unggulan</t>
  </si>
  <si>
    <t>Program Diversifikasi dan Keamanan Pangan</t>
  </si>
  <si>
    <t>Skor</t>
  </si>
  <si>
    <t>Program Penguatan Cadangan Pangan Pemda dan Masyarakat</t>
  </si>
  <si>
    <t>Program Pengendalian Pencemaran dan Perusakan Lingkungan Hidup</t>
  </si>
  <si>
    <t>Program Pengembangan Kinerja Pengelolaan Persampahan</t>
  </si>
  <si>
    <t>Program Pengembangan Lembaga Ekonomi Perdesaan</t>
  </si>
  <si>
    <t>Program Pembinaan dan Pelayanan Pemerintahan Desa</t>
  </si>
  <si>
    <t>Meningkatnya akuntabilitas instansi pemerintah dan kualitas pelayanan publik</t>
  </si>
  <si>
    <t>Program Peningkatan Realisasi Investasi</t>
  </si>
  <si>
    <t>Program Peningkatan Pelayanan Perizinan</t>
  </si>
  <si>
    <t>Meningkatnya pemanfaatan potensi pariwisata dan kebudayaan bagi masyarakat</t>
  </si>
  <si>
    <t>Program Pengembangan Kemitraan</t>
  </si>
  <si>
    <t>Program Pengembangan Pemasaran Pariwisata</t>
  </si>
  <si>
    <t>Program Pengembangan Destinasi Pariwisata</t>
  </si>
  <si>
    <t>Program Peningkatan Budaya Baca</t>
  </si>
  <si>
    <t>Program Peningkatan Sistem Pengawasan Internal dan Pengendalian Pelaksanaan Kebijakan KDH</t>
  </si>
  <si>
    <t>Program Peningkatan Produksi Perikanan Budidaya</t>
  </si>
  <si>
    <t>Program Peningkatan Produksi Perikanan Tangkap</t>
  </si>
  <si>
    <t>Program Peningkatan Pengolahan dan Pemasaran Hasil Perikanan</t>
  </si>
  <si>
    <t>Program Peningkatan Kesejahteraan Petani Ikan</t>
  </si>
  <si>
    <t>Program Peningkatan Mutu Pendidikan Anak Usia Dini</t>
  </si>
  <si>
    <t>Program Peningkatan Mutu Pendidikan Masyarakat</t>
  </si>
  <si>
    <t>Program Keluarga Berencana dan Kesehatan Reproduksi Remaja (KRR)</t>
  </si>
  <si>
    <t>Program Standarisasi Pelayanan Kesehatan (BLUD)</t>
  </si>
  <si>
    <t>Meningkatnya pelayanan dasar bagi masyarakat</t>
  </si>
  <si>
    <t>Program Peningkatan Peran Serta dan Kesetaraan Gender dalam Pembangunan</t>
  </si>
  <si>
    <t>Program Peningkatan Perlindungan hak Perempuan</t>
  </si>
  <si>
    <t>Program Peningkatan Perlindungan Anak</t>
  </si>
  <si>
    <t>Program Pemenuhan Hak Anak dan Peningkatan Kualitas Hidup Anak</t>
  </si>
  <si>
    <t>Meningkatnya kualitas lingkungan hidup</t>
  </si>
  <si>
    <t>Program Peningkatan Kualitas Pelaporan Keuangan Daerah</t>
  </si>
  <si>
    <t>Meningkatnya penggunaan sistem informasi daerah</t>
  </si>
  <si>
    <t>Meningkatnya kehidupan sosial keagamaan</t>
  </si>
  <si>
    <t>Program peningkatan akses sarana dan prasarana kesehatan</t>
  </si>
  <si>
    <t>Program Pengendalian dan pencegahan penyakit</t>
  </si>
  <si>
    <t>Program Perbaikan Gizi masyarakat</t>
  </si>
  <si>
    <t>Program peningkatan mutu sarana dan prasarana kesehatan</t>
  </si>
  <si>
    <t>Meningkatnya akses dan kualitas pelayanan kesehatan</t>
  </si>
  <si>
    <t>Tercukupinya ketersediaan pangan yang beragam dan aman</t>
  </si>
  <si>
    <t>Program Peningkatan Akses Pendidikan Sekolah Dasar</t>
  </si>
  <si>
    <t>Program Peningkatan Mutu Pendidikan Sekolah Menengah Pertama</t>
  </si>
  <si>
    <t>Program Peningkatan Kualitas Layanan Puskesmas dan Jaringannya</t>
  </si>
  <si>
    <t>Program Peningkatan Kualitas Pelayanan Publik</t>
  </si>
  <si>
    <t>Meningkatnya perlindungan sosial dan masyarakat</t>
  </si>
  <si>
    <t>Program perlindungan penyandang masalah kesejahteraan sosial (PMKS)</t>
  </si>
  <si>
    <t>Menurunnya kemiskinan dan kesenjangan antar wilayah</t>
  </si>
  <si>
    <t>Program Peningkatan usaha sektor perdagangan</t>
  </si>
  <si>
    <t>Program Perlindungan konsumen dan pengamanan perdagangan</t>
  </si>
  <si>
    <t>Program Peningkatan sarana dan jaringan distribusi perdagangan</t>
  </si>
  <si>
    <t>Program Peningkatan Produktivitas Tanaman Pangan</t>
  </si>
  <si>
    <t>Program Peningkatan Produksi Perkebunan</t>
  </si>
  <si>
    <t>Program Peningkatan Produksi Hortikultura</t>
  </si>
  <si>
    <t>Program Peningkatan Pengolahan dan Pemasaran Hasil Pertanian</t>
  </si>
  <si>
    <t>Program Peningkatan Kesejahteraan Petani</t>
  </si>
  <si>
    <t>Program Peningkatan Sarana Prasarana Pertanian</t>
  </si>
  <si>
    <t>Meningkatnya Pendapatan Asli Daerah (PAD)</t>
  </si>
  <si>
    <t>Program Peningkatan dan Pengembangan Pengelolaan PAD dan Dana Perimbangan</t>
  </si>
  <si>
    <t>Program Peningkatan Pengelolaan PBB dan BPHTB</t>
  </si>
  <si>
    <t>Meningkatnya investasi PMDN</t>
  </si>
  <si>
    <t>Program  Penguatan  Iklim  Investasi</t>
  </si>
  <si>
    <t>Meningkatnya infrastruktur ekonomi dan sosial yang berkualitas</t>
  </si>
  <si>
    <t>Meningkatnya kapasitas pemberdayaan kelompok masyarakat</t>
  </si>
  <si>
    <t>Program Peningkatan Pemberdayaan Masyarakat Perdesaaan</t>
  </si>
  <si>
    <t>Meningkatnya pemberdayaan responsif gender dan perlindungan terhadap anak</t>
  </si>
  <si>
    <t>Program Peningkatan Akuntabilitas Kinerja Aparatur dan Instansi Pemerintah</t>
  </si>
  <si>
    <t>Meningkatnya kinerja keuangan dan kinerja birokrasi</t>
  </si>
  <si>
    <t>Program Pemanfaatan Teknologi Informasi</t>
  </si>
  <si>
    <t>Predikat</t>
  </si>
  <si>
    <t>B</t>
  </si>
  <si>
    <t>WTP</t>
  </si>
  <si>
    <t>Program Peningkatan Mutu dan Akses Perpustakaan</t>
  </si>
  <si>
    <t>Persentase Badan Usaha Milik Desa Yang Berkembang</t>
  </si>
  <si>
    <t>Persentase Tenaga Kerja Yang Kompeten</t>
  </si>
  <si>
    <t>Persentase Angkatan Kerja Yang Ditempatkan</t>
  </si>
  <si>
    <t>Persentase Peningkatan Kapasitas Produk Industri Kecil</t>
  </si>
  <si>
    <t>Persentase Koperasi Aktif</t>
  </si>
  <si>
    <t>Thn</t>
  </si>
  <si>
    <t>Rp.</t>
  </si>
  <si>
    <t>Program Promosi kesehatan</t>
  </si>
  <si>
    <t>Persentase penduduk yang memiliki jaminan kesehatan</t>
  </si>
  <si>
    <t>Persentase pemenuhan akses prasarana kesehatan</t>
  </si>
  <si>
    <t>Persentase pemenuhan layanan promosi kesehatan</t>
  </si>
  <si>
    <t>Persentase Pemenuhan pencapaian SPM pelayanan kesehatan dasar pada bayi, balita, anak usia sekolah dasar,  ibu, dan lansia</t>
  </si>
  <si>
    <t>Persentase fasyankes yang terakreditasi paripurna</t>
  </si>
  <si>
    <t>Persentase Pemenuhan pencapaian SPM pelayanan kesehatan dasar penyakit menular dan tidak menular</t>
  </si>
  <si>
    <t>Persentase pemenuhan capaian indikator pengendalian penyakit menular</t>
  </si>
  <si>
    <t>Meningkatnya akses dan kualitas pelayanan pendidikan</t>
  </si>
  <si>
    <t>1. Meningkatnya akses dan kualitas pelayanan pendidikan</t>
  </si>
  <si>
    <t>2. Meningkatnya akses dan kualitas pelayanan kesehatan</t>
  </si>
  <si>
    <t>3. Tercukupinya ketersediaan pangan yang beragam dan aman</t>
  </si>
  <si>
    <t>4. Meningkatnya pelayanan dasar bagi masyarakat</t>
  </si>
  <si>
    <t>5. Meningkatnya perlindungan sosial dan masyarakat</t>
  </si>
  <si>
    <t>Program Peningkatan Akses Pendidikan Sekolah Menengah Pertama</t>
  </si>
  <si>
    <t>APK PAUD Formal</t>
  </si>
  <si>
    <t>Angka Partisipasi Kasar (APK) SD</t>
  </si>
  <si>
    <t>Angka Partisipasi Murni (APM) SD</t>
  </si>
  <si>
    <t>Angka Putus Sekolah (APS) SD</t>
  </si>
  <si>
    <t>Angka Partisipasi Kasar (APK) SMP</t>
  </si>
  <si>
    <t>Angka Partisipasi Murni (APM) SMP</t>
  </si>
  <si>
    <t>Angka Putus Sekolah (APS) SMP</t>
  </si>
  <si>
    <t>Program Peningkatan Akses Pendidikan Masyarakat</t>
  </si>
  <si>
    <t>Angka Partisipasi Sekolah</t>
  </si>
  <si>
    <t>Persentase Peningkatan bahan Pustaka</t>
  </si>
  <si>
    <t>Persentase Jangkauan Layanan Perpustakaan</t>
  </si>
  <si>
    <t>Persentase Perpustakaan Desa dan Keluarahan yang Aktif</t>
  </si>
  <si>
    <t>Persentase pemenuhan akses sarana kesehatan</t>
  </si>
  <si>
    <t>Program Peningkatan Kesehatan Keluarga</t>
  </si>
  <si>
    <t>Persentase organisasi yang menindaklanjuti kesepakatan pendewasaan usia perkawinan</t>
  </si>
  <si>
    <t>Persentase pasangan usia subur yang menjadi peserta KB aktif</t>
  </si>
  <si>
    <t>Program Pembangunan/Pemeliharaan Gedung Pelayanan RSUD Brigjend H. Hasan Basry Kandangan</t>
  </si>
  <si>
    <t>Indeks Kepuasan Masyarakat</t>
  </si>
  <si>
    <t>Persentase Fasyankes Yang Terakreditasi Sempurna</t>
  </si>
  <si>
    <t>Jumlah Cadangan Pangan Pemda dan Masyarakat</t>
  </si>
  <si>
    <t>Ton</t>
  </si>
  <si>
    <t>Program Ketersediaan dan Distribusi Pangan</t>
  </si>
  <si>
    <t>Tingkat Fluktuasi harga</t>
  </si>
  <si>
    <t>Persentase Pangan Segar yang Tercemar</t>
  </si>
  <si>
    <t>Skor PPH Konsumsi</t>
  </si>
  <si>
    <t>≤ 20</t>
  </si>
  <si>
    <t>≤ 10</t>
  </si>
  <si>
    <t xml:space="preserve">Persentase Pemenuhan SPM/SNP PAUD </t>
  </si>
  <si>
    <t>Persentase pemenuhan Aspek SPM  Dikmas</t>
  </si>
  <si>
    <t>Persentase pemenuhan SPM/SNP SD</t>
  </si>
  <si>
    <t>Persentase pemenuhan SPM/SNP SMP</t>
  </si>
  <si>
    <t xml:space="preserve">Persentase pemenuhan Kualitas Prasarana Kesehatan  </t>
  </si>
  <si>
    <t>Program Peningkatan Akses dan Mutu Air Bersih</t>
  </si>
  <si>
    <t xml:space="preserve">Persentase penduduk / rumah tangga yang terakses air bersih </t>
  </si>
  <si>
    <t>Program Lingkungan Perumahan dan Permukiman Sehat</t>
  </si>
  <si>
    <t>Persentase kawasan perumahan dan permukiman sehat</t>
  </si>
  <si>
    <t>Program Peningkatan Potensi dan Sumber Kesejahteraan Sosial (PSKS)</t>
  </si>
  <si>
    <t>Cakupan Lembaga/Organisasi sosial, yang aktif dalam penanganan masalah sosial</t>
  </si>
  <si>
    <t>Program Pelayanan dan Rehabilitasi Kesejahteraan Sosial</t>
  </si>
  <si>
    <t>Tingkat pelayanan sosial terhadap Penyandang Masalah Kesejahteraan Sosial (PMKS)</t>
  </si>
  <si>
    <t>Tingkat rehabilitasi sosial terhadap Penyandang Masalah Kesejahteraan Sosial (PMKS)</t>
  </si>
  <si>
    <t>Program Peningkatan Keluarga Sejahtera</t>
  </si>
  <si>
    <t>Persentase instansi KB yang menyelenggarakan kegiatan sinkronisasi dan keterpaduan program KKBPK</t>
  </si>
  <si>
    <t>6. Menurunnya kemiskinan dan kesenjangan antar wilayah</t>
  </si>
  <si>
    <t>7. Menurunnya tingkat penganguran terbuka</t>
  </si>
  <si>
    <t>8. Meningkatnya laju pertumbuhan ekonomi sektor unggulan</t>
  </si>
  <si>
    <t>9. Meningkatnya Pendapatan Asli Daerah (PAD)</t>
  </si>
  <si>
    <t>10. Meningkatnya investasi PMDN</t>
  </si>
  <si>
    <t>Tingkat Pemberdayaan  sosial terhadap Penyandang Masalah Kesejahteraan Sosial (PMKS)</t>
  </si>
  <si>
    <t>Tingkat Perlindungan sosial terhadap Penyandang Masalah Kesejahteraan Sosial (PMKS)</t>
  </si>
  <si>
    <t>Persentase Kasus Yang Diselesaikan Melalui Perjanjian Bersama (PB)</t>
  </si>
  <si>
    <t>Persentase produk industri yang bersertifikasi mutu</t>
  </si>
  <si>
    <t>Program Pengembangan Sentra Industri</t>
  </si>
  <si>
    <t>Program Peningkatan Mutu Produk Industri</t>
  </si>
  <si>
    <t>Persentase Pengembangan Sentra Industri</t>
  </si>
  <si>
    <t>Persentase pelaku usaha perdagangan non formal terhadap pelaku perdagangan formal</t>
  </si>
  <si>
    <t>PAD sub sektor perdagangan (kemetrologian)</t>
  </si>
  <si>
    <t>Persentase kualitas sarana distribusi perdagangan dalam kondisi baik</t>
  </si>
  <si>
    <t>PAD sub sektor perdagangan (pelayanan pasar)</t>
  </si>
  <si>
    <t>M</t>
  </si>
  <si>
    <t xml:space="preserve">Produksi Padi </t>
  </si>
  <si>
    <t>Produksi Jagung</t>
  </si>
  <si>
    <t>253.653</t>
  </si>
  <si>
    <t>256.620</t>
  </si>
  <si>
    <t>Produksi Karet</t>
  </si>
  <si>
    <t>Produksi Kayu Manis</t>
  </si>
  <si>
    <t>Produksi Kelapa</t>
  </si>
  <si>
    <t>Produksi Aren</t>
  </si>
  <si>
    <t>124.692</t>
  </si>
  <si>
    <t>115.842</t>
  </si>
  <si>
    <t>Produksi Cabe</t>
  </si>
  <si>
    <t>Produksi Tomat</t>
  </si>
  <si>
    <t>Produksi Bawang Merah</t>
  </si>
  <si>
    <t>Program Peningkatan Populasi Ternak</t>
  </si>
  <si>
    <t>Jumlah populasi ternak besar (sapi + kerbau)</t>
  </si>
  <si>
    <t>Jumlah populasi ternak kecil (kambing)</t>
  </si>
  <si>
    <t>Jumlah populasi ternak unggas(ayam ras+ayam broiler+itik)</t>
  </si>
  <si>
    <t>Ekor</t>
  </si>
  <si>
    <t>3.012.120</t>
  </si>
  <si>
    <t>Program Pengendalian dan Pencegahan Penyakit Ternak</t>
  </si>
  <si>
    <t>Terkendalinya kasus zoonosis</t>
  </si>
  <si>
    <t xml:space="preserve">Penambahan jumlah alat pasca panen </t>
  </si>
  <si>
    <t>Buah</t>
  </si>
  <si>
    <t>Kenaikan Kelas Kelompok Tani</t>
  </si>
  <si>
    <t>Kelas</t>
  </si>
  <si>
    <t>Jumlah pengembangan optimasi lahan dan pemulihan kesuburan tanah</t>
  </si>
  <si>
    <t>Ha</t>
  </si>
  <si>
    <t>Produksi perikanan budidaya</t>
  </si>
  <si>
    <t>Produksi perikanan tangkap</t>
  </si>
  <si>
    <t>Persentase peningkatan kapasitas petani ikan/nelayan</t>
  </si>
  <si>
    <t>Milyar Rupiah</t>
  </si>
  <si>
    <t>Jumlah Peningkatan Realisasi pajak daerah non PBB dan BPHTB</t>
  </si>
  <si>
    <t>Jumlah Peningkatan Realisasi PBB-P2 dan BPHTB</t>
  </si>
  <si>
    <t>Rupiah</t>
  </si>
  <si>
    <t>770.000.000.000</t>
  </si>
  <si>
    <t>11. Meningkatnya pemanfaatan potensi pariwisata dan kebudayaan bagi masyarakat</t>
  </si>
  <si>
    <t>3.223.750.000</t>
  </si>
  <si>
    <t>9.073.800.000</t>
  </si>
  <si>
    <t xml:space="preserve">Jumlah kunjungan wisatawan </t>
  </si>
  <si>
    <t>orang/ wisatawan</t>
  </si>
  <si>
    <t>243.305</t>
  </si>
  <si>
    <t>Lama tinggal wisatawan (Length of Stay)</t>
  </si>
  <si>
    <t>Malam</t>
  </si>
  <si>
    <t>Program Pengelolaan Kekayaan dan Keragaman Budaya</t>
  </si>
  <si>
    <t>Persentase tingkat pengembangan seni dan budaya</t>
  </si>
  <si>
    <t>Program Peningkatan Kualitas Koperasi</t>
  </si>
  <si>
    <t>persentase SDM Koperasi aktif yang berkualitas</t>
  </si>
  <si>
    <t>Persentase SDM Usaha Kecil yang Berkualitas</t>
  </si>
  <si>
    <t>12. Meningkatnya infrastruktur ekonomi dan sosial yang berkualitas</t>
  </si>
  <si>
    <t>Tujuan/Sasaran</t>
  </si>
  <si>
    <t>Meningkatkan kualitas sumber daya manusia dan pelayanan dasar lainnya</t>
  </si>
  <si>
    <t>I</t>
  </si>
  <si>
    <t>1). Harapan lama sekolah</t>
  </si>
  <si>
    <t>2). Rata-rata lama sekolah</t>
  </si>
  <si>
    <t>3). Persentase PAUD formal terakreditasi A</t>
  </si>
  <si>
    <t>4). Persentase satuan pendidikan terakreditasi A</t>
  </si>
  <si>
    <t>Sedang</t>
  </si>
  <si>
    <t>II</t>
  </si>
  <si>
    <t>Meningkatkan pertumbuhan ekonomi yang berkualitas dan inklusif yang berdampak terhadap angka kemiskinan</t>
  </si>
  <si>
    <t>5). Angka Harapan Hidup/Umur Harapan Hidup</t>
  </si>
  <si>
    <t>6). Persentase wanita pernah kawin usia (15-49) tahun  menurut usia kawin pertama; usia ≤ 20 tahun</t>
  </si>
  <si>
    <t>7). Tingkat kesehatan Rumah Sakit (RS)</t>
  </si>
  <si>
    <t>8). Persentase fasilitas kesehatan yang terakreditasi paripurna</t>
  </si>
  <si>
    <t>9). PPH Ketersediaan</t>
  </si>
  <si>
    <t xml:space="preserve">10). Persentase capaian perangkat daerah dalam menerapkan SPM </t>
  </si>
  <si>
    <t>11). Persentase angka PMKS yang mandiri</t>
  </si>
  <si>
    <t>2. Tingkat kemiskinan</t>
  </si>
  <si>
    <t>1. Indeks Pembangunan Manusia (IPM)</t>
  </si>
  <si>
    <t>10.000.000</t>
  </si>
  <si>
    <t>45.000.000</t>
  </si>
  <si>
    <t>SKPD Penanggung Jawab</t>
  </si>
  <si>
    <t>Dinas Pendidikan</t>
  </si>
  <si>
    <t>Dinas Perpustakaan dan Kearsipan</t>
  </si>
  <si>
    <t>Dinas Kesehatan</t>
  </si>
  <si>
    <t>Dinas Pengendalian Penduduk, Keluarga Berencana, Pemberdayaan Perempuan dan Perlindungan Anak</t>
  </si>
  <si>
    <t>RSUD Brigjend H. Hasan Basry</t>
  </si>
  <si>
    <t>Dinas Ketahanan Pangan</t>
  </si>
  <si>
    <t>Dinas Pendidikan, Dinas Kesehatan, Dinas PUTR, Dispera KPLH</t>
  </si>
  <si>
    <t>Dinas Sosial</t>
  </si>
  <si>
    <t>Badan Penanggulangan Bencana, Kesatuan Bangsa dan Politik</t>
  </si>
  <si>
    <t>Dinas Tenaga Kerja, Koperasi, Usaha Kecil dan Perindustrian</t>
  </si>
  <si>
    <t>Dinas Perdagangan</t>
  </si>
  <si>
    <t>Dinas Pertanian, Dinas Perikanan, Disnakerkop UKP</t>
  </si>
  <si>
    <t>Produksi Kacang Tanah (Lahan Kering)</t>
  </si>
  <si>
    <t>Persentase Regulasi Potensi Investasi Yang ditindaklanjuti / Persentase kepatuhan  investor terhadap per Undang-undangan.</t>
  </si>
  <si>
    <t>Dinas Pertanian</t>
  </si>
  <si>
    <t>Dinas Perikanan</t>
  </si>
  <si>
    <t>Badan Keuangan Daerah</t>
  </si>
  <si>
    <t>Dinas Penanaman Modal, Pelayanan Terpadu Satu Pintu</t>
  </si>
  <si>
    <t>Dinas Pemuda, Olahraga dan Pariwisata</t>
  </si>
  <si>
    <t>3. Laju Pertumbuhan Ekonomi</t>
  </si>
  <si>
    <t>Indikator Kinerja Tujuan/Sasaran/Program</t>
  </si>
  <si>
    <t>III</t>
  </si>
  <si>
    <t>Meningkatkan infrastruktur ekonomi dan sosial yang berkualitas</t>
  </si>
  <si>
    <t>4. Persentase infrastruktur ekonomi dan sosial yang berkualitas</t>
  </si>
  <si>
    <t>Dinas Pekerjaan Umum dan Tata Ruang</t>
  </si>
  <si>
    <t>Panjang jalan dalam kondisi baik</t>
  </si>
  <si>
    <t>KM</t>
  </si>
  <si>
    <t>Program Rehabilitasi Jalan dan Jembatan</t>
  </si>
  <si>
    <t>Program Pengendalian Dan Pengamanan Lalu Lintas Angkutan Jalan</t>
  </si>
  <si>
    <t>Persentase aspek penyebab kemacetan yang teratasi</t>
  </si>
  <si>
    <t>Persentase angkutan umum yang laik jalan</t>
  </si>
  <si>
    <t>Program Pengendalian Dan Pengamanan Lalu Lintas Angkutan Sungai Dan Danau</t>
  </si>
  <si>
    <t>Persentase angkutan sungai dan danau yang laik layar</t>
  </si>
  <si>
    <t>Dinas Perhubungan</t>
  </si>
  <si>
    <t>Persentase jaringan irigasi dalam kondisi baik</t>
  </si>
  <si>
    <t>Jumlah bangunan pelayanan publik yang berfungsi baik</t>
  </si>
  <si>
    <t>Program Pengelolaan Air Limbah dan Drainase</t>
  </si>
  <si>
    <t>Persentase drainase yang berfungsi dengan baik</t>
  </si>
  <si>
    <t>Persentase KK yang terlayani air limbah domestik</t>
  </si>
  <si>
    <t>Program Pembinaan Jasa Kontruksi</t>
  </si>
  <si>
    <t>Persentase Tenaga Terampil yang Bersertifikat</t>
  </si>
  <si>
    <t>Persentase kecukupan RTH Publik</t>
  </si>
  <si>
    <t>Program Penataan dan Penguasaan Tanah</t>
  </si>
  <si>
    <t>Persentase penguasaan fisik tanah yang teradministrasi</t>
  </si>
  <si>
    <t>Program Pengelolaan ruang terbuka hijau (RTH) dan areal pemakaman</t>
  </si>
  <si>
    <t>Program Pengelolaan Penerangan Jalan Umum</t>
  </si>
  <si>
    <t>Rasio jumlah titik PJU terhadap panjang jalan</t>
  </si>
  <si>
    <t>Dinas Perumahan Rakyat, Kawasan Permukiman dan Lingkungan Hidup</t>
  </si>
  <si>
    <t>IV</t>
  </si>
  <si>
    <t>Meningkatkan sumber daya daerah dan kualitas lingkungan hidup dalam menjamin pembangunan berkelanjutan</t>
  </si>
  <si>
    <t>5. Indeks Desa Membangun (IDM)</t>
  </si>
  <si>
    <t>12). Tingkat kemiskinan</t>
  </si>
  <si>
    <t>13). Indeks Gini</t>
  </si>
  <si>
    <t>14). Tingkat pengangguran terbuka</t>
  </si>
  <si>
    <t>15). Laju  pertumbuhan ekonomi kategori industri pengolahan</t>
  </si>
  <si>
    <t>16). Laju  pertumbuhan ekonomi kategori  perdagangan besar, eceran, reparasi mobil dan sepeda motor</t>
  </si>
  <si>
    <t>17). Laju pertumbuhan  ekonomi kategori  pertanian, kehutanan dan perikanan</t>
  </si>
  <si>
    <t>18). Persentase koperasi sehat</t>
  </si>
  <si>
    <t>19). Peningkatan retribusi dan pajak daerah</t>
  </si>
  <si>
    <t>20). Persentase peningkatan Penanaman Modal</t>
  </si>
  <si>
    <t>21). Tingkat Pengeluaran Wisatawan (Spending of money)</t>
  </si>
  <si>
    <t>22). Persentase kondisi jalan baik dengan kecepatan ≥ 40 Km/jam</t>
  </si>
  <si>
    <t>23). Persentase kinerja sistem jaringan irigasi</t>
  </si>
  <si>
    <t>24). Persentase kecukupan sarana dan prasarana publik</t>
  </si>
  <si>
    <t>25). Persentase kecukupan RTH Publik</t>
  </si>
  <si>
    <t>26). Persentase perumahan dan kawasan permukiman yang berkualitas</t>
  </si>
  <si>
    <t>27). Indeks Desa Membangun (IDM)</t>
  </si>
  <si>
    <t>Dinas Pemberdayaan Masyarakat dan Desa</t>
  </si>
  <si>
    <t>Program Peningkatan Peran Serta Kepemudaan</t>
  </si>
  <si>
    <t>Persentase pemuda berprestasi dari unsur organisasi kepemudaan &amp; pemuda berprestasi bidang kepaskibrakaan</t>
  </si>
  <si>
    <t>Program Peningkatan Prestasi Dan Pemasyarakatan Olahraga</t>
  </si>
  <si>
    <t>Persentase nomor cabang olahraga yang meraih  medali pada POPDA tingkat provinsi</t>
  </si>
  <si>
    <t>6. Indeks Pembangunan Gender (IPG)</t>
  </si>
  <si>
    <t>Persentase organisasi perempuan penyedia pelayanan perlindungan perempuan yang aktif</t>
  </si>
  <si>
    <t>Tingkat pemenuhan aspek Desa/Kelurahan Layak Anak berbasis kluster</t>
  </si>
  <si>
    <t>28). Indeks Pembangunan Gender (IPG)</t>
  </si>
  <si>
    <t>29). Persentase desa/kelurahan layak anak</t>
  </si>
  <si>
    <t>30). Indeks kualitas lingkungan hidup</t>
  </si>
  <si>
    <t>7. Indeks kualitas lingkungan hidup</t>
  </si>
  <si>
    <t>Persentase cakupan sampah yang dikelola secara Control landfill</t>
  </si>
  <si>
    <t>Persentase cakupan sampah yang dikelola dengan pola 3R</t>
  </si>
  <si>
    <t>Persentase luasan layanan persampahan</t>
  </si>
  <si>
    <t>13. Meningkatnya kapasitas pemberdayaan kelompok masyarakat</t>
  </si>
  <si>
    <t>14. Meningkatnya pemberdayaan responsif gender dan perlindungan terhadap anak</t>
  </si>
  <si>
    <t>15. Meningkatnya kualitas lingkungan hidup</t>
  </si>
  <si>
    <t>16. Meningkatnya akuntabilitas instansi pemerintah dan kualitas pelayanan publik</t>
  </si>
  <si>
    <t>17. Meningkatnya kinerja keuangan dan kinerja birokrasi</t>
  </si>
  <si>
    <t>18. Meningkatnya penggunaan sistem informasi daerah</t>
  </si>
  <si>
    <t>19. Meningkatnya kehidupan sosial keagamaan</t>
  </si>
  <si>
    <t>V</t>
  </si>
  <si>
    <t>Meningkatkan tata kelola pemerintahan yang baik dan bersih serta layanan publik yang berkualitas berbasis teknologi informasi</t>
  </si>
  <si>
    <t>8. Indeks Reformasi Birokrasi</t>
  </si>
  <si>
    <t>Bagian Organisasi dan Pendayagunaan Aparatur Daerah Sekretariat Daerah</t>
  </si>
  <si>
    <t>Nilai / Predikat AKIP pada komponen pelaporan</t>
  </si>
  <si>
    <t xml:space="preserve">Program Peningkatan Penyelenggaraan Pemerintahan  Daerah </t>
  </si>
  <si>
    <t>Nilai LPPD</t>
  </si>
  <si>
    <t>Persentase Peningkatan Administrasi Pemerintahan dan Kewilayahan</t>
  </si>
  <si>
    <t>Tingkat pemenuhan aspek kualitas dokumen AKIP</t>
  </si>
  <si>
    <t>Tingkat pemenuhan aspek kualitas dokumen Keuangan daerah</t>
  </si>
  <si>
    <t>Program Pelayanan Administrasi Perkantoran RSUD Daha Sejahtera</t>
  </si>
  <si>
    <t>Program Peningkatan Sarana dan Prasarana Aparatur RSUD Daha Sejahtera</t>
  </si>
  <si>
    <t>Program Penyelenggaraan Pemerintahan Umum dan Pemberdayaan Masyarakat</t>
  </si>
  <si>
    <t>Persentase Penyelenggaraan Urusan Pemerintahan Umum dan Kewenangan Lainnya dilaksanakan dengan baik</t>
  </si>
  <si>
    <t>Program Pembinaan Kesatuan Bangsa dan Politik</t>
  </si>
  <si>
    <t>Cakupan kemitraan dengan kelembagaan organisasi masyarakat yang terdaftar</t>
  </si>
  <si>
    <t>Bagian Pemerintahan Sekretariat Daerah</t>
  </si>
  <si>
    <t>Inspektorat</t>
  </si>
  <si>
    <t>RSUD Daha Sejahtera</t>
  </si>
  <si>
    <t>Semua Kecamatan</t>
  </si>
  <si>
    <t>Jumlah inovasi yang lolos nasional</t>
  </si>
  <si>
    <t>Persentase pemenuhan aspek penyelenggaraan pelayanan publik minimal baik (B)</t>
  </si>
  <si>
    <t>Program Peningkatan Sarana Prasarana dan Peralatan Kesehatan Penunjang Medik/Non Medik</t>
  </si>
  <si>
    <t>Persentase  Pemenuhan Aspek Sarana  IPP RSUD</t>
  </si>
  <si>
    <t>Prog.Peningkatan Pelayanan Kependudukan</t>
  </si>
  <si>
    <t>Cakupan penerbitan dokumen kependudukan</t>
  </si>
  <si>
    <t>Program Pelayanan Informasi Data Kependudukan</t>
  </si>
  <si>
    <t xml:space="preserve">Validitas database kependudukan </t>
  </si>
  <si>
    <t>Program Peningkatan Pelayanan Catatan Sipil</t>
  </si>
  <si>
    <t>Cakupan Penerbitan Dokumen Pencatatan Sipil</t>
  </si>
  <si>
    <t>Program Mengintensifkan Penanganan Pengaduan Masyarakat</t>
  </si>
  <si>
    <t>Persentase Pengaduan Masyarakat Yang Ditindak Lanjuti</t>
  </si>
  <si>
    <t>Program Peningkatan Pengelolaan Arsip Daerah</t>
  </si>
  <si>
    <t xml:space="preserve">Persentase OPD yang mengelola Arsip </t>
  </si>
  <si>
    <t>Program Pelayanan Administrasi Perkantoran</t>
  </si>
  <si>
    <t>Tingkat kepuasan pelayanan</t>
  </si>
  <si>
    <t>Program Peningkatan Sarana dan Prasarana Aparatur</t>
  </si>
  <si>
    <t>Persentase APIP yang memiliki Standar Kompetensi Jabatan</t>
  </si>
  <si>
    <t>Program Peningkatan Pelayanan Perundang -Undangan dan Hubungan Masyarakat</t>
  </si>
  <si>
    <t>Persentase Fasilitasi Rapat-rapat Dewan Tepat Waktu</t>
  </si>
  <si>
    <t>Program Peningkatan Kualitas Pelayanan Penganggaran dan Pengawasan</t>
  </si>
  <si>
    <t>Persentase Fasilitasi Keluhan / Pengaduan Masyarakat</t>
  </si>
  <si>
    <t>Program Peningkatan Disiplin Aparatur</t>
  </si>
  <si>
    <t>Tingkat Kepuasan Pelayanan</t>
  </si>
  <si>
    <t>Program Perumusan Kebijakan Penerapan Hukum dan Perundang-undangan</t>
  </si>
  <si>
    <t>Persentase produk hukum daerah yang berkualitas</t>
  </si>
  <si>
    <t>Persentase permasalahan hukum yang ditangani dan diselesaikan</t>
  </si>
  <si>
    <t xml:space="preserve">Program Peningkatan Pelayanan Kedinasan Bupati dan Wakil Bupati </t>
  </si>
  <si>
    <t>Tingkat kepuasan Pelayanan Pimpinan Daerah</t>
  </si>
  <si>
    <t>Program Pelayanan Keprotokolan dan Kehumasan Pimpinan Daerah</t>
  </si>
  <si>
    <t>Program Peningkatan Kualitas Pelayanan Pengadaan Barang/Jasa</t>
  </si>
  <si>
    <t>Persentasi  PD yang melaksanakan PBJ melalui ULP</t>
  </si>
  <si>
    <t>Persentase Pemenuhan Peningkatan standardisasi Sistem  LPSE</t>
  </si>
  <si>
    <t>Program Perumusan Kebijakan Ekonomi Pembangunan</t>
  </si>
  <si>
    <t>Persentase policy brief bidang perekonomian dan Pembangunan yang dimanfaatkan Bupati</t>
  </si>
  <si>
    <t>Program Implementasi Kerjasama Pemerintahan Daerah</t>
  </si>
  <si>
    <t>Persentase kerjasama pemerintah daerah yang diimplementasikan</t>
  </si>
  <si>
    <t>Dinas Kependudukan dan Catatan Sipil</t>
  </si>
  <si>
    <t>Program Peningkatan Profesionalisme Tenaga Pemeriksa dan Aparatur Pengawasan</t>
  </si>
  <si>
    <t>Sekretariat DPRD</t>
  </si>
  <si>
    <t>Bagian Hukum dan PerUndang-undangan Sekretariat Daerah</t>
  </si>
  <si>
    <t>Bagian Protokol dan Kehumasan Sekretariat Daerah</t>
  </si>
  <si>
    <t>Bagian Layanan Pengadaan Barang/Jasa Sekretariat Daerah</t>
  </si>
  <si>
    <t>Tingkat keselarasan  terhadap dokumen perencanaan</t>
  </si>
  <si>
    <t>Program Perencanaan Pembangunan Daerah</t>
  </si>
  <si>
    <t>Persentase capaian kinerja Perangkat Daerah</t>
  </si>
  <si>
    <t>Persentase capaian kinerja hasil perencanaan pembangunan daerah</t>
  </si>
  <si>
    <t>Program Perencanaan Pembangunan Sektoral</t>
  </si>
  <si>
    <t>Persentase rekomendasi hasil perencanaan pembangunan sektoral yang ditindaklanjuti untuk kebijakan daerah</t>
  </si>
  <si>
    <t>Program Penelitian dan Pengembangan</t>
  </si>
  <si>
    <t>Persentase rekomendasi hasil penelitian dan pengembangan yang ditindaklanjuti untuk kebijakan daerah</t>
  </si>
  <si>
    <t>Program Perencanaan dan Pengendalian Tata Ruang</t>
  </si>
  <si>
    <t>Tingkat kesesuaian RTRW dengan pelaksanaan pembangunan</t>
  </si>
  <si>
    <t>Persentase Laporan Keuangan Daerah yang memenuhi aspek Kualitas</t>
  </si>
  <si>
    <t>Program Peningkatan Penatausahaan Barang Milik Daerah</t>
  </si>
  <si>
    <t>Kesesuaian Data Total Neraca BMD dengan Neraca Keuangan</t>
  </si>
  <si>
    <t>Persentase Penurunan Temuan Bersifat Keuangan Hasil Pemeriksaan Inspektorat Kab. HSS</t>
  </si>
  <si>
    <t>persentase penurunan temuan pihak eksternal yang menimbulkan kerugikan keuangan negara/daerah</t>
  </si>
  <si>
    <t xml:space="preserve">Persentase Penyelesaian Rekomendasi Hasil Pemeriksaan Inspektorat Dalam Periode Tertentu </t>
  </si>
  <si>
    <t>Persentase Penyelesaian Rekomendasi Hasil Pemeriksaan Inspektorat Dalam Periode Tertentu</t>
  </si>
  <si>
    <t>Badan Perencanaan Pembangunan, Penelitian dan Pengembangan Daerah</t>
  </si>
  <si>
    <t>Inspektorat Kabupaten</t>
  </si>
  <si>
    <t>Program Pengelolaan Anggaran Keuangan Daerah</t>
  </si>
  <si>
    <t>Lama Waktu Penyusunan RAPBD</t>
  </si>
  <si>
    <t>Bulan</t>
  </si>
  <si>
    <t>Persentase Penyelesaian SP2D yang dinyatakan lengkap dan sah sesuai dengan ketentuan yang Berlaku</t>
  </si>
  <si>
    <t>Persentase JPT (Jabatan Pimpinan Tinggi)  yg melakukan kebijakan promosi  terbuka untuk JPT sesuai dengan undang-undang ASN</t>
  </si>
  <si>
    <t>Program Pengelolaan Adm. dan Penatausahaan Keu. Daerah</t>
  </si>
  <si>
    <t>Program Peningkatan Kapasitas Sumber Daya Aparatur</t>
  </si>
  <si>
    <t>Persentase pegawai yang memiliki sertifikat diklat peningkatan kompetensi teknis</t>
  </si>
  <si>
    <t>Program  Pembinaan Disiplin Aparatur</t>
  </si>
  <si>
    <t>Persentase tingkat penurunan pelanggaran displin PNS</t>
  </si>
  <si>
    <t>Persentase formasi jabatan pelaksana yang terisi sesuai kompetensi dan kualifikasi</t>
  </si>
  <si>
    <t>Persentase Database PNS pada SAPK dan SIMPEG yang Update</t>
  </si>
  <si>
    <t>Program Perumusan Kebijakan Penyelenggaraan Organisasi dan Aparatur Daerah</t>
  </si>
  <si>
    <t>Persentase PD yang tepat fungsi dan tepat ukuran</t>
  </si>
  <si>
    <t>Jumlah SKPD yang terkoneksi dengan intranet ke Server Center Diskominfo</t>
  </si>
  <si>
    <t>SKPD</t>
  </si>
  <si>
    <t>Jumlah Aplikasi e-Government yang berfungsi dengan baik</t>
  </si>
  <si>
    <t>Aplikasi</t>
  </si>
  <si>
    <t xml:space="preserve">Program Pelayanan Informasi dan Media Massa </t>
  </si>
  <si>
    <t>Persentase kegiatan pemerintah kabupaten HSS yang terpublikasi</t>
  </si>
  <si>
    <t xml:space="preserve">Program Pelayanan Statistik dan Sandi Daerah </t>
  </si>
  <si>
    <t xml:space="preserve">Persentase Pengamanan dan Layanan Informasi yang dilaksanakan dengan baik </t>
  </si>
  <si>
    <t>Persentase Perangkat Daerah yang melaksanakan Keterbukaan Informasi Publik (KIP)</t>
  </si>
  <si>
    <t>Persentase Pemerintahan Desa/kel yang berkinerja  baik</t>
  </si>
  <si>
    <t>Dinas Komunikasi dan Informatika</t>
  </si>
  <si>
    <t>Bagian Kesejahteraan Rakyat Sekretariat Daerah</t>
  </si>
  <si>
    <t>31). Predikat AKIP</t>
  </si>
  <si>
    <t>32). Kategori nilai kinerja Unit Pelayanan Publik (UPP)</t>
  </si>
  <si>
    <t>33). Kualitas aspek perencanaan</t>
  </si>
  <si>
    <t>34). Opini WTP BPK terhadap LKPD</t>
  </si>
  <si>
    <t>35). Indeks profesionalisme ASN</t>
  </si>
  <si>
    <t>36). Persentase perangkat daerah yang mengimplementasikan teknologi informasi dengan baik</t>
  </si>
  <si>
    <t>37). Persentase pemerintah desa yang menggunakan teknologi informasi dalam pemberian layanan</t>
  </si>
  <si>
    <t>38). Persentase peningkatan penerimaan zakat</t>
  </si>
  <si>
    <t>Persentase pegawai yang memiliki sertifikat diklat peningkatan kompetensi  manajerial</t>
  </si>
  <si>
    <t>RS Pratama Daha Sejahtera</t>
  </si>
  <si>
    <t>Program Peningkatan Pelayanan Administrasi Kepegawaian</t>
  </si>
  <si>
    <t>≤ 15</t>
  </si>
  <si>
    <t>Ket : LHI RB 2019 dari keMenpan blm keluar</t>
  </si>
  <si>
    <t>Ket : LHI AKIP 2019 dari keMenpan blm keluar</t>
  </si>
  <si>
    <t>Bagian umum Sekretariat Daerah</t>
  </si>
  <si>
    <t>15.740.000</t>
  </si>
  <si>
    <t>No.</t>
  </si>
  <si>
    <t xml:space="preserve">INTERVAL NILAI REALISASI KINERJA </t>
  </si>
  <si>
    <t xml:space="preserve">KRITERIA PENILAIAN REALISASI KINERJA </t>
  </si>
  <si>
    <r>
      <t>(1)</t>
    </r>
    <r>
      <rPr>
        <sz val="7"/>
        <color rgb="FF000000"/>
        <rFont val="Arial Narrow"/>
        <family val="2"/>
      </rPr>
      <t xml:space="preserve">             </t>
    </r>
    <r>
      <rPr>
        <sz val="10"/>
        <color rgb="FF000000"/>
        <rFont val="Arial Narrow"/>
        <family val="2"/>
      </rPr>
      <t> </t>
    </r>
  </si>
  <si>
    <r>
      <t xml:space="preserve">91% </t>
    </r>
    <r>
      <rPr>
        <sz val="12"/>
        <color rgb="FF000000"/>
        <rFont val="Arial Narrow"/>
        <family val="2"/>
      </rPr>
      <t>≤</t>
    </r>
    <r>
      <rPr>
        <sz val="10"/>
        <color rgb="FF000000"/>
        <rFont val="Arial Narrow"/>
        <family val="2"/>
      </rPr>
      <t xml:space="preserve"> 100%</t>
    </r>
  </si>
  <si>
    <t>Sangat tinggi</t>
  </si>
  <si>
    <r>
      <t>(2)</t>
    </r>
    <r>
      <rPr>
        <sz val="7"/>
        <color rgb="FF000000"/>
        <rFont val="Arial Narrow"/>
        <family val="2"/>
      </rPr>
      <t xml:space="preserve">             </t>
    </r>
    <r>
      <rPr>
        <sz val="10"/>
        <color rgb="FF000000"/>
        <rFont val="Arial Narrow"/>
        <family val="2"/>
      </rPr>
      <t> </t>
    </r>
  </si>
  <si>
    <r>
      <t xml:space="preserve">76% </t>
    </r>
    <r>
      <rPr>
        <sz val="12"/>
        <color rgb="FF000000"/>
        <rFont val="Arial Narrow"/>
        <family val="2"/>
      </rPr>
      <t xml:space="preserve">≤ </t>
    </r>
    <r>
      <rPr>
        <sz val="10"/>
        <color rgb="FF000000"/>
        <rFont val="Arial Narrow"/>
        <family val="2"/>
      </rPr>
      <t xml:space="preserve">90% </t>
    </r>
  </si>
  <si>
    <t>Tinggi</t>
  </si>
  <si>
    <r>
      <t>(3)</t>
    </r>
    <r>
      <rPr>
        <sz val="7"/>
        <color rgb="FF000000"/>
        <rFont val="Arial Narrow"/>
        <family val="2"/>
      </rPr>
      <t xml:space="preserve">             </t>
    </r>
    <r>
      <rPr>
        <sz val="10"/>
        <color rgb="FF000000"/>
        <rFont val="Arial Narrow"/>
        <family val="2"/>
      </rPr>
      <t> </t>
    </r>
  </si>
  <si>
    <r>
      <t xml:space="preserve">66% </t>
    </r>
    <r>
      <rPr>
        <sz val="12"/>
        <color rgb="FF000000"/>
        <rFont val="Arial Narrow"/>
        <family val="2"/>
      </rPr>
      <t xml:space="preserve">≤ </t>
    </r>
    <r>
      <rPr>
        <sz val="10"/>
        <color rgb="FF000000"/>
        <rFont val="Arial Narrow"/>
        <family val="2"/>
      </rPr>
      <t>75%</t>
    </r>
  </si>
  <si>
    <r>
      <t>(4)</t>
    </r>
    <r>
      <rPr>
        <sz val="7"/>
        <color rgb="FF000000"/>
        <rFont val="Arial Narrow"/>
        <family val="2"/>
      </rPr>
      <t xml:space="preserve">             </t>
    </r>
    <r>
      <rPr>
        <sz val="10"/>
        <color rgb="FF000000"/>
        <rFont val="Arial Narrow"/>
        <family val="2"/>
      </rPr>
      <t> </t>
    </r>
  </si>
  <si>
    <r>
      <t xml:space="preserve">51% </t>
    </r>
    <r>
      <rPr>
        <sz val="12"/>
        <color rgb="FF000000"/>
        <rFont val="Arial Narrow"/>
        <family val="2"/>
      </rPr>
      <t xml:space="preserve">≤ </t>
    </r>
    <r>
      <rPr>
        <sz val="10"/>
        <color rgb="FF000000"/>
        <rFont val="Arial Narrow"/>
        <family val="2"/>
      </rPr>
      <t>65%</t>
    </r>
  </si>
  <si>
    <t>Rendah</t>
  </si>
  <si>
    <r>
      <t>(5)</t>
    </r>
    <r>
      <rPr>
        <sz val="7"/>
        <color rgb="FF000000"/>
        <rFont val="Arial Narrow"/>
        <family val="2"/>
      </rPr>
      <t xml:space="preserve">             </t>
    </r>
    <r>
      <rPr>
        <sz val="10"/>
        <color rgb="FF000000"/>
        <rFont val="Arial Narrow"/>
        <family val="2"/>
      </rPr>
      <t> </t>
    </r>
  </si>
  <si>
    <r>
      <t>≤</t>
    </r>
    <r>
      <rPr>
        <sz val="10"/>
        <color rgb="FF000000"/>
        <rFont val="Arial Narrow"/>
        <family val="2"/>
      </rPr>
      <t xml:space="preserve"> 50%</t>
    </r>
  </si>
  <si>
    <t>Sangat Rendah</t>
  </si>
  <si>
    <t>Tahun</t>
  </si>
  <si>
    <t>Persentase pelaku usaha pengolahan dan pemasaran hasil perikanan yang aktif</t>
  </si>
  <si>
    <t>Persentase SKPD yang menerapkan anggaran yang responsif gender</t>
  </si>
  <si>
    <t>Persentase kasus kekerasan terhadap anak yang terselesaikan</t>
  </si>
  <si>
    <t>4.758.098.000</t>
  </si>
  <si>
    <t>Dinas Penanaman Modal, Pelayanan Terpadu Satu Pintu, RSUD Brigjend H. Hasan Basry, Dinas Kependudukan dan Catatan Sipil</t>
  </si>
  <si>
    <t>BB (76,23)</t>
  </si>
  <si>
    <t>A  (80,01)</t>
  </si>
  <si>
    <t>A (4,51)</t>
  </si>
  <si>
    <t>38.000.000</t>
  </si>
  <si>
    <t>247.335</t>
  </si>
  <si>
    <t>3.015.781</t>
  </si>
  <si>
    <t>600.000.000.000</t>
  </si>
  <si>
    <t>5.374.026.000</t>
  </si>
  <si>
    <t>3.019.791</t>
  </si>
  <si>
    <t>Semua SKPD (Sekretariat) / Inspektorat</t>
  </si>
  <si>
    <t>Semua SKPD (Sekretariat)</t>
  </si>
  <si>
    <t>102,092</t>
  </si>
  <si>
    <t>≤ 17</t>
  </si>
  <si>
    <t>35.000.000</t>
  </si>
  <si>
    <t>242.707</t>
  </si>
  <si>
    <t>3.014.446</t>
  </si>
  <si>
    <t>580.000.000.000</t>
  </si>
  <si>
    <t>4.224.480.000</t>
  </si>
  <si>
    <t>BB (70,01)</t>
  </si>
  <si>
    <t>I (2019)</t>
  </si>
  <si>
    <t>II (2020)</t>
  </si>
  <si>
    <t>Target RPJMD pada RKPD Tahun</t>
  </si>
  <si>
    <t>Capaian Target RPJMD Melalui Pelaksanaan RKPD Tahun</t>
  </si>
  <si>
    <t>Tingkat Capaian Target RPJMD  Hasil Pelaksanaan RKPD Tahun (%)</t>
  </si>
  <si>
    <t>Persentase kelompok ketahanan keluarga yang aktif</t>
  </si>
  <si>
    <t>AA (80,01)</t>
  </si>
  <si>
    <t>AA (83,60)</t>
  </si>
  <si>
    <t>Persentase  Pemenuhan Tingkat Kesehatan RSUD</t>
  </si>
  <si>
    <t>Persentase  Pemenuhan Aspek IPP RSUD</t>
  </si>
  <si>
    <t>Persentase  Pemenuhan Akreditasi RSUD, Kategori &gt; B</t>
  </si>
  <si>
    <t xml:space="preserve">Persentase pemenuhan Kualitas Sarana Kesehatan  </t>
  </si>
  <si>
    <t>Persentase pengurangan kehilangan hasil-hasil pertanian</t>
  </si>
  <si>
    <t>Realisasi Investasi PMDN</t>
  </si>
  <si>
    <t>Indeks kualitas Udara titik pantau yang memenuhi standar</t>
  </si>
  <si>
    <t>Indeks kualitas air titik pantau yang memenuhi standar</t>
  </si>
  <si>
    <t>Indeks tutupan lahan pada areal bekas pertambangan</t>
  </si>
  <si>
    <t>BB (3,97)</t>
  </si>
  <si>
    <t>Program Peningkatan Kualitas Usaha Mikro dan Usaha Kecil</t>
  </si>
  <si>
    <t>Persentase Usaha Mikro dan Usaha Kecil</t>
  </si>
  <si>
    <t>Persentase Lembaga Kemasyarakatan Desa Yang dibina</t>
  </si>
  <si>
    <t>AAA = &gt;95</t>
  </si>
  <si>
    <t>AA = 80,01-95</t>
  </si>
  <si>
    <t>A= 65,01-80</t>
  </si>
  <si>
    <t>11.193.500</t>
  </si>
  <si>
    <t>7.337.250.000</t>
  </si>
  <si>
    <t>1.479.140.000.000</t>
  </si>
  <si>
    <t>976.090.000.000</t>
  </si>
  <si>
    <t>Persentase penanganan sumber air berupa bendung dan sungai</t>
  </si>
  <si>
    <t>A (77,13)</t>
  </si>
  <si>
    <t>III (2021)</t>
  </si>
  <si>
    <t>PERIODE PELAKSANAAN TAHUN 2021</t>
  </si>
  <si>
    <t>1.655.870.000.000</t>
  </si>
  <si>
    <t>Program Pengelolaan Pendidikan</t>
  </si>
  <si>
    <t>Program Pembinaan Perpustakaan</t>
  </si>
  <si>
    <t>Persentase Desa yang memiliki Perpustakaan sesuai Standar Desa</t>
  </si>
  <si>
    <t>Nilai Kepuasan Pemustaka</t>
  </si>
  <si>
    <t>Program Pemenuhan Upayan kesehatan Perorangan dan Upaya Kesehatan Masyarakat</t>
  </si>
  <si>
    <t>Persentase Fasilitas Kesehatan Sesuai Standar</t>
  </si>
  <si>
    <t>Persentase Cakupan Pelayanan Kesehatan Dasar, Rujukan, dan Tradisional Sesuai Standar</t>
  </si>
  <si>
    <t>Program Peningkatan Kapasitas Sumber Daya Manusia Kesehatan</t>
  </si>
  <si>
    <t>Persentase Puskesmas yang memiliki tenaga kesehatan sesuai standar</t>
  </si>
  <si>
    <t>Program Sediaan Farmasi, Alat Kesehatan Dan Makanan Minuman</t>
  </si>
  <si>
    <t>Program Pemberdayaan Masyarakat Bidang Kesehatan</t>
  </si>
  <si>
    <t>Program Pembinaan Keluarga Berencana (KB)</t>
  </si>
  <si>
    <t>Program Pemberdayaan Dan Peningkatan Keluarga Sejahtera (KS)</t>
  </si>
  <si>
    <t>Persentase kelompok kegiatan ketahanan keluarga yang aktif</t>
  </si>
  <si>
    <t>Program Pengendalian Penduduk</t>
  </si>
  <si>
    <t>Program Pengelolaan Sumber Daya Ekonomi Untuk Kedaulatan Dan Kemandirian Pangan</t>
  </si>
  <si>
    <t>Persentase Cadangan Pangan Masyarakat</t>
  </si>
  <si>
    <t>Program Peningkatan Diversifikasi Dan Ketahanan Pangan Masyarakat</t>
  </si>
  <si>
    <t>Persentase Cadangan Pangan Pemerintah Daerah</t>
  </si>
  <si>
    <t>Program Penanganan Kerawanan Pangan</t>
  </si>
  <si>
    <t>Persentase Daerah Rentan Rawan Pangan</t>
  </si>
  <si>
    <t>Program Pengelolaan Dan Pengembangan Sistem Drainase</t>
  </si>
  <si>
    <t>Persentase Jaringan Drainase Perkotaan Yang Bersih Dan Bebas Genangan</t>
  </si>
  <si>
    <t>Program Pengelolaan Dan Pengembangan Sistem Penyediaan Air Minum</t>
  </si>
  <si>
    <t>Persentase Rumah Tangga yang mendapatkan akses air minum melalui SPAM</t>
  </si>
  <si>
    <t>Program Pengelolaan Dan Pengembangan Sistem Air Limbah</t>
  </si>
  <si>
    <t>Persentase Rumah Tangga yang memiliki akses pengolahan air limbah domestik (SPALD) Dasar</t>
  </si>
  <si>
    <t>Program Pemberdayaan Sosial</t>
  </si>
  <si>
    <t>Program Rehabilitasi Sosial</t>
  </si>
  <si>
    <t>Program Perlindungan Dan Jaminan Sosial</t>
  </si>
  <si>
    <t>Persentase Fakir Miskin yang Mandiri</t>
  </si>
  <si>
    <t>Program Penempatan Tenaga Kerja</t>
  </si>
  <si>
    <t>Program Pelatihan Kerja Dan Produktivitas Tenaga Kerja</t>
  </si>
  <si>
    <t>Program Hubungan Industrial</t>
  </si>
  <si>
    <t>Program Perencanaan Dan Pembangunan Industri</t>
  </si>
  <si>
    <t>Persentase Produk Industri Yang Bersertifikasi Mutu</t>
  </si>
  <si>
    <t>Program Pengendalian Izin Usaha Industri Kabupaten/Kota</t>
  </si>
  <si>
    <t>Program Perizinan Dan Pendaftaran Perusahaan</t>
  </si>
  <si>
    <t>Program Peningkatan Sarana Distribusi Perdagangan</t>
  </si>
  <si>
    <t>Kontribusi PAD Sektor Perdagangan</t>
  </si>
  <si>
    <t>4.760.718.400</t>
  </si>
  <si>
    <t>Program Stabilisasi Harga Barang Kebutuhan Pokok Dan Barang Penting</t>
  </si>
  <si>
    <t>Program Pengembangan Ekspor</t>
  </si>
  <si>
    <t>Program Standardisasi Dan Perlindungan Konsumen</t>
  </si>
  <si>
    <t>Program Penggunaan Dan Pemasaran Produk Dalam Negeri</t>
  </si>
  <si>
    <t>Program Penyediaan Dan Pengembangan Sarana Pertanian</t>
  </si>
  <si>
    <t>Persentase penyediaan sarana produksi tanaman pangan yang berkualitas</t>
  </si>
  <si>
    <t>Persentase penyediaan sarana produksi tanaman perkebunan yang berkualitas</t>
  </si>
  <si>
    <t>Program Pengendalian Kesehatan Hewan Dan Kesehatan Masyarakat Veteriner</t>
  </si>
  <si>
    <t>Program Pengendalian Dan Penanggulangan Bencana Pertanian</t>
  </si>
  <si>
    <t xml:space="preserve">Persentase kawasan pertanian yang dapat dilindungi akibat OPT dan dampak perubahan iklim
</t>
  </si>
  <si>
    <t>Program Perizinan Usaha Pertanian</t>
  </si>
  <si>
    <t>Program Penyuluhan Pertanian</t>
  </si>
  <si>
    <t>Persentase kenaikan kelas kelompok</t>
  </si>
  <si>
    <t>Program Pengelolaaan Perikanan Tangkap</t>
  </si>
  <si>
    <t>Persentase Peningkatan Produksi Perikanan Tangkap</t>
  </si>
  <si>
    <t>Program Pengelolaan Perikanan Budidaya</t>
  </si>
  <si>
    <t>Persentase Luasan Budidaya yang Diintervensi</t>
  </si>
  <si>
    <t>Persentase Benih Ikan Unggul yang Disediakan</t>
  </si>
  <si>
    <t>Persentase Pengujian dan Pemeriksaan Kesehatan Ikan dan Lingkungan yang Dilaksanakan</t>
  </si>
  <si>
    <t>Persentase Pembudidaya yang memiliki kompetensi</t>
  </si>
  <si>
    <t>Program Pengawasan Sumberdaya Kelautan dan Perikanan</t>
  </si>
  <si>
    <t>Persentase Kasus Pelanggaran Ilegal Fishing yang ditindaklanjuti</t>
  </si>
  <si>
    <t>Persentase Kawasan Area Penangkapan yang Diawasi</t>
  </si>
  <si>
    <t>Program Pengolahan dan Pemasaran Hasil Perikanan</t>
  </si>
  <si>
    <t>Jumlah Peningkatan Produk Hasil Olahan Perikanan</t>
  </si>
  <si>
    <t>Program Pendidikan dan Latihan Perkoperasian bagi Koperasi yang Wilayah Keanggotaan dalam Daerah Kabupaten/Kota</t>
  </si>
  <si>
    <t>Program Pengembangan UMKM</t>
  </si>
  <si>
    <t>Persentase SDM Usaha Kecil Menengah Yang Memiliki Ijin Usaha</t>
  </si>
  <si>
    <t>Program Pengelolaan Pendapatan Daerah</t>
  </si>
  <si>
    <t xml:space="preserve">Persentase Capaian Pendapatan Asli Daerah </t>
  </si>
  <si>
    <t>Persentase konfirmasi status WP daerah yg telah tertagih</t>
  </si>
  <si>
    <t>Program Pelayanan Penanaman Modal</t>
  </si>
  <si>
    <t>Persentase pelaksanaan pelayanan perizinan dan non perizinan sesuai dengan standar</t>
  </si>
  <si>
    <t>Program Pengelolaan Data dan Sistem Informasi Penanaman Modal</t>
  </si>
  <si>
    <t>Persentase Hasil Konfirmasi Status Wajib Pajak Daerah yang Tertagih</t>
  </si>
  <si>
    <t>Program Pengendalian Pelaksanaan Penanaman Modal</t>
  </si>
  <si>
    <t>Persentase Investor yang Melaporkan LKPM Tepat Waktu</t>
  </si>
  <si>
    <t xml:space="preserve">Program Peningkatan Daya Tarik Destinasi Pariwisata </t>
  </si>
  <si>
    <t>Jumlah Peningkatan Pergerakan Wisatawan Nusantara</t>
  </si>
  <si>
    <t>Org</t>
  </si>
  <si>
    <t>Program Pemasaran Pariwisata</t>
  </si>
  <si>
    <t xml:space="preserve">Program Pengembangan Sumber Daya Pariwisata dan Ekonomi Kreatif </t>
  </si>
  <si>
    <t>Persentase Pokdarwis Yang Dikembangkan</t>
  </si>
  <si>
    <t>Program Penyelenggaraan Jalan</t>
  </si>
  <si>
    <t>Persentase kondisi mantap jalan kabupaten</t>
  </si>
  <si>
    <t>Program Penyelenggaraan Lalu Lintas Dan Angkutan Jalan (LLAJ)</t>
  </si>
  <si>
    <t>Ratio Kejadiaan Kecelakaan Per 10.000 Keberangkatan Dalam 1 Tahun</t>
  </si>
  <si>
    <t>Persentase Cakupan Pengelolaan Angkutan Jalan</t>
  </si>
  <si>
    <t>Program Pengelolaan Pelayaran</t>
  </si>
  <si>
    <t>Persentase Cakupan Pengelolaan Angkutan Sungai dan Danau</t>
  </si>
  <si>
    <t>Program Pengelolaan Sumber Daya Air (SDA)</t>
  </si>
  <si>
    <t>Persentase Luas Sawah Beririgasi</t>
  </si>
  <si>
    <t>Program Penataan Bangunan Gedung</t>
  </si>
  <si>
    <t>Persentase Kecukupan Sarana Dan Prasarana Publik</t>
  </si>
  <si>
    <t>Program Pengembangan Jasa Konstruksi</t>
  </si>
  <si>
    <t>Persentase Tenaga Terampil Konstruksi Yang Bersertifikat</t>
  </si>
  <si>
    <t>Program        Penyelenggaraan        Penataan Ruang</t>
  </si>
  <si>
    <t>Jumlah dokumen RTRW dan RDTR</t>
  </si>
  <si>
    <t>Dok</t>
  </si>
  <si>
    <t>Program Pengembangan Perumahan</t>
  </si>
  <si>
    <t>Persentase penyediaan dan rehabilitasi rumah layak huni bagi korban bencana kabupaten</t>
  </si>
  <si>
    <t>Persentase fasilitasi penyediaan rumah layak huni bagi masyarakat terdampak relokasi program pemerintah kabupaten</t>
  </si>
  <si>
    <t>Program Kawasan Permukiman</t>
  </si>
  <si>
    <t>Persentase Kawasan Permukiman yang Berkualitas</t>
  </si>
  <si>
    <t>Program Peningkatan Prasarana, Sarana dan Utilitas Umum (PSU)</t>
  </si>
  <si>
    <t>Persentase Perumahan yang Berkualitas</t>
  </si>
  <si>
    <t>Program Pengelolaan Tanah Kosong</t>
  </si>
  <si>
    <t>Program Pengelolaan Keanekaragaman Hayati (Kehati)</t>
  </si>
  <si>
    <t>IKTL</t>
  </si>
  <si>
    <t>Persentase Badan Usaha Milik Desa (BUMDesa) yang berkembang</t>
  </si>
  <si>
    <t>Program Administrasi Pemerintahan Desa</t>
  </si>
  <si>
    <t>Persentase Pemerintahan Desa Kategori Cepat Berkembang</t>
  </si>
  <si>
    <t xml:space="preserve">Program Pemberdayaan Lembaga Kemasyarakatan, Lembaga Adat dan Masyarakat Hukum Adat </t>
  </si>
  <si>
    <t>Persentase Status Desa Maju</t>
  </si>
  <si>
    <t>Program Pengembangan Kapasitas Daya Saing Kepemudaan</t>
  </si>
  <si>
    <t>Persentase Pemuda Yang Terlibat Dalam Kegiatan Ekonomi Mandiri</t>
  </si>
  <si>
    <t>Program Pengembangan Kapasitas Daya Saing Keolahragaan</t>
  </si>
  <si>
    <t>Jumlah Medali Yang Diperoleh Atlet Muda/Pelajar dalam POPDA</t>
  </si>
  <si>
    <t>Jumlah Medali Yang Diperoleh Dalam Cabang Olahraga Dalam Kejuaraan/Kompetisi Tingkat Provinsi</t>
  </si>
  <si>
    <t>Medali</t>
  </si>
  <si>
    <t>Program Pengembangan Kapasitas Kepramukaan</t>
  </si>
  <si>
    <t>Persentase Organisasi Kepramukaan Yang Aktif</t>
  </si>
  <si>
    <t>Program Pengarus Utamaan Gender Dan Pemberdayaan Perempuan</t>
  </si>
  <si>
    <t>Program Perlindungan Perempuan</t>
  </si>
  <si>
    <t>Persentase perlindungan terhadap perempuan korban kekerasan secara komprehensif</t>
  </si>
  <si>
    <t>Program Pemenuhan Hak Anak (PHA)</t>
  </si>
  <si>
    <t xml:space="preserve">Persentase indikator KLA yang terpenuhi </t>
  </si>
  <si>
    <t>Program Perlindungan Khusus Anak</t>
  </si>
  <si>
    <t>Program Pengendalian Pencemaran dan/atau Kerusakan Lingkungan Hidup</t>
  </si>
  <si>
    <t>INDEKS KUALITAS AIR (IKA)</t>
  </si>
  <si>
    <t>INDEKS KUALITAS UDARA (IKU)</t>
  </si>
  <si>
    <t>Persentase tempat usaha masyarakat yang memenuhi standar pengelolaan lingkungan hidup</t>
  </si>
  <si>
    <t>Program Peningkatan Pendidikan, Pelatihan dan Penyuluhan Lingkungan Hidup untuk Masyarakat</t>
  </si>
  <si>
    <t>Program Penghargaan Lingkungan Hidup untuk Masyarakat</t>
  </si>
  <si>
    <t>Program Penanganan Pengaduan Lingkungan Hidup</t>
  </si>
  <si>
    <t>Persentase Penegakan Hukum Lingkungan</t>
  </si>
  <si>
    <t>Program Pemerintahan dan Kesejahteraan Rakyat</t>
  </si>
  <si>
    <t>Persentase kecamatan dan kelurahan yang berkinerja baik</t>
  </si>
  <si>
    <t>Program Penyelenggaraan Pengawasan</t>
  </si>
  <si>
    <t>Persentase Penurunan temuan bersifat keuangan hasil pemeriksaan inspektorat Kab. HSS</t>
  </si>
  <si>
    <t>Persentase penurunan temuan pihak eksternal yang menimbulkan kerugian keuangan negara/daerah</t>
  </si>
  <si>
    <t>Persentase penyelesaian rekomendasi hasil pemeriksaan inspektorat dalam periode tertentu</t>
  </si>
  <si>
    <t>Persentase penyelesaian rekomendasi hasil pemeriksaan pihak eksternal dalam periode tertentu</t>
  </si>
  <si>
    <t>Program Perumusan Kebijakan, Pendampingan Dan Asistensi</t>
  </si>
  <si>
    <t>Persentase Pengaduan Masyarakat, Permintaaan Asistensi dan Pendampingan yang ditindaklanjuti dan diselesaikan</t>
  </si>
  <si>
    <t>Program Penguatan Ideologi Pancasila dan Karakter Kebangsaan</t>
  </si>
  <si>
    <t>Cakupan kecamatan yang menyelenggarakan penguatan ideologi pancasila dan karakter kebangsaan</t>
  </si>
  <si>
    <t>Program Peningkatan Peran Partai Politik dan Lembaga Pendidikan Melalui Pendidikan Politik dan Pengembangan Etika Serta Budaya Politik</t>
  </si>
  <si>
    <t>Cakupan Partai Politik Yang Menyelenggarakan Pendidikan Politik</t>
  </si>
  <si>
    <t>Program Pemberdayaan dan Pengawasan Organisasi Kemasyarakatan</t>
  </si>
  <si>
    <t>Ormas dan/atau LSM yang ada diwilayah Kab. HSS dapat terlayani dan terdaftar di Kemendagri/Kemenkumham</t>
  </si>
  <si>
    <t>Program Pembinaan dan Pengembangan Ketahanan Ekonomi, Sosial, dan Budaya</t>
  </si>
  <si>
    <t>Persentase Kelembagaan/Organisasi Masyarakat Yang Berperan Aktif</t>
  </si>
  <si>
    <t>Ormas/LSM</t>
  </si>
  <si>
    <t>Program Peningkatan Kewaspadaan Nasional dan Peningkatan Kualitas dan Fasilitasi Penanganan Konflik Sosial</t>
  </si>
  <si>
    <t>Cakupan kelembagaan organisasi yang menyelenggarakan kewaspadaan terhadap potensi konflik</t>
  </si>
  <si>
    <t>Program Pendaftaran Penduduk</t>
  </si>
  <si>
    <t>Persentase Cakupan Penerbitan Dokumen Pendaftaran Penduduk Yang Sesuai Standar</t>
  </si>
  <si>
    <t>Program Pencatatan Sipil</t>
  </si>
  <si>
    <t>Persentase Cakupan Penerbitan Dokumen Pencatatan Sipil Yang Sesuai Standar</t>
  </si>
  <si>
    <t>Program Pengelolaan Informasi Administrasi Kependudukan</t>
  </si>
  <si>
    <t>Validitas Database Kependudukan</t>
  </si>
  <si>
    <t>Program Pengelolaan Arsip</t>
  </si>
  <si>
    <t>Program Dukungan Pelaksanaan Tugas Dan Fungsi DPRD</t>
  </si>
  <si>
    <t>Persentase pelayanan fasilitasi tugas, fungsi, dan wewenang DPRD sesuai standar</t>
  </si>
  <si>
    <t>Program Pemerintahan Dan Kesejahteraan Rakyat</t>
  </si>
  <si>
    <t>Persentase Produk hukum Daerah yang berkualitas dan permasalahan hukum yang diselesaikan</t>
  </si>
  <si>
    <t>Program Penunjang Urusan Pemerintahan Daerah Kabupaten/Kota</t>
  </si>
  <si>
    <t>Program Perekonomian dan Pembangunan</t>
  </si>
  <si>
    <t>Persentase pengadaan barang/jasa yang tepat waktu, efektif, dan memperhatikan efisiensi keuangan daerah</t>
  </si>
  <si>
    <t>Program Perencanaan, Pengendalian dan Evaluasi Pembangunan Daerah</t>
  </si>
  <si>
    <t>Persentase pengendalian program pembangunan  daerah</t>
  </si>
  <si>
    <t>Program Koordinasi dan Sinkronisasi Perencanaan Pembangunan Daerah</t>
  </si>
  <si>
    <t>Persentase Pelaksanaan Program Pembangunan yang sesuai dengan Target Perencanaan</t>
  </si>
  <si>
    <t>Program Penelitian dan Pengembangan Daerah</t>
  </si>
  <si>
    <t>Indeks Daya Saing Daerah</t>
  </si>
  <si>
    <t>Program Pengelolaan Barang Milik Daerah</t>
  </si>
  <si>
    <t>Program Pengelolaan Keuangan Daerah</t>
  </si>
  <si>
    <t>Ketepatan Waktu proses Penyusunan RAPBD</t>
  </si>
  <si>
    <t>Persentasi waktu Penyelesaian SP2D yang dinyatakan lengkap dan sah sesuai dengan ketentuan yang berlaku</t>
  </si>
  <si>
    <t xml:space="preserve">Ketepatan waktu penyusunan Laporan Keuangan Pemda  </t>
  </si>
  <si>
    <t>Program Kepegawaian Daerah</t>
  </si>
  <si>
    <t>Program Pengembangan Sumber Daya Manusia</t>
  </si>
  <si>
    <t>Program Aplikasi Informatika</t>
  </si>
  <si>
    <t>Program Penyelenggaraan Statistik Sektoral</t>
  </si>
  <si>
    <t>6.687.744.000</t>
  </si>
  <si>
    <t>Program Pengembangan Kebudayaan</t>
  </si>
  <si>
    <t>Persentase OPK yang dikembangkan menjadi daya tarik wisata</t>
  </si>
  <si>
    <t>Program Pembinaan Sejarah</t>
  </si>
  <si>
    <t>Persentase Penduduk yang Mengunjungi Peninggalan Sejarah</t>
  </si>
  <si>
    <t>Program Pelestarian dan Pengelolaan Cagar Budaya</t>
  </si>
  <si>
    <t>Persentase Cagar Budaya Terlestarikan dan Terkelola dengan Baik</t>
  </si>
  <si>
    <t>Program Pengelolaan Permuseuman</t>
  </si>
  <si>
    <t>Museum Terkelola Dengan Baik</t>
  </si>
  <si>
    <t>Museum</t>
  </si>
  <si>
    <t>A (80,75)</t>
  </si>
  <si>
    <t>Persentase satuan PAUD formal terakreditasi A</t>
  </si>
  <si>
    <t>Persentase partisipasi warga negara usia 7-18 tahun dalam pendidikan kesetaraan</t>
  </si>
  <si>
    <t>Persentase pendidikan non formal yang terakreditasi</t>
  </si>
  <si>
    <t>Persentase sekolah dasar yang terakreditasi A</t>
  </si>
  <si>
    <t>Persentase sekolah menengah pertama yang terakreditasi A</t>
  </si>
  <si>
    <t>Angka Partisipasi Kasar (APK) PAUD</t>
  </si>
  <si>
    <t>Persentase peserta jaminan kesehatan nasional yang dilayani saat membutuhkan</t>
  </si>
  <si>
    <t>Persentase indikator mutu pelayanan yang tercapai sesuai standar</t>
  </si>
  <si>
    <t>Indeks kepuasan masyarakat</t>
  </si>
  <si>
    <t>Tingkat pemenuhan kapasitas sumber daya manusia yang sesuai standar</t>
  </si>
  <si>
    <t>Persentase fasilitasi pelayanan kefarmasian (apotek dan toko obat), alat kesehatan, dan makanan minuman yang memenuhi standar persyaratan perizinan</t>
  </si>
  <si>
    <t>Persentase wanita pernah kawin usia (15-49 tahun) menurut usia kawin pertama usia &lt;20 tahun</t>
  </si>
  <si>
    <t>Program Pengawasan Keamanan Pangan</t>
  </si>
  <si>
    <t>Persentase pangan segar asal tumbuhan yang memenuhi persyaratan mutu dan keamanan pangan</t>
  </si>
  <si>
    <t>Persentase potensi dan sumber kesejahteraan sosial (PSKS) yang memiliki keterampilan dalam upaya penyelenggaraan kesejahteraan sosial</t>
  </si>
  <si>
    <t>Program Penanganan Bencana</t>
  </si>
  <si>
    <t>Program Pengelolaan Sistem Informasi Industri Nasional</t>
  </si>
  <si>
    <t>Persentase pengelolaan informasi industri kecil menengah yang teradministrasi dengan baik</t>
  </si>
  <si>
    <t>5.001.729.700</t>
  </si>
  <si>
    <t>3.546.411.691</t>
  </si>
  <si>
    <t>Persentase kawasan rawan penyakit hewan yang dikendalikan</t>
  </si>
  <si>
    <t>Program Pemenuhan Upaya Kesehatan Perorangan dan Upaya Kesehatan Masyarakat</t>
  </si>
  <si>
    <t>Persentase  Pemenuhan Aspek Prasarana IPP RSUD</t>
  </si>
  <si>
    <t>Program Peningkatan Kualitas Layanan Rumah Sakit</t>
  </si>
  <si>
    <t>Program Pengelolaan Taman Makam Pahlawan</t>
  </si>
  <si>
    <t>Persentase Potensi dan Sumber Kesejahteraan Sosial (PSKS) yang memiliki keterampilan</t>
  </si>
  <si>
    <t>Persentase komoditas barang beredar yang sesuai standar</t>
  </si>
  <si>
    <t>Persentase Stabilitas dan Jumlah Ketersediaan Harga Barang Kebutuhan Pokok</t>
  </si>
  <si>
    <t>nilai ekspor sektor pertanian dan perkebunan</t>
  </si>
  <si>
    <t>nilai ekspor sektor perikanan</t>
  </si>
  <si>
    <t xml:space="preserve">nilai ekspor industri kecil </t>
  </si>
  <si>
    <t>4.800.000.000</t>
  </si>
  <si>
    <t>1.400.000.000</t>
  </si>
  <si>
    <t>Kontribusi PAD dari Pelaksanaan Metrologi Legal</t>
  </si>
  <si>
    <t>Jumlah Pelaku usaha yang dipromosikan melalui aplikasi</t>
  </si>
  <si>
    <t>Program Penyediaan Dan Pengembangan Prasarana Pertanian</t>
  </si>
  <si>
    <t>Persentase luas lahan sawah yang terairi dengan sistem irigasi</t>
  </si>
  <si>
    <t>Persentase Pembinaan Usaha Ekonomi Pertanian</t>
  </si>
  <si>
    <t>Persentase Sub Sektor Ekonomi Kreatif yang Difasilitasi dalam Pendistribusian Produk Kreatif</t>
  </si>
  <si>
    <t>7.204.500.000</t>
  </si>
  <si>
    <t>68,25</t>
  </si>
  <si>
    <t>Program Peningkatan Kerjasama Desa</t>
  </si>
  <si>
    <t>Persentase Organisasi Kepemudaan Yang Aktif</t>
  </si>
  <si>
    <t>Persentase kontribusi keterlibatan perempuan dalam pembangunan</t>
  </si>
  <si>
    <t>Persentase anak korban kekerasan yang mendapat layanan komprehensif</t>
  </si>
  <si>
    <t xml:space="preserve">Persentase OPD dengan nilai AKIP minimal BB </t>
  </si>
  <si>
    <t>Persentase proposal inovasi perangkat daerah yang difasilitasi sesuai standar</t>
  </si>
  <si>
    <t>Kec</t>
  </si>
  <si>
    <t>Parpol</t>
  </si>
  <si>
    <t>Nilai Pengawasan PD yang mengelola Arsip Sesuai Standar</t>
  </si>
  <si>
    <t>A     (80,02)</t>
  </si>
  <si>
    <t>BB (77,03)</t>
  </si>
  <si>
    <t>A   (80,01)</t>
  </si>
  <si>
    <t>A (80,10)</t>
  </si>
  <si>
    <t>Persentase policy brief dibidang perekonomian dan Pembangunan yang dimanfaatkan Bupati</t>
  </si>
  <si>
    <t>Bagian Perekonomian Pembangunan</t>
  </si>
  <si>
    <t>Persentase update data pejabat Jabatan Pimpinan Tinggi (JPT) Pratama pada Sistem Informasi Manajemen Kepegawaian</t>
  </si>
  <si>
    <t>Persentase update data pejabat administrator pada Sistem Informasi Manajemen Kepegawaian</t>
  </si>
  <si>
    <t>Persentase update data pejabat pengawas, fungsional dan pelaksana  pada Sistem Informasi Manajemen Kepegawaian</t>
  </si>
  <si>
    <t>Persentase database pejabat Jabatan Pimpinan Tinggi (JPT) Pratama yang terisi dengan lengkap</t>
  </si>
  <si>
    <t>Persentase database pejabat administrator yang terisi dengan lengkap</t>
  </si>
  <si>
    <t>Persentase database pejabat pengawas yang terisi dengan lengkap</t>
  </si>
  <si>
    <t>Persentase pejabat Jabatan Pimpinan Tinggi (JPT) Pratama yang memiliki kompetensi jabatan sesuai dengan  Standar Kompetensi Jabatan</t>
  </si>
  <si>
    <t>Persentase pejabat administrator yang memiliki kompetensi jabatan sesuai dengan  Standar Kompetensi Jabatan</t>
  </si>
  <si>
    <t>Persentase pejabat pengawas dan fungsional yang memiliki kompetensi jabatan sesuai dengan Standar Kompetensi Jabatan</t>
  </si>
  <si>
    <t>Badan Kepegawaian dan Pengembangan Sumber Daya Manusia</t>
  </si>
  <si>
    <t>Persentase Produsen Data daerah yang terintegrasi dengan simpul jaringan kabupaten</t>
  </si>
  <si>
    <t>Jumlah Fasilitas Publik di Kabupaten HSS yang bebas blankspot dibagi jumlah seluruh fasilitas publik di Kabupaten HSS dikali 100</t>
  </si>
  <si>
    <t>Program Informasi dan Komunikasi Publik</t>
  </si>
  <si>
    <t>Persentase Perangkat Daerah yang Memenuhi Keterbukaan Informasi Publik</t>
  </si>
  <si>
    <t>Persentase Kegiatan Pemda yang diberitakan tepat waktu</t>
  </si>
  <si>
    <t>Persentase Ketersediaan Data Sektoral sesuai dengan prinsip Satu Data Indonesia</t>
  </si>
  <si>
    <t>Persentase Pasangan Usia Subur (PUS) yang ikut ber KB (mCPR)</t>
  </si>
  <si>
    <t>AAA (97,51)</t>
  </si>
  <si>
    <t>Persentase Disabilitas terlantar yang mandiri</t>
  </si>
  <si>
    <t>Persentase Anak terlantar yang mandiri</t>
  </si>
  <si>
    <t>Persentase perempuan rawan sosial ekonomi yang mandiri</t>
  </si>
  <si>
    <t>Persentase PMKS yang mendapatkan rehabilitasi sosial</t>
  </si>
  <si>
    <t>37.000.000</t>
  </si>
  <si>
    <t>A- (4,19)</t>
  </si>
  <si>
    <t>Persentase Regulasi Barang Milik Daerah</t>
  </si>
  <si>
    <t>Persentase Penatausahaan dan Pelaporan Barang Milik Daerah</t>
  </si>
  <si>
    <t>Persentase Pemanfaatan, Pemindahtanganan dan Pengamanan Barang Milik Daerah</t>
  </si>
  <si>
    <t>Faktor pendorong keberhasilan pencapaian: Peningkatan Pelayanan dasar Bidang Pendidikan, Bidang Kesehatan, Bidang Pekerjaan Umum, Bidang Perumahan dan Permukiman, dan Bidang Sosial</t>
  </si>
  <si>
    <t>Tindak lanjut yang diperlukan dalam RKPD kabupaten/kota berikutnya: Meningkatkan akses dan mutu pelayanan pendidikan dan kesehatan, meningkatkan cakupan air bersih dan air limbah rumah tangga, meningkatkan status rumah tidak layak huni menjadi rumah layak huni, dan peningkatan kemandirian PMKS melalui bantuan Usaha Ekonomi Produktif.</t>
  </si>
  <si>
    <t>Faktor pendorong keberhasilan pencapaian: Pembangunan TPS3R, pembangunan RTH Publik, pengontrolan IKA, IKU, dan IKTL sebagai komponen IKLH</t>
  </si>
  <si>
    <t>Faktor pendorong keberhasilan pencapaian: Percepatan Realisasi Program Perlindungan Sosial, Percepatan Realisasi Bantuan Produktif Usaha Mikro, Program Padat Karya, Percepatan Realisasi Belanja Daerah dan Percepatan Program Vaksinasi, Menjaga stabilitas harga untuk menjaga inflasi agar tidak terjadi lonjakan maupun penurunan harga secara drastis</t>
  </si>
  <si>
    <t>Tindak lanjut yang diperlukan dalam RKPD kabupaten/kota berikutnya: Membentuk Kampung Gabus Haruan dan Toko Tani Indonesia guna menjaga stabilitas harga komoditas pertanian dan perikanan,serta rutin melakukan Operasi Pasar untuk menjaga stabilitas harga di pasar</t>
  </si>
  <si>
    <t>Faktor pendorong keberhasilan pencapaian: Inovasi birokrasi dan pelayanan publik untuk efektifitas dan efisiensi waktu dalam pemberian layanan kepada masyarakat maupun instansi berbasis elektronik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</si>
</sst>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164" formatCode="_(* #,##0_);_(* \(#,##0\);_(* &quot;-&quot;_);_(@_)"/>
    <numFmt numFmtId="165" formatCode="_(* #,##0.00_);_(* \(#,##0.00\);_(* &quot;-&quot;??_);_(@_)"/>
    <numFmt numFmtId="166" formatCode="_(* #,##0_);_(* \(#,##0\);_(* &quot;-&quot;??_);_(@_)"/>
    <numFmt numFmtId="167" formatCode="0.000"/>
    <numFmt numFmtId="168" formatCode="#,##0.0"/>
    <numFmt numFmtId="169" formatCode="0.0000"/>
    <numFmt numFmtId="170" formatCode="#,##0.00_ ;\-#,##0.00\ "/>
    <numFmt numFmtId="171" formatCode="0.0"/>
    <numFmt numFmtId="172" formatCode="#,##0_ ;\-#,##0\ "/>
    <numFmt numFmtId="173" formatCode="_(* #,##0.00_);_(* \(#,##0.00\);_(* &quot;-&quot;_);_(@_)"/>
  </numFmts>
  <fonts count="30" x14ac:knownFonts="1">
    <font>
      <sz val="11"/>
      <color theme="1"/>
      <name val="Calibri"/>
      <family val="2"/>
      <scheme val="minor"/>
    </font>
    <font>
      <sz val="11"/>
      <color theme="1"/>
      <name val="Calibri"/>
      <family val="2"/>
      <scheme val="minor"/>
    </font>
    <font>
      <sz val="11"/>
      <color rgb="FF000000"/>
      <name val="Calibri"/>
      <family val="2"/>
    </font>
    <font>
      <sz val="11"/>
      <color theme="1"/>
      <name val="Calibri"/>
      <family val="2"/>
      <charset val="1"/>
      <scheme val="minor"/>
    </font>
    <font>
      <b/>
      <sz val="9"/>
      <color indexed="81"/>
      <name val="Tahoma"/>
      <family val="2"/>
    </font>
    <font>
      <sz val="9"/>
      <color indexed="81"/>
      <name val="Tahoma"/>
      <family val="2"/>
    </font>
    <font>
      <sz val="11"/>
      <color indexed="8"/>
      <name val="Calibri"/>
      <family val="2"/>
    </font>
    <font>
      <sz val="12"/>
      <color rgb="FF000000"/>
      <name val="Arial"/>
      <family val="2"/>
    </font>
    <font>
      <b/>
      <sz val="18"/>
      <color theme="1"/>
      <name val="Arial"/>
      <family val="2"/>
    </font>
    <font>
      <sz val="11"/>
      <color theme="1"/>
      <name val="Arial"/>
      <family val="2"/>
    </font>
    <font>
      <b/>
      <sz val="14"/>
      <color theme="1"/>
      <name val="Arial"/>
      <family val="2"/>
    </font>
    <font>
      <sz val="12"/>
      <color theme="1"/>
      <name val="Arial"/>
      <family val="2"/>
    </font>
    <font>
      <b/>
      <sz val="12"/>
      <color theme="1"/>
      <name val="Arial"/>
      <family val="2"/>
    </font>
    <font>
      <b/>
      <sz val="12"/>
      <color rgb="FF000000"/>
      <name val="Arial"/>
      <family val="2"/>
    </font>
    <font>
      <sz val="12"/>
      <name val="Arial"/>
      <family val="2"/>
    </font>
    <font>
      <sz val="12"/>
      <color indexed="8"/>
      <name val="Arial"/>
      <family val="2"/>
    </font>
    <font>
      <sz val="10"/>
      <color theme="1"/>
      <name val="Arial"/>
      <family val="2"/>
    </font>
    <font>
      <b/>
      <sz val="12"/>
      <color indexed="8"/>
      <name val="Arial"/>
      <family val="2"/>
    </font>
    <font>
      <sz val="11"/>
      <color indexed="81"/>
      <name val="Tahoma"/>
      <family val="2"/>
    </font>
    <font>
      <sz val="12"/>
      <color indexed="81"/>
      <name val="Tahoma"/>
      <family val="2"/>
    </font>
    <font>
      <b/>
      <sz val="12"/>
      <name val="Arial"/>
      <family val="2"/>
    </font>
    <font>
      <sz val="11"/>
      <name val="Arial"/>
      <family val="2"/>
    </font>
    <font>
      <sz val="10"/>
      <color rgb="FF000000"/>
      <name val="Arial Narrow"/>
      <family val="2"/>
    </font>
    <font>
      <sz val="7"/>
      <color rgb="FF000000"/>
      <name val="Arial Narrow"/>
      <family val="2"/>
    </font>
    <font>
      <sz val="12"/>
      <color rgb="FF000000"/>
      <name val="Arial Narrow"/>
      <family val="2"/>
    </font>
    <font>
      <b/>
      <sz val="14"/>
      <color indexed="81"/>
      <name val="Tahoma"/>
      <family val="2"/>
    </font>
    <font>
      <b/>
      <sz val="16"/>
      <color indexed="81"/>
      <name val="Tahoma"/>
      <family val="2"/>
    </font>
    <font>
      <b/>
      <sz val="12"/>
      <color indexed="81"/>
      <name val="Tahoma"/>
      <family val="2"/>
    </font>
    <font>
      <b/>
      <sz val="11"/>
      <color indexed="81"/>
      <name val="Tahoma"/>
      <family val="2"/>
    </font>
    <font>
      <sz val="14"/>
      <color indexed="81"/>
      <name val="Tahoma"/>
      <family val="2"/>
    </font>
  </fonts>
  <fills count="11">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rgb="FFFFFFFF"/>
      </patternFill>
    </fill>
    <fill>
      <patternFill patternType="solid">
        <fgColor theme="6" tint="0.79998168889431442"/>
        <bgColor indexed="65"/>
      </patternFill>
    </fill>
    <fill>
      <patternFill patternType="solid">
        <fgColor theme="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6">
    <xf numFmtId="0" fontId="0" fillId="0" borderId="0"/>
    <xf numFmtId="165" fontId="1" fillId="0" borderId="0" applyFont="0" applyFill="0" applyBorder="0" applyAlignment="0" applyProtection="0"/>
    <xf numFmtId="0" fontId="2" fillId="0" borderId="0"/>
    <xf numFmtId="164" fontId="1" fillId="0" borderId="0" applyFont="0" applyFill="0" applyBorder="0" applyAlignment="0" applyProtection="0"/>
    <xf numFmtId="41" fontId="1"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6"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1" fillId="0" borderId="0"/>
    <xf numFmtId="0" fontId="3" fillId="8"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85">
    <xf numFmtId="0" fontId="0" fillId="0" borderId="0" xfId="0"/>
    <xf numFmtId="0" fontId="7" fillId="0" borderId="1" xfId="0" applyFont="1" applyFill="1" applyBorder="1" applyAlignment="1">
      <alignment horizontal="left" vertical="top" wrapText="1"/>
    </xf>
    <xf numFmtId="0" fontId="9" fillId="0" borderId="0" xfId="0" applyFont="1" applyFill="1"/>
    <xf numFmtId="0" fontId="11" fillId="0" borderId="3" xfId="0" applyFont="1" applyFill="1" applyBorder="1"/>
    <xf numFmtId="0" fontId="11" fillId="0" borderId="5" xfId="0" applyFont="1" applyFill="1" applyBorder="1"/>
    <xf numFmtId="0" fontId="11" fillId="0" borderId="4" xfId="0" applyFont="1" applyFill="1" applyBorder="1"/>
    <xf numFmtId="0" fontId="12" fillId="0" borderId="3" xfId="0" applyFont="1" applyFill="1" applyBorder="1" applyAlignment="1">
      <alignment horizontal="left" vertical="top" wrapText="1"/>
    </xf>
    <xf numFmtId="0" fontId="11" fillId="0" borderId="1" xfId="0" applyFont="1" applyFill="1" applyBorder="1" applyAlignment="1">
      <alignment vertical="top" wrapText="1"/>
    </xf>
    <xf numFmtId="0" fontId="11" fillId="0" borderId="1" xfId="0" applyFont="1" applyFill="1" applyBorder="1"/>
    <xf numFmtId="166" fontId="11" fillId="0" borderId="1" xfId="1" applyNumberFormat="1" applyFont="1" applyFill="1" applyBorder="1" applyAlignment="1">
      <alignment vertical="top"/>
    </xf>
    <xf numFmtId="166" fontId="11" fillId="0" borderId="1" xfId="1" quotePrefix="1" applyNumberFormat="1" applyFont="1" applyFill="1" applyBorder="1" applyAlignment="1">
      <alignment vertical="top"/>
    </xf>
    <xf numFmtId="3" fontId="11" fillId="0" borderId="1" xfId="0" applyNumberFormat="1" applyFont="1" applyFill="1" applyBorder="1" applyAlignment="1">
      <alignment vertical="top"/>
    </xf>
    <xf numFmtId="0" fontId="11" fillId="0" borderId="1" xfId="0" applyFont="1" applyFill="1" applyBorder="1" applyAlignment="1">
      <alignment vertical="top"/>
    </xf>
    <xf numFmtId="0" fontId="11" fillId="0" borderId="5" xfId="0" applyFont="1" applyFill="1" applyBorder="1" applyAlignment="1">
      <alignment horizontal="left" vertical="top"/>
    </xf>
    <xf numFmtId="0" fontId="11" fillId="0" borderId="1" xfId="0" applyFont="1" applyFill="1" applyBorder="1" applyAlignment="1">
      <alignment horizontal="left" vertical="top" wrapText="1"/>
    </xf>
    <xf numFmtId="0" fontId="11" fillId="0" borderId="4" xfId="0" applyFont="1" applyFill="1" applyBorder="1" applyAlignment="1">
      <alignment horizontal="left" vertical="top"/>
    </xf>
    <xf numFmtId="0" fontId="11" fillId="0" borderId="3" xfId="0" applyFont="1" applyFill="1" applyBorder="1" applyAlignment="1">
      <alignment horizontal="left" vertical="top"/>
    </xf>
    <xf numFmtId="0" fontId="12" fillId="0" borderId="5" xfId="0" applyFont="1" applyFill="1" applyBorder="1" applyAlignment="1">
      <alignment horizontal="left" vertical="top"/>
    </xf>
    <xf numFmtId="0" fontId="11" fillId="0" borderId="1" xfId="0" applyFont="1" applyFill="1" applyBorder="1" applyAlignment="1">
      <alignment horizontal="center" vertical="top"/>
    </xf>
    <xf numFmtId="167" fontId="11" fillId="0" borderId="1" xfId="0" applyNumberFormat="1" applyFont="1" applyFill="1" applyBorder="1" applyAlignment="1">
      <alignment horizontal="center" vertical="top"/>
    </xf>
    <xf numFmtId="0" fontId="11" fillId="0" borderId="4" xfId="0" applyFont="1" applyFill="1" applyBorder="1" applyAlignment="1">
      <alignment horizontal="left" vertical="top" wrapText="1"/>
    </xf>
    <xf numFmtId="164" fontId="11" fillId="0" borderId="1" xfId="3" applyFont="1" applyFill="1" applyBorder="1" applyAlignment="1">
      <alignment horizontal="center" vertical="top"/>
    </xf>
    <xf numFmtId="2" fontId="11" fillId="0" borderId="1" xfId="1" applyNumberFormat="1" applyFont="1" applyFill="1" applyBorder="1" applyAlignment="1">
      <alignment vertical="top"/>
    </xf>
    <xf numFmtId="164" fontId="11" fillId="0" borderId="1" xfId="3" applyFont="1" applyFill="1" applyBorder="1" applyAlignment="1">
      <alignment vertical="top"/>
    </xf>
    <xf numFmtId="166" fontId="11" fillId="0" borderId="1" xfId="1" applyNumberFormat="1" applyFont="1" applyFill="1" applyBorder="1" applyAlignment="1">
      <alignment horizontal="center" vertical="top"/>
    </xf>
    <xf numFmtId="0" fontId="11"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11" fillId="0" borderId="1" xfId="0" applyFont="1" applyFill="1" applyBorder="1" applyAlignment="1">
      <alignment horizontal="right" vertical="top"/>
    </xf>
    <xf numFmtId="0" fontId="11" fillId="0" borderId="4" xfId="0" applyFont="1" applyFill="1" applyBorder="1" applyAlignment="1">
      <alignment horizontal="right" vertical="top"/>
    </xf>
    <xf numFmtId="0" fontId="11" fillId="0" borderId="4" xfId="0" applyFont="1" applyFill="1" applyBorder="1" applyAlignment="1">
      <alignment vertical="top"/>
    </xf>
    <xf numFmtId="3" fontId="11" fillId="0" borderId="1" xfId="0" applyNumberFormat="1" applyFont="1" applyFill="1" applyBorder="1" applyAlignment="1">
      <alignment horizontal="right" vertical="top"/>
    </xf>
    <xf numFmtId="3" fontId="11" fillId="0" borderId="4" xfId="0" applyNumberFormat="1" applyFont="1" applyFill="1" applyBorder="1" applyAlignment="1">
      <alignment horizontal="right" vertical="top"/>
    </xf>
    <xf numFmtId="0" fontId="11" fillId="0" borderId="1" xfId="0" applyFont="1" applyFill="1" applyBorder="1" applyAlignment="1">
      <alignment horizontal="center" vertical="top" wrapText="1"/>
    </xf>
    <xf numFmtId="0" fontId="15" fillId="0" borderId="1" xfId="0" applyFont="1" applyFill="1" applyBorder="1" applyAlignment="1">
      <alignment horizontal="left" vertical="top" wrapText="1"/>
    </xf>
    <xf numFmtId="0" fontId="15" fillId="0" borderId="1" xfId="0" applyFont="1" applyFill="1" applyBorder="1" applyAlignment="1">
      <alignment horizontal="center" vertical="top" wrapText="1"/>
    </xf>
    <xf numFmtId="9" fontId="11" fillId="0" borderId="1" xfId="0" applyNumberFormat="1" applyFont="1" applyFill="1" applyBorder="1" applyAlignment="1">
      <alignment horizontal="center" vertical="top"/>
    </xf>
    <xf numFmtId="0" fontId="14" fillId="0" borderId="1" xfId="0" applyFont="1" applyFill="1" applyBorder="1" applyAlignment="1">
      <alignment horizontal="center" vertical="top" wrapText="1"/>
    </xf>
    <xf numFmtId="164" fontId="14" fillId="0" borderId="1" xfId="0" applyNumberFormat="1" applyFont="1" applyFill="1" applyBorder="1" applyAlignment="1">
      <alignment horizontal="center" vertical="top" wrapText="1"/>
    </xf>
    <xf numFmtId="0" fontId="14" fillId="0" borderId="1" xfId="2" applyFont="1" applyFill="1" applyBorder="1" applyAlignment="1">
      <alignment horizontal="left" vertical="top" wrapText="1"/>
    </xf>
    <xf numFmtId="164" fontId="15" fillId="0" borderId="1" xfId="8" applyNumberFormat="1" applyFont="1" applyFill="1" applyBorder="1" applyAlignment="1">
      <alignment horizontal="center" vertical="top" wrapText="1"/>
    </xf>
    <xf numFmtId="0" fontId="14" fillId="0" borderId="1" xfId="0" applyFont="1" applyFill="1" applyBorder="1" applyAlignment="1">
      <alignment horizontal="left" vertical="top" wrapText="1"/>
    </xf>
    <xf numFmtId="164" fontId="14" fillId="0" borderId="1" xfId="8" applyNumberFormat="1" applyFont="1" applyFill="1" applyBorder="1" applyAlignment="1">
      <alignment horizontal="center" vertical="top" wrapText="1"/>
    </xf>
    <xf numFmtId="0" fontId="14" fillId="0" borderId="3" xfId="2" applyFont="1" applyFill="1" applyBorder="1" applyAlignment="1">
      <alignment horizontal="left" vertical="top" wrapText="1"/>
    </xf>
    <xf numFmtId="0" fontId="14" fillId="0" borderId="3" xfId="0" applyFont="1" applyFill="1" applyBorder="1" applyAlignment="1">
      <alignment horizontal="left" vertical="top" wrapText="1"/>
    </xf>
    <xf numFmtId="165" fontId="11" fillId="0" borderId="3" xfId="1" applyFont="1" applyFill="1" applyBorder="1" applyAlignment="1">
      <alignment vertical="top"/>
    </xf>
    <xf numFmtId="164" fontId="14" fillId="0" borderId="3" xfId="0" applyNumberFormat="1" applyFont="1" applyFill="1" applyBorder="1" applyAlignment="1">
      <alignment horizontal="center" vertical="top" wrapText="1"/>
    </xf>
    <xf numFmtId="164" fontId="14" fillId="0" borderId="3" xfId="8" applyNumberFormat="1" applyFont="1" applyFill="1" applyBorder="1" applyAlignment="1">
      <alignment horizontal="center" vertical="top" wrapText="1"/>
    </xf>
    <xf numFmtId="0" fontId="15" fillId="0" borderId="4" xfId="0" applyFont="1" applyFill="1" applyBorder="1" applyAlignment="1">
      <alignment horizontal="left" vertical="top" wrapText="1"/>
    </xf>
    <xf numFmtId="9" fontId="11" fillId="0" borderId="4" xfId="0" applyNumberFormat="1" applyFont="1" applyFill="1" applyBorder="1" applyAlignment="1">
      <alignment horizontal="center" vertical="top"/>
    </xf>
    <xf numFmtId="166" fontId="11" fillId="0" borderId="4" xfId="1" applyNumberFormat="1" applyFont="1" applyFill="1" applyBorder="1" applyAlignment="1">
      <alignment vertical="top"/>
    </xf>
    <xf numFmtId="0" fontId="14" fillId="0" borderId="1" xfId="10" applyFont="1" applyFill="1" applyBorder="1" applyAlignment="1">
      <alignment horizontal="left" vertical="top" wrapText="1"/>
    </xf>
    <xf numFmtId="165" fontId="11" fillId="0" borderId="1" xfId="0" applyNumberFormat="1" applyFont="1" applyFill="1" applyBorder="1" applyAlignment="1">
      <alignment horizontal="center" vertical="top" wrapText="1"/>
    </xf>
    <xf numFmtId="0" fontId="12" fillId="0" borderId="1" xfId="5" applyFont="1" applyFill="1" applyBorder="1" applyAlignment="1">
      <alignment horizontal="left" vertical="top" wrapText="1"/>
    </xf>
    <xf numFmtId="0" fontId="11" fillId="0" borderId="1" xfId="5" applyFont="1" applyFill="1" applyBorder="1" applyAlignment="1">
      <alignment horizontal="left" vertical="top" wrapText="1"/>
    </xf>
    <xf numFmtId="4" fontId="11" fillId="0" borderId="1" xfId="0" applyNumberFormat="1" applyFont="1" applyFill="1" applyBorder="1" applyAlignment="1">
      <alignment horizontal="center" vertical="top"/>
    </xf>
    <xf numFmtId="3" fontId="11" fillId="0" borderId="1" xfId="0" applyNumberFormat="1" applyFont="1" applyFill="1" applyBorder="1" applyAlignment="1">
      <alignment horizontal="center" vertical="top"/>
    </xf>
    <xf numFmtId="2" fontId="11" fillId="0" borderId="1" xfId="0" applyNumberFormat="1" applyFont="1" applyFill="1" applyBorder="1" applyAlignment="1">
      <alignment horizontal="center" vertical="top"/>
    </xf>
    <xf numFmtId="0" fontId="11" fillId="0" borderId="0" xfId="0" applyFont="1" applyFill="1"/>
    <xf numFmtId="0" fontId="9" fillId="0" borderId="0" xfId="0" applyFont="1" applyFill="1" applyAlignment="1">
      <alignment horizontal="center"/>
    </xf>
    <xf numFmtId="166" fontId="11" fillId="0" borderId="1" xfId="1" quotePrefix="1" applyNumberFormat="1" applyFont="1" applyBorder="1" applyAlignment="1">
      <alignment vertical="top"/>
    </xf>
    <xf numFmtId="0" fontId="11" fillId="0" borderId="5" xfId="0" applyFont="1" applyFill="1" applyBorder="1" applyAlignment="1">
      <alignment horizontal="left" vertical="top"/>
    </xf>
    <xf numFmtId="0" fontId="12" fillId="0" borderId="5" xfId="0" applyFont="1" applyFill="1" applyBorder="1" applyAlignment="1">
      <alignment horizontal="left" vertical="top" wrapText="1"/>
    </xf>
    <xf numFmtId="0" fontId="12"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166" fontId="11" fillId="0" borderId="1" xfId="0" applyNumberFormat="1" applyFont="1" applyFill="1" applyBorder="1" applyAlignment="1">
      <alignment vertical="top"/>
    </xf>
    <xf numFmtId="0" fontId="12" fillId="0" borderId="3" xfId="0" applyFont="1" applyFill="1" applyBorder="1" applyAlignment="1">
      <alignment horizontal="center" vertical="top"/>
    </xf>
    <xf numFmtId="0" fontId="12" fillId="0" borderId="5" xfId="0" applyFont="1" applyFill="1" applyBorder="1" applyAlignment="1">
      <alignment horizontal="center" vertical="top"/>
    </xf>
    <xf numFmtId="0" fontId="7" fillId="0" borderId="4" xfId="0" applyFont="1" applyFill="1" applyBorder="1" applyAlignment="1">
      <alignment horizontal="left" vertical="top" wrapText="1"/>
    </xf>
    <xf numFmtId="0" fontId="7" fillId="0" borderId="1" xfId="0" applyFont="1" applyFill="1" applyBorder="1" applyAlignment="1">
      <alignment vertical="top" wrapText="1"/>
    </xf>
    <xf numFmtId="0" fontId="17" fillId="0" borderId="1" xfId="0" applyFont="1" applyFill="1" applyBorder="1" applyAlignment="1">
      <alignment horizontal="left" vertical="top" wrapText="1"/>
    </xf>
    <xf numFmtId="0" fontId="12" fillId="0" borderId="3" xfId="0" applyFont="1" applyFill="1" applyBorder="1" applyAlignment="1">
      <alignment vertical="top" wrapText="1"/>
    </xf>
    <xf numFmtId="0" fontId="12" fillId="0" borderId="5" xfId="0" applyFont="1" applyFill="1" applyBorder="1" applyAlignment="1">
      <alignment vertical="top" wrapText="1"/>
    </xf>
    <xf numFmtId="0" fontId="17" fillId="0" borderId="4" xfId="0" applyFont="1" applyFill="1" applyBorder="1" applyAlignment="1">
      <alignment horizontal="left" vertical="top" wrapText="1"/>
    </xf>
    <xf numFmtId="2" fontId="11" fillId="0" borderId="1" xfId="0" applyNumberFormat="1" applyFont="1" applyFill="1" applyBorder="1" applyAlignment="1">
      <alignment vertical="top" wrapText="1"/>
    </xf>
    <xf numFmtId="2" fontId="11" fillId="0" borderId="1" xfId="0" applyNumberFormat="1" applyFont="1" applyFill="1" applyBorder="1" applyAlignment="1">
      <alignment horizontal="center" vertical="top" wrapText="1"/>
    </xf>
    <xf numFmtId="2" fontId="7" fillId="0" borderId="1" xfId="0" applyNumberFormat="1" applyFont="1" applyFill="1" applyBorder="1" applyAlignment="1">
      <alignment horizontal="center" vertical="top"/>
    </xf>
    <xf numFmtId="0" fontId="11" fillId="0" borderId="1" xfId="0" applyNumberFormat="1" applyFont="1" applyFill="1" applyBorder="1" applyAlignment="1">
      <alignment horizontal="center" vertical="top"/>
    </xf>
    <xf numFmtId="2" fontId="11" fillId="0" borderId="4" xfId="0" applyNumberFormat="1" applyFont="1" applyFill="1" applyBorder="1" applyAlignment="1">
      <alignment horizontal="center" vertical="top"/>
    </xf>
    <xf numFmtId="2" fontId="15" fillId="0" borderId="4" xfId="0" applyNumberFormat="1" applyFont="1" applyFill="1" applyBorder="1" applyAlignment="1">
      <alignment horizontal="center" vertical="top" wrapText="1"/>
    </xf>
    <xf numFmtId="164" fontId="11" fillId="0" borderId="1" xfId="0" applyNumberFormat="1" applyFont="1" applyFill="1" applyBorder="1" applyAlignment="1">
      <alignment vertical="top"/>
    </xf>
    <xf numFmtId="164" fontId="11" fillId="0" borderId="4" xfId="0" applyNumberFormat="1" applyFont="1" applyFill="1" applyBorder="1" applyAlignment="1">
      <alignment vertical="top"/>
    </xf>
    <xf numFmtId="166" fontId="11" fillId="0" borderId="1" xfId="1" quotePrefix="1" applyNumberFormat="1" applyFont="1" applyFill="1" applyBorder="1" applyAlignment="1">
      <alignment horizontal="center" vertical="top"/>
    </xf>
    <xf numFmtId="165" fontId="11" fillId="0" borderId="4" xfId="1" applyFont="1" applyFill="1" applyBorder="1" applyAlignment="1">
      <alignment vertical="top"/>
    </xf>
    <xf numFmtId="37" fontId="11" fillId="0" borderId="1" xfId="0" applyNumberFormat="1" applyFont="1" applyFill="1" applyBorder="1" applyAlignment="1">
      <alignment vertical="top"/>
    </xf>
    <xf numFmtId="37" fontId="11" fillId="0" borderId="1" xfId="1" applyNumberFormat="1" applyFont="1" applyFill="1" applyBorder="1" applyAlignment="1">
      <alignment vertical="top"/>
    </xf>
    <xf numFmtId="164" fontId="11" fillId="0" borderId="1" xfId="1" applyNumberFormat="1" applyFont="1" applyFill="1" applyBorder="1" applyAlignment="1">
      <alignment vertical="top"/>
    </xf>
    <xf numFmtId="166" fontId="11" fillId="0" borderId="1" xfId="0" applyNumberFormat="1" applyFont="1" applyFill="1" applyBorder="1" applyAlignment="1">
      <alignment horizontal="center" vertical="top" wrapText="1"/>
    </xf>
    <xf numFmtId="164" fontId="11" fillId="0" borderId="1" xfId="0" applyNumberFormat="1" applyFont="1" applyFill="1" applyBorder="1" applyAlignment="1">
      <alignment horizontal="right" vertical="top"/>
    </xf>
    <xf numFmtId="0" fontId="9" fillId="0" borderId="0" xfId="0" applyFont="1" applyFill="1" applyAlignment="1">
      <alignment vertical="top"/>
    </xf>
    <xf numFmtId="1" fontId="11" fillId="0" borderId="1" xfId="0" applyNumberFormat="1" applyFont="1" applyFill="1" applyBorder="1" applyAlignment="1">
      <alignment horizontal="center" vertical="top"/>
    </xf>
    <xf numFmtId="2" fontId="11" fillId="0" borderId="1" xfId="0" applyNumberFormat="1" applyFont="1" applyBorder="1" applyAlignment="1">
      <alignment horizontal="center" vertical="top"/>
    </xf>
    <xf numFmtId="166" fontId="11" fillId="0" borderId="1" xfId="1" quotePrefix="1" applyNumberFormat="1" applyFont="1" applyBorder="1" applyAlignment="1">
      <alignment horizontal="center" vertical="top"/>
    </xf>
    <xf numFmtId="1" fontId="11" fillId="0" borderId="1" xfId="0" applyNumberFormat="1" applyFont="1" applyFill="1" applyBorder="1" applyAlignment="1">
      <alignment horizontal="center" vertical="top" wrapText="1"/>
    </xf>
    <xf numFmtId="167" fontId="11" fillId="0" borderId="1" xfId="0" applyNumberFormat="1" applyFont="1" applyFill="1" applyBorder="1" applyAlignment="1">
      <alignment horizontal="center" vertical="top" wrapText="1"/>
    </xf>
    <xf numFmtId="0" fontId="11" fillId="0" borderId="3" xfId="0" applyFont="1" applyFill="1" applyBorder="1" applyAlignment="1">
      <alignment horizontal="left" vertical="top" wrapText="1"/>
    </xf>
    <xf numFmtId="0" fontId="11" fillId="2" borderId="1" xfId="0" applyFont="1" applyFill="1" applyBorder="1"/>
    <xf numFmtId="0" fontId="9" fillId="2" borderId="0" xfId="0" applyFont="1" applyFill="1"/>
    <xf numFmtId="3" fontId="11" fillId="0" borderId="1" xfId="0" quotePrefix="1" applyNumberFormat="1" applyFont="1" applyFill="1" applyBorder="1" applyAlignment="1">
      <alignment vertical="top" wrapText="1"/>
    </xf>
    <xf numFmtId="165" fontId="11" fillId="0" borderId="1" xfId="1" quotePrefix="1" applyNumberFormat="1"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1" xfId="0" applyFont="1" applyFill="1" applyBorder="1" applyAlignment="1">
      <alignment horizontal="center" vertical="center"/>
    </xf>
    <xf numFmtId="0" fontId="12" fillId="4" borderId="5" xfId="0" applyFont="1" applyFill="1" applyBorder="1" applyAlignment="1">
      <alignment horizontal="center" vertical="top"/>
    </xf>
    <xf numFmtId="0" fontId="12" fillId="4" borderId="5" xfId="0" applyFont="1" applyFill="1" applyBorder="1" applyAlignment="1">
      <alignment horizontal="left" vertical="top" wrapText="1"/>
    </xf>
    <xf numFmtId="0" fontId="12" fillId="4" borderId="4" xfId="0" applyFont="1" applyFill="1" applyBorder="1" applyAlignment="1">
      <alignment horizontal="left" vertical="top" wrapText="1"/>
    </xf>
    <xf numFmtId="166" fontId="11" fillId="0" borderId="0" xfId="1" quotePrefix="1" applyNumberFormat="1" applyFont="1" applyFill="1" applyBorder="1" applyAlignment="1">
      <alignment vertical="top"/>
    </xf>
    <xf numFmtId="166" fontId="11" fillId="0" borderId="0" xfId="0" applyNumberFormat="1" applyFont="1" applyFill="1" applyAlignment="1">
      <alignment vertical="top"/>
    </xf>
    <xf numFmtId="0" fontId="12" fillId="4" borderId="1" xfId="0" applyFont="1" applyFill="1" applyBorder="1" applyAlignment="1">
      <alignment horizontal="center" vertical="top"/>
    </xf>
    <xf numFmtId="0" fontId="12" fillId="4" borderId="1" xfId="0" applyFont="1" applyFill="1" applyBorder="1" applyAlignment="1">
      <alignment horizontal="left" vertical="top" wrapText="1"/>
    </xf>
    <xf numFmtId="166" fontId="11" fillId="0" borderId="1" xfId="1" quotePrefix="1" applyNumberFormat="1" applyFont="1" applyFill="1" applyBorder="1" applyAlignment="1">
      <alignment horizontal="center" vertical="top" wrapText="1"/>
    </xf>
    <xf numFmtId="164" fontId="11" fillId="0" borderId="1" xfId="3" quotePrefix="1" applyFont="1" applyFill="1" applyBorder="1" applyAlignment="1">
      <alignment horizontal="center" vertical="top" wrapText="1"/>
    </xf>
    <xf numFmtId="2" fontId="11" fillId="2" borderId="1" xfId="0" applyNumberFormat="1" applyFont="1" applyFill="1" applyBorder="1" applyAlignment="1">
      <alignment horizontal="right"/>
    </xf>
    <xf numFmtId="0" fontId="9" fillId="0" borderId="5" xfId="0" applyFont="1" applyFill="1" applyBorder="1"/>
    <xf numFmtId="0" fontId="9" fillId="0" borderId="4" xfId="0" applyFont="1" applyFill="1" applyBorder="1"/>
    <xf numFmtId="0" fontId="12" fillId="3" borderId="4" xfId="0" applyFont="1" applyFill="1" applyBorder="1" applyAlignment="1">
      <alignment vertical="top" wrapText="1"/>
    </xf>
    <xf numFmtId="0" fontId="9" fillId="2" borderId="3" xfId="0" applyFont="1" applyFill="1" applyBorder="1"/>
    <xf numFmtId="0" fontId="9" fillId="2" borderId="5" xfId="0" applyFont="1" applyFill="1" applyBorder="1"/>
    <xf numFmtId="0" fontId="9" fillId="4" borderId="5" xfId="0" applyFont="1" applyFill="1" applyBorder="1"/>
    <xf numFmtId="0" fontId="9" fillId="0" borderId="5" xfId="0" applyFont="1" applyFill="1" applyBorder="1" applyAlignment="1">
      <alignment horizontal="center" vertical="top" wrapText="1"/>
    </xf>
    <xf numFmtId="0" fontId="9" fillId="3" borderId="0" xfId="0" applyFont="1" applyFill="1"/>
    <xf numFmtId="166" fontId="11" fillId="2" borderId="0" xfId="0" applyNumberFormat="1" applyFont="1" applyFill="1" applyAlignment="1">
      <alignment vertical="top"/>
    </xf>
    <xf numFmtId="2" fontId="11" fillId="0" borderId="1" xfId="0" quotePrefix="1" applyNumberFormat="1" applyFont="1" applyFill="1" applyBorder="1" applyAlignment="1">
      <alignment horizontal="center" vertical="top" wrapText="1"/>
    </xf>
    <xf numFmtId="4" fontId="11" fillId="0" borderId="1" xfId="0" quotePrefix="1" applyNumberFormat="1" applyFont="1" applyFill="1" applyBorder="1" applyAlignment="1">
      <alignment horizontal="center" vertical="top" wrapText="1"/>
    </xf>
    <xf numFmtId="0" fontId="11" fillId="0" borderId="3" xfId="0" applyFont="1" applyFill="1" applyBorder="1" applyAlignment="1">
      <alignment horizontal="center" vertical="top"/>
    </xf>
    <xf numFmtId="0" fontId="9" fillId="0" borderId="1" xfId="0" applyFont="1" applyFill="1" applyBorder="1"/>
    <xf numFmtId="0" fontId="11" fillId="0" borderId="4"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4" borderId="5" xfId="0" applyFont="1" applyFill="1" applyBorder="1" applyAlignment="1">
      <alignment horizontal="center" vertical="top" wrapText="1"/>
    </xf>
    <xf numFmtId="0" fontId="11" fillId="0" borderId="4" xfId="0" applyFont="1" applyFill="1" applyBorder="1" applyAlignment="1">
      <alignment horizontal="center" vertical="top"/>
    </xf>
    <xf numFmtId="0" fontId="11" fillId="0" borderId="4" xfId="0" applyFont="1" applyFill="1" applyBorder="1" applyAlignment="1">
      <alignment horizontal="center" vertical="top" wrapText="1"/>
    </xf>
    <xf numFmtId="1" fontId="15" fillId="0" borderId="4" xfId="0" applyNumberFormat="1" applyFont="1" applyFill="1" applyBorder="1" applyAlignment="1">
      <alignment horizontal="center" vertical="top" wrapText="1"/>
    </xf>
    <xf numFmtId="0" fontId="9" fillId="5" borderId="0" xfId="0" applyFont="1" applyFill="1"/>
    <xf numFmtId="1" fontId="11" fillId="0" borderId="4" xfId="0" applyNumberFormat="1" applyFont="1" applyFill="1" applyBorder="1" applyAlignment="1">
      <alignment horizontal="center" vertical="top"/>
    </xf>
    <xf numFmtId="0" fontId="12" fillId="0" borderId="5" xfId="0" applyFont="1" applyFill="1" applyBorder="1" applyAlignment="1">
      <alignment vertical="top"/>
    </xf>
    <xf numFmtId="0" fontId="7" fillId="0" borderId="3" xfId="0" applyFont="1" applyFill="1" applyBorder="1" applyAlignment="1">
      <alignment vertical="top" wrapText="1"/>
    </xf>
    <xf numFmtId="0" fontId="7" fillId="0" borderId="4" xfId="0" applyFont="1" applyFill="1" applyBorder="1" applyAlignment="1">
      <alignment vertical="top" wrapText="1"/>
    </xf>
    <xf numFmtId="164" fontId="14" fillId="0" borderId="1" xfId="8" applyNumberFormat="1" applyFont="1" applyFill="1" applyBorder="1" applyAlignment="1">
      <alignment vertical="top"/>
    </xf>
    <xf numFmtId="166" fontId="11" fillId="0" borderId="1" xfId="0" applyNumberFormat="1" applyFont="1" applyFill="1" applyBorder="1" applyAlignment="1">
      <alignment vertical="top" wrapText="1"/>
    </xf>
    <xf numFmtId="0" fontId="20" fillId="0" borderId="4" xfId="0" applyFont="1" applyFill="1" applyBorder="1" applyAlignment="1">
      <alignment horizontal="left" vertical="top"/>
    </xf>
    <xf numFmtId="0" fontId="20" fillId="0" borderId="4" xfId="0" applyFont="1" applyFill="1" applyBorder="1" applyAlignment="1">
      <alignment horizontal="left" vertical="top" wrapText="1"/>
    </xf>
    <xf numFmtId="2" fontId="14" fillId="0" borderId="4" xfId="0" applyNumberFormat="1" applyFont="1" applyFill="1" applyBorder="1" applyAlignment="1">
      <alignment horizontal="center" vertical="top"/>
    </xf>
    <xf numFmtId="0" fontId="14" fillId="0" borderId="4" xfId="0" applyFont="1" applyFill="1" applyBorder="1" applyAlignment="1">
      <alignment horizontal="center" vertical="top" wrapText="1"/>
    </xf>
    <xf numFmtId="0" fontId="21" fillId="0" borderId="0" xfId="0" applyFont="1" applyFill="1"/>
    <xf numFmtId="4" fontId="11" fillId="0" borderId="1" xfId="0" applyNumberFormat="1" applyFont="1" applyFill="1" applyBorder="1" applyAlignment="1">
      <alignment horizontal="center" vertical="top" wrapText="1"/>
    </xf>
    <xf numFmtId="4" fontId="9" fillId="0" borderId="0" xfId="0" applyNumberFormat="1" applyFont="1" applyFill="1"/>
    <xf numFmtId="0" fontId="11" fillId="0" borderId="4" xfId="0" applyFont="1" applyFill="1" applyBorder="1" applyAlignment="1">
      <alignment horizontal="center" vertical="top" wrapText="1"/>
    </xf>
    <xf numFmtId="2" fontId="11" fillId="0" borderId="1" xfId="0" applyNumberFormat="1" applyFont="1" applyBorder="1" applyAlignment="1">
      <alignment horizontal="center" vertical="top" wrapText="1"/>
    </xf>
    <xf numFmtId="0" fontId="11" fillId="0" borderId="0" xfId="0" applyFont="1" applyFill="1" applyAlignment="1">
      <alignmen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9" fillId="6" borderId="0" xfId="0" applyFont="1" applyFill="1"/>
    <xf numFmtId="166" fontId="9" fillId="0" borderId="0" xfId="0" applyNumberFormat="1" applyFont="1" applyFill="1"/>
    <xf numFmtId="166" fontId="9" fillId="6" borderId="0" xfId="0" applyNumberFormat="1" applyFont="1" applyFill="1"/>
    <xf numFmtId="164" fontId="9" fillId="0" borderId="0" xfId="0" applyNumberFormat="1" applyFont="1" applyFill="1"/>
    <xf numFmtId="0" fontId="22" fillId="7" borderId="16" xfId="2" applyFont="1" applyFill="1" applyBorder="1" applyAlignment="1">
      <alignment horizontal="center" vertical="center" wrapText="1"/>
    </xf>
    <xf numFmtId="0" fontId="22" fillId="0" borderId="16" xfId="2" applyFont="1" applyFill="1" applyBorder="1" applyAlignment="1">
      <alignment horizontal="center" vertical="center" wrapText="1"/>
    </xf>
    <xf numFmtId="0" fontId="24" fillId="0" borderId="16" xfId="2" applyFont="1" applyFill="1" applyBorder="1" applyAlignment="1">
      <alignment horizontal="center" vertical="center" wrapText="1"/>
    </xf>
    <xf numFmtId="0" fontId="11" fillId="2" borderId="1" xfId="0" applyFont="1" applyFill="1" applyBorder="1" applyAlignment="1">
      <alignment horizontal="left"/>
    </xf>
    <xf numFmtId="3" fontId="16" fillId="0" borderId="0" xfId="0" applyNumberFormat="1" applyFont="1" applyFill="1"/>
    <xf numFmtId="0" fontId="11" fillId="0" borderId="1" xfId="0" quotePrefix="1" applyFont="1" applyFill="1" applyBorder="1" applyAlignment="1">
      <alignment vertical="top" wrapText="1"/>
    </xf>
    <xf numFmtId="3" fontId="11" fillId="0" borderId="1" xfId="0" quotePrefix="1" applyNumberFormat="1" applyFont="1" applyFill="1" applyBorder="1" applyAlignment="1">
      <alignment horizontal="center" vertical="top" wrapText="1"/>
    </xf>
    <xf numFmtId="164" fontId="11" fillId="0" borderId="1" xfId="3" quotePrefix="1" applyFont="1" applyFill="1" applyBorder="1" applyAlignment="1">
      <alignment vertical="top" wrapText="1"/>
    </xf>
    <xf numFmtId="164" fontId="11" fillId="0" borderId="1" xfId="3" quotePrefix="1" applyNumberFormat="1" applyFont="1" applyFill="1" applyBorder="1" applyAlignment="1">
      <alignment vertical="top" wrapText="1"/>
    </xf>
    <xf numFmtId="3" fontId="11" fillId="0" borderId="1" xfId="0" applyNumberFormat="1" applyFont="1" applyFill="1" applyBorder="1" applyAlignment="1">
      <alignment horizontal="center" vertical="top" wrapText="1"/>
    </xf>
    <xf numFmtId="168" fontId="11" fillId="0" borderId="1" xfId="0" applyNumberFormat="1" applyFont="1" applyFill="1" applyBorder="1" applyAlignment="1">
      <alignment horizontal="center" vertical="top" wrapText="1"/>
    </xf>
    <xf numFmtId="1" fontId="14" fillId="0" borderId="1" xfId="8" applyNumberFormat="1" applyFont="1" applyFill="1" applyBorder="1" applyAlignment="1">
      <alignment horizontal="center" vertical="top"/>
    </xf>
    <xf numFmtId="1" fontId="14" fillId="0" borderId="1" xfId="8" applyNumberFormat="1" applyFont="1" applyFill="1" applyBorder="1" applyAlignment="1">
      <alignment horizontal="center" vertical="top" wrapText="1"/>
    </xf>
    <xf numFmtId="1" fontId="14" fillId="0" borderId="4" xfId="8" applyNumberFormat="1" applyFont="1" applyFill="1" applyBorder="1" applyAlignment="1">
      <alignment horizontal="center" vertical="top" wrapText="1"/>
    </xf>
    <xf numFmtId="0" fontId="11" fillId="0" borderId="4" xfId="0" applyFont="1" applyFill="1" applyBorder="1" applyAlignment="1">
      <alignment horizontal="center" vertical="top" wrapText="1"/>
    </xf>
    <xf numFmtId="169" fontId="11" fillId="0" borderId="1" xfId="0" applyNumberFormat="1" applyFont="1" applyFill="1" applyBorder="1" applyAlignment="1">
      <alignment horizontal="center" vertical="top"/>
    </xf>
    <xf numFmtId="2" fontId="9" fillId="0" borderId="0" xfId="0" applyNumberFormat="1" applyFont="1" applyFill="1" applyAlignment="1">
      <alignment vertical="top"/>
    </xf>
    <xf numFmtId="3" fontId="14" fillId="0" borderId="1" xfId="0" applyNumberFormat="1" applyFont="1" applyFill="1" applyBorder="1" applyAlignment="1">
      <alignment horizontal="center" vertical="top" wrapText="1"/>
    </xf>
    <xf numFmtId="4" fontId="11" fillId="0" borderId="1" xfId="1" quotePrefix="1" applyNumberFormat="1" applyFont="1" applyFill="1" applyBorder="1" applyAlignment="1">
      <alignment horizontal="center" vertical="top" wrapText="1"/>
    </xf>
    <xf numFmtId="170" fontId="11" fillId="0" borderId="1" xfId="0" applyNumberFormat="1" applyFont="1" applyFill="1" applyBorder="1" applyAlignment="1">
      <alignment horizontal="center" vertical="top"/>
    </xf>
    <xf numFmtId="2" fontId="11" fillId="0" borderId="4" xfId="0" applyNumberFormat="1" applyFont="1" applyFill="1" applyBorder="1" applyAlignment="1">
      <alignment horizontal="center" vertical="top" wrapText="1"/>
    </xf>
    <xf numFmtId="4" fontId="15" fillId="0" borderId="4"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xf>
    <xf numFmtId="0" fontId="12" fillId="2" borderId="1" xfId="0" applyFont="1" applyFill="1" applyBorder="1" applyAlignment="1">
      <alignment horizontal="center" vertical="center"/>
    </xf>
    <xf numFmtId="0" fontId="11" fillId="0" borderId="4" xfId="0" applyFont="1" applyFill="1" applyBorder="1" applyAlignment="1">
      <alignment horizontal="center" vertical="top" wrapText="1"/>
    </xf>
    <xf numFmtId="167" fontId="11" fillId="0" borderId="1" xfId="0" quotePrefix="1" applyNumberFormat="1" applyFont="1" applyFill="1" applyBorder="1" applyAlignment="1">
      <alignment horizontal="center" vertical="top" wrapText="1"/>
    </xf>
    <xf numFmtId="166" fontId="11" fillId="0" borderId="5" xfId="1" applyNumberFormat="1" applyFont="1" applyFill="1" applyBorder="1" applyAlignment="1">
      <alignment vertical="top"/>
    </xf>
    <xf numFmtId="166" fontId="11" fillId="0" borderId="3" xfId="1" quotePrefix="1" applyNumberFormat="1" applyFont="1" applyFill="1" applyBorder="1" applyAlignment="1">
      <alignment vertical="top"/>
    </xf>
    <xf numFmtId="166" fontId="11" fillId="0" borderId="5" xfId="1" quotePrefix="1" applyNumberFormat="1" applyFont="1" applyFill="1" applyBorder="1" applyAlignment="1">
      <alignment vertical="top"/>
    </xf>
    <xf numFmtId="166" fontId="11" fillId="0" borderId="4" xfId="1" quotePrefix="1" applyNumberFormat="1" applyFont="1" applyFill="1" applyBorder="1" applyAlignment="1">
      <alignment vertical="top"/>
    </xf>
    <xf numFmtId="166" fontId="11" fillId="0" borderId="3" xfId="1" applyNumberFormat="1" applyFont="1" applyFill="1" applyBorder="1" applyAlignment="1">
      <alignment vertical="top"/>
    </xf>
    <xf numFmtId="166" fontId="9" fillId="0" borderId="4" xfId="1" applyNumberFormat="1" applyFont="1" applyFill="1" applyBorder="1" applyAlignment="1">
      <alignment vertical="top"/>
    </xf>
    <xf numFmtId="166" fontId="16" fillId="0" borderId="5" xfId="1" applyNumberFormat="1" applyFont="1" applyFill="1" applyBorder="1" applyAlignment="1">
      <alignment vertical="top"/>
    </xf>
    <xf numFmtId="166" fontId="16" fillId="0" borderId="4" xfId="1" applyNumberFormat="1" applyFont="1" applyFill="1" applyBorder="1" applyAlignment="1">
      <alignment vertical="top"/>
    </xf>
    <xf numFmtId="164" fontId="14" fillId="0" borderId="4" xfId="0" applyNumberFormat="1" applyFont="1" applyFill="1" applyBorder="1" applyAlignment="1">
      <alignment horizontal="center" vertical="top" wrapText="1"/>
    </xf>
    <xf numFmtId="164" fontId="14" fillId="0" borderId="5" xfId="0" applyNumberFormat="1" applyFont="1" applyFill="1" applyBorder="1" applyAlignment="1">
      <alignment horizontal="center" vertical="top" wrapText="1"/>
    </xf>
    <xf numFmtId="164" fontId="14" fillId="0" borderId="4" xfId="7" applyNumberFormat="1" applyFont="1" applyFill="1" applyBorder="1" applyAlignment="1">
      <alignment vertical="top" wrapText="1"/>
    </xf>
    <xf numFmtId="164" fontId="15" fillId="0" borderId="4" xfId="8" applyNumberFormat="1" applyFont="1" applyFill="1" applyBorder="1" applyAlignment="1">
      <alignment horizontal="center" vertical="top" wrapText="1"/>
    </xf>
    <xf numFmtId="164" fontId="14" fillId="0" borderId="4" xfId="8" applyNumberFormat="1" applyFont="1" applyFill="1" applyBorder="1" applyAlignment="1">
      <alignment horizontal="center" vertical="top" wrapText="1"/>
    </xf>
    <xf numFmtId="3" fontId="11" fillId="0" borderId="1" xfId="1" quotePrefix="1" applyNumberFormat="1" applyFont="1" applyFill="1" applyBorder="1" applyAlignment="1">
      <alignment horizontal="center" vertical="top" wrapText="1"/>
    </xf>
    <xf numFmtId="3" fontId="11" fillId="0" borderId="3" xfId="0" applyNumberFormat="1" applyFont="1" applyFill="1" applyBorder="1" applyAlignment="1">
      <alignment vertical="top"/>
    </xf>
    <xf numFmtId="164" fontId="11" fillId="0" borderId="4" xfId="3" applyFont="1" applyFill="1" applyBorder="1" applyAlignment="1">
      <alignment vertical="top"/>
    </xf>
    <xf numFmtId="164" fontId="11" fillId="0" borderId="3" xfId="3" applyFont="1" applyFill="1" applyBorder="1" applyAlignment="1">
      <alignment vertical="top"/>
    </xf>
    <xf numFmtId="3" fontId="11" fillId="0" borderId="3" xfId="0" applyNumberFormat="1" applyFont="1" applyFill="1" applyBorder="1" applyAlignment="1">
      <alignment horizontal="right" vertical="top"/>
    </xf>
    <xf numFmtId="0" fontId="14" fillId="0" borderId="5" xfId="2" applyFont="1" applyFill="1" applyBorder="1" applyAlignment="1">
      <alignment horizontal="left" vertical="top" wrapText="1"/>
    </xf>
    <xf numFmtId="0" fontId="14" fillId="0" borderId="4" xfId="2" applyFont="1" applyFill="1" applyBorder="1" applyAlignment="1">
      <alignment horizontal="left" vertical="top" wrapText="1"/>
    </xf>
    <xf numFmtId="164" fontId="14" fillId="0" borderId="3" xfId="7" applyNumberFormat="1" applyFont="1" applyFill="1" applyBorder="1" applyAlignment="1">
      <alignment vertical="top" wrapText="1"/>
    </xf>
    <xf numFmtId="164" fontId="14" fillId="0" borderId="5" xfId="7" applyNumberFormat="1" applyFont="1" applyFill="1" applyBorder="1" applyAlignment="1">
      <alignment vertical="top" wrapText="1"/>
    </xf>
    <xf numFmtId="164" fontId="15" fillId="0" borderId="3" xfId="8" applyNumberFormat="1" applyFont="1" applyFill="1" applyBorder="1" applyAlignment="1">
      <alignment horizontal="center" vertical="top" wrapText="1"/>
    </xf>
    <xf numFmtId="164" fontId="15" fillId="0" borderId="5" xfId="8" applyNumberFormat="1" applyFont="1" applyFill="1" applyBorder="1" applyAlignment="1">
      <alignment horizontal="center" vertical="top"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xf numFmtId="166" fontId="14" fillId="0" borderId="3" xfId="1" applyNumberFormat="1" applyFont="1" applyFill="1" applyBorder="1" applyAlignment="1">
      <alignment vertical="top"/>
    </xf>
    <xf numFmtId="166" fontId="11" fillId="0" borderId="3" xfId="1" applyNumberFormat="1" applyFont="1" applyFill="1" applyBorder="1" applyAlignment="1">
      <alignment horizontal="center" vertical="top"/>
    </xf>
    <xf numFmtId="166" fontId="11" fillId="0" borderId="4" xfId="1" applyNumberFormat="1" applyFont="1" applyFill="1" applyBorder="1" applyAlignment="1">
      <alignment horizontal="center" vertical="top"/>
    </xf>
    <xf numFmtId="166" fontId="11" fillId="0" borderId="3" xfId="1" quotePrefix="1" applyNumberFormat="1" applyFont="1" applyBorder="1" applyAlignment="1">
      <alignment vertical="top"/>
    </xf>
    <xf numFmtId="166" fontId="11" fillId="0" borderId="4" xfId="1" quotePrefix="1" applyNumberFormat="1" applyFont="1" applyBorder="1" applyAlignment="1">
      <alignment vertical="top"/>
    </xf>
    <xf numFmtId="171" fontId="11" fillId="0" borderId="1" xfId="0" applyNumberFormat="1" applyFont="1" applyFill="1" applyBorder="1" applyAlignment="1">
      <alignment horizontal="center" vertical="top" wrapText="1"/>
    </xf>
    <xf numFmtId="0" fontId="9" fillId="0" borderId="3" xfId="0" applyFont="1" applyFill="1" applyBorder="1"/>
    <xf numFmtId="0" fontId="11" fillId="10" borderId="1" xfId="0" applyFont="1" applyFill="1" applyBorder="1" applyAlignment="1">
      <alignment horizontal="left" vertical="top" wrapText="1"/>
    </xf>
    <xf numFmtId="2" fontId="12" fillId="4" borderId="1" xfId="0" applyNumberFormat="1" applyFont="1" applyFill="1" applyBorder="1" applyAlignment="1">
      <alignment horizontal="center" vertical="top" wrapText="1"/>
    </xf>
    <xf numFmtId="0" fontId="12" fillId="4" borderId="10" xfId="0" applyFont="1" applyFill="1" applyBorder="1" applyAlignment="1">
      <alignment horizontal="center" vertical="top" wrapText="1"/>
    </xf>
    <xf numFmtId="0" fontId="12" fillId="4" borderId="4" xfId="0" applyFont="1" applyFill="1" applyBorder="1" applyAlignment="1">
      <alignment horizontal="center"/>
    </xf>
    <xf numFmtId="0" fontId="12" fillId="4" borderId="1" xfId="0" applyFont="1" applyFill="1" applyBorder="1" applyAlignment="1">
      <alignment horizontal="center" vertical="top" wrapText="1"/>
    </xf>
    <xf numFmtId="3" fontId="12" fillId="4" borderId="4" xfId="0" applyNumberFormat="1" applyFont="1" applyFill="1" applyBorder="1" applyAlignment="1">
      <alignment horizontal="center" vertical="top" wrapText="1"/>
    </xf>
    <xf numFmtId="0" fontId="12" fillId="4" borderId="4" xfId="0" applyFont="1" applyFill="1" applyBorder="1" applyAlignment="1">
      <alignment horizontal="center" vertical="top"/>
    </xf>
    <xf numFmtId="0" fontId="12" fillId="0" borderId="1" xfId="0" applyFont="1" applyFill="1" applyBorder="1" applyAlignment="1">
      <alignment horizontal="center" vertical="top" wrapText="1"/>
    </xf>
    <xf numFmtId="9" fontId="12" fillId="0" borderId="1" xfId="0" applyNumberFormat="1" applyFont="1" applyFill="1" applyBorder="1" applyAlignment="1">
      <alignment horizontal="center" vertical="top"/>
    </xf>
    <xf numFmtId="0" fontId="12" fillId="0" borderId="1" xfId="0" applyFont="1" applyFill="1" applyBorder="1"/>
    <xf numFmtId="166" fontId="12" fillId="0" borderId="1" xfId="1" applyNumberFormat="1" applyFont="1" applyFill="1" applyBorder="1" applyAlignment="1">
      <alignment vertical="top"/>
    </xf>
    <xf numFmtId="2" fontId="12" fillId="0" borderId="1" xfId="0" applyNumberFormat="1" applyFont="1" applyFill="1" applyBorder="1" applyAlignment="1">
      <alignment horizontal="center" vertical="top" wrapText="1"/>
    </xf>
    <xf numFmtId="166" fontId="12" fillId="0" borderId="1" xfId="1" quotePrefix="1" applyNumberFormat="1" applyFont="1" applyFill="1" applyBorder="1" applyAlignment="1">
      <alignment vertical="top"/>
    </xf>
    <xf numFmtId="2" fontId="12" fillId="0" borderId="1" xfId="0" applyNumberFormat="1" applyFont="1" applyBorder="1" applyAlignment="1">
      <alignment horizontal="center" vertical="top"/>
    </xf>
    <xf numFmtId="9" fontId="12" fillId="0" borderId="1" xfId="0" applyNumberFormat="1" applyFont="1" applyFill="1" applyBorder="1" applyAlignment="1">
      <alignment horizontal="center" vertical="top" wrapText="1"/>
    </xf>
    <xf numFmtId="0" fontId="12" fillId="0" borderId="1" xfId="0" applyFont="1" applyFill="1" applyBorder="1" applyAlignment="1">
      <alignment vertical="top"/>
    </xf>
    <xf numFmtId="0" fontId="12" fillId="0" borderId="1" xfId="0" applyFont="1" applyFill="1" applyBorder="1" applyAlignment="1">
      <alignment horizontal="center" vertical="top"/>
    </xf>
    <xf numFmtId="2" fontId="12" fillId="0" borderId="1" xfId="1" applyNumberFormat="1" applyFont="1" applyFill="1" applyBorder="1" applyAlignment="1">
      <alignment vertical="top"/>
    </xf>
    <xf numFmtId="2" fontId="12" fillId="0" borderId="1" xfId="0" applyNumberFormat="1" applyFont="1" applyFill="1" applyBorder="1" applyAlignment="1">
      <alignment vertical="top" wrapText="1"/>
    </xf>
    <xf numFmtId="166" fontId="12" fillId="0" borderId="1" xfId="1" quotePrefix="1" applyNumberFormat="1" applyFont="1" applyBorder="1" applyAlignment="1">
      <alignment vertical="top"/>
    </xf>
    <xf numFmtId="0" fontId="12" fillId="0" borderId="1" xfId="0" applyFont="1" applyFill="1" applyBorder="1" applyAlignment="1">
      <alignment vertical="top" wrapText="1"/>
    </xf>
    <xf numFmtId="166" fontId="12" fillId="0" borderId="1" xfId="0" applyNumberFormat="1" applyFont="1" applyFill="1" applyBorder="1" applyAlignment="1">
      <alignment vertical="top"/>
    </xf>
    <xf numFmtId="2" fontId="12" fillId="0" borderId="1" xfId="0" applyNumberFormat="1" applyFont="1" applyFill="1" applyBorder="1" applyAlignment="1">
      <alignment horizontal="center" vertical="top"/>
    </xf>
    <xf numFmtId="2" fontId="11" fillId="0" borderId="1" xfId="1" applyNumberFormat="1" applyFont="1" applyFill="1" applyBorder="1" applyAlignment="1">
      <alignment horizontal="center" vertical="top"/>
    </xf>
    <xf numFmtId="0" fontId="11" fillId="0" borderId="3" xfId="0" applyFont="1" applyFill="1" applyBorder="1" applyAlignment="1">
      <alignment vertical="top"/>
    </xf>
    <xf numFmtId="2" fontId="11" fillId="0" borderId="3" xfId="1" applyNumberFormat="1" applyFont="1" applyFill="1" applyBorder="1" applyAlignment="1">
      <alignment horizontal="center" vertical="top"/>
    </xf>
    <xf numFmtId="2" fontId="11" fillId="0" borderId="4" xfId="1" applyNumberFormat="1" applyFont="1" applyFill="1" applyBorder="1" applyAlignment="1">
      <alignment horizontal="center" vertical="top"/>
    </xf>
    <xf numFmtId="2" fontId="12" fillId="4" borderId="4" xfId="0" applyNumberFormat="1" applyFont="1" applyFill="1" applyBorder="1" applyAlignment="1">
      <alignment horizontal="center" vertical="top"/>
    </xf>
    <xf numFmtId="2" fontId="12" fillId="0" borderId="1" xfId="1" applyNumberFormat="1" applyFont="1" applyFill="1" applyBorder="1" applyAlignment="1">
      <alignment horizontal="center" vertical="top"/>
    </xf>
    <xf numFmtId="167" fontId="12" fillId="0" borderId="1" xfId="0" applyNumberFormat="1" applyFont="1" applyFill="1" applyBorder="1" applyAlignment="1">
      <alignment horizontal="center" vertical="top" wrapText="1"/>
    </xf>
    <xf numFmtId="0" fontId="11" fillId="0" borderId="5" xfId="0" applyFont="1" applyFill="1" applyBorder="1" applyAlignment="1">
      <alignment vertical="top"/>
    </xf>
    <xf numFmtId="2" fontId="11" fillId="0" borderId="5" xfId="1" applyNumberFormat="1" applyFont="1" applyFill="1" applyBorder="1" applyAlignment="1">
      <alignment horizontal="center" vertical="top"/>
    </xf>
    <xf numFmtId="164" fontId="11" fillId="0" borderId="3" xfId="3" applyFont="1" applyFill="1" applyBorder="1" applyAlignment="1">
      <alignment horizontal="center" vertical="top"/>
    </xf>
    <xf numFmtId="164" fontId="11" fillId="0" borderId="5" xfId="3" applyFont="1" applyFill="1" applyBorder="1" applyAlignment="1">
      <alignment horizontal="center" vertical="top"/>
    </xf>
    <xf numFmtId="164" fontId="11" fillId="0" borderId="4" xfId="3" applyFont="1" applyFill="1" applyBorder="1" applyAlignment="1">
      <alignment horizontal="center" vertical="top"/>
    </xf>
    <xf numFmtId="164" fontId="11" fillId="0" borderId="5" xfId="3" applyFont="1" applyFill="1" applyBorder="1" applyAlignment="1">
      <alignment vertical="top"/>
    </xf>
    <xf numFmtId="164" fontId="12" fillId="0" borderId="1" xfId="3" applyFont="1" applyFill="1" applyBorder="1" applyAlignment="1">
      <alignment horizontal="center" vertical="top"/>
    </xf>
    <xf numFmtId="2" fontId="12" fillId="0" borderId="1" xfId="3" applyNumberFormat="1" applyFont="1" applyFill="1" applyBorder="1" applyAlignment="1">
      <alignment horizontal="center" vertical="top" wrapText="1"/>
    </xf>
    <xf numFmtId="166" fontId="11" fillId="0" borderId="5" xfId="1" applyNumberFormat="1" applyFont="1" applyFill="1" applyBorder="1" applyAlignment="1">
      <alignment horizontal="center" vertical="top"/>
    </xf>
    <xf numFmtId="166" fontId="11" fillId="0" borderId="5" xfId="1" quotePrefix="1" applyNumberFormat="1" applyFont="1" applyFill="1" applyBorder="1" applyAlignment="1">
      <alignment horizontal="center" vertical="top"/>
    </xf>
    <xf numFmtId="166" fontId="11" fillId="0" borderId="4" xfId="1" quotePrefix="1" applyNumberFormat="1" applyFont="1" applyFill="1" applyBorder="1" applyAlignment="1">
      <alignment horizontal="center" vertical="top"/>
    </xf>
    <xf numFmtId="1" fontId="12" fillId="0" borderId="1" xfId="0" applyNumberFormat="1" applyFont="1" applyFill="1" applyBorder="1" applyAlignment="1">
      <alignment horizontal="center" vertical="top"/>
    </xf>
    <xf numFmtId="170" fontId="12" fillId="0" borderId="1" xfId="0" applyNumberFormat="1" applyFont="1" applyFill="1" applyBorder="1" applyAlignment="1">
      <alignment horizontal="center" vertical="top"/>
    </xf>
    <xf numFmtId="166" fontId="12" fillId="0" borderId="1" xfId="1" quotePrefix="1" applyNumberFormat="1" applyFont="1" applyFill="1" applyBorder="1" applyAlignment="1">
      <alignment vertical="top" wrapText="1"/>
    </xf>
    <xf numFmtId="4" fontId="12" fillId="0" borderId="1" xfId="1" quotePrefix="1" applyNumberFormat="1" applyFont="1" applyFill="1" applyBorder="1" applyAlignment="1">
      <alignment vertical="top" wrapText="1"/>
    </xf>
    <xf numFmtId="164" fontId="12" fillId="4" borderId="4" xfId="3" applyFont="1" applyFill="1" applyBorder="1" applyAlignment="1">
      <alignment horizontal="center" vertical="top"/>
    </xf>
    <xf numFmtId="2" fontId="13" fillId="0" borderId="1" xfId="0" applyNumberFormat="1" applyFont="1" applyFill="1" applyBorder="1" applyAlignment="1">
      <alignment horizontal="center" vertical="top"/>
    </xf>
    <xf numFmtId="164" fontId="12" fillId="0" borderId="1" xfId="3" applyFont="1" applyFill="1" applyBorder="1" applyAlignment="1">
      <alignment vertical="top"/>
    </xf>
    <xf numFmtId="170" fontId="20" fillId="4" borderId="1" xfId="0" applyNumberFormat="1" applyFont="1" applyFill="1" applyBorder="1" applyAlignment="1">
      <alignment horizontal="center" vertical="top"/>
    </xf>
    <xf numFmtId="2" fontId="20" fillId="4" borderId="1" xfId="1" applyNumberFormat="1" applyFont="1" applyFill="1" applyBorder="1" applyAlignment="1">
      <alignment horizontal="center" vertical="top"/>
    </xf>
    <xf numFmtId="1" fontId="13" fillId="0" borderId="1" xfId="0" applyNumberFormat="1" applyFont="1" applyFill="1" applyBorder="1" applyAlignment="1">
      <alignment horizontal="center" vertical="top"/>
    </xf>
    <xf numFmtId="4" fontId="12" fillId="0" borderId="1" xfId="0" applyNumberFormat="1" applyFont="1" applyFill="1" applyBorder="1" applyAlignment="1">
      <alignment horizontal="center" vertical="top" wrapText="1"/>
    </xf>
    <xf numFmtId="9" fontId="12" fillId="0" borderId="1" xfId="0" applyNumberFormat="1" applyFont="1" applyFill="1" applyBorder="1" applyAlignment="1">
      <alignment vertical="top"/>
    </xf>
    <xf numFmtId="172" fontId="11" fillId="0" borderId="1" xfId="0" applyNumberFormat="1" applyFont="1" applyFill="1" applyBorder="1" applyAlignment="1">
      <alignment horizontal="center" vertical="top"/>
    </xf>
    <xf numFmtId="164" fontId="11" fillId="0" borderId="3" xfId="0" applyNumberFormat="1" applyFont="1" applyFill="1" applyBorder="1" applyAlignment="1">
      <alignment vertical="top"/>
    </xf>
    <xf numFmtId="41" fontId="11" fillId="0" borderId="3" xfId="0" applyNumberFormat="1" applyFont="1" applyFill="1" applyBorder="1" applyAlignment="1">
      <alignment vertical="top"/>
    </xf>
    <xf numFmtId="0" fontId="12" fillId="0" borderId="1" xfId="0" applyNumberFormat="1" applyFont="1" applyFill="1" applyBorder="1" applyAlignment="1">
      <alignment horizontal="center" vertical="top"/>
    </xf>
    <xf numFmtId="0" fontId="12" fillId="0" borderId="1" xfId="0" applyFont="1" applyFill="1" applyBorder="1" applyAlignment="1">
      <alignment horizontal="right" vertical="top"/>
    </xf>
    <xf numFmtId="0" fontId="12" fillId="0" borderId="1" xfId="0" applyNumberFormat="1" applyFont="1" applyFill="1" applyBorder="1" applyAlignment="1">
      <alignment horizontal="center" vertical="top" wrapText="1"/>
    </xf>
    <xf numFmtId="3" fontId="12" fillId="0" borderId="1" xfId="0" applyNumberFormat="1" applyFont="1" applyFill="1" applyBorder="1" applyAlignment="1">
      <alignment horizontal="right" vertical="top"/>
    </xf>
    <xf numFmtId="0" fontId="11" fillId="0" borderId="3" xfId="0" applyFont="1" applyFill="1" applyBorder="1" applyAlignment="1">
      <alignment horizontal="right" vertical="top"/>
    </xf>
    <xf numFmtId="166" fontId="11" fillId="0" borderId="3" xfId="1" quotePrefix="1" applyNumberFormat="1" applyFont="1" applyFill="1" applyBorder="1" applyAlignment="1">
      <alignment horizontal="center" vertical="top"/>
    </xf>
    <xf numFmtId="3" fontId="11" fillId="0" borderId="4" xfId="0" applyNumberFormat="1" applyFont="1" applyFill="1" applyBorder="1" applyAlignment="1">
      <alignment vertical="top"/>
    </xf>
    <xf numFmtId="3" fontId="15" fillId="0" borderId="4" xfId="0" applyNumberFormat="1" applyFont="1" applyFill="1" applyBorder="1" applyAlignment="1">
      <alignment horizontal="center" vertical="top" wrapText="1"/>
    </xf>
    <xf numFmtId="2" fontId="12" fillId="0" borderId="4" xfId="0" applyNumberFormat="1" applyFont="1" applyFill="1" applyBorder="1" applyAlignment="1">
      <alignment horizontal="center" vertical="top"/>
    </xf>
    <xf numFmtId="0" fontId="12" fillId="0" borderId="4" xfId="0" applyFont="1" applyFill="1" applyBorder="1" applyAlignment="1">
      <alignment horizontal="center" vertical="top" wrapText="1"/>
    </xf>
    <xf numFmtId="0" fontId="17" fillId="0" borderId="1" xfId="0" applyFont="1" applyFill="1" applyBorder="1" applyAlignment="1">
      <alignment horizontal="center" vertical="top" wrapText="1"/>
    </xf>
    <xf numFmtId="166" fontId="12" fillId="0" borderId="1" xfId="1" applyNumberFormat="1" applyFont="1" applyFill="1" applyBorder="1" applyAlignment="1">
      <alignment horizontal="center" vertical="top"/>
    </xf>
    <xf numFmtId="164" fontId="20" fillId="0" borderId="1" xfId="0" applyNumberFormat="1" applyFont="1" applyFill="1" applyBorder="1" applyAlignment="1">
      <alignment horizontal="center" vertical="top" wrapText="1"/>
    </xf>
    <xf numFmtId="2" fontId="17" fillId="0" borderId="4" xfId="0" applyNumberFormat="1" applyFont="1" applyFill="1" applyBorder="1" applyAlignment="1">
      <alignment horizontal="center" vertical="top" wrapText="1"/>
    </xf>
    <xf numFmtId="9" fontId="12" fillId="0" borderId="4" xfId="0" applyNumberFormat="1" applyFont="1" applyFill="1" applyBorder="1" applyAlignment="1">
      <alignment horizontal="center" vertical="top"/>
    </xf>
    <xf numFmtId="166" fontId="12" fillId="0" borderId="4" xfId="1" applyNumberFormat="1" applyFont="1" applyFill="1" applyBorder="1" applyAlignment="1">
      <alignment vertical="top"/>
    </xf>
    <xf numFmtId="164" fontId="20" fillId="0" borderId="4" xfId="0" applyNumberFormat="1" applyFont="1" applyFill="1" applyBorder="1" applyAlignment="1">
      <alignment vertical="top" wrapText="1"/>
    </xf>
    <xf numFmtId="2" fontId="14" fillId="0" borderId="3" xfId="1" applyNumberFormat="1" applyFont="1" applyFill="1" applyBorder="1" applyAlignment="1">
      <alignment horizontal="center" vertical="top"/>
    </xf>
    <xf numFmtId="1" fontId="17" fillId="0" borderId="4" xfId="0" applyNumberFormat="1" applyFont="1" applyFill="1" applyBorder="1" applyAlignment="1">
      <alignment horizontal="center" vertical="top" wrapText="1"/>
    </xf>
    <xf numFmtId="164" fontId="17" fillId="0" borderId="1" xfId="8" applyNumberFormat="1" applyFont="1" applyFill="1" applyBorder="1" applyAlignment="1">
      <alignment horizontal="center" vertical="top" wrapText="1"/>
    </xf>
    <xf numFmtId="3" fontId="14" fillId="0" borderId="1" xfId="8" applyNumberFormat="1" applyFont="1" applyFill="1" applyBorder="1" applyAlignment="1">
      <alignment horizontal="center" vertical="top"/>
    </xf>
    <xf numFmtId="2" fontId="14" fillId="0" borderId="1" xfId="8" applyNumberFormat="1" applyFont="1" applyFill="1" applyBorder="1" applyAlignment="1">
      <alignment horizontal="center" vertical="top"/>
    </xf>
    <xf numFmtId="165" fontId="12" fillId="0" borderId="1" xfId="0" applyNumberFormat="1" applyFont="1" applyFill="1" applyBorder="1" applyAlignment="1">
      <alignment vertical="top" wrapText="1"/>
    </xf>
    <xf numFmtId="166" fontId="12" fillId="0" borderId="1" xfId="0" applyNumberFormat="1" applyFont="1" applyFill="1" applyBorder="1" applyAlignment="1">
      <alignment vertical="top" wrapText="1"/>
    </xf>
    <xf numFmtId="3" fontId="12" fillId="0" borderId="1" xfId="0" applyNumberFormat="1" applyFont="1" applyFill="1" applyBorder="1" applyAlignment="1">
      <alignment vertical="top"/>
    </xf>
    <xf numFmtId="0" fontId="12" fillId="0" borderId="3" xfId="0" applyFont="1" applyFill="1" applyBorder="1"/>
    <xf numFmtId="0" fontId="12" fillId="0" borderId="5" xfId="0" applyFont="1" applyFill="1" applyBorder="1"/>
    <xf numFmtId="0" fontId="12" fillId="0" borderId="4" xfId="0" applyFont="1" applyFill="1" applyBorder="1"/>
    <xf numFmtId="166" fontId="12" fillId="0" borderId="3" xfId="1" applyNumberFormat="1" applyFont="1" applyFill="1" applyBorder="1" applyAlignment="1">
      <alignment vertical="top"/>
    </xf>
    <xf numFmtId="166" fontId="12" fillId="0" borderId="5" xfId="1" applyNumberFormat="1" applyFont="1" applyFill="1" applyBorder="1" applyAlignment="1">
      <alignment vertical="top"/>
    </xf>
    <xf numFmtId="166" fontId="12" fillId="0" borderId="5" xfId="1" quotePrefix="1" applyNumberFormat="1" applyFont="1" applyFill="1" applyBorder="1" applyAlignment="1">
      <alignment vertical="top"/>
    </xf>
    <xf numFmtId="166" fontId="12" fillId="0" borderId="4" xfId="1" quotePrefix="1" applyNumberFormat="1" applyFont="1" applyFill="1" applyBorder="1" applyAlignment="1">
      <alignment vertical="top"/>
    </xf>
    <xf numFmtId="2" fontId="12" fillId="0" borderId="3" xfId="1" applyNumberFormat="1" applyFont="1" applyFill="1" applyBorder="1" applyAlignment="1">
      <alignment horizontal="center" vertical="top"/>
    </xf>
    <xf numFmtId="2" fontId="12" fillId="0" borderId="5" xfId="1" applyNumberFormat="1" applyFont="1" applyFill="1" applyBorder="1" applyAlignment="1">
      <alignment horizontal="center" vertical="top"/>
    </xf>
    <xf numFmtId="2" fontId="12" fillId="0" borderId="4" xfId="1" applyNumberFormat="1" applyFont="1" applyFill="1" applyBorder="1" applyAlignment="1">
      <alignment horizontal="center" vertical="top"/>
    </xf>
    <xf numFmtId="0" fontId="11" fillId="10" borderId="3" xfId="0" applyFont="1" applyFill="1" applyBorder="1" applyAlignment="1">
      <alignment horizontal="left" vertical="top" wrapText="1"/>
    </xf>
    <xf numFmtId="0" fontId="11" fillId="10" borderId="5" xfId="0" applyFont="1" applyFill="1" applyBorder="1" applyAlignment="1">
      <alignment horizontal="left" vertical="top" wrapText="1"/>
    </xf>
    <xf numFmtId="0" fontId="11" fillId="10" borderId="4" xfId="0" applyFont="1" applyFill="1" applyBorder="1" applyAlignment="1">
      <alignment horizontal="left" vertical="top" wrapText="1"/>
    </xf>
    <xf numFmtId="167" fontId="12" fillId="0" borderId="1" xfId="0" applyNumberFormat="1" applyFont="1" applyFill="1" applyBorder="1" applyAlignment="1">
      <alignment horizontal="center" vertical="top"/>
    </xf>
    <xf numFmtId="3" fontId="12" fillId="4" borderId="4" xfId="0" applyNumberFormat="1" applyFont="1" applyFill="1" applyBorder="1" applyAlignment="1">
      <alignment vertical="top"/>
    </xf>
    <xf numFmtId="3" fontId="12" fillId="0" borderId="4" xfId="0" applyNumberFormat="1" applyFont="1" applyFill="1" applyBorder="1" applyAlignment="1">
      <alignment vertical="top"/>
    </xf>
    <xf numFmtId="3" fontId="12" fillId="0" borderId="3" xfId="0" applyNumberFormat="1" applyFont="1" applyFill="1" applyBorder="1" applyAlignment="1">
      <alignment vertical="top"/>
    </xf>
    <xf numFmtId="3" fontId="12" fillId="0" borderId="5" xfId="0" applyNumberFormat="1" applyFont="1" applyFill="1" applyBorder="1" applyAlignment="1">
      <alignment vertical="top"/>
    </xf>
    <xf numFmtId="3" fontId="11" fillId="0" borderId="5" xfId="0" applyNumberFormat="1" applyFont="1" applyFill="1" applyBorder="1" applyAlignment="1">
      <alignment vertical="top"/>
    </xf>
    <xf numFmtId="0" fontId="12" fillId="0" borderId="4" xfId="0" applyFont="1" applyFill="1" applyBorder="1" applyAlignment="1">
      <alignment horizontal="center" vertical="top"/>
    </xf>
    <xf numFmtId="166" fontId="12" fillId="0" borderId="4" xfId="1" quotePrefix="1" applyNumberFormat="1" applyFont="1" applyBorder="1" applyAlignment="1">
      <alignment vertical="top"/>
    </xf>
    <xf numFmtId="164" fontId="11" fillId="0" borderId="1" xfId="3" applyFont="1" applyFill="1" applyBorder="1" applyAlignment="1">
      <alignment horizontal="center" vertical="top" wrapText="1"/>
    </xf>
    <xf numFmtId="1" fontId="11" fillId="0" borderId="1" xfId="3" applyNumberFormat="1" applyFont="1" applyFill="1" applyBorder="1" applyAlignment="1">
      <alignment horizontal="center" vertical="top"/>
    </xf>
    <xf numFmtId="2" fontId="11" fillId="0" borderId="1" xfId="3" applyNumberFormat="1" applyFont="1" applyFill="1" applyBorder="1" applyAlignment="1">
      <alignment horizontal="center" vertical="top"/>
    </xf>
    <xf numFmtId="173" fontId="11" fillId="0" borderId="1" xfId="3" applyNumberFormat="1" applyFont="1" applyFill="1" applyBorder="1" applyAlignment="1">
      <alignment horizontal="center" vertical="top"/>
    </xf>
    <xf numFmtId="2" fontId="12" fillId="0" borderId="1" xfId="3" applyNumberFormat="1" applyFont="1" applyFill="1" applyBorder="1" applyAlignment="1">
      <alignment horizontal="center" vertical="top"/>
    </xf>
    <xf numFmtId="2" fontId="11" fillId="0" borderId="1" xfId="3" applyNumberFormat="1" applyFont="1" applyFill="1" applyBorder="1" applyAlignment="1">
      <alignment horizontal="center" vertical="top" wrapText="1"/>
    </xf>
    <xf numFmtId="1" fontId="12" fillId="0" borderId="1" xfId="0" applyNumberFormat="1" applyFont="1" applyFill="1" applyBorder="1" applyAlignment="1">
      <alignment horizontal="center" vertical="top" wrapText="1"/>
    </xf>
    <xf numFmtId="164" fontId="12" fillId="0" borderId="3" xfId="3" applyFont="1" applyFill="1" applyBorder="1" applyAlignment="1">
      <alignment vertical="top"/>
    </xf>
    <xf numFmtId="0" fontId="9" fillId="0" borderId="0" xfId="0" applyFont="1" applyFill="1" applyAlignment="1">
      <alignment horizontal="center" vertical="top"/>
    </xf>
    <xf numFmtId="173" fontId="12" fillId="0" borderId="1" xfId="3" applyNumberFormat="1" applyFont="1" applyFill="1" applyBorder="1" applyAlignment="1">
      <alignment horizontal="center" vertical="top"/>
    </xf>
    <xf numFmtId="164" fontId="12" fillId="0" borderId="1" xfId="3" applyFont="1" applyFill="1" applyBorder="1" applyAlignment="1">
      <alignment horizontal="center" vertical="top" wrapText="1"/>
    </xf>
    <xf numFmtId="1" fontId="12" fillId="0" borderId="1" xfId="3" quotePrefix="1" applyNumberFormat="1" applyFont="1" applyFill="1" applyBorder="1" applyAlignment="1">
      <alignment horizontal="left" vertical="top" wrapText="1"/>
    </xf>
    <xf numFmtId="1" fontId="12" fillId="0" borderId="1" xfId="1" quotePrefix="1" applyNumberFormat="1" applyFont="1" applyFill="1" applyBorder="1" applyAlignment="1">
      <alignment vertical="top" wrapText="1"/>
    </xf>
    <xf numFmtId="0" fontId="12" fillId="2" borderId="1" xfId="0" applyFont="1" applyFill="1" applyBorder="1" applyAlignment="1">
      <alignment horizontal="center" vertical="center"/>
    </xf>
    <xf numFmtId="0" fontId="11" fillId="2" borderId="1" xfId="0" applyFont="1" applyFill="1" applyBorder="1" applyAlignment="1">
      <alignment horizontal="right"/>
    </xf>
    <xf numFmtId="0" fontId="11" fillId="0" borderId="4" xfId="0" applyFont="1" applyFill="1" applyBorder="1" applyAlignment="1">
      <alignment horizontal="center" vertical="top" wrapText="1"/>
    </xf>
    <xf numFmtId="0" fontId="11" fillId="0" borderId="4" xfId="0" applyFont="1" applyFill="1" applyBorder="1" applyAlignment="1">
      <alignment horizontal="center" vertical="top" wrapText="1"/>
    </xf>
    <xf numFmtId="165" fontId="11" fillId="0" borderId="1" xfId="1" quotePrefix="1" applyFont="1" applyFill="1" applyBorder="1" applyAlignment="1">
      <alignment horizontal="center" vertical="top" wrapText="1"/>
    </xf>
    <xf numFmtId="164" fontId="14" fillId="0" borderId="4" xfId="8" applyNumberFormat="1" applyFont="1" applyFill="1" applyBorder="1" applyAlignment="1">
      <alignment vertical="top"/>
    </xf>
    <xf numFmtId="1" fontId="14" fillId="0" borderId="4" xfId="8" applyNumberFormat="1" applyFont="1" applyFill="1" applyBorder="1" applyAlignment="1">
      <alignment horizontal="center" vertical="top"/>
    </xf>
    <xf numFmtId="3" fontId="14" fillId="0" borderId="4" xfId="8" applyNumberFormat="1" applyFont="1" applyFill="1" applyBorder="1" applyAlignment="1">
      <alignment horizontal="center" vertical="top"/>
    </xf>
    <xf numFmtId="2" fontId="14" fillId="0" borderId="4" xfId="8" applyNumberFormat="1" applyFont="1" applyFill="1" applyBorder="1" applyAlignment="1">
      <alignment horizontal="center" vertical="top"/>
    </xf>
    <xf numFmtId="0" fontId="11" fillId="0" borderId="5" xfId="0" applyFont="1" applyFill="1" applyBorder="1" applyAlignment="1">
      <alignment horizontal="center" vertical="top"/>
    </xf>
    <xf numFmtId="166" fontId="11" fillId="0" borderId="5" xfId="1" quotePrefix="1" applyNumberFormat="1" applyFont="1" applyBorder="1" applyAlignment="1">
      <alignment vertical="top"/>
    </xf>
    <xf numFmtId="0" fontId="11" fillId="0" borderId="1" xfId="3" applyNumberFormat="1" applyFont="1" applyFill="1" applyBorder="1" applyAlignment="1">
      <alignment horizontal="center" vertical="top"/>
    </xf>
    <xf numFmtId="1" fontId="11" fillId="0" borderId="1" xfId="1" applyNumberFormat="1" applyFont="1" applyFill="1" applyBorder="1" applyAlignment="1">
      <alignment horizontal="center" vertical="top"/>
    </xf>
    <xf numFmtId="172" fontId="7" fillId="0" borderId="1" xfId="0" applyNumberFormat="1" applyFont="1" applyFill="1" applyBorder="1" applyAlignment="1">
      <alignment horizontal="center" vertical="top"/>
    </xf>
    <xf numFmtId="1" fontId="7" fillId="0" borderId="1" xfId="0" applyNumberFormat="1" applyFont="1" applyFill="1" applyBorder="1" applyAlignment="1">
      <alignment horizontal="center" vertical="top"/>
    </xf>
    <xf numFmtId="0" fontId="11" fillId="0" borderId="5" xfId="0" applyFont="1" applyFill="1" applyBorder="1" applyAlignment="1">
      <alignment horizontal="right" vertical="top"/>
    </xf>
    <xf numFmtId="3" fontId="11" fillId="0" borderId="5" xfId="0" applyNumberFormat="1" applyFont="1" applyFill="1" applyBorder="1" applyAlignment="1">
      <alignment horizontal="right" vertical="top"/>
    </xf>
    <xf numFmtId="165" fontId="11" fillId="0" borderId="5" xfId="1" applyFont="1" applyFill="1" applyBorder="1" applyAlignment="1">
      <alignment vertical="top"/>
    </xf>
    <xf numFmtId="9" fontId="11" fillId="0" borderId="4" xfId="0" applyNumberFormat="1" applyFont="1" applyFill="1" applyBorder="1" applyAlignment="1">
      <alignment horizontal="center" vertical="top" wrapText="1"/>
    </xf>
    <xf numFmtId="164" fontId="14" fillId="0" borderId="5" xfId="8" applyNumberFormat="1" applyFont="1" applyFill="1" applyBorder="1" applyAlignment="1">
      <alignment horizontal="center" vertical="top" wrapText="1"/>
    </xf>
    <xf numFmtId="166" fontId="11" fillId="0" borderId="3" xfId="0" applyNumberFormat="1" applyFont="1" applyFill="1" applyBorder="1" applyAlignment="1">
      <alignment horizontal="center" vertical="top"/>
    </xf>
    <xf numFmtId="166" fontId="11" fillId="0" borderId="1" xfId="0" applyNumberFormat="1" applyFont="1" applyFill="1" applyBorder="1" applyAlignment="1">
      <alignment horizontal="center" vertical="top"/>
    </xf>
    <xf numFmtId="164" fontId="11" fillId="0" borderId="3" xfId="0" applyNumberFormat="1" applyFont="1" applyFill="1" applyBorder="1" applyAlignment="1">
      <alignment horizontal="center" vertical="top"/>
    </xf>
    <xf numFmtId="0" fontId="11" fillId="0" borderId="3" xfId="0" applyFont="1" applyFill="1" applyBorder="1" applyAlignment="1">
      <alignment horizontal="center" vertical="top" wrapText="1"/>
    </xf>
    <xf numFmtId="166" fontId="11" fillId="0" borderId="3" xfId="0" applyNumberFormat="1" applyFont="1" applyFill="1" applyBorder="1" applyAlignment="1">
      <alignment vertical="top"/>
    </xf>
    <xf numFmtId="2" fontId="11" fillId="0" borderId="3" xfId="0" applyNumberFormat="1" applyFont="1" applyFill="1" applyBorder="1" applyAlignment="1">
      <alignment horizontal="center" vertical="top" wrapText="1"/>
    </xf>
    <xf numFmtId="1" fontId="11" fillId="0" borderId="3" xfId="0" applyNumberFormat="1" applyFont="1" applyFill="1" applyBorder="1" applyAlignment="1">
      <alignment horizontal="center" vertical="top" wrapText="1"/>
    </xf>
    <xf numFmtId="2" fontId="11" fillId="0" borderId="3" xfId="0" applyNumberFormat="1" applyFont="1" applyFill="1" applyBorder="1" applyAlignment="1">
      <alignment horizontal="center" vertical="top"/>
    </xf>
    <xf numFmtId="0" fontId="11" fillId="0" borderId="1" xfId="0" quotePrefix="1" applyFont="1" applyFill="1" applyBorder="1" applyAlignment="1">
      <alignment horizontal="center" vertical="top" wrapText="1"/>
    </xf>
    <xf numFmtId="171" fontId="11" fillId="0" borderId="1" xfId="0" quotePrefix="1" applyNumberFormat="1" applyFont="1" applyFill="1" applyBorder="1" applyAlignment="1">
      <alignment horizontal="center" vertical="top" wrapText="1"/>
    </xf>
    <xf numFmtId="0" fontId="11" fillId="0" borderId="3" xfId="0"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166" fontId="11" fillId="0" borderId="5" xfId="0" applyNumberFormat="1" applyFont="1" applyFill="1" applyBorder="1" applyAlignment="1">
      <alignment vertical="top"/>
    </xf>
    <xf numFmtId="166" fontId="11" fillId="0" borderId="4" xfId="0" applyNumberFormat="1" applyFont="1" applyFill="1" applyBorder="1" applyAlignment="1">
      <alignment vertical="top"/>
    </xf>
    <xf numFmtId="3" fontId="11" fillId="0" borderId="1" xfId="1" applyNumberFormat="1" applyFont="1" applyFill="1" applyBorder="1" applyAlignment="1">
      <alignment horizontal="center" vertical="top"/>
    </xf>
    <xf numFmtId="3" fontId="11" fillId="0" borderId="1" xfId="3" applyNumberFormat="1" applyFont="1" applyFill="1" applyBorder="1" applyAlignment="1">
      <alignment horizontal="center" vertical="top"/>
    </xf>
    <xf numFmtId="4" fontId="11" fillId="0" borderId="1" xfId="3" applyNumberFormat="1" applyFont="1" applyFill="1" applyBorder="1" applyAlignment="1">
      <alignment horizontal="center" vertical="top"/>
    </xf>
    <xf numFmtId="168" fontId="11" fillId="0" borderId="1" xfId="3" applyNumberFormat="1" applyFont="1" applyFill="1" applyBorder="1" applyAlignment="1">
      <alignment horizontal="center" vertical="top"/>
    </xf>
    <xf numFmtId="3" fontId="12" fillId="0" borderId="1" xfId="1" quotePrefix="1" applyNumberFormat="1" applyFont="1" applyFill="1" applyBorder="1" applyAlignment="1">
      <alignment horizontal="center" vertical="top"/>
    </xf>
    <xf numFmtId="4" fontId="12" fillId="0" borderId="1" xfId="1" quotePrefix="1" applyNumberFormat="1" applyFont="1" applyFill="1" applyBorder="1" applyAlignment="1">
      <alignment horizontal="center" vertical="top" wrapText="1"/>
    </xf>
    <xf numFmtId="3" fontId="11" fillId="0" borderId="1" xfId="1" quotePrefix="1" applyNumberFormat="1" applyFont="1" applyFill="1" applyBorder="1" applyAlignment="1">
      <alignment horizontal="center" vertical="top"/>
    </xf>
    <xf numFmtId="0" fontId="11" fillId="0" borderId="4" xfId="0" applyFont="1" applyFill="1" applyBorder="1" applyAlignment="1">
      <alignment horizontal="center" vertical="top" wrapText="1"/>
    </xf>
    <xf numFmtId="1" fontId="11" fillId="0" borderId="1" xfId="3" applyNumberFormat="1" applyFont="1" applyFill="1" applyBorder="1" applyAlignment="1">
      <alignment horizontal="center" vertical="top" wrapText="1"/>
    </xf>
    <xf numFmtId="1" fontId="11" fillId="0" borderId="4" xfId="0" applyNumberFormat="1" applyFont="1" applyFill="1" applyBorder="1" applyAlignment="1">
      <alignment horizontal="center" vertical="top" wrapText="1"/>
    </xf>
    <xf numFmtId="9" fontId="11" fillId="0" borderId="1" xfId="0" applyNumberFormat="1" applyFont="1" applyFill="1" applyBorder="1" applyAlignment="1">
      <alignment horizontal="center" vertical="top" wrapText="1"/>
    </xf>
    <xf numFmtId="0" fontId="11" fillId="9" borderId="1" xfId="0" applyFont="1" applyFill="1" applyBorder="1" applyAlignment="1">
      <alignment horizontal="center" vertical="top" wrapText="1"/>
    </xf>
    <xf numFmtId="2" fontId="14" fillId="9" borderId="1" xfId="0" applyNumberFormat="1" applyFont="1" applyFill="1" applyBorder="1" applyAlignment="1">
      <alignment horizontal="center" vertical="top"/>
    </xf>
    <xf numFmtId="0" fontId="14" fillId="9" borderId="1" xfId="0" applyFont="1" applyFill="1" applyBorder="1" applyAlignment="1">
      <alignment horizontal="center" vertical="top" wrapText="1"/>
    </xf>
    <xf numFmtId="3" fontId="12" fillId="4" borderId="4" xfId="0" applyNumberFormat="1" applyFont="1" applyFill="1" applyBorder="1" applyAlignment="1">
      <alignment horizontal="right" vertical="top" wrapText="1"/>
    </xf>
    <xf numFmtId="9" fontId="11" fillId="9" borderId="1" xfId="0" applyNumberFormat="1" applyFont="1" applyFill="1" applyBorder="1" applyAlignment="1">
      <alignment horizontal="center" vertical="top"/>
    </xf>
    <xf numFmtId="4" fontId="11" fillId="0" borderId="1" xfId="0" applyNumberFormat="1" applyFont="1" applyBorder="1" applyAlignment="1">
      <alignment horizontal="center" vertical="top" wrapText="1"/>
    </xf>
    <xf numFmtId="9" fontId="11" fillId="0" borderId="1" xfId="0" applyNumberFormat="1" applyFont="1" applyBorder="1" applyAlignment="1">
      <alignment horizontal="center" vertical="top"/>
    </xf>
    <xf numFmtId="1" fontId="11" fillId="0" borderId="1" xfId="0" applyNumberFormat="1" applyFont="1" applyBorder="1" applyAlignment="1">
      <alignment horizontal="center" vertical="top" wrapText="1"/>
    </xf>
    <xf numFmtId="171" fontId="11" fillId="0" borderId="1" xfId="3" applyNumberFormat="1" applyFont="1" applyFill="1" applyBorder="1" applyAlignment="1">
      <alignment horizontal="center" vertical="top" wrapText="1"/>
    </xf>
    <xf numFmtId="3" fontId="11" fillId="0" borderId="1" xfId="3" applyNumberFormat="1" applyFont="1" applyFill="1" applyBorder="1" applyAlignment="1">
      <alignment horizontal="center" vertical="top" wrapText="1"/>
    </xf>
    <xf numFmtId="4" fontId="11" fillId="0" borderId="1" xfId="15" applyNumberFormat="1" applyFont="1" applyFill="1" applyBorder="1" applyAlignment="1">
      <alignment horizontal="center" vertical="top" wrapText="1"/>
    </xf>
    <xf numFmtId="172" fontId="12" fillId="0" borderId="1" xfId="0" applyNumberFormat="1" applyFont="1" applyFill="1" applyBorder="1" applyAlignment="1">
      <alignment horizontal="center" vertical="top"/>
    </xf>
    <xf numFmtId="0" fontId="11" fillId="0" borderId="4" xfId="0" applyFont="1" applyFill="1" applyBorder="1" applyAlignment="1">
      <alignment horizontal="center" vertical="top" wrapText="1"/>
    </xf>
    <xf numFmtId="1" fontId="11" fillId="0" borderId="1" xfId="0" quotePrefix="1" applyNumberFormat="1" applyFont="1" applyFill="1" applyBorder="1" applyAlignment="1">
      <alignment horizontal="center" vertical="top" wrapText="1"/>
    </xf>
    <xf numFmtId="165" fontId="11" fillId="0" borderId="1" xfId="1" applyFont="1" applyFill="1" applyBorder="1" applyAlignment="1">
      <alignment vertical="top"/>
    </xf>
    <xf numFmtId="0" fontId="11" fillId="0" borderId="4" xfId="0" applyFont="1" applyFill="1" applyBorder="1" applyAlignment="1">
      <alignment horizontal="center" vertical="top" wrapText="1"/>
    </xf>
    <xf numFmtId="0" fontId="12" fillId="2" borderId="9" xfId="0" applyFont="1" applyFill="1" applyBorder="1" applyAlignment="1">
      <alignment horizontal="center" vertical="center"/>
    </xf>
    <xf numFmtId="0" fontId="12" fillId="2" borderId="13" xfId="0" applyFont="1" applyFill="1" applyBorder="1" applyAlignment="1">
      <alignment horizontal="center" vertical="top" wrapText="1"/>
    </xf>
    <xf numFmtId="0" fontId="12" fillId="2" borderId="13" xfId="0" applyFont="1" applyFill="1" applyBorder="1" applyAlignment="1">
      <alignment horizontal="center" vertical="center"/>
    </xf>
    <xf numFmtId="166" fontId="11" fillId="0" borderId="3" xfId="0" applyNumberFormat="1" applyFont="1" applyFill="1" applyBorder="1" applyAlignment="1">
      <alignment horizontal="left" vertical="top"/>
    </xf>
    <xf numFmtId="164" fontId="20" fillId="0" borderId="1" xfId="0" applyNumberFormat="1" applyFont="1" applyFill="1" applyBorder="1" applyAlignment="1">
      <alignment vertical="top" wrapText="1"/>
    </xf>
    <xf numFmtId="0" fontId="21" fillId="0" borderId="5" xfId="0" applyFont="1" applyFill="1" applyBorder="1"/>
    <xf numFmtId="0" fontId="11" fillId="0" borderId="3" xfId="0" applyFont="1" applyFill="1" applyBorder="1" applyAlignment="1">
      <alignment horizontal="center" vertical="top" wrapText="1"/>
    </xf>
    <xf numFmtId="0" fontId="14" fillId="0" borderId="3" xfId="10" applyFont="1" applyFill="1" applyBorder="1" applyAlignment="1">
      <alignment horizontal="left" vertical="top" wrapText="1"/>
    </xf>
    <xf numFmtId="164" fontId="14" fillId="0" borderId="5" xfId="8" applyNumberFormat="1" applyFont="1" applyFill="1" applyBorder="1" applyAlignment="1">
      <alignment vertical="top"/>
    </xf>
    <xf numFmtId="9" fontId="11" fillId="0" borderId="5" xfId="0" applyNumberFormat="1" applyFont="1" applyFill="1" applyBorder="1" applyAlignment="1">
      <alignment horizontal="center" vertical="top"/>
    </xf>
    <xf numFmtId="1" fontId="14" fillId="0" borderId="5" xfId="8" applyNumberFormat="1" applyFont="1" applyFill="1" applyBorder="1" applyAlignment="1">
      <alignment horizontal="center" vertical="top"/>
    </xf>
    <xf numFmtId="2" fontId="14" fillId="0" borderId="5" xfId="8" applyNumberFormat="1" applyFont="1" applyFill="1" applyBorder="1" applyAlignment="1">
      <alignment horizontal="center" vertical="top"/>
    </xf>
    <xf numFmtId="3" fontId="14" fillId="0" borderId="5" xfId="8" applyNumberFormat="1" applyFont="1" applyFill="1" applyBorder="1" applyAlignment="1">
      <alignment horizontal="center" vertical="top"/>
    </xf>
    <xf numFmtId="1" fontId="11" fillId="0" borderId="3" xfId="0" applyNumberFormat="1" applyFont="1" applyFill="1" applyBorder="1" applyAlignment="1">
      <alignment horizontal="center" vertical="top"/>
    </xf>
    <xf numFmtId="0" fontId="12" fillId="4" borderId="4" xfId="0" applyFont="1" applyFill="1" applyBorder="1" applyAlignment="1">
      <alignment horizontal="center" vertical="top" wrapText="1"/>
    </xf>
    <xf numFmtId="2" fontId="12" fillId="0" borderId="3" xfId="0" applyNumberFormat="1" applyFont="1" applyFill="1" applyBorder="1" applyAlignment="1">
      <alignment horizontal="center" vertical="top"/>
    </xf>
    <xf numFmtId="2" fontId="11" fillId="0" borderId="5" xfId="0" applyNumberFormat="1" applyFont="1" applyFill="1" applyBorder="1" applyAlignment="1">
      <alignment horizontal="center" vertical="top"/>
    </xf>
    <xf numFmtId="0" fontId="12" fillId="2" borderId="9" xfId="0" applyFont="1" applyFill="1" applyBorder="1" applyAlignment="1">
      <alignment horizontal="center" vertical="center"/>
    </xf>
    <xf numFmtId="0" fontId="12" fillId="2" borderId="13" xfId="0" applyFont="1" applyFill="1" applyBorder="1" applyAlignment="1">
      <alignment horizontal="center" vertical="top" wrapText="1"/>
    </xf>
    <xf numFmtId="0" fontId="12" fillId="2" borderId="13" xfId="0" applyFont="1" applyFill="1" applyBorder="1" applyAlignment="1">
      <alignment horizontal="center" vertical="center"/>
    </xf>
    <xf numFmtId="0" fontId="11" fillId="0" borderId="4" xfId="0" applyFont="1" applyFill="1" applyBorder="1" applyAlignment="1">
      <alignment horizontal="center" vertical="top" wrapText="1"/>
    </xf>
    <xf numFmtId="2" fontId="11" fillId="0" borderId="1" xfId="1" quotePrefix="1" applyNumberFormat="1" applyFont="1" applyFill="1" applyBorder="1" applyAlignment="1">
      <alignment horizontal="center" vertical="top"/>
    </xf>
    <xf numFmtId="0" fontId="11" fillId="0" borderId="3"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9" fillId="2" borderId="4" xfId="0" applyFont="1" applyFill="1" applyBorder="1"/>
    <xf numFmtId="0" fontId="11" fillId="2" borderId="13" xfId="0" applyFont="1" applyFill="1" applyBorder="1" applyAlignment="1">
      <alignment horizontal="right"/>
    </xf>
    <xf numFmtId="0" fontId="11" fillId="2" borderId="14" xfId="0" applyFont="1" applyFill="1" applyBorder="1" applyAlignment="1">
      <alignment horizontal="right"/>
    </xf>
    <xf numFmtId="0" fontId="11" fillId="2" borderId="15" xfId="0" applyFont="1" applyFill="1" applyBorder="1" applyAlignment="1">
      <alignment horizontal="right"/>
    </xf>
    <xf numFmtId="0" fontId="12" fillId="3" borderId="1" xfId="0" applyFont="1" applyFill="1" applyBorder="1" applyAlignment="1">
      <alignment horizontal="center" vertical="center"/>
    </xf>
    <xf numFmtId="0" fontId="12" fillId="2" borderId="13" xfId="0" applyFont="1" applyFill="1" applyBorder="1" applyAlignment="1">
      <alignment horizontal="center" vertical="top"/>
    </xf>
    <xf numFmtId="0" fontId="12" fillId="2" borderId="15" xfId="0" applyFont="1" applyFill="1" applyBorder="1" applyAlignment="1">
      <alignment horizontal="center" vertical="top"/>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3" xfId="0" applyFont="1" applyFill="1" applyBorder="1" applyAlignment="1">
      <alignment horizontal="center" vertical="top" wrapText="1"/>
    </xf>
    <xf numFmtId="0" fontId="12" fillId="2" borderId="14" xfId="0" applyFont="1" applyFill="1" applyBorder="1" applyAlignment="1">
      <alignment horizontal="center" vertical="top" wrapText="1"/>
    </xf>
    <xf numFmtId="0" fontId="12" fillId="2" borderId="15" xfId="0" applyFont="1" applyFill="1" applyBorder="1" applyAlignment="1">
      <alignment horizontal="center" vertical="top" wrapText="1"/>
    </xf>
    <xf numFmtId="0" fontId="12" fillId="3" borderId="9"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0" fillId="0" borderId="0" xfId="0" applyFont="1" applyFill="1" applyAlignment="1">
      <alignment horizontal="left" vertical="top"/>
    </xf>
    <xf numFmtId="0" fontId="11" fillId="0" borderId="2" xfId="0" applyFont="1" applyFill="1" applyBorder="1" applyAlignment="1">
      <alignment horizontal="center"/>
    </xf>
    <xf numFmtId="0" fontId="12" fillId="3" borderId="6" xfId="0" applyFont="1" applyFill="1" applyBorder="1" applyAlignment="1">
      <alignment horizontal="center" vertical="top" wrapText="1"/>
    </xf>
    <xf numFmtId="0" fontId="12" fillId="3" borderId="7" xfId="0" applyFont="1" applyFill="1" applyBorder="1" applyAlignment="1">
      <alignment horizontal="center" vertical="top" wrapText="1"/>
    </xf>
    <xf numFmtId="0" fontId="12" fillId="3" borderId="8" xfId="0" applyFont="1" applyFill="1" applyBorder="1" applyAlignment="1">
      <alignment horizontal="center" vertical="top" wrapText="1"/>
    </xf>
    <xf numFmtId="0" fontId="12" fillId="3" borderId="11" xfId="0" applyFont="1" applyFill="1" applyBorder="1" applyAlignment="1">
      <alignment horizontal="center" vertical="top" wrapText="1"/>
    </xf>
    <xf numFmtId="0" fontId="12" fillId="3" borderId="0" xfId="0" applyFont="1" applyFill="1" applyBorder="1" applyAlignment="1">
      <alignment horizontal="center" vertical="top" wrapText="1"/>
    </xf>
    <xf numFmtId="0" fontId="12" fillId="3" borderId="12" xfId="0" applyFont="1" applyFill="1" applyBorder="1" applyAlignment="1">
      <alignment horizontal="center" vertical="top" wrapText="1"/>
    </xf>
    <xf numFmtId="0" fontId="12" fillId="3" borderId="9" xfId="0" applyFont="1" applyFill="1" applyBorder="1" applyAlignment="1">
      <alignment horizontal="center" vertical="top" wrapText="1"/>
    </xf>
    <xf numFmtId="0" fontId="12" fillId="3" borderId="2" xfId="0" applyFont="1" applyFill="1" applyBorder="1" applyAlignment="1">
      <alignment horizontal="center" vertical="top" wrapText="1"/>
    </xf>
    <xf numFmtId="0" fontId="12" fillId="3" borderId="10" xfId="0" applyFont="1" applyFill="1" applyBorder="1" applyAlignment="1">
      <alignment horizontal="center" vertical="top" wrapText="1"/>
    </xf>
    <xf numFmtId="0" fontId="12" fillId="3" borderId="13"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2" borderId="13" xfId="0" applyFont="1" applyFill="1" applyBorder="1" applyAlignment="1">
      <alignment horizontal="center"/>
    </xf>
    <xf numFmtId="0" fontId="12" fillId="2" borderId="14" xfId="0" applyFont="1" applyFill="1" applyBorder="1" applyAlignment="1">
      <alignment horizontal="center"/>
    </xf>
    <xf numFmtId="0" fontId="12" fillId="2" borderId="15" xfId="0" applyFont="1" applyFill="1" applyBorder="1" applyAlignment="1">
      <alignment horizontal="center"/>
    </xf>
    <xf numFmtId="0" fontId="12" fillId="2" borderId="1" xfId="0" applyFont="1" applyFill="1" applyBorder="1" applyAlignment="1">
      <alignment horizontal="center" vertical="center"/>
    </xf>
    <xf numFmtId="0" fontId="11" fillId="2" borderId="1" xfId="0" applyFont="1" applyFill="1" applyBorder="1" applyAlignment="1">
      <alignment horizontal="left" vertical="top"/>
    </xf>
    <xf numFmtId="0" fontId="8" fillId="0" borderId="0" xfId="0" applyFont="1" applyFill="1" applyAlignment="1">
      <alignment horizontal="center"/>
    </xf>
    <xf numFmtId="0" fontId="8" fillId="0" borderId="0" xfId="0" applyFont="1" applyFill="1" applyAlignment="1">
      <alignment horizontal="center" vertical="top"/>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2" borderId="3" xfId="0" applyFont="1" applyFill="1" applyBorder="1" applyAlignment="1">
      <alignment horizontal="center" vertical="top" wrapText="1"/>
    </xf>
    <xf numFmtId="0" fontId="12" fillId="2"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wrapText="1"/>
    </xf>
    <xf numFmtId="0" fontId="11" fillId="0" borderId="5" xfId="0" applyFont="1" applyFill="1" applyBorder="1" applyAlignment="1">
      <alignment horizontal="center" wrapText="1"/>
    </xf>
    <xf numFmtId="0" fontId="11" fillId="0" borderId="4" xfId="0" applyFont="1" applyFill="1" applyBorder="1" applyAlignment="1">
      <alignment horizontal="center" wrapText="1"/>
    </xf>
    <xf numFmtId="0" fontId="11" fillId="0" borderId="6" xfId="0" applyFont="1" applyFill="1" applyBorder="1" applyAlignment="1">
      <alignment horizontal="center" wrapText="1"/>
    </xf>
    <xf numFmtId="0" fontId="11" fillId="0" borderId="11" xfId="0" applyFont="1" applyFill="1" applyBorder="1" applyAlignment="1">
      <alignment horizontal="center" wrapText="1"/>
    </xf>
    <xf numFmtId="0" fontId="11" fillId="0" borderId="9" xfId="0" applyFont="1" applyFill="1" applyBorder="1" applyAlignment="1">
      <alignment horizontal="center" wrapText="1"/>
    </xf>
    <xf numFmtId="0" fontId="11" fillId="0" borderId="3" xfId="0" applyFont="1" applyFill="1" applyBorder="1" applyAlignment="1">
      <alignment horizontal="center"/>
    </xf>
    <xf numFmtId="0" fontId="11" fillId="0" borderId="5" xfId="0" applyFont="1" applyFill="1" applyBorder="1" applyAlignment="1">
      <alignment horizontal="center"/>
    </xf>
    <xf numFmtId="0" fontId="11" fillId="0" borderId="4" xfId="0" applyFont="1" applyFill="1" applyBorder="1" applyAlignment="1">
      <alignment horizontal="center"/>
    </xf>
    <xf numFmtId="0" fontId="11" fillId="0" borderId="6" xfId="0" applyFont="1" applyFill="1" applyBorder="1" applyAlignment="1">
      <alignment horizontal="center" vertical="top" wrapText="1"/>
    </xf>
    <xf numFmtId="0" fontId="11" fillId="0" borderId="8" xfId="0" applyFont="1" applyFill="1" applyBorder="1" applyAlignment="1">
      <alignment horizontal="center" vertical="top" wrapText="1"/>
    </xf>
    <xf numFmtId="0" fontId="11" fillId="0" borderId="11" xfId="0" applyFont="1" applyFill="1" applyBorder="1" applyAlignment="1">
      <alignment horizontal="center" vertical="top" wrapText="1"/>
    </xf>
    <xf numFmtId="0" fontId="11" fillId="0" borderId="12" xfId="0" applyFont="1" applyFill="1" applyBorder="1" applyAlignment="1">
      <alignment horizontal="center" vertical="top" wrapText="1"/>
    </xf>
    <xf numFmtId="0" fontId="11" fillId="0" borderId="9" xfId="0" applyFont="1" applyFill="1" applyBorder="1" applyAlignment="1">
      <alignment horizontal="center" vertical="top" wrapText="1"/>
    </xf>
    <xf numFmtId="0" fontId="11" fillId="0" borderId="10" xfId="0" applyFont="1" applyFill="1" applyBorder="1" applyAlignment="1">
      <alignment horizontal="center" vertical="top" wrapText="1"/>
    </xf>
    <xf numFmtId="0" fontId="11" fillId="2" borderId="1" xfId="0" applyFont="1" applyFill="1" applyBorder="1" applyAlignment="1">
      <alignment horizontal="right"/>
    </xf>
  </cellXfs>
  <cellStyles count="16">
    <cellStyle name="20% - Accent3 2 2 2" xfId="13"/>
    <cellStyle name="Comma" xfId="1" builtinId="3"/>
    <cellStyle name="Comma [0]" xfId="3" builtinId="6"/>
    <cellStyle name="Comma [0] 2" xfId="4"/>
    <cellStyle name="Comma [0] 2 2" xfId="14"/>
    <cellStyle name="Comma [0] 3" xfId="11"/>
    <cellStyle name="Comma 2" xfId="8"/>
    <cellStyle name="Comma 3" xfId="6"/>
    <cellStyle name="Normal" xfId="0" builtinId="0"/>
    <cellStyle name="Normal 2" xfId="2"/>
    <cellStyle name="Normal 2 2" xfId="12"/>
    <cellStyle name="Normal 2 3" xfId="5"/>
    <cellStyle name="Normal 3" xfId="9"/>
    <cellStyle name="Normal 4" xfId="10"/>
    <cellStyle name="Percent" xfId="15" builtinId="5"/>
    <cellStyle name="Percent 2" xfId="7"/>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O136"/>
  <sheetViews>
    <sheetView showRuler="0" view="pageBreakPreview" topLeftCell="A109" zoomScale="70" zoomScaleNormal="40" zoomScaleSheetLayoutView="70" zoomScalePageLayoutView="55" workbookViewId="0">
      <selection activeCell="AA114" sqref="AA114"/>
    </sheetView>
  </sheetViews>
  <sheetFormatPr defaultColWidth="9.140625" defaultRowHeight="14.25" x14ac:dyDescent="0.2"/>
  <cols>
    <col min="1" max="1" width="6.42578125" style="2" customWidth="1"/>
    <col min="2" max="2" width="18" style="2" customWidth="1"/>
    <col min="3" max="3" width="14.85546875" style="2" customWidth="1"/>
    <col min="4" max="4" width="16.42578125" style="2" customWidth="1"/>
    <col min="5" max="5" width="8.5703125" style="2" customWidth="1"/>
    <col min="6" max="6" width="9.85546875" style="2" customWidth="1"/>
    <col min="7" max="7" width="18.42578125" style="2" customWidth="1"/>
    <col min="8" max="8" width="9" style="2" customWidth="1"/>
    <col min="9" max="9" width="9.5703125" style="2" customWidth="1"/>
    <col min="10" max="10" width="21.42578125" style="2" customWidth="1"/>
    <col min="11" max="11" width="9" style="2" customWidth="1"/>
    <col min="12" max="12" width="19.28515625" style="2" customWidth="1"/>
    <col min="13" max="13" width="9" style="2" customWidth="1"/>
    <col min="14" max="14" width="19.28515625" style="2" customWidth="1"/>
    <col min="15" max="15" width="9" style="2" customWidth="1"/>
    <col min="16" max="16" width="19.28515625" style="2" customWidth="1"/>
    <col min="17" max="17" width="9.28515625" style="2" customWidth="1"/>
    <col min="18" max="18" width="20.7109375" style="2" customWidth="1"/>
    <col min="19" max="19" width="9.28515625" style="2" customWidth="1"/>
    <col min="20" max="20" width="19.7109375" style="2" customWidth="1"/>
    <col min="21" max="21" width="9.28515625" style="2" customWidth="1"/>
    <col min="22" max="22" width="19.7109375" style="2" customWidth="1"/>
    <col min="23" max="23" width="8" style="2" customWidth="1"/>
    <col min="24" max="24" width="9.5703125" style="2" customWidth="1"/>
    <col min="25" max="25" width="9" style="2" customWidth="1"/>
    <col min="26" max="26" width="9.7109375" style="2" customWidth="1"/>
    <col min="27" max="27" width="11.28515625" style="2" customWidth="1"/>
    <col min="28" max="28" width="9.7109375" style="2" customWidth="1"/>
    <col min="29" max="29" width="9.5703125" style="2" customWidth="1"/>
    <col min="30" max="30" width="23.7109375" style="2" bestFit="1" customWidth="1"/>
    <col min="31" max="31" width="8.5703125" style="2" customWidth="1"/>
    <col min="32" max="32" width="11.5703125" style="2" customWidth="1"/>
    <col min="33" max="33" width="15.140625" style="2" customWidth="1"/>
    <col min="34" max="34" width="15" style="2" customWidth="1"/>
    <col min="35" max="35" width="9.140625" style="2"/>
    <col min="36" max="40" width="19.5703125" style="2" customWidth="1"/>
    <col min="41" max="16384" width="9.140625" style="2"/>
  </cols>
  <sheetData>
    <row r="1" spans="1:40" ht="23.25" x14ac:dyDescent="0.35">
      <c r="A1" s="460" t="s">
        <v>23</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row>
    <row r="2" spans="1:40" ht="23.25" x14ac:dyDescent="0.35">
      <c r="A2" s="460" t="s">
        <v>24</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row>
    <row r="3" spans="1:40" ht="23.25" x14ac:dyDescent="0.2">
      <c r="A3" s="461" t="s">
        <v>565</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row>
    <row r="4" spans="1:40" ht="18" x14ac:dyDescent="0.2">
      <c r="A4" s="439" t="s">
        <v>11</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row>
    <row r="5" spans="1:40" ht="18" customHeight="1" x14ac:dyDescent="0.2">
      <c r="A5" s="439" t="s">
        <v>142</v>
      </c>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row>
    <row r="6" spans="1:40" ht="18" x14ac:dyDescent="0.2">
      <c r="A6" s="439" t="s">
        <v>143</v>
      </c>
      <c r="B6" s="439"/>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row>
    <row r="7" spans="1:40" ht="18" x14ac:dyDescent="0.2">
      <c r="A7" s="439" t="s">
        <v>144</v>
      </c>
      <c r="B7" s="439"/>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row>
    <row r="8" spans="1:40" ht="18" x14ac:dyDescent="0.2">
      <c r="A8" s="439" t="s">
        <v>145</v>
      </c>
      <c r="B8" s="439"/>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39"/>
      <c r="AC8" s="439"/>
      <c r="AD8" s="439"/>
      <c r="AE8" s="439"/>
      <c r="AF8" s="439"/>
      <c r="AG8" s="439"/>
    </row>
    <row r="9" spans="1:40" ht="18" x14ac:dyDescent="0.2">
      <c r="A9" s="439" t="s">
        <v>146</v>
      </c>
      <c r="B9" s="439"/>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row>
    <row r="10" spans="1:40" ht="15" x14ac:dyDescent="0.2">
      <c r="A10" s="440"/>
      <c r="B10" s="440"/>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row>
    <row r="11" spans="1:40" ht="68.25" customHeight="1" x14ac:dyDescent="0.2">
      <c r="A11" s="417" t="s">
        <v>0</v>
      </c>
      <c r="B11" s="417" t="s">
        <v>257</v>
      </c>
      <c r="C11" s="452" t="s">
        <v>1</v>
      </c>
      <c r="D11" s="452" t="s">
        <v>299</v>
      </c>
      <c r="E11" s="441" t="s">
        <v>20</v>
      </c>
      <c r="F11" s="442"/>
      <c r="G11" s="443"/>
      <c r="H11" s="441" t="s">
        <v>19</v>
      </c>
      <c r="I11" s="442"/>
      <c r="J11" s="443"/>
      <c r="K11" s="420" t="s">
        <v>536</v>
      </c>
      <c r="L11" s="421"/>
      <c r="M11" s="421"/>
      <c r="N11" s="421"/>
      <c r="O11" s="421"/>
      <c r="P11" s="422"/>
      <c r="Q11" s="420" t="s">
        <v>537</v>
      </c>
      <c r="R11" s="421"/>
      <c r="S11" s="421"/>
      <c r="T11" s="421"/>
      <c r="U11" s="421"/>
      <c r="V11" s="422"/>
      <c r="W11" s="420" t="s">
        <v>538</v>
      </c>
      <c r="X11" s="421"/>
      <c r="Y11" s="421"/>
      <c r="Z11" s="421"/>
      <c r="AA11" s="421"/>
      <c r="AB11" s="422"/>
      <c r="AC11" s="420" t="s">
        <v>18</v>
      </c>
      <c r="AD11" s="422"/>
      <c r="AE11" s="420" t="s">
        <v>4</v>
      </c>
      <c r="AF11" s="421"/>
      <c r="AG11" s="422"/>
      <c r="AH11" s="462" t="s">
        <v>278</v>
      </c>
      <c r="AJ11" s="58"/>
      <c r="AK11" s="58"/>
      <c r="AL11" s="58"/>
      <c r="AM11" s="58"/>
      <c r="AN11" s="58"/>
    </row>
    <row r="12" spans="1:40" ht="18" customHeight="1" x14ac:dyDescent="0.2">
      <c r="A12" s="417"/>
      <c r="B12" s="417"/>
      <c r="C12" s="452"/>
      <c r="D12" s="452"/>
      <c r="E12" s="444"/>
      <c r="F12" s="445"/>
      <c r="G12" s="446"/>
      <c r="H12" s="444"/>
      <c r="I12" s="445"/>
      <c r="J12" s="446"/>
      <c r="K12" s="436"/>
      <c r="L12" s="437"/>
      <c r="M12" s="437"/>
      <c r="N12" s="437"/>
      <c r="O12" s="437"/>
      <c r="P12" s="438"/>
      <c r="Q12" s="436"/>
      <c r="R12" s="437"/>
      <c r="S12" s="437"/>
      <c r="T12" s="437"/>
      <c r="U12" s="437"/>
      <c r="V12" s="438"/>
      <c r="W12" s="423"/>
      <c r="X12" s="424"/>
      <c r="Y12" s="424"/>
      <c r="Z12" s="424"/>
      <c r="AA12" s="424"/>
      <c r="AB12" s="425"/>
      <c r="AC12" s="423"/>
      <c r="AD12" s="425"/>
      <c r="AE12" s="423"/>
      <c r="AF12" s="424"/>
      <c r="AG12" s="425"/>
      <c r="AH12" s="463"/>
    </row>
    <row r="13" spans="1:40" ht="15.75" x14ac:dyDescent="0.2">
      <c r="A13" s="417"/>
      <c r="B13" s="417"/>
      <c r="C13" s="452"/>
      <c r="D13" s="452"/>
      <c r="E13" s="447"/>
      <c r="F13" s="448"/>
      <c r="G13" s="449"/>
      <c r="H13" s="447"/>
      <c r="I13" s="448"/>
      <c r="J13" s="449"/>
      <c r="K13" s="453" t="s">
        <v>534</v>
      </c>
      <c r="L13" s="454"/>
      <c r="M13" s="453" t="s">
        <v>535</v>
      </c>
      <c r="N13" s="454"/>
      <c r="O13" s="453" t="s">
        <v>564</v>
      </c>
      <c r="P13" s="454"/>
      <c r="Q13" s="453" t="s">
        <v>534</v>
      </c>
      <c r="R13" s="454"/>
      <c r="S13" s="453" t="s">
        <v>535</v>
      </c>
      <c r="T13" s="454"/>
      <c r="U13" s="453" t="s">
        <v>564</v>
      </c>
      <c r="V13" s="454"/>
      <c r="W13" s="450" t="s">
        <v>534</v>
      </c>
      <c r="X13" s="451"/>
      <c r="Y13" s="450" t="s">
        <v>535</v>
      </c>
      <c r="Z13" s="451"/>
      <c r="AA13" s="450" t="s">
        <v>564</v>
      </c>
      <c r="AB13" s="451"/>
      <c r="AC13" s="436"/>
      <c r="AD13" s="438"/>
      <c r="AE13" s="436"/>
      <c r="AF13" s="437"/>
      <c r="AG13" s="438"/>
      <c r="AH13" s="113"/>
    </row>
    <row r="14" spans="1:40" ht="15.75" x14ac:dyDescent="0.25">
      <c r="A14" s="426">
        <v>1</v>
      </c>
      <c r="B14" s="426">
        <v>2</v>
      </c>
      <c r="C14" s="426">
        <v>3</v>
      </c>
      <c r="D14" s="426">
        <v>4</v>
      </c>
      <c r="E14" s="433">
        <v>5</v>
      </c>
      <c r="F14" s="434"/>
      <c r="G14" s="435"/>
      <c r="H14" s="433">
        <v>6</v>
      </c>
      <c r="I14" s="434"/>
      <c r="J14" s="435"/>
      <c r="K14" s="418">
        <v>7</v>
      </c>
      <c r="L14" s="419"/>
      <c r="M14" s="418">
        <v>8</v>
      </c>
      <c r="N14" s="419"/>
      <c r="O14" s="418">
        <v>8</v>
      </c>
      <c r="P14" s="419"/>
      <c r="Q14" s="418">
        <v>12</v>
      </c>
      <c r="R14" s="419"/>
      <c r="S14" s="418">
        <v>13</v>
      </c>
      <c r="T14" s="419"/>
      <c r="U14" s="418">
        <v>13</v>
      </c>
      <c r="V14" s="419"/>
      <c r="W14" s="455">
        <v>17</v>
      </c>
      <c r="X14" s="457"/>
      <c r="Y14" s="455">
        <v>18</v>
      </c>
      <c r="Z14" s="457"/>
      <c r="AA14" s="455">
        <v>18</v>
      </c>
      <c r="AB14" s="457"/>
      <c r="AC14" s="455">
        <v>22</v>
      </c>
      <c r="AD14" s="457"/>
      <c r="AE14" s="455">
        <v>23</v>
      </c>
      <c r="AF14" s="456"/>
      <c r="AG14" s="457"/>
      <c r="AH14" s="114"/>
    </row>
    <row r="15" spans="1:40" ht="87" customHeight="1" x14ac:dyDescent="0.2">
      <c r="A15" s="428"/>
      <c r="B15" s="428"/>
      <c r="C15" s="428"/>
      <c r="D15" s="428"/>
      <c r="E15" s="429" t="s">
        <v>2</v>
      </c>
      <c r="F15" s="430"/>
      <c r="G15" s="427" t="s">
        <v>3</v>
      </c>
      <c r="H15" s="429" t="s">
        <v>2</v>
      </c>
      <c r="I15" s="430"/>
      <c r="J15" s="427" t="s">
        <v>3</v>
      </c>
      <c r="K15" s="429" t="s">
        <v>2</v>
      </c>
      <c r="L15" s="426" t="s">
        <v>3</v>
      </c>
      <c r="M15" s="429" t="s">
        <v>2</v>
      </c>
      <c r="N15" s="426" t="s">
        <v>3</v>
      </c>
      <c r="O15" s="429" t="s">
        <v>2</v>
      </c>
      <c r="P15" s="426" t="s">
        <v>3</v>
      </c>
      <c r="Q15" s="429" t="s">
        <v>2</v>
      </c>
      <c r="R15" s="426" t="s">
        <v>3</v>
      </c>
      <c r="S15" s="429" t="s">
        <v>2</v>
      </c>
      <c r="T15" s="426" t="s">
        <v>3</v>
      </c>
      <c r="U15" s="429" t="s">
        <v>2</v>
      </c>
      <c r="V15" s="426" t="s">
        <v>3</v>
      </c>
      <c r="W15" s="389" t="s">
        <v>12</v>
      </c>
      <c r="X15" s="99" t="s">
        <v>13</v>
      </c>
      <c r="Y15" s="389" t="s">
        <v>14</v>
      </c>
      <c r="Z15" s="99" t="s">
        <v>15</v>
      </c>
      <c r="AA15" s="389" t="s">
        <v>14</v>
      </c>
      <c r="AB15" s="99" t="s">
        <v>15</v>
      </c>
      <c r="AC15" s="429" t="s">
        <v>2</v>
      </c>
      <c r="AD15" s="426" t="s">
        <v>3</v>
      </c>
      <c r="AE15" s="389" t="s">
        <v>17</v>
      </c>
      <c r="AF15" s="464" t="s">
        <v>21</v>
      </c>
      <c r="AG15" s="99" t="s">
        <v>16</v>
      </c>
      <c r="AH15" s="115"/>
    </row>
    <row r="16" spans="1:40" ht="30.75" customHeight="1" x14ac:dyDescent="0.2">
      <c r="A16" s="427"/>
      <c r="B16" s="427"/>
      <c r="C16" s="427"/>
      <c r="D16" s="427"/>
      <c r="E16" s="431"/>
      <c r="F16" s="432"/>
      <c r="G16" s="458"/>
      <c r="H16" s="431"/>
      <c r="I16" s="432"/>
      <c r="J16" s="458"/>
      <c r="K16" s="431"/>
      <c r="L16" s="427"/>
      <c r="M16" s="431"/>
      <c r="N16" s="427"/>
      <c r="O16" s="431"/>
      <c r="P16" s="427"/>
      <c r="Q16" s="431"/>
      <c r="R16" s="427"/>
      <c r="S16" s="431"/>
      <c r="T16" s="427"/>
      <c r="U16" s="431"/>
      <c r="V16" s="427"/>
      <c r="W16" s="388" t="s">
        <v>2</v>
      </c>
      <c r="X16" s="100" t="s">
        <v>3</v>
      </c>
      <c r="Y16" s="390" t="s">
        <v>2</v>
      </c>
      <c r="Z16" s="176" t="s">
        <v>3</v>
      </c>
      <c r="AA16" s="390" t="s">
        <v>2</v>
      </c>
      <c r="AB16" s="327" t="s">
        <v>3</v>
      </c>
      <c r="AC16" s="431"/>
      <c r="AD16" s="427"/>
      <c r="AE16" s="388" t="s">
        <v>2</v>
      </c>
      <c r="AF16" s="465"/>
      <c r="AG16" s="176" t="s">
        <v>3</v>
      </c>
      <c r="AH16" s="115"/>
    </row>
    <row r="17" spans="1:40" ht="94.5" x14ac:dyDescent="0.25">
      <c r="A17" s="101" t="s">
        <v>259</v>
      </c>
      <c r="B17" s="102" t="s">
        <v>258</v>
      </c>
      <c r="C17" s="102"/>
      <c r="D17" s="103" t="s">
        <v>275</v>
      </c>
      <c r="E17" s="213">
        <v>67.8</v>
      </c>
      <c r="F17" s="214" t="s">
        <v>25</v>
      </c>
      <c r="G17" s="215"/>
      <c r="H17" s="216">
        <v>72.569999999999993</v>
      </c>
      <c r="I17" s="214" t="s">
        <v>25</v>
      </c>
      <c r="J17" s="217">
        <f>J18+J43+J59+J67+J71</f>
        <v>2319159393793</v>
      </c>
      <c r="K17" s="216">
        <v>69.41</v>
      </c>
      <c r="L17" s="217">
        <f>L18+L43+L59+L67+L71</f>
        <v>227338736453</v>
      </c>
      <c r="M17" s="216">
        <v>70.25</v>
      </c>
      <c r="N17" s="217">
        <f>N18+N43+N59+N67+N71</f>
        <v>227831914819</v>
      </c>
      <c r="O17" s="216">
        <v>71.08</v>
      </c>
      <c r="P17" s="217">
        <f>P18+P43+P59+P67+P71</f>
        <v>455699921477</v>
      </c>
      <c r="Q17" s="213">
        <v>68.8</v>
      </c>
      <c r="R17" s="217">
        <f>R18+R43+R59+R67+R71</f>
        <v>216899212496</v>
      </c>
      <c r="S17" s="213">
        <v>68.849999999999994</v>
      </c>
      <c r="T17" s="217">
        <f>T18+T43+T59+T67+T71</f>
        <v>211071075183</v>
      </c>
      <c r="U17" s="213">
        <v>69.209999999999994</v>
      </c>
      <c r="V17" s="217">
        <f>V18+V43+V59+V67+V71</f>
        <v>414299984268</v>
      </c>
      <c r="W17" s="218">
        <f t="shared" ref="W17:AB18" si="0">Q17/K17*100</f>
        <v>99.12116409739231</v>
      </c>
      <c r="X17" s="239">
        <f t="shared" si="0"/>
        <v>95.407943177709058</v>
      </c>
      <c r="Y17" s="239">
        <f t="shared" si="0"/>
        <v>98.007117437722414</v>
      </c>
      <c r="Z17" s="239">
        <f t="shared" si="0"/>
        <v>92.643331093751485</v>
      </c>
      <c r="AA17" s="239">
        <f t="shared" si="0"/>
        <v>97.36916150815982</v>
      </c>
      <c r="AB17" s="239">
        <f t="shared" si="0"/>
        <v>90.915087921275955</v>
      </c>
      <c r="AC17" s="213">
        <f>U17</f>
        <v>69.209999999999994</v>
      </c>
      <c r="AD17" s="307">
        <f>R17+T17+V17</f>
        <v>842270271947</v>
      </c>
      <c r="AE17" s="218">
        <f>AC17/H17*100</f>
        <v>95.369987598181069</v>
      </c>
      <c r="AF17" s="402" t="str">
        <f>IF(AE17&gt;=91,"Sangat Tinggi",IF(AE17&gt;=76,"Tinggi",IF(AE17&gt;=66,"Sedang",IF(AE17&gt;=51,"Rendah",IF(AE17&lt;=50,"Sangat Rendah")))))</f>
        <v>Sangat Tinggi</v>
      </c>
      <c r="AG17" s="239">
        <f>AD17/J17*100</f>
        <v>36.317912179786035</v>
      </c>
      <c r="AH17" s="116"/>
      <c r="AK17" s="104">
        <f t="shared" ref="AK17:AK29" si="1">R17</f>
        <v>216899212496</v>
      </c>
    </row>
    <row r="18" spans="1:40" ht="78.75" x14ac:dyDescent="0.25">
      <c r="A18" s="65">
        <v>1</v>
      </c>
      <c r="B18" s="6" t="s">
        <v>141</v>
      </c>
      <c r="C18" s="94"/>
      <c r="D18" s="62" t="s">
        <v>260</v>
      </c>
      <c r="E18" s="219">
        <v>12.05</v>
      </c>
      <c r="F18" s="220" t="s">
        <v>131</v>
      </c>
      <c r="G18" s="293"/>
      <c r="H18" s="219">
        <v>13.52</v>
      </c>
      <c r="I18" s="220" t="s">
        <v>131</v>
      </c>
      <c r="J18" s="296">
        <f>SUM(J22:J30)</f>
        <v>153922214000</v>
      </c>
      <c r="K18" s="223">
        <v>12.7</v>
      </c>
      <c r="L18" s="296">
        <f>SUM(L22:L29)</f>
        <v>660112825</v>
      </c>
      <c r="M18" s="223">
        <v>12.89</v>
      </c>
      <c r="N18" s="296">
        <f>SUM(N22:N29)</f>
        <v>726683000</v>
      </c>
      <c r="O18" s="223">
        <v>13.08</v>
      </c>
      <c r="P18" s="296">
        <f>SUM(P30)</f>
        <v>54391414275</v>
      </c>
      <c r="Q18" s="225">
        <v>12.1</v>
      </c>
      <c r="R18" s="296">
        <f>SUM(R22:R29)</f>
        <v>646952485</v>
      </c>
      <c r="S18" s="225">
        <v>12.17</v>
      </c>
      <c r="T18" s="296">
        <f>SUM(T22:T29)</f>
        <v>710595000</v>
      </c>
      <c r="U18" s="225">
        <v>12.38</v>
      </c>
      <c r="V18" s="296">
        <f>SUM(V30)</f>
        <v>47457930074</v>
      </c>
      <c r="W18" s="228">
        <f t="shared" si="0"/>
        <v>95.275590551181097</v>
      </c>
      <c r="X18" s="300">
        <f t="shared" si="0"/>
        <v>98.006349899352429</v>
      </c>
      <c r="Y18" s="234">
        <f t="shared" si="0"/>
        <v>94.414274631497278</v>
      </c>
      <c r="Z18" s="300">
        <f t="shared" si="0"/>
        <v>97.786104807735967</v>
      </c>
      <c r="AA18" s="234">
        <f t="shared" si="0"/>
        <v>94.648318042813457</v>
      </c>
      <c r="AB18" s="300">
        <f t="shared" si="0"/>
        <v>87.252612763579407</v>
      </c>
      <c r="AC18" s="223">
        <f>U18</f>
        <v>12.38</v>
      </c>
      <c r="AD18" s="309">
        <f>R18+T18+V18</f>
        <v>48815477559</v>
      </c>
      <c r="AE18" s="234">
        <f>AC18/H18*100</f>
        <v>91.568047337278117</v>
      </c>
      <c r="AF18" s="219" t="str">
        <f>IF(AE18&gt;=91,"Sangat Tinggi",IF(AE18&gt;=76,"Tinggi",IF(AE18&gt;=66,"Sedang",IF(AE18&gt;=51,"Rendah",IF(AE18&lt;=50,"Sangat Rendah")))))</f>
        <v>Sangat Tinggi</v>
      </c>
      <c r="AG18" s="403">
        <f>AD18/J18*100</f>
        <v>31.714381108759259</v>
      </c>
      <c r="AH18" s="410" t="s">
        <v>279</v>
      </c>
      <c r="AK18" s="104">
        <f t="shared" si="1"/>
        <v>646952485</v>
      </c>
    </row>
    <row r="19" spans="1:40" ht="31.5" x14ac:dyDescent="0.25">
      <c r="A19" s="66"/>
      <c r="B19" s="61"/>
      <c r="C19" s="25"/>
      <c r="D19" s="62" t="s">
        <v>261</v>
      </c>
      <c r="E19" s="219">
        <v>7.71</v>
      </c>
      <c r="F19" s="220" t="s">
        <v>131</v>
      </c>
      <c r="G19" s="294"/>
      <c r="H19" s="219">
        <v>8.5299999999999994</v>
      </c>
      <c r="I19" s="220" t="s">
        <v>131</v>
      </c>
      <c r="J19" s="297"/>
      <c r="K19" s="223">
        <v>8</v>
      </c>
      <c r="L19" s="298"/>
      <c r="M19" s="223">
        <v>8.17</v>
      </c>
      <c r="N19" s="298"/>
      <c r="O19" s="223">
        <v>8.33</v>
      </c>
      <c r="P19" s="298"/>
      <c r="Q19" s="219">
        <v>7.74</v>
      </c>
      <c r="R19" s="298"/>
      <c r="S19" s="223">
        <v>7.75</v>
      </c>
      <c r="T19" s="298"/>
      <c r="U19" s="223">
        <v>7.76</v>
      </c>
      <c r="V19" s="298"/>
      <c r="W19" s="228">
        <f t="shared" ref="W19:W24" si="2">Q19/K19*100</f>
        <v>96.75</v>
      </c>
      <c r="X19" s="301"/>
      <c r="Y19" s="234">
        <f t="shared" ref="Y19:Y24" si="3">S19/M19*100</f>
        <v>94.859241126070998</v>
      </c>
      <c r="Z19" s="301"/>
      <c r="AA19" s="234">
        <f>U19/O19*100</f>
        <v>93.157262905162071</v>
      </c>
      <c r="AB19" s="301"/>
      <c r="AC19" s="223">
        <f>U19</f>
        <v>7.76</v>
      </c>
      <c r="AD19" s="310"/>
      <c r="AE19" s="234">
        <f t="shared" ref="AE19:AE42" si="4">AC19/H19*100</f>
        <v>90.973036342321222</v>
      </c>
      <c r="AF19" s="228" t="str">
        <f t="shared" ref="AF19:AF42" si="5">IF(AE19&gt;=91,"Sangat Tinggi",IF(AE19&gt;=76,"Tinggi",IF(AE19&gt;=66,"Sedang",IF(AE19&gt;=51,"Rendah",IF(AE19&lt;=50,"Sangat Rendah")))))</f>
        <v>Tinggi</v>
      </c>
      <c r="AG19" s="66"/>
      <c r="AH19" s="111"/>
      <c r="AK19" s="104">
        <f t="shared" si="1"/>
        <v>0</v>
      </c>
    </row>
    <row r="20" spans="1:40" ht="82.5" customHeight="1" x14ac:dyDescent="0.25">
      <c r="A20" s="66"/>
      <c r="B20" s="61"/>
      <c r="C20" s="25"/>
      <c r="D20" s="26" t="s">
        <v>262</v>
      </c>
      <c r="E20" s="219">
        <v>1.25</v>
      </c>
      <c r="F20" s="220" t="s">
        <v>27</v>
      </c>
      <c r="G20" s="294"/>
      <c r="H20" s="223">
        <v>12.5</v>
      </c>
      <c r="I20" s="220" t="s">
        <v>27</v>
      </c>
      <c r="J20" s="297"/>
      <c r="K20" s="223">
        <v>2.5</v>
      </c>
      <c r="L20" s="298"/>
      <c r="M20" s="223">
        <v>4.37</v>
      </c>
      <c r="N20" s="298"/>
      <c r="O20" s="223">
        <v>6.87</v>
      </c>
      <c r="P20" s="298"/>
      <c r="Q20" s="219">
        <v>1.25</v>
      </c>
      <c r="R20" s="298"/>
      <c r="S20" s="223">
        <v>1.25</v>
      </c>
      <c r="T20" s="298"/>
      <c r="U20" s="223">
        <v>1.25</v>
      </c>
      <c r="V20" s="298"/>
      <c r="W20" s="234">
        <f t="shared" si="2"/>
        <v>50</v>
      </c>
      <c r="X20" s="301"/>
      <c r="Y20" s="234">
        <f t="shared" si="3"/>
        <v>28.604118993135007</v>
      </c>
      <c r="Z20" s="301"/>
      <c r="AA20" s="234">
        <f>U20/O20*100</f>
        <v>18.195050946142651</v>
      </c>
      <c r="AB20" s="301"/>
      <c r="AC20" s="223">
        <f>U20</f>
        <v>1.25</v>
      </c>
      <c r="AD20" s="310"/>
      <c r="AE20" s="234">
        <f t="shared" si="4"/>
        <v>10</v>
      </c>
      <c r="AF20" s="219" t="str">
        <f t="shared" si="5"/>
        <v>Sangat Rendah</v>
      </c>
      <c r="AG20" s="66"/>
      <c r="AH20" s="111"/>
      <c r="AK20" s="104">
        <f t="shared" si="1"/>
        <v>0</v>
      </c>
    </row>
    <row r="21" spans="1:40" ht="96.75" customHeight="1" x14ac:dyDescent="0.25">
      <c r="A21" s="66"/>
      <c r="B21" s="61"/>
      <c r="C21" s="20"/>
      <c r="D21" s="62" t="s">
        <v>263</v>
      </c>
      <c r="E21" s="219">
        <v>4.76</v>
      </c>
      <c r="F21" s="220" t="s">
        <v>27</v>
      </c>
      <c r="G21" s="295"/>
      <c r="H21" s="223">
        <v>15.02</v>
      </c>
      <c r="I21" s="220" t="s">
        <v>27</v>
      </c>
      <c r="J21" s="283"/>
      <c r="K21" s="219">
        <v>6.59</v>
      </c>
      <c r="L21" s="299"/>
      <c r="M21" s="219">
        <v>8.7899999999999991</v>
      </c>
      <c r="N21" s="299"/>
      <c r="O21" s="219">
        <v>10.99</v>
      </c>
      <c r="P21" s="299"/>
      <c r="Q21" s="219">
        <v>6.88</v>
      </c>
      <c r="R21" s="299"/>
      <c r="S21" s="223">
        <f>(29+8)/(243+37)*100</f>
        <v>13.214285714285715</v>
      </c>
      <c r="T21" s="299"/>
      <c r="U21" s="223">
        <v>12.9</v>
      </c>
      <c r="V21" s="299"/>
      <c r="W21" s="234">
        <f t="shared" si="2"/>
        <v>104.40060698027314</v>
      </c>
      <c r="X21" s="302"/>
      <c r="Y21" s="234">
        <f t="shared" si="3"/>
        <v>150.33317081098653</v>
      </c>
      <c r="Z21" s="302"/>
      <c r="AA21" s="234">
        <f>U21/O21*100</f>
        <v>117.37943585077343</v>
      </c>
      <c r="AB21" s="302"/>
      <c r="AC21" s="223">
        <f>U21</f>
        <v>12.9</v>
      </c>
      <c r="AD21" s="308"/>
      <c r="AE21" s="234">
        <f t="shared" si="4"/>
        <v>85.885486018641828</v>
      </c>
      <c r="AF21" s="219" t="str">
        <f t="shared" si="5"/>
        <v>Tinggi</v>
      </c>
      <c r="AG21" s="312"/>
      <c r="AH21" s="111"/>
      <c r="AK21" s="104">
        <f t="shared" si="1"/>
        <v>0</v>
      </c>
    </row>
    <row r="22" spans="1:40" ht="90" x14ac:dyDescent="0.2">
      <c r="A22" s="60"/>
      <c r="B22" s="60"/>
      <c r="C22" s="14" t="s">
        <v>41</v>
      </c>
      <c r="D22" s="14" t="s">
        <v>148</v>
      </c>
      <c r="E22" s="32">
        <v>73.56</v>
      </c>
      <c r="F22" s="35" t="s">
        <v>27</v>
      </c>
      <c r="G22" s="8"/>
      <c r="H22" s="74">
        <v>81.55</v>
      </c>
      <c r="I22" s="35" t="s">
        <v>27</v>
      </c>
      <c r="J22" s="9">
        <v>4794000000</v>
      </c>
      <c r="K22" s="74">
        <v>76.55</v>
      </c>
      <c r="L22" s="10">
        <v>660112825</v>
      </c>
      <c r="M22" s="74">
        <v>77.8</v>
      </c>
      <c r="N22" s="10">
        <v>726683000</v>
      </c>
      <c r="O22" s="74"/>
      <c r="P22" s="10"/>
      <c r="Q22" s="32">
        <f>6439/8189*100</f>
        <v>78.629869336915377</v>
      </c>
      <c r="R22" s="10">
        <v>646952485</v>
      </c>
      <c r="S22" s="74">
        <f>7256/8604*100</f>
        <v>84.332868433286848</v>
      </c>
      <c r="T22" s="10">
        <v>710595000</v>
      </c>
      <c r="U22" s="74"/>
      <c r="V22" s="10"/>
      <c r="W22" s="56">
        <f t="shared" si="2"/>
        <v>102.71700762497112</v>
      </c>
      <c r="X22" s="235">
        <f>R22/L22*100</f>
        <v>98.006349899352429</v>
      </c>
      <c r="Y22" s="56">
        <f t="shared" si="3"/>
        <v>108.39700312761806</v>
      </c>
      <c r="Z22" s="235">
        <f>T22/N22*100</f>
        <v>97.786104807735967</v>
      </c>
      <c r="AA22" s="56"/>
      <c r="AB22" s="235"/>
      <c r="AC22" s="56">
        <f t="shared" ref="AC22:AC29" si="6">S22</f>
        <v>84.332868433286848</v>
      </c>
      <c r="AD22" s="21">
        <f>R22+T22</f>
        <v>1357547485</v>
      </c>
      <c r="AE22" s="18">
        <f t="shared" si="4"/>
        <v>103.41246895559392</v>
      </c>
      <c r="AF22" s="32" t="str">
        <f t="shared" si="5"/>
        <v>Sangat Tinggi</v>
      </c>
      <c r="AG22" s="56">
        <f t="shared" ref="AG22:AG39" si="7">AD22/J22*100</f>
        <v>28.317636316228619</v>
      </c>
      <c r="AH22" s="117"/>
      <c r="AJ22" s="104"/>
      <c r="AK22" s="104">
        <f t="shared" si="1"/>
        <v>646952485</v>
      </c>
      <c r="AL22" s="104"/>
      <c r="AM22" s="104"/>
      <c r="AN22" s="104"/>
    </row>
    <row r="23" spans="1:40" ht="90" x14ac:dyDescent="0.2">
      <c r="A23" s="60"/>
      <c r="B23" s="60"/>
      <c r="C23" s="303" t="s">
        <v>94</v>
      </c>
      <c r="D23" s="212" t="s">
        <v>149</v>
      </c>
      <c r="E23" s="74">
        <v>100.91</v>
      </c>
      <c r="F23" s="35" t="s">
        <v>27</v>
      </c>
      <c r="G23" s="3"/>
      <c r="H23" s="32">
        <v>100</v>
      </c>
      <c r="I23" s="35" t="s">
        <v>27</v>
      </c>
      <c r="J23" s="183">
        <v>5026750000</v>
      </c>
      <c r="K23" s="32">
        <v>100</v>
      </c>
      <c r="L23" s="180">
        <v>0</v>
      </c>
      <c r="M23" s="32">
        <v>100</v>
      </c>
      <c r="N23" s="180">
        <v>0</v>
      </c>
      <c r="O23" s="32"/>
      <c r="P23" s="180"/>
      <c r="Q23" s="74">
        <v>106.3</v>
      </c>
      <c r="R23" s="180">
        <v>0</v>
      </c>
      <c r="S23" s="74">
        <v>105.63</v>
      </c>
      <c r="T23" s="180">
        <v>0</v>
      </c>
      <c r="U23" s="74"/>
      <c r="V23" s="180"/>
      <c r="W23" s="56">
        <f t="shared" si="2"/>
        <v>106.3</v>
      </c>
      <c r="X23" s="237">
        <v>0</v>
      </c>
      <c r="Y23" s="56">
        <f t="shared" si="3"/>
        <v>105.63</v>
      </c>
      <c r="Z23" s="237">
        <v>0</v>
      </c>
      <c r="AA23" s="56"/>
      <c r="AB23" s="237"/>
      <c r="AC23" s="56">
        <f t="shared" si="6"/>
        <v>105.63</v>
      </c>
      <c r="AD23" s="122"/>
      <c r="AE23" s="18">
        <f t="shared" si="4"/>
        <v>105.63</v>
      </c>
      <c r="AF23" s="32" t="str">
        <f t="shared" si="5"/>
        <v>Sangat Tinggi</v>
      </c>
      <c r="AG23" s="122">
        <f t="shared" si="7"/>
        <v>0</v>
      </c>
      <c r="AH23" s="111"/>
      <c r="AK23" s="104">
        <f t="shared" si="1"/>
        <v>0</v>
      </c>
    </row>
    <row r="24" spans="1:40" ht="60" x14ac:dyDescent="0.2">
      <c r="A24" s="60"/>
      <c r="B24" s="60"/>
      <c r="C24" s="304"/>
      <c r="D24" s="212" t="s">
        <v>150</v>
      </c>
      <c r="E24" s="32">
        <v>94.29</v>
      </c>
      <c r="F24" s="35" t="s">
        <v>27</v>
      </c>
      <c r="G24" s="4"/>
      <c r="H24" s="74">
        <v>99.5</v>
      </c>
      <c r="I24" s="35" t="s">
        <v>27</v>
      </c>
      <c r="J24" s="181"/>
      <c r="K24" s="74">
        <v>97.45</v>
      </c>
      <c r="L24" s="181"/>
      <c r="M24" s="74">
        <v>98</v>
      </c>
      <c r="N24" s="181"/>
      <c r="O24" s="74"/>
      <c r="P24" s="181"/>
      <c r="Q24" s="32">
        <v>98.19</v>
      </c>
      <c r="R24" s="181"/>
      <c r="S24" s="74">
        <v>98.75</v>
      </c>
      <c r="T24" s="181"/>
      <c r="U24" s="74"/>
      <c r="V24" s="181"/>
      <c r="W24" s="56">
        <f t="shared" si="2"/>
        <v>100.75936377629553</v>
      </c>
      <c r="X24" s="250"/>
      <c r="Y24" s="56">
        <f t="shared" si="3"/>
        <v>100.76530612244898</v>
      </c>
      <c r="Z24" s="250"/>
      <c r="AA24" s="56"/>
      <c r="AB24" s="250"/>
      <c r="AC24" s="56">
        <f t="shared" si="6"/>
        <v>98.75</v>
      </c>
      <c r="AD24" s="336"/>
      <c r="AE24" s="56">
        <f t="shared" si="4"/>
        <v>99.246231155778901</v>
      </c>
      <c r="AF24" s="32" t="str">
        <f t="shared" si="5"/>
        <v>Sangat Tinggi</v>
      </c>
      <c r="AG24" s="336"/>
      <c r="AH24" s="111"/>
      <c r="AK24" s="104">
        <f t="shared" si="1"/>
        <v>0</v>
      </c>
    </row>
    <row r="25" spans="1:40" ht="45" x14ac:dyDescent="0.2">
      <c r="A25" s="60"/>
      <c r="B25" s="60"/>
      <c r="C25" s="305"/>
      <c r="D25" s="212" t="s">
        <v>151</v>
      </c>
      <c r="E25" s="74">
        <f>36/24611*100</f>
        <v>0.14627605542237213</v>
      </c>
      <c r="F25" s="35" t="s">
        <v>27</v>
      </c>
      <c r="G25" s="5"/>
      <c r="H25" s="74">
        <v>15</v>
      </c>
      <c r="I25" s="35" t="s">
        <v>27</v>
      </c>
      <c r="J25" s="184"/>
      <c r="K25" s="74">
        <v>28</v>
      </c>
      <c r="L25" s="182"/>
      <c r="M25" s="74">
        <v>25</v>
      </c>
      <c r="N25" s="182"/>
      <c r="O25" s="74"/>
      <c r="P25" s="182"/>
      <c r="Q25" s="74">
        <f>25/25540*100</f>
        <v>9.7885669537979642E-2</v>
      </c>
      <c r="R25" s="182"/>
      <c r="S25" s="74">
        <f>28/23994*100</f>
        <v>0.11669584062682338</v>
      </c>
      <c r="T25" s="182"/>
      <c r="U25" s="74"/>
      <c r="V25" s="182"/>
      <c r="W25" s="56">
        <f>(K25-(Q25-K25))/K25*100</f>
        <v>199.65040832307864</v>
      </c>
      <c r="X25" s="207"/>
      <c r="Y25" s="56">
        <f>(M25-(S25-M25))/M25*100</f>
        <v>199.5332166374927</v>
      </c>
      <c r="Z25" s="207"/>
      <c r="AA25" s="56"/>
      <c r="AB25" s="207"/>
      <c r="AC25" s="56">
        <f t="shared" si="6"/>
        <v>0.11669584062682338</v>
      </c>
      <c r="AD25" s="127"/>
      <c r="AE25" s="56">
        <f>(H25-(AC25-H25))/H25*100</f>
        <v>199.22202772915449</v>
      </c>
      <c r="AF25" s="32" t="str">
        <f t="shared" si="5"/>
        <v>Sangat Tinggi</v>
      </c>
      <c r="AG25" s="127"/>
      <c r="AH25" s="111"/>
      <c r="AK25" s="104">
        <f t="shared" si="1"/>
        <v>0</v>
      </c>
    </row>
    <row r="26" spans="1:40" ht="105" x14ac:dyDescent="0.2">
      <c r="A26" s="60"/>
      <c r="B26" s="60"/>
      <c r="C26" s="303" t="s">
        <v>147</v>
      </c>
      <c r="D26" s="212" t="s">
        <v>152</v>
      </c>
      <c r="E26" s="32">
        <v>93.14</v>
      </c>
      <c r="F26" s="35" t="s">
        <v>27</v>
      </c>
      <c r="G26" s="3"/>
      <c r="H26" s="74">
        <v>93.13</v>
      </c>
      <c r="I26" s="35" t="s">
        <v>27</v>
      </c>
      <c r="J26" s="183">
        <v>1800000000</v>
      </c>
      <c r="K26" s="74">
        <v>89.17</v>
      </c>
      <c r="L26" s="180">
        <v>0</v>
      </c>
      <c r="M26" s="74">
        <v>90.49</v>
      </c>
      <c r="N26" s="180">
        <v>0</v>
      </c>
      <c r="O26" s="74"/>
      <c r="P26" s="180"/>
      <c r="Q26" s="32">
        <v>81.430000000000007</v>
      </c>
      <c r="R26" s="180">
        <v>0</v>
      </c>
      <c r="S26" s="32">
        <v>87.79</v>
      </c>
      <c r="T26" s="180">
        <v>0</v>
      </c>
      <c r="U26" s="32"/>
      <c r="V26" s="180"/>
      <c r="W26" s="18">
        <f>Q26/K26*100</f>
        <v>91.319950656050239</v>
      </c>
      <c r="X26" s="237">
        <v>0</v>
      </c>
      <c r="Y26" s="56">
        <f>S26/M26*100</f>
        <v>97.016244888938019</v>
      </c>
      <c r="Z26" s="237">
        <v>0</v>
      </c>
      <c r="AA26" s="56"/>
      <c r="AB26" s="237"/>
      <c r="AC26" s="56">
        <f t="shared" si="6"/>
        <v>87.79</v>
      </c>
      <c r="AD26" s="122"/>
      <c r="AE26" s="56">
        <f t="shared" si="4"/>
        <v>94.266079673574581</v>
      </c>
      <c r="AF26" s="32" t="str">
        <f t="shared" si="5"/>
        <v>Sangat Tinggi</v>
      </c>
      <c r="AG26" s="122">
        <f t="shared" si="7"/>
        <v>0</v>
      </c>
      <c r="AH26" s="111"/>
      <c r="AK26" s="104">
        <f t="shared" si="1"/>
        <v>0</v>
      </c>
    </row>
    <row r="27" spans="1:40" ht="60" x14ac:dyDescent="0.2">
      <c r="A27" s="60"/>
      <c r="B27" s="60"/>
      <c r="C27" s="304"/>
      <c r="D27" s="212" t="s">
        <v>153</v>
      </c>
      <c r="E27" s="74">
        <v>76.290000000000006</v>
      </c>
      <c r="F27" s="35" t="s">
        <v>27</v>
      </c>
      <c r="G27" s="4"/>
      <c r="H27" s="74">
        <v>85</v>
      </c>
      <c r="I27" s="35" t="s">
        <v>27</v>
      </c>
      <c r="J27" s="185"/>
      <c r="K27" s="74">
        <v>79.45</v>
      </c>
      <c r="L27" s="181"/>
      <c r="M27" s="74">
        <v>79.900000000000006</v>
      </c>
      <c r="N27" s="181"/>
      <c r="O27" s="74"/>
      <c r="P27" s="181"/>
      <c r="Q27" s="74">
        <v>74.680000000000007</v>
      </c>
      <c r="R27" s="181"/>
      <c r="S27" s="74">
        <v>74.739999999999995</v>
      </c>
      <c r="T27" s="181"/>
      <c r="U27" s="74"/>
      <c r="V27" s="181"/>
      <c r="W27" s="18">
        <f>Q27/K27*100</f>
        <v>93.996224040276914</v>
      </c>
      <c r="X27" s="251"/>
      <c r="Y27" s="56">
        <f>S27/M27*100</f>
        <v>93.541927409261561</v>
      </c>
      <c r="Z27" s="251"/>
      <c r="AA27" s="18"/>
      <c r="AB27" s="251"/>
      <c r="AC27" s="56">
        <f t="shared" si="6"/>
        <v>74.739999999999995</v>
      </c>
      <c r="AD27" s="336"/>
      <c r="AE27" s="56">
        <f t="shared" si="4"/>
        <v>87.929411764705875</v>
      </c>
      <c r="AF27" s="32" t="str">
        <f t="shared" si="5"/>
        <v>Tinggi</v>
      </c>
      <c r="AG27" s="336"/>
      <c r="AH27" s="111"/>
      <c r="AK27" s="104">
        <f t="shared" si="1"/>
        <v>0</v>
      </c>
    </row>
    <row r="28" spans="1:40" ht="45" x14ac:dyDescent="0.2">
      <c r="A28" s="60"/>
      <c r="B28" s="60"/>
      <c r="C28" s="305"/>
      <c r="D28" s="212" t="s">
        <v>154</v>
      </c>
      <c r="E28" s="74">
        <v>43</v>
      </c>
      <c r="F28" s="35" t="s">
        <v>27</v>
      </c>
      <c r="G28" s="5"/>
      <c r="H28" s="74">
        <v>4</v>
      </c>
      <c r="I28" s="35" t="s">
        <v>27</v>
      </c>
      <c r="J28" s="186"/>
      <c r="K28" s="74">
        <v>10</v>
      </c>
      <c r="L28" s="182"/>
      <c r="M28" s="74">
        <v>7</v>
      </c>
      <c r="N28" s="182"/>
      <c r="O28" s="74"/>
      <c r="P28" s="182"/>
      <c r="Q28" s="74">
        <v>20</v>
      </c>
      <c r="R28" s="182"/>
      <c r="S28" s="74">
        <v>0</v>
      </c>
      <c r="T28" s="182"/>
      <c r="U28" s="74"/>
      <c r="V28" s="182"/>
      <c r="W28" s="89">
        <v>50</v>
      </c>
      <c r="X28" s="252"/>
      <c r="Y28" s="89">
        <v>100</v>
      </c>
      <c r="Z28" s="252"/>
      <c r="AA28" s="56"/>
      <c r="AB28" s="252"/>
      <c r="AC28" s="56">
        <f t="shared" si="6"/>
        <v>0</v>
      </c>
      <c r="AD28" s="127"/>
      <c r="AE28" s="18">
        <v>100</v>
      </c>
      <c r="AF28" s="32" t="str">
        <f t="shared" si="5"/>
        <v>Sangat Tinggi</v>
      </c>
      <c r="AG28" s="127"/>
      <c r="AH28" s="111"/>
      <c r="AK28" s="104">
        <f t="shared" si="1"/>
        <v>0</v>
      </c>
    </row>
    <row r="29" spans="1:40" ht="75" x14ac:dyDescent="0.2">
      <c r="A29" s="60"/>
      <c r="B29" s="60"/>
      <c r="C29" s="212" t="s">
        <v>155</v>
      </c>
      <c r="D29" s="212" t="s">
        <v>156</v>
      </c>
      <c r="E29" s="32">
        <v>85.38</v>
      </c>
      <c r="F29" s="35" t="s">
        <v>27</v>
      </c>
      <c r="G29" s="8"/>
      <c r="H29" s="74">
        <v>96.14</v>
      </c>
      <c r="I29" s="35" t="s">
        <v>27</v>
      </c>
      <c r="J29" s="9">
        <v>5800000000</v>
      </c>
      <c r="K29" s="74">
        <v>89.23</v>
      </c>
      <c r="L29" s="10">
        <v>0</v>
      </c>
      <c r="M29" s="74">
        <v>91.15</v>
      </c>
      <c r="N29" s="10">
        <v>0</v>
      </c>
      <c r="O29" s="74"/>
      <c r="P29" s="10"/>
      <c r="Q29" s="74">
        <f>AVERAGE(98.67,91.74,69.76)</f>
        <v>86.723333333333343</v>
      </c>
      <c r="R29" s="10"/>
      <c r="S29" s="74">
        <f>AVERAGE(99.99,92.41,69.93)</f>
        <v>87.443333333333328</v>
      </c>
      <c r="T29" s="10"/>
      <c r="U29" s="32">
        <v>0</v>
      </c>
      <c r="V29" s="10"/>
      <c r="W29" s="18">
        <f>Q29/K29*100</f>
        <v>97.190780380290647</v>
      </c>
      <c r="X29" s="235">
        <v>0</v>
      </c>
      <c r="Y29" s="56">
        <f>S29/M29*100</f>
        <v>95.933443042603756</v>
      </c>
      <c r="Z29" s="235">
        <v>0</v>
      </c>
      <c r="AA29" s="18"/>
      <c r="AB29" s="235"/>
      <c r="AC29" s="56">
        <f t="shared" si="6"/>
        <v>87.443333333333328</v>
      </c>
      <c r="AD29" s="18"/>
      <c r="AE29" s="56">
        <f t="shared" si="4"/>
        <v>90.954164066292208</v>
      </c>
      <c r="AF29" s="32" t="str">
        <f t="shared" si="5"/>
        <v>Tinggi</v>
      </c>
      <c r="AG29" s="18">
        <f t="shared" si="7"/>
        <v>0</v>
      </c>
      <c r="AH29" s="111"/>
      <c r="AK29" s="104">
        <f t="shared" si="1"/>
        <v>0</v>
      </c>
    </row>
    <row r="30" spans="1:40" ht="65.25" customHeight="1" x14ac:dyDescent="0.2">
      <c r="A30" s="60"/>
      <c r="B30" s="60"/>
      <c r="C30" s="94" t="s">
        <v>567</v>
      </c>
      <c r="D30" s="14" t="s">
        <v>764</v>
      </c>
      <c r="E30" s="32"/>
      <c r="F30" s="35"/>
      <c r="G30" s="3"/>
      <c r="H30" s="74">
        <v>12.5</v>
      </c>
      <c r="I30" s="35" t="s">
        <v>27</v>
      </c>
      <c r="J30" s="183">
        <f>45500488000*3</f>
        <v>136501464000</v>
      </c>
      <c r="K30" s="74"/>
      <c r="L30" s="180"/>
      <c r="M30" s="74"/>
      <c r="N30" s="180"/>
      <c r="O30" s="74">
        <v>6.87</v>
      </c>
      <c r="P30" s="180">
        <v>54391414275</v>
      </c>
      <c r="Q30" s="32"/>
      <c r="R30" s="180"/>
      <c r="S30" s="32"/>
      <c r="T30" s="180"/>
      <c r="U30" s="32">
        <v>1.25</v>
      </c>
      <c r="V30" s="180">
        <v>47457930074</v>
      </c>
      <c r="W30" s="18"/>
      <c r="X30" s="237"/>
      <c r="Y30" s="18"/>
      <c r="Z30" s="237"/>
      <c r="AA30" s="56">
        <f>U30/O30*100</f>
        <v>18.195050946142651</v>
      </c>
      <c r="AB30" s="237">
        <f>V30/P30*100</f>
        <v>87.252612763579407</v>
      </c>
      <c r="AC30" s="56">
        <f>U30</f>
        <v>1.25</v>
      </c>
      <c r="AD30" s="347">
        <f>V30</f>
        <v>47457930074</v>
      </c>
      <c r="AE30" s="18">
        <f t="shared" si="4"/>
        <v>10</v>
      </c>
      <c r="AF30" s="32" t="str">
        <f t="shared" si="5"/>
        <v>Sangat Rendah</v>
      </c>
      <c r="AG30" s="354">
        <f t="shared" si="7"/>
        <v>34.767341450638213</v>
      </c>
      <c r="AH30" s="111"/>
      <c r="AK30" s="104"/>
    </row>
    <row r="31" spans="1:40" ht="66.75" customHeight="1" x14ac:dyDescent="0.2">
      <c r="A31" s="60"/>
      <c r="B31" s="60"/>
      <c r="C31" s="25"/>
      <c r="D31" s="14" t="s">
        <v>766</v>
      </c>
      <c r="E31" s="32"/>
      <c r="F31" s="35"/>
      <c r="G31" s="4"/>
      <c r="H31" s="92">
        <v>100</v>
      </c>
      <c r="I31" s="35" t="s">
        <v>27</v>
      </c>
      <c r="J31" s="179"/>
      <c r="K31" s="74"/>
      <c r="L31" s="181"/>
      <c r="M31" s="74"/>
      <c r="N31" s="181"/>
      <c r="O31" s="74">
        <v>46.67</v>
      </c>
      <c r="P31" s="181"/>
      <c r="Q31" s="32"/>
      <c r="R31" s="181"/>
      <c r="S31" s="32"/>
      <c r="T31" s="181"/>
      <c r="U31" s="74">
        <f>7/15*100</f>
        <v>46.666666666666664</v>
      </c>
      <c r="V31" s="181"/>
      <c r="W31" s="18"/>
      <c r="X31" s="243"/>
      <c r="Y31" s="18"/>
      <c r="Z31" s="243"/>
      <c r="AA31" s="56">
        <f>U31/O31*100</f>
        <v>99.992857653024785</v>
      </c>
      <c r="AB31" s="243"/>
      <c r="AC31" s="56">
        <f t="shared" ref="AC31:AC37" si="8">U31</f>
        <v>46.666666666666664</v>
      </c>
      <c r="AD31" s="336"/>
      <c r="AE31" s="18">
        <f t="shared" si="4"/>
        <v>46.666666666666664</v>
      </c>
      <c r="AF31" s="32" t="str">
        <f t="shared" si="5"/>
        <v>Sangat Rendah</v>
      </c>
      <c r="AG31" s="336"/>
      <c r="AH31" s="111"/>
      <c r="AK31" s="104"/>
    </row>
    <row r="32" spans="1:40" ht="105" x14ac:dyDescent="0.2">
      <c r="A32" s="60"/>
      <c r="B32" s="60"/>
      <c r="C32" s="25"/>
      <c r="D32" s="14" t="s">
        <v>765</v>
      </c>
      <c r="E32" s="32"/>
      <c r="F32" s="35"/>
      <c r="G32" s="4"/>
      <c r="H32" s="92">
        <v>100</v>
      </c>
      <c r="I32" s="35" t="s">
        <v>27</v>
      </c>
      <c r="J32" s="179"/>
      <c r="K32" s="74"/>
      <c r="L32" s="181"/>
      <c r="M32" s="74"/>
      <c r="N32" s="181"/>
      <c r="O32" s="92">
        <v>100</v>
      </c>
      <c r="P32" s="181"/>
      <c r="Q32" s="32"/>
      <c r="R32" s="181"/>
      <c r="S32" s="32"/>
      <c r="T32" s="181"/>
      <c r="U32" s="32">
        <v>100</v>
      </c>
      <c r="V32" s="181"/>
      <c r="W32" s="18"/>
      <c r="X32" s="243"/>
      <c r="Y32" s="18"/>
      <c r="Z32" s="243"/>
      <c r="AA32" s="18">
        <f t="shared" ref="AA32:AA37" si="9">U32/O32*100</f>
        <v>100</v>
      </c>
      <c r="AB32" s="243"/>
      <c r="AC32" s="89">
        <f t="shared" si="8"/>
        <v>100</v>
      </c>
      <c r="AD32" s="336"/>
      <c r="AE32" s="18">
        <f t="shared" si="4"/>
        <v>100</v>
      </c>
      <c r="AF32" s="32" t="str">
        <f t="shared" si="5"/>
        <v>Sangat Tinggi</v>
      </c>
      <c r="AG32" s="336"/>
      <c r="AH32" s="111"/>
      <c r="AK32" s="104"/>
    </row>
    <row r="33" spans="1:37" ht="60" x14ac:dyDescent="0.2">
      <c r="A33" s="60"/>
      <c r="B33" s="60"/>
      <c r="C33" s="25"/>
      <c r="D33" s="14" t="s">
        <v>149</v>
      </c>
      <c r="E33" s="32"/>
      <c r="F33" s="35"/>
      <c r="G33" s="4"/>
      <c r="H33" s="92">
        <v>100</v>
      </c>
      <c r="I33" s="35" t="s">
        <v>27</v>
      </c>
      <c r="J33" s="179"/>
      <c r="K33" s="74"/>
      <c r="L33" s="181"/>
      <c r="M33" s="74"/>
      <c r="N33" s="181"/>
      <c r="O33" s="92">
        <v>100</v>
      </c>
      <c r="P33" s="181"/>
      <c r="Q33" s="32"/>
      <c r="R33" s="181"/>
      <c r="S33" s="32"/>
      <c r="T33" s="181"/>
      <c r="U33" s="32">
        <v>100</v>
      </c>
      <c r="V33" s="181"/>
      <c r="W33" s="18"/>
      <c r="X33" s="243"/>
      <c r="Y33" s="18"/>
      <c r="Z33" s="243"/>
      <c r="AA33" s="18">
        <f t="shared" si="9"/>
        <v>100</v>
      </c>
      <c r="AB33" s="243"/>
      <c r="AC33" s="89">
        <f t="shared" si="8"/>
        <v>100</v>
      </c>
      <c r="AD33" s="336"/>
      <c r="AE33" s="18">
        <f t="shared" si="4"/>
        <v>100</v>
      </c>
      <c r="AF33" s="32" t="str">
        <f t="shared" si="5"/>
        <v>Sangat Tinggi</v>
      </c>
      <c r="AG33" s="336"/>
      <c r="AH33" s="111"/>
      <c r="AK33" s="104"/>
    </row>
    <row r="34" spans="1:37" ht="60" x14ac:dyDescent="0.2">
      <c r="A34" s="60"/>
      <c r="B34" s="60"/>
      <c r="C34" s="25"/>
      <c r="D34" s="14" t="s">
        <v>767</v>
      </c>
      <c r="E34" s="32"/>
      <c r="F34" s="35"/>
      <c r="G34" s="4"/>
      <c r="H34" s="92">
        <v>15</v>
      </c>
      <c r="I34" s="35" t="s">
        <v>27</v>
      </c>
      <c r="J34" s="179"/>
      <c r="K34" s="74"/>
      <c r="L34" s="181"/>
      <c r="M34" s="74"/>
      <c r="N34" s="181"/>
      <c r="O34" s="74">
        <v>12.9</v>
      </c>
      <c r="P34" s="181"/>
      <c r="Q34" s="32"/>
      <c r="R34" s="181"/>
      <c r="S34" s="32"/>
      <c r="T34" s="181"/>
      <c r="U34" s="74">
        <f>28/242*100</f>
        <v>11.570247933884298</v>
      </c>
      <c r="V34" s="181"/>
      <c r="W34" s="18"/>
      <c r="X34" s="243"/>
      <c r="Y34" s="18"/>
      <c r="Z34" s="243"/>
      <c r="AA34" s="56">
        <f t="shared" si="9"/>
        <v>89.691844448715486</v>
      </c>
      <c r="AB34" s="243"/>
      <c r="AC34" s="56">
        <f t="shared" si="8"/>
        <v>11.570247933884298</v>
      </c>
      <c r="AD34" s="336"/>
      <c r="AE34" s="56">
        <f t="shared" si="4"/>
        <v>77.134986225895318</v>
      </c>
      <c r="AF34" s="32" t="str">
        <f t="shared" si="5"/>
        <v>Tinggi</v>
      </c>
      <c r="AG34" s="336"/>
      <c r="AH34" s="111"/>
      <c r="AK34" s="104"/>
    </row>
    <row r="35" spans="1:37" ht="60" x14ac:dyDescent="0.2">
      <c r="A35" s="60"/>
      <c r="B35" s="60"/>
      <c r="C35" s="25"/>
      <c r="D35" s="14" t="s">
        <v>152</v>
      </c>
      <c r="E35" s="32"/>
      <c r="F35" s="35"/>
      <c r="G35" s="4"/>
      <c r="H35" s="92">
        <v>100</v>
      </c>
      <c r="I35" s="35" t="s">
        <v>27</v>
      </c>
      <c r="J35" s="179"/>
      <c r="K35" s="74"/>
      <c r="L35" s="181"/>
      <c r="M35" s="74"/>
      <c r="N35" s="181"/>
      <c r="O35" s="92">
        <v>100</v>
      </c>
      <c r="P35" s="181"/>
      <c r="Q35" s="32"/>
      <c r="R35" s="181"/>
      <c r="S35" s="32"/>
      <c r="T35" s="181"/>
      <c r="U35" s="32">
        <v>94</v>
      </c>
      <c r="V35" s="181"/>
      <c r="W35" s="18"/>
      <c r="X35" s="243"/>
      <c r="Y35" s="18"/>
      <c r="Z35" s="243"/>
      <c r="AA35" s="18">
        <f t="shared" si="9"/>
        <v>94</v>
      </c>
      <c r="AB35" s="243"/>
      <c r="AC35" s="56">
        <f t="shared" si="8"/>
        <v>94</v>
      </c>
      <c r="AD35" s="336"/>
      <c r="AE35" s="18">
        <f t="shared" si="4"/>
        <v>94</v>
      </c>
      <c r="AF35" s="32" t="str">
        <f t="shared" si="5"/>
        <v>Sangat Tinggi</v>
      </c>
      <c r="AG35" s="336"/>
      <c r="AH35" s="111"/>
      <c r="AK35" s="104"/>
    </row>
    <row r="36" spans="1:37" ht="75" x14ac:dyDescent="0.2">
      <c r="A36" s="60"/>
      <c r="B36" s="60"/>
      <c r="C36" s="25"/>
      <c r="D36" s="14" t="s">
        <v>768</v>
      </c>
      <c r="E36" s="32"/>
      <c r="F36" s="35"/>
      <c r="G36" s="4"/>
      <c r="H36" s="92">
        <v>27</v>
      </c>
      <c r="I36" s="35" t="s">
        <v>27</v>
      </c>
      <c r="J36" s="179"/>
      <c r="K36" s="74"/>
      <c r="L36" s="181"/>
      <c r="M36" s="74"/>
      <c r="N36" s="181"/>
      <c r="O36" s="92">
        <v>40</v>
      </c>
      <c r="P36" s="181"/>
      <c r="Q36" s="32"/>
      <c r="R36" s="181"/>
      <c r="S36" s="32"/>
      <c r="T36" s="181"/>
      <c r="U36" s="74">
        <f>8/37*100</f>
        <v>21.621621621621621</v>
      </c>
      <c r="V36" s="181"/>
      <c r="W36" s="18"/>
      <c r="X36" s="243"/>
      <c r="Y36" s="18"/>
      <c r="Z36" s="243"/>
      <c r="AA36" s="56">
        <f>U36/O36*100</f>
        <v>54.054054054054056</v>
      </c>
      <c r="AB36" s="243"/>
      <c r="AC36" s="56">
        <f t="shared" si="8"/>
        <v>21.621621621621621</v>
      </c>
      <c r="AD36" s="336"/>
      <c r="AE36" s="18">
        <f t="shared" si="4"/>
        <v>80.08008008008008</v>
      </c>
      <c r="AF36" s="32" t="str">
        <f t="shared" si="5"/>
        <v>Tinggi</v>
      </c>
      <c r="AG36" s="336"/>
      <c r="AH36" s="111"/>
      <c r="AK36" s="104"/>
    </row>
    <row r="37" spans="1:37" ht="60" x14ac:dyDescent="0.2">
      <c r="A37" s="60"/>
      <c r="B37" s="60"/>
      <c r="C37" s="25"/>
      <c r="D37" s="14" t="s">
        <v>769</v>
      </c>
      <c r="E37" s="32"/>
      <c r="F37" s="35"/>
      <c r="G37" s="4"/>
      <c r="H37" s="92">
        <v>100</v>
      </c>
      <c r="I37" s="35" t="s">
        <v>27</v>
      </c>
      <c r="J37" s="179"/>
      <c r="K37" s="74"/>
      <c r="L37" s="181"/>
      <c r="M37" s="74"/>
      <c r="N37" s="181"/>
      <c r="O37" s="92">
        <v>90</v>
      </c>
      <c r="P37" s="181"/>
      <c r="Q37" s="32"/>
      <c r="R37" s="181"/>
      <c r="S37" s="32"/>
      <c r="T37" s="181"/>
      <c r="U37" s="74">
        <v>91.7</v>
      </c>
      <c r="V37" s="181"/>
      <c r="W37" s="18"/>
      <c r="X37" s="243"/>
      <c r="Y37" s="18"/>
      <c r="Z37" s="243"/>
      <c r="AA37" s="56">
        <f t="shared" si="9"/>
        <v>101.8888888888889</v>
      </c>
      <c r="AB37" s="243"/>
      <c r="AC37" s="56">
        <f t="shared" si="8"/>
        <v>91.7</v>
      </c>
      <c r="AD37" s="336"/>
      <c r="AE37" s="56">
        <f t="shared" si="4"/>
        <v>91.7</v>
      </c>
      <c r="AF37" s="32" t="str">
        <f t="shared" si="5"/>
        <v>Sangat Tinggi</v>
      </c>
      <c r="AG37" s="127"/>
      <c r="AH37" s="111"/>
      <c r="AK37" s="104"/>
    </row>
    <row r="38" spans="1:37" ht="60" x14ac:dyDescent="0.2">
      <c r="A38" s="15"/>
      <c r="B38" s="15"/>
      <c r="C38" s="212" t="s">
        <v>69</v>
      </c>
      <c r="D38" s="212" t="s">
        <v>157</v>
      </c>
      <c r="E38" s="32">
        <v>0</v>
      </c>
      <c r="F38" s="35" t="s">
        <v>27</v>
      </c>
      <c r="G38" s="8"/>
      <c r="H38" s="32">
        <v>20</v>
      </c>
      <c r="I38" s="35" t="s">
        <v>27</v>
      </c>
      <c r="J38" s="9">
        <v>510025000</v>
      </c>
      <c r="K38" s="32">
        <v>20</v>
      </c>
      <c r="L38" s="10">
        <v>502850000</v>
      </c>
      <c r="M38" s="32"/>
      <c r="N38" s="10"/>
      <c r="O38" s="32"/>
      <c r="P38" s="10"/>
      <c r="Q38" s="74">
        <v>28.27</v>
      </c>
      <c r="R38" s="59">
        <v>483538940</v>
      </c>
      <c r="S38" s="74"/>
      <c r="T38" s="24"/>
      <c r="U38" s="74"/>
      <c r="V38" s="24"/>
      <c r="W38" s="56">
        <f>Q38/K38*100</f>
        <v>141.35</v>
      </c>
      <c r="X38" s="235">
        <f>R38/L38*100</f>
        <v>96.159677836332904</v>
      </c>
      <c r="Y38" s="56"/>
      <c r="Z38" s="235"/>
      <c r="AA38" s="56"/>
      <c r="AB38" s="235"/>
      <c r="AC38" s="56">
        <f>Q38</f>
        <v>28.27</v>
      </c>
      <c r="AD38" s="348">
        <f>R38</f>
        <v>483538940</v>
      </c>
      <c r="AE38" s="18">
        <f t="shared" si="4"/>
        <v>141.35</v>
      </c>
      <c r="AF38" s="32" t="str">
        <f t="shared" si="5"/>
        <v>Sangat Tinggi</v>
      </c>
      <c r="AG38" s="56">
        <f t="shared" si="7"/>
        <v>94.80690946522229</v>
      </c>
      <c r="AH38" s="410" t="s">
        <v>280</v>
      </c>
      <c r="AK38" s="104">
        <f>R38</f>
        <v>483538940</v>
      </c>
    </row>
    <row r="39" spans="1:37" ht="90" x14ac:dyDescent="0.2">
      <c r="A39" s="16"/>
      <c r="B39" s="16"/>
      <c r="C39" s="94" t="s">
        <v>125</v>
      </c>
      <c r="D39" s="14" t="s">
        <v>158</v>
      </c>
      <c r="E39" s="74">
        <v>93.2</v>
      </c>
      <c r="F39" s="35" t="s">
        <v>27</v>
      </c>
      <c r="G39" s="3"/>
      <c r="H39" s="92">
        <v>100</v>
      </c>
      <c r="I39" s="35" t="s">
        <v>27</v>
      </c>
      <c r="J39" s="183">
        <v>2721725000</v>
      </c>
      <c r="K39" s="74">
        <v>93.2</v>
      </c>
      <c r="L39" s="180">
        <v>222536250</v>
      </c>
      <c r="M39" s="74">
        <v>94.11</v>
      </c>
      <c r="N39" s="180">
        <v>3796290000</v>
      </c>
      <c r="O39" s="74"/>
      <c r="P39" s="180"/>
      <c r="Q39" s="74">
        <v>95.27</v>
      </c>
      <c r="R39" s="208">
        <v>200486250</v>
      </c>
      <c r="S39" s="74">
        <f>140/148*100</f>
        <v>94.594594594594597</v>
      </c>
      <c r="T39" s="206">
        <v>3768775000</v>
      </c>
      <c r="U39" s="74"/>
      <c r="V39" s="206"/>
      <c r="W39" s="56">
        <f>Q39/K39*100</f>
        <v>102.22103004291844</v>
      </c>
      <c r="X39" s="237">
        <f>R39/L39*100</f>
        <v>90.091501946312107</v>
      </c>
      <c r="Y39" s="56">
        <f>S39/M39*100</f>
        <v>100.51492359429879</v>
      </c>
      <c r="Z39" s="237">
        <f>T39/N39*100</f>
        <v>99.275213432061307</v>
      </c>
      <c r="AA39" s="56"/>
      <c r="AB39" s="237"/>
      <c r="AC39" s="56">
        <f>S39</f>
        <v>94.594594594594597</v>
      </c>
      <c r="AD39" s="348">
        <f>R39+T39</f>
        <v>3969261250</v>
      </c>
      <c r="AE39" s="56">
        <f t="shared" si="4"/>
        <v>94.594594594594597</v>
      </c>
      <c r="AF39" s="32" t="str">
        <f t="shared" si="5"/>
        <v>Sangat Tinggi</v>
      </c>
      <c r="AG39" s="56">
        <f t="shared" si="7"/>
        <v>145.83623437342126</v>
      </c>
      <c r="AH39" s="111"/>
      <c r="AK39" s="104">
        <f>R39</f>
        <v>200486250</v>
      </c>
    </row>
    <row r="40" spans="1:37" ht="75" x14ac:dyDescent="0.2">
      <c r="A40" s="15"/>
      <c r="B40" s="15"/>
      <c r="C40" s="20"/>
      <c r="D40" s="14" t="s">
        <v>159</v>
      </c>
      <c r="E40" s="32">
        <v>27.39</v>
      </c>
      <c r="F40" s="35" t="s">
        <v>27</v>
      </c>
      <c r="G40" s="5"/>
      <c r="H40" s="74">
        <v>54.79</v>
      </c>
      <c r="I40" s="35" t="s">
        <v>27</v>
      </c>
      <c r="J40" s="49"/>
      <c r="K40" s="74">
        <v>27.39</v>
      </c>
      <c r="L40" s="182"/>
      <c r="M40" s="74">
        <v>34.24</v>
      </c>
      <c r="N40" s="182"/>
      <c r="O40" s="74"/>
      <c r="P40" s="182"/>
      <c r="Q40" s="32">
        <v>29.41</v>
      </c>
      <c r="R40" s="209"/>
      <c r="S40" s="32">
        <v>29.41</v>
      </c>
      <c r="T40" s="80"/>
      <c r="U40" s="32"/>
      <c r="V40" s="80"/>
      <c r="W40" s="56">
        <f>Q40/K40*100</f>
        <v>107.37495436290617</v>
      </c>
      <c r="X40" s="238"/>
      <c r="Y40" s="56">
        <f>S40/M40*100</f>
        <v>85.893691588785032</v>
      </c>
      <c r="Z40" s="238"/>
      <c r="AA40" s="56"/>
      <c r="AB40" s="238"/>
      <c r="AC40" s="56">
        <f>Q40</f>
        <v>29.41</v>
      </c>
      <c r="AD40" s="18"/>
      <c r="AE40" s="56">
        <f t="shared" si="4"/>
        <v>53.677678408468701</v>
      </c>
      <c r="AF40" s="32" t="str">
        <f t="shared" si="5"/>
        <v>Rendah</v>
      </c>
      <c r="AG40" s="348"/>
      <c r="AH40" s="111"/>
      <c r="AK40" s="104">
        <f>R40</f>
        <v>0</v>
      </c>
    </row>
    <row r="41" spans="1:37" ht="90" x14ac:dyDescent="0.2">
      <c r="A41" s="15"/>
      <c r="B41" s="15"/>
      <c r="C41" s="94" t="s">
        <v>568</v>
      </c>
      <c r="D41" s="14" t="s">
        <v>569</v>
      </c>
      <c r="E41" s="32"/>
      <c r="F41" s="35"/>
      <c r="G41" s="3"/>
      <c r="H41" s="74">
        <v>60.81</v>
      </c>
      <c r="I41" s="35" t="s">
        <v>27</v>
      </c>
      <c r="J41" s="183">
        <v>909356386</v>
      </c>
      <c r="K41" s="74"/>
      <c r="L41" s="180"/>
      <c r="M41" s="74"/>
      <c r="N41" s="180"/>
      <c r="O41" s="74">
        <v>47.3</v>
      </c>
      <c r="P41" s="180">
        <v>453297943</v>
      </c>
      <c r="Q41" s="32"/>
      <c r="R41" s="208"/>
      <c r="S41" s="32"/>
      <c r="T41" s="266"/>
      <c r="U41" s="74">
        <v>47.3</v>
      </c>
      <c r="V41" s="266">
        <v>417062218</v>
      </c>
      <c r="W41" s="56"/>
      <c r="X41" s="237"/>
      <c r="Y41" s="56"/>
      <c r="Z41" s="237"/>
      <c r="AA41" s="18">
        <f>U41/O41*100</f>
        <v>100</v>
      </c>
      <c r="AB41" s="237">
        <f>V41/P41*100</f>
        <v>92.006201316470566</v>
      </c>
      <c r="AC41" s="56">
        <f>U41</f>
        <v>47.3</v>
      </c>
      <c r="AD41" s="349">
        <f>V41</f>
        <v>417062218</v>
      </c>
      <c r="AE41" s="18">
        <f t="shared" si="4"/>
        <v>77.783259332346645</v>
      </c>
      <c r="AF41" s="32" t="str">
        <f t="shared" si="5"/>
        <v>Tinggi</v>
      </c>
      <c r="AG41" s="354">
        <f>AD41/J41*100</f>
        <v>45.863450724147661</v>
      </c>
      <c r="AH41" s="111"/>
      <c r="AK41" s="104"/>
    </row>
    <row r="42" spans="1:37" ht="45" x14ac:dyDescent="0.2">
      <c r="A42" s="15"/>
      <c r="B42" s="15"/>
      <c r="C42" s="20"/>
      <c r="D42" s="14" t="s">
        <v>570</v>
      </c>
      <c r="E42" s="32"/>
      <c r="F42" s="35"/>
      <c r="G42" s="5"/>
      <c r="H42" s="74">
        <v>89</v>
      </c>
      <c r="I42" s="35" t="s">
        <v>30</v>
      </c>
      <c r="J42" s="49"/>
      <c r="K42" s="74"/>
      <c r="L42" s="182"/>
      <c r="M42" s="74"/>
      <c r="N42" s="182"/>
      <c r="O42" s="92">
        <v>85</v>
      </c>
      <c r="P42" s="182"/>
      <c r="Q42" s="32"/>
      <c r="R42" s="209"/>
      <c r="S42" s="32"/>
      <c r="T42" s="80"/>
      <c r="U42" s="32">
        <v>84.92</v>
      </c>
      <c r="V42" s="80"/>
      <c r="W42" s="56"/>
      <c r="X42" s="238"/>
      <c r="Y42" s="56"/>
      <c r="Z42" s="238"/>
      <c r="AA42" s="56">
        <f>U42/O42*100</f>
        <v>99.905882352941177</v>
      </c>
      <c r="AB42" s="238"/>
      <c r="AC42" s="56">
        <f>U42</f>
        <v>84.92</v>
      </c>
      <c r="AD42" s="127"/>
      <c r="AE42" s="56">
        <f t="shared" si="4"/>
        <v>95.415730337078656</v>
      </c>
      <c r="AF42" s="32" t="str">
        <f t="shared" si="5"/>
        <v>Sangat Tinggi</v>
      </c>
      <c r="AG42" s="127"/>
      <c r="AH42" s="112"/>
      <c r="AK42" s="104"/>
    </row>
    <row r="43" spans="1:37" ht="78.75" x14ac:dyDescent="0.2">
      <c r="A43" s="66">
        <v>2</v>
      </c>
      <c r="B43" s="61" t="s">
        <v>92</v>
      </c>
      <c r="C43" s="14"/>
      <c r="D43" s="62" t="s">
        <v>267</v>
      </c>
      <c r="E43" s="219">
        <v>68.41</v>
      </c>
      <c r="F43" s="220" t="s">
        <v>509</v>
      </c>
      <c r="G43" s="224">
        <f>SUM(G44:G59)</f>
        <v>861429700</v>
      </c>
      <c r="H43" s="230">
        <v>67.87</v>
      </c>
      <c r="I43" s="220" t="s">
        <v>509</v>
      </c>
      <c r="J43" s="224">
        <f>SUM(J44:J59)</f>
        <v>504997853433</v>
      </c>
      <c r="K43" s="223">
        <v>66.05</v>
      </c>
      <c r="L43" s="224">
        <f>SUM(L44:L59)</f>
        <v>40599226985</v>
      </c>
      <c r="M43" s="223">
        <v>66.540000000000006</v>
      </c>
      <c r="N43" s="224">
        <f>SUM(N44:N59)</f>
        <v>71211903657</v>
      </c>
      <c r="O43" s="223">
        <v>67.040000000000006</v>
      </c>
      <c r="P43" s="224">
        <f>SUM(P44:P59)</f>
        <v>121044108083</v>
      </c>
      <c r="Q43" s="219">
        <v>65.819999999999993</v>
      </c>
      <c r="R43" s="224">
        <f>SUM(R44:R59)</f>
        <v>36077565238</v>
      </c>
      <c r="S43" s="223">
        <v>65.97</v>
      </c>
      <c r="T43" s="224">
        <f>SUM(T44:T59)</f>
        <v>65578321695</v>
      </c>
      <c r="U43" s="223">
        <v>66.12</v>
      </c>
      <c r="V43" s="224">
        <f>SUM(V44:V59)</f>
        <v>108370446946</v>
      </c>
      <c r="W43" s="234">
        <f t="shared" ref="W43:AB43" si="10">Q43/K43*100</f>
        <v>99.651778955336852</v>
      </c>
      <c r="X43" s="240">
        <f t="shared" si="10"/>
        <v>88.862690049072611</v>
      </c>
      <c r="Y43" s="234">
        <f t="shared" si="10"/>
        <v>99.143372407574375</v>
      </c>
      <c r="Z43" s="240">
        <f>T43/N43*100</f>
        <v>92.088988395627268</v>
      </c>
      <c r="AA43" s="234">
        <f>U43/O43*100</f>
        <v>98.627684964200483</v>
      </c>
      <c r="AB43" s="240">
        <f t="shared" si="10"/>
        <v>89.529716615112193</v>
      </c>
      <c r="AC43" s="223">
        <f>U43</f>
        <v>66.12</v>
      </c>
      <c r="AD43" s="308">
        <f>R43+T43+V43</f>
        <v>210026333879</v>
      </c>
      <c r="AE43" s="234">
        <f>AC43/H43*100</f>
        <v>97.421541181670847</v>
      </c>
      <c r="AF43" s="219" t="str">
        <f>IF(AE43&gt;=91,"Sangat Tinggi",IF(AE43&gt;=76,"Tinggi",IF(AE43&gt;=66,"Sedang",IF(AE43&gt;=51,"Rendah",IF(AE43&lt;=50,"Sangat Rendah")))))</f>
        <v>Sangat Tinggi</v>
      </c>
      <c r="AG43" s="234">
        <f>AD43/J43*100</f>
        <v>41.58954982704001</v>
      </c>
      <c r="AH43" s="410" t="s">
        <v>281</v>
      </c>
      <c r="AK43" s="104">
        <f t="shared" ref="AK43:AK51" si="11">R43</f>
        <v>36077565238</v>
      </c>
    </row>
    <row r="44" spans="1:37" ht="165" x14ac:dyDescent="0.2">
      <c r="A44" s="60"/>
      <c r="B44" s="60"/>
      <c r="C44" s="14" t="s">
        <v>90</v>
      </c>
      <c r="D44" s="14" t="s">
        <v>137</v>
      </c>
      <c r="E44" s="74">
        <v>61.55</v>
      </c>
      <c r="F44" s="18" t="s">
        <v>27</v>
      </c>
      <c r="G44" s="9">
        <v>242950000</v>
      </c>
      <c r="H44" s="73">
        <v>84</v>
      </c>
      <c r="I44" s="18" t="s">
        <v>27</v>
      </c>
      <c r="J44" s="9">
        <v>314051000</v>
      </c>
      <c r="K44" s="74">
        <v>79</v>
      </c>
      <c r="L44" s="10">
        <v>314051000</v>
      </c>
      <c r="M44" s="74"/>
      <c r="N44" s="10"/>
      <c r="O44" s="74"/>
      <c r="P44" s="10"/>
      <c r="Q44" s="74">
        <v>82.82</v>
      </c>
      <c r="R44" s="59">
        <v>303249980</v>
      </c>
      <c r="S44" s="74"/>
      <c r="T44" s="59"/>
      <c r="U44" s="74"/>
      <c r="V44" s="59"/>
      <c r="W44" s="56">
        <f t="shared" ref="W44:X46" si="12">Q44/K44*100</f>
        <v>104.83544303797467</v>
      </c>
      <c r="X44" s="235">
        <f t="shared" si="12"/>
        <v>96.560743318760331</v>
      </c>
      <c r="Y44" s="56"/>
      <c r="Z44" s="235"/>
      <c r="AA44" s="56"/>
      <c r="AB44" s="235"/>
      <c r="AC44" s="74">
        <f>Q44+S44</f>
        <v>82.82</v>
      </c>
      <c r="AD44" s="274">
        <f>R44+T44</f>
        <v>303249980</v>
      </c>
      <c r="AE44" s="56">
        <f>AC44/H44*100</f>
        <v>98.595238095238088</v>
      </c>
      <c r="AF44" s="32" t="str">
        <f>IF(AE44&gt;=91,"Sangat Tinggi",IF(AE44&gt;=76,"Tinggi",IF(AE44&gt;=66,"Sedang",IF(AE44&gt;=51,"Rendah",IF(AE44&lt;=50,"Sangat Rendah")))))</f>
        <v>Sangat Tinggi</v>
      </c>
      <c r="AG44" s="56">
        <f>AD44/J44*100</f>
        <v>96.560743318760331</v>
      </c>
      <c r="AH44" s="111"/>
      <c r="AK44" s="104">
        <f t="shared" si="11"/>
        <v>303249980</v>
      </c>
    </row>
    <row r="45" spans="1:37" ht="165" x14ac:dyDescent="0.2">
      <c r="A45" s="13"/>
      <c r="B45" s="13"/>
      <c r="C45" s="14" t="s">
        <v>161</v>
      </c>
      <c r="D45" s="14" t="s">
        <v>137</v>
      </c>
      <c r="E45" s="32">
        <v>61.55</v>
      </c>
      <c r="F45" s="18" t="s">
        <v>27</v>
      </c>
      <c r="G45" s="9">
        <v>0</v>
      </c>
      <c r="H45" s="74">
        <v>84</v>
      </c>
      <c r="I45" s="18" t="s">
        <v>27</v>
      </c>
      <c r="J45" s="9">
        <v>10036204000</v>
      </c>
      <c r="K45" s="74">
        <v>79</v>
      </c>
      <c r="L45" s="10">
        <v>2195000000</v>
      </c>
      <c r="M45" s="74">
        <v>81</v>
      </c>
      <c r="N45" s="10">
        <v>828424000</v>
      </c>
      <c r="O45" s="74"/>
      <c r="P45" s="10"/>
      <c r="Q45" s="90">
        <v>82.82</v>
      </c>
      <c r="R45" s="59">
        <v>41804900</v>
      </c>
      <c r="S45" s="18">
        <v>76.37</v>
      </c>
      <c r="T45" s="59">
        <v>293691000</v>
      </c>
      <c r="U45" s="18"/>
      <c r="V45" s="59"/>
      <c r="W45" s="56">
        <f t="shared" si="12"/>
        <v>104.83544303797467</v>
      </c>
      <c r="X45" s="235">
        <f t="shared" si="12"/>
        <v>1.9045512528473802</v>
      </c>
      <c r="Y45" s="56">
        <f>S45/M45*100</f>
        <v>94.283950617283949</v>
      </c>
      <c r="Z45" s="235">
        <f>T45/N45*100</f>
        <v>35.451773487972346</v>
      </c>
      <c r="AA45" s="56"/>
      <c r="AB45" s="235"/>
      <c r="AC45" s="74">
        <f>S45</f>
        <v>76.37</v>
      </c>
      <c r="AD45" s="274">
        <f>R45+T45</f>
        <v>335495900</v>
      </c>
      <c r="AE45" s="56">
        <f t="shared" ref="AE45:AE81" si="13">AC45/H45*100</f>
        <v>90.916666666666671</v>
      </c>
      <c r="AF45" s="32" t="str">
        <f t="shared" ref="AF45:AF81" si="14">IF(AE45&gt;=91,"Sangat Tinggi",IF(AE45&gt;=76,"Tinggi",IF(AE45&gt;=66,"Sedang",IF(AE45&gt;=51,"Rendah",IF(AE45&lt;=50,"Sangat Rendah")))))</f>
        <v>Tinggi</v>
      </c>
      <c r="AG45" s="56">
        <f t="shared" ref="AG45:AG79" si="15">AD45/J45*100</f>
        <v>3.3428565222468571</v>
      </c>
      <c r="AH45" s="411"/>
      <c r="AK45" s="104">
        <f t="shared" si="11"/>
        <v>41804900</v>
      </c>
    </row>
    <row r="46" spans="1:37" ht="90" x14ac:dyDescent="0.2">
      <c r="A46" s="60"/>
      <c r="B46" s="60"/>
      <c r="C46" s="94" t="s">
        <v>88</v>
      </c>
      <c r="D46" s="14" t="s">
        <v>135</v>
      </c>
      <c r="E46" s="74">
        <v>77.083333333333343</v>
      </c>
      <c r="F46" s="18" t="s">
        <v>27</v>
      </c>
      <c r="G46" s="206">
        <v>0</v>
      </c>
      <c r="H46" s="74">
        <v>89</v>
      </c>
      <c r="I46" s="18" t="s">
        <v>27</v>
      </c>
      <c r="J46" s="183">
        <v>7200000000</v>
      </c>
      <c r="K46" s="74">
        <v>80</v>
      </c>
      <c r="L46" s="206">
        <v>1480290735</v>
      </c>
      <c r="M46" s="74">
        <v>83</v>
      </c>
      <c r="N46" s="206">
        <v>4914240000</v>
      </c>
      <c r="O46" s="74"/>
      <c r="P46" s="206"/>
      <c r="Q46" s="74">
        <f>111/144*100</f>
        <v>77.083333333333343</v>
      </c>
      <c r="R46" s="208">
        <v>1316229448</v>
      </c>
      <c r="S46" s="74">
        <f>113/144*100</f>
        <v>78.472222222222214</v>
      </c>
      <c r="T46" s="208">
        <v>4498747419</v>
      </c>
      <c r="U46" s="74"/>
      <c r="V46" s="208"/>
      <c r="W46" s="56">
        <f t="shared" si="12"/>
        <v>96.354166666666671</v>
      </c>
      <c r="X46" s="237">
        <f t="shared" si="12"/>
        <v>88.916955087204542</v>
      </c>
      <c r="Y46" s="56">
        <f>S46/M46*100</f>
        <v>94.544846050870134</v>
      </c>
      <c r="Z46" s="237">
        <f>T46/N46*100</f>
        <v>91.545130457608906</v>
      </c>
      <c r="AA46" s="56"/>
      <c r="AB46" s="237"/>
      <c r="AC46" s="74">
        <f>S46</f>
        <v>78.472222222222214</v>
      </c>
      <c r="AD46" s="193">
        <f>R46+T46</f>
        <v>5814976867</v>
      </c>
      <c r="AE46" s="56">
        <f t="shared" si="13"/>
        <v>88.171036204744055</v>
      </c>
      <c r="AF46" s="32" t="str">
        <f t="shared" si="14"/>
        <v>Tinggi</v>
      </c>
      <c r="AG46" s="354">
        <f t="shared" si="15"/>
        <v>80.76356759722222</v>
      </c>
      <c r="AH46" s="111"/>
      <c r="AK46" s="104">
        <f t="shared" si="11"/>
        <v>1316229448</v>
      </c>
    </row>
    <row r="47" spans="1:37" ht="60" x14ac:dyDescent="0.2">
      <c r="A47" s="60"/>
      <c r="B47" s="60"/>
      <c r="C47" s="20"/>
      <c r="D47" s="14" t="s">
        <v>160</v>
      </c>
      <c r="E47" s="32">
        <v>17.64</v>
      </c>
      <c r="F47" s="18" t="s">
        <v>27</v>
      </c>
      <c r="G47" s="207"/>
      <c r="H47" s="74">
        <v>24.785510009532889</v>
      </c>
      <c r="I47" s="18" t="s">
        <v>27</v>
      </c>
      <c r="J47" s="49"/>
      <c r="K47" s="74">
        <v>20.495710200190658</v>
      </c>
      <c r="L47" s="182"/>
      <c r="M47" s="74">
        <v>21.45</v>
      </c>
      <c r="N47" s="182"/>
      <c r="O47" s="74"/>
      <c r="P47" s="182"/>
      <c r="Q47" s="74">
        <f>224/1049*100</f>
        <v>21.353670162059103</v>
      </c>
      <c r="R47" s="209"/>
      <c r="S47" s="74">
        <f>285/1049*100</f>
        <v>27.168732125834126</v>
      </c>
      <c r="T47" s="209"/>
      <c r="U47" s="74"/>
      <c r="V47" s="209"/>
      <c r="W47" s="56">
        <f>Q47/K47*100</f>
        <v>104.18604651162791</v>
      </c>
      <c r="X47" s="238"/>
      <c r="Y47" s="56">
        <f>S47/M47*100</f>
        <v>126.66075583139454</v>
      </c>
      <c r="Z47" s="238"/>
      <c r="AA47" s="56"/>
      <c r="AB47" s="238"/>
      <c r="AC47" s="74">
        <f>S47</f>
        <v>27.168732125834126</v>
      </c>
      <c r="AD47" s="274"/>
      <c r="AE47" s="56">
        <f t="shared" si="13"/>
        <v>109.6153846153846</v>
      </c>
      <c r="AF47" s="32" t="str">
        <f t="shared" si="14"/>
        <v>Sangat Tinggi</v>
      </c>
      <c r="AG47" s="77"/>
      <c r="AH47" s="111"/>
      <c r="AK47" s="104">
        <f t="shared" si="11"/>
        <v>0</v>
      </c>
    </row>
    <row r="48" spans="1:37" ht="75" x14ac:dyDescent="0.2">
      <c r="A48" s="13"/>
      <c r="B48" s="13"/>
      <c r="C48" s="14" t="s">
        <v>43</v>
      </c>
      <c r="D48" s="14" t="s">
        <v>134</v>
      </c>
      <c r="E48" s="32">
        <v>100</v>
      </c>
      <c r="F48" s="18" t="s">
        <v>27</v>
      </c>
      <c r="G48" s="24">
        <v>0</v>
      </c>
      <c r="H48" s="32">
        <v>100</v>
      </c>
      <c r="I48" s="18" t="s">
        <v>27</v>
      </c>
      <c r="J48" s="24">
        <v>151633072000</v>
      </c>
      <c r="K48" s="32">
        <v>100</v>
      </c>
      <c r="L48" s="10">
        <v>31643791000</v>
      </c>
      <c r="M48" s="32">
        <v>100</v>
      </c>
      <c r="N48" s="10">
        <v>48674000000</v>
      </c>
      <c r="O48" s="32"/>
      <c r="P48" s="10"/>
      <c r="Q48" s="32">
        <v>100</v>
      </c>
      <c r="R48" s="59">
        <v>31607222699</v>
      </c>
      <c r="S48" s="32">
        <v>100</v>
      </c>
      <c r="T48" s="59">
        <v>47199934951</v>
      </c>
      <c r="U48" s="32"/>
      <c r="V48" s="59"/>
      <c r="W48" s="56">
        <f>Q48/K48*100</f>
        <v>100</v>
      </c>
      <c r="X48" s="235">
        <f>R48/L48*100</f>
        <v>99.884437673728783</v>
      </c>
      <c r="Y48" s="89">
        <f>S48/M48*100</f>
        <v>100</v>
      </c>
      <c r="Z48" s="235">
        <f>T48/N48*100</f>
        <v>96.971555555327285</v>
      </c>
      <c r="AA48" s="89"/>
      <c r="AB48" s="235"/>
      <c r="AC48" s="92">
        <f>S48</f>
        <v>100</v>
      </c>
      <c r="AD48" s="274">
        <f>R48+T48</f>
        <v>78807157650</v>
      </c>
      <c r="AE48" s="89">
        <f t="shared" si="13"/>
        <v>100</v>
      </c>
      <c r="AF48" s="32" t="str">
        <f t="shared" si="14"/>
        <v>Sangat Tinggi</v>
      </c>
      <c r="AG48" s="56">
        <f t="shared" si="15"/>
        <v>51.972275316033958</v>
      </c>
      <c r="AH48" s="111"/>
      <c r="AK48" s="104">
        <f t="shared" si="11"/>
        <v>31607222699</v>
      </c>
    </row>
    <row r="49" spans="1:37" ht="75" x14ac:dyDescent="0.2">
      <c r="A49" s="60"/>
      <c r="B49" s="60"/>
      <c r="C49" s="14" t="s">
        <v>133</v>
      </c>
      <c r="D49" s="14" t="s">
        <v>136</v>
      </c>
      <c r="E49" s="32">
        <v>17.190000000000001</v>
      </c>
      <c r="F49" s="18" t="s">
        <v>27</v>
      </c>
      <c r="G49" s="24">
        <v>260252200</v>
      </c>
      <c r="H49" s="92">
        <v>100</v>
      </c>
      <c r="I49" s="18" t="s">
        <v>27</v>
      </c>
      <c r="J49" s="24">
        <v>581162500</v>
      </c>
      <c r="K49" s="74">
        <v>20.64</v>
      </c>
      <c r="L49" s="81">
        <v>116232500</v>
      </c>
      <c r="M49" s="74"/>
      <c r="N49" s="81"/>
      <c r="O49" s="74"/>
      <c r="P49" s="81"/>
      <c r="Q49" s="74">
        <v>22.17</v>
      </c>
      <c r="R49" s="91">
        <v>95711000</v>
      </c>
      <c r="S49" s="74"/>
      <c r="T49" s="91"/>
      <c r="U49" s="74"/>
      <c r="V49" s="91"/>
      <c r="W49" s="56">
        <f>Q49/K49*100</f>
        <v>107.41279069767442</v>
      </c>
      <c r="X49" s="235">
        <f>R49/L49*100</f>
        <v>82.344438947798594</v>
      </c>
      <c r="Y49" s="56"/>
      <c r="Z49" s="235"/>
      <c r="AA49" s="56"/>
      <c r="AB49" s="235"/>
      <c r="AC49" s="74">
        <f>Q49</f>
        <v>22.17</v>
      </c>
      <c r="AD49" s="274">
        <f>R49+T49</f>
        <v>95711000</v>
      </c>
      <c r="AE49" s="56">
        <f>AC49/H49*100</f>
        <v>22.17</v>
      </c>
      <c r="AF49" s="32" t="str">
        <f t="shared" si="14"/>
        <v>Sangat Rendah</v>
      </c>
      <c r="AG49" s="56">
        <f t="shared" si="15"/>
        <v>16.468887789559719</v>
      </c>
      <c r="AH49" s="111"/>
      <c r="AK49" s="104">
        <f t="shared" si="11"/>
        <v>95711000</v>
      </c>
    </row>
    <row r="50" spans="1:37" ht="135" x14ac:dyDescent="0.2">
      <c r="A50" s="60"/>
      <c r="B50" s="60"/>
      <c r="C50" s="94" t="s">
        <v>89</v>
      </c>
      <c r="D50" s="14" t="s">
        <v>139</v>
      </c>
      <c r="E50" s="74">
        <v>60.95</v>
      </c>
      <c r="F50" s="18" t="s">
        <v>27</v>
      </c>
      <c r="G50" s="206">
        <v>358227500</v>
      </c>
      <c r="H50" s="74">
        <v>60.67</v>
      </c>
      <c r="I50" s="18" t="s">
        <v>27</v>
      </c>
      <c r="J50" s="206">
        <v>12657334257</v>
      </c>
      <c r="K50" s="74">
        <v>48.52</v>
      </c>
      <c r="L50" s="180">
        <v>265140600</v>
      </c>
      <c r="M50" s="74">
        <v>52.38</v>
      </c>
      <c r="N50" s="180">
        <v>12392193657</v>
      </c>
      <c r="O50" s="74"/>
      <c r="P50" s="180"/>
      <c r="Q50" s="74">
        <f>AVERAGE(56.25,53.29,121.05,141.87,61.41,110.72)</f>
        <v>90.765000000000001</v>
      </c>
      <c r="R50" s="208">
        <v>157403800</v>
      </c>
      <c r="S50" s="32">
        <v>75.209999999999994</v>
      </c>
      <c r="T50" s="208">
        <v>10202810360</v>
      </c>
      <c r="U50" s="32"/>
      <c r="V50" s="208"/>
      <c r="W50" s="56">
        <f>Q50/K50*100</f>
        <v>187.06718878812859</v>
      </c>
      <c r="X50" s="237">
        <f>R50/L50*100</f>
        <v>59.366162707635119</v>
      </c>
      <c r="Y50" s="56">
        <f>S50/M50*100</f>
        <v>143.58533791523479</v>
      </c>
      <c r="Z50" s="237">
        <f>T50/N50*100</f>
        <v>82.332560661983536</v>
      </c>
      <c r="AA50" s="56"/>
      <c r="AB50" s="237"/>
      <c r="AC50" s="74">
        <f>S50</f>
        <v>75.209999999999994</v>
      </c>
      <c r="AD50" s="193">
        <f>R50+T50</f>
        <v>10360214160</v>
      </c>
      <c r="AE50" s="56">
        <f>AC50/H50*100</f>
        <v>123.96571616944124</v>
      </c>
      <c r="AF50" s="32" t="str">
        <f t="shared" si="14"/>
        <v>Sangat Tinggi</v>
      </c>
      <c r="AG50" s="354">
        <f t="shared" si="15"/>
        <v>81.851470061876554</v>
      </c>
      <c r="AH50" s="111"/>
      <c r="AK50" s="104">
        <f t="shared" si="11"/>
        <v>157403800</v>
      </c>
    </row>
    <row r="51" spans="1:37" ht="105" x14ac:dyDescent="0.2">
      <c r="A51" s="60"/>
      <c r="B51" s="60"/>
      <c r="C51" s="20"/>
      <c r="D51" s="14" t="s">
        <v>140</v>
      </c>
      <c r="E51" s="74">
        <v>20.059999999999999</v>
      </c>
      <c r="F51" s="18" t="s">
        <v>27</v>
      </c>
      <c r="G51" s="207"/>
      <c r="H51" s="74">
        <v>65.97</v>
      </c>
      <c r="I51" s="18" t="s">
        <v>27</v>
      </c>
      <c r="J51" s="207"/>
      <c r="K51" s="74">
        <v>55.33</v>
      </c>
      <c r="L51" s="182"/>
      <c r="M51" s="74">
        <v>57.21</v>
      </c>
      <c r="N51" s="182"/>
      <c r="O51" s="74"/>
      <c r="P51" s="182"/>
      <c r="Q51" s="74">
        <f>AVERAGE(87.63,74.29,42,131.6,35.86)</f>
        <v>74.275999999999996</v>
      </c>
      <c r="R51" s="209"/>
      <c r="S51" s="32">
        <v>26.36</v>
      </c>
      <c r="T51" s="209"/>
      <c r="U51" s="32"/>
      <c r="V51" s="209"/>
      <c r="W51" s="56">
        <f>Q51/K51*100</f>
        <v>134.24182179649375</v>
      </c>
      <c r="X51" s="238"/>
      <c r="Y51" s="56">
        <f>S51/M51*100</f>
        <v>46.075860863485403</v>
      </c>
      <c r="Z51" s="238"/>
      <c r="AA51" s="56"/>
      <c r="AB51" s="238"/>
      <c r="AC51" s="74">
        <f>S51</f>
        <v>26.36</v>
      </c>
      <c r="AD51" s="274"/>
      <c r="AE51" s="56">
        <f t="shared" si="13"/>
        <v>39.957556465059874</v>
      </c>
      <c r="AF51" s="32" t="str">
        <f t="shared" si="14"/>
        <v>Sangat Rendah</v>
      </c>
      <c r="AG51" s="77"/>
      <c r="AH51" s="111"/>
      <c r="AK51" s="104">
        <f t="shared" si="11"/>
        <v>0</v>
      </c>
    </row>
    <row r="52" spans="1:37" ht="128.25" customHeight="1" x14ac:dyDescent="0.2">
      <c r="A52" s="60"/>
      <c r="B52" s="60"/>
      <c r="C52" s="94" t="s">
        <v>571</v>
      </c>
      <c r="D52" s="14" t="s">
        <v>573</v>
      </c>
      <c r="E52" s="74"/>
      <c r="F52" s="18"/>
      <c r="G52" s="206"/>
      <c r="H52" s="92">
        <v>100</v>
      </c>
      <c r="I52" s="18" t="s">
        <v>27</v>
      </c>
      <c r="J52" s="206">
        <f>87884251517+(87072324017*2)</f>
        <v>262028899551</v>
      </c>
      <c r="K52" s="74"/>
      <c r="L52" s="180"/>
      <c r="M52" s="74"/>
      <c r="N52" s="180"/>
      <c r="O52" s="92">
        <v>100</v>
      </c>
      <c r="P52" s="181">
        <v>98051200575</v>
      </c>
      <c r="Q52" s="74"/>
      <c r="R52" s="208"/>
      <c r="S52" s="32"/>
      <c r="T52" s="208"/>
      <c r="U52" s="32">
        <v>100</v>
      </c>
      <c r="V52" s="337">
        <v>89148607382</v>
      </c>
      <c r="W52" s="56"/>
      <c r="X52" s="237"/>
      <c r="Y52" s="56"/>
      <c r="Z52" s="237"/>
      <c r="AA52" s="89">
        <f>U52/O52*100</f>
        <v>100</v>
      </c>
      <c r="AB52" s="243">
        <f>V52/P52*100</f>
        <v>90.92046487876469</v>
      </c>
      <c r="AC52" s="92">
        <f>U52</f>
        <v>100</v>
      </c>
      <c r="AD52" s="311">
        <f>V52</f>
        <v>89148607382</v>
      </c>
      <c r="AE52" s="89">
        <f t="shared" si="13"/>
        <v>100</v>
      </c>
      <c r="AF52" s="32" t="str">
        <f t="shared" si="14"/>
        <v>Sangat Tinggi</v>
      </c>
      <c r="AG52" s="354">
        <f t="shared" si="15"/>
        <v>34.022433225785676</v>
      </c>
      <c r="AH52" s="111"/>
      <c r="AK52" s="104"/>
    </row>
    <row r="53" spans="1:37" ht="111.75" customHeight="1" x14ac:dyDescent="0.2">
      <c r="A53" s="60"/>
      <c r="B53" s="60"/>
      <c r="C53" s="25"/>
      <c r="D53" s="14" t="s">
        <v>770</v>
      </c>
      <c r="E53" s="74"/>
      <c r="F53" s="18"/>
      <c r="G53" s="250"/>
      <c r="H53" s="92">
        <v>100</v>
      </c>
      <c r="I53" s="18" t="s">
        <v>27</v>
      </c>
      <c r="J53" s="250"/>
      <c r="K53" s="74"/>
      <c r="L53" s="181"/>
      <c r="M53" s="74"/>
      <c r="N53" s="181"/>
      <c r="O53" s="92">
        <v>100</v>
      </c>
      <c r="P53" s="181"/>
      <c r="Q53" s="74"/>
      <c r="R53" s="337"/>
      <c r="S53" s="32"/>
      <c r="T53" s="337"/>
      <c r="U53" s="32">
        <v>100</v>
      </c>
      <c r="V53" s="337"/>
      <c r="W53" s="56"/>
      <c r="X53" s="243"/>
      <c r="Y53" s="56"/>
      <c r="Z53" s="243"/>
      <c r="AA53" s="89">
        <v>100</v>
      </c>
      <c r="AB53" s="243"/>
      <c r="AC53" s="92">
        <v>100</v>
      </c>
      <c r="AD53" s="311"/>
      <c r="AE53" s="89">
        <f t="shared" si="13"/>
        <v>100</v>
      </c>
      <c r="AF53" s="32" t="str">
        <f t="shared" si="14"/>
        <v>Sangat Tinggi</v>
      </c>
      <c r="AG53" s="404"/>
      <c r="AH53" s="111"/>
      <c r="AK53" s="104"/>
    </row>
    <row r="54" spans="1:37" ht="75" x14ac:dyDescent="0.2">
      <c r="A54" s="60"/>
      <c r="B54" s="60"/>
      <c r="C54" s="25"/>
      <c r="D54" s="14" t="s">
        <v>572</v>
      </c>
      <c r="E54" s="74"/>
      <c r="F54" s="18"/>
      <c r="G54" s="250"/>
      <c r="H54" s="74">
        <v>88.18</v>
      </c>
      <c r="I54" s="18" t="s">
        <v>27</v>
      </c>
      <c r="J54" s="250"/>
      <c r="K54" s="74"/>
      <c r="L54" s="181"/>
      <c r="M54" s="74"/>
      <c r="N54" s="181"/>
      <c r="O54" s="74">
        <f>160/203*100</f>
        <v>78.817733990147786</v>
      </c>
      <c r="P54" s="181"/>
      <c r="Q54" s="74"/>
      <c r="R54" s="337"/>
      <c r="S54" s="32"/>
      <c r="T54" s="337"/>
      <c r="U54" s="74">
        <f>160/203*100</f>
        <v>78.817733990147786</v>
      </c>
      <c r="V54" s="337"/>
      <c r="W54" s="56"/>
      <c r="X54" s="243"/>
      <c r="Y54" s="56"/>
      <c r="Z54" s="243"/>
      <c r="AA54" s="89">
        <f>U54/O54*100</f>
        <v>100</v>
      </c>
      <c r="AB54" s="243"/>
      <c r="AC54" s="74">
        <f t="shared" ref="AC54:AC59" si="16">U54</f>
        <v>78.817733990147786</v>
      </c>
      <c r="AD54" s="311"/>
      <c r="AE54" s="56">
        <f t="shared" si="13"/>
        <v>89.382778396629377</v>
      </c>
      <c r="AF54" s="32" t="str">
        <f t="shared" si="14"/>
        <v>Tinggi</v>
      </c>
      <c r="AG54" s="404"/>
      <c r="AH54" s="111"/>
      <c r="AK54" s="104"/>
    </row>
    <row r="55" spans="1:37" ht="45" x14ac:dyDescent="0.2">
      <c r="A55" s="60"/>
      <c r="B55" s="60"/>
      <c r="C55" s="20"/>
      <c r="D55" s="14" t="s">
        <v>772</v>
      </c>
      <c r="E55" s="74"/>
      <c r="F55" s="18"/>
      <c r="G55" s="207"/>
      <c r="H55" s="92">
        <v>100</v>
      </c>
      <c r="I55" s="18" t="s">
        <v>25</v>
      </c>
      <c r="J55" s="207"/>
      <c r="K55" s="74"/>
      <c r="L55" s="182"/>
      <c r="M55" s="74"/>
      <c r="N55" s="182"/>
      <c r="O55" s="92">
        <v>82</v>
      </c>
      <c r="P55" s="182"/>
      <c r="Q55" s="74"/>
      <c r="R55" s="209"/>
      <c r="S55" s="32"/>
      <c r="T55" s="209"/>
      <c r="U55" s="32">
        <v>86.36</v>
      </c>
      <c r="V55" s="209"/>
      <c r="W55" s="56"/>
      <c r="X55" s="238"/>
      <c r="Y55" s="56"/>
      <c r="Z55" s="238"/>
      <c r="AA55" s="56">
        <f>U55/O55*100</f>
        <v>105.31707317073172</v>
      </c>
      <c r="AB55" s="238"/>
      <c r="AC55" s="74">
        <f t="shared" si="16"/>
        <v>86.36</v>
      </c>
      <c r="AD55" s="274"/>
      <c r="AE55" s="56">
        <f t="shared" si="13"/>
        <v>86.36</v>
      </c>
      <c r="AF55" s="32" t="str">
        <f t="shared" si="14"/>
        <v>Tinggi</v>
      </c>
      <c r="AG55" s="77"/>
      <c r="AH55" s="111"/>
      <c r="AK55" s="104"/>
    </row>
    <row r="56" spans="1:37" ht="105" x14ac:dyDescent="0.2">
      <c r="A56" s="60"/>
      <c r="B56" s="60"/>
      <c r="C56" s="94" t="s">
        <v>574</v>
      </c>
      <c r="D56" s="94" t="s">
        <v>575</v>
      </c>
      <c r="E56" s="352"/>
      <c r="F56" s="122"/>
      <c r="G56" s="206"/>
      <c r="H56" s="352">
        <v>71.430000000000007</v>
      </c>
      <c r="I56" s="122" t="s">
        <v>27</v>
      </c>
      <c r="J56" s="206">
        <f>12424119875*3</f>
        <v>37272359625</v>
      </c>
      <c r="K56" s="352"/>
      <c r="L56" s="180"/>
      <c r="M56" s="352"/>
      <c r="N56" s="180"/>
      <c r="O56" s="352">
        <f>5/21*100</f>
        <v>23.809523809523807</v>
      </c>
      <c r="P56" s="180">
        <v>18450271883</v>
      </c>
      <c r="Q56" s="352"/>
      <c r="R56" s="208"/>
      <c r="S56" s="357"/>
      <c r="T56" s="208"/>
      <c r="U56" s="357">
        <f>5/21*100</f>
        <v>23.809523809523807</v>
      </c>
      <c r="V56" s="208">
        <v>15350646250</v>
      </c>
      <c r="W56" s="354"/>
      <c r="X56" s="237"/>
      <c r="Y56" s="354"/>
      <c r="Z56" s="237"/>
      <c r="AA56" s="401">
        <f>U56/O56*100</f>
        <v>100</v>
      </c>
      <c r="AB56" s="237">
        <f>V56/P56*100</f>
        <v>83.200108634409986</v>
      </c>
      <c r="AC56" s="352">
        <f t="shared" si="16"/>
        <v>23.809523809523807</v>
      </c>
      <c r="AD56" s="193">
        <f>V56</f>
        <v>15350646250</v>
      </c>
      <c r="AE56" s="56">
        <f t="shared" si="13"/>
        <v>33.332666679999726</v>
      </c>
      <c r="AF56" s="32" t="str">
        <f t="shared" si="14"/>
        <v>Sangat Rendah</v>
      </c>
      <c r="AG56" s="56">
        <f t="shared" si="15"/>
        <v>41.185066908679786</v>
      </c>
      <c r="AH56" s="111"/>
      <c r="AK56" s="104"/>
    </row>
    <row r="57" spans="1:37" ht="195" x14ac:dyDescent="0.2">
      <c r="A57" s="60"/>
      <c r="B57" s="60"/>
      <c r="C57" s="14" t="s">
        <v>576</v>
      </c>
      <c r="D57" s="14" t="s">
        <v>774</v>
      </c>
      <c r="E57" s="74"/>
      <c r="F57" s="18"/>
      <c r="G57" s="24"/>
      <c r="H57" s="92">
        <v>70</v>
      </c>
      <c r="I57" s="18" t="s">
        <v>27</v>
      </c>
      <c r="J57" s="24">
        <f>37522500*3</f>
        <v>112567500</v>
      </c>
      <c r="K57" s="74"/>
      <c r="L57" s="10"/>
      <c r="M57" s="74"/>
      <c r="N57" s="10"/>
      <c r="O57" s="92">
        <v>60</v>
      </c>
      <c r="P57" s="10">
        <v>190843500</v>
      </c>
      <c r="Q57" s="74"/>
      <c r="R57" s="59"/>
      <c r="S57" s="32"/>
      <c r="T57" s="59"/>
      <c r="U57" s="32">
        <v>60</v>
      </c>
      <c r="V57" s="59">
        <v>113451600</v>
      </c>
      <c r="W57" s="56"/>
      <c r="X57" s="235"/>
      <c r="Y57" s="56"/>
      <c r="Z57" s="235"/>
      <c r="AA57" s="89">
        <f>U57/O57*100</f>
        <v>100</v>
      </c>
      <c r="AB57" s="235">
        <f>V57/P57*100</f>
        <v>59.44745301778682</v>
      </c>
      <c r="AC57" s="92">
        <f t="shared" si="16"/>
        <v>60</v>
      </c>
      <c r="AD57" s="11">
        <f>V57</f>
        <v>113451600</v>
      </c>
      <c r="AE57" s="56">
        <f t="shared" si="13"/>
        <v>85.714285714285708</v>
      </c>
      <c r="AF57" s="32" t="str">
        <f t="shared" si="14"/>
        <v>Tinggi</v>
      </c>
      <c r="AG57" s="56">
        <f t="shared" si="15"/>
        <v>100.78539542940904</v>
      </c>
      <c r="AH57" s="111"/>
      <c r="AK57" s="104"/>
    </row>
    <row r="58" spans="1:37" ht="114.75" customHeight="1" x14ac:dyDescent="0.2">
      <c r="A58" s="60"/>
      <c r="B58" s="60"/>
      <c r="C58" s="20" t="s">
        <v>577</v>
      </c>
      <c r="D58" s="14" t="s">
        <v>573</v>
      </c>
      <c r="E58" s="74"/>
      <c r="F58" s="18"/>
      <c r="G58" s="207"/>
      <c r="H58" s="92">
        <v>100</v>
      </c>
      <c r="I58" s="18" t="s">
        <v>27</v>
      </c>
      <c r="J58" s="207">
        <f>116232500*3</f>
        <v>348697500</v>
      </c>
      <c r="K58" s="74"/>
      <c r="L58" s="182"/>
      <c r="M58" s="74"/>
      <c r="N58" s="182"/>
      <c r="O58" s="92">
        <v>100</v>
      </c>
      <c r="P58" s="182">
        <v>392494000</v>
      </c>
      <c r="Q58" s="74"/>
      <c r="R58" s="209"/>
      <c r="S58" s="32"/>
      <c r="T58" s="209"/>
      <c r="U58" s="32">
        <v>100</v>
      </c>
      <c r="V58" s="209">
        <v>327247500</v>
      </c>
      <c r="W58" s="56"/>
      <c r="X58" s="238"/>
      <c r="Y58" s="56"/>
      <c r="Z58" s="238"/>
      <c r="AA58" s="89">
        <f>U58/O58*100</f>
        <v>100</v>
      </c>
      <c r="AB58" s="238">
        <f>V58/P58*100</f>
        <v>83.376433779879434</v>
      </c>
      <c r="AC58" s="92">
        <f t="shared" si="16"/>
        <v>100</v>
      </c>
      <c r="AD58" s="274">
        <f>V58</f>
        <v>327247500</v>
      </c>
      <c r="AE58" s="89">
        <f t="shared" si="13"/>
        <v>100</v>
      </c>
      <c r="AF58" s="32" t="str">
        <f t="shared" si="14"/>
        <v>Sangat Tinggi</v>
      </c>
      <c r="AG58" s="56">
        <f t="shared" si="15"/>
        <v>93.848536338803683</v>
      </c>
      <c r="AH58" s="112"/>
      <c r="AK58" s="104"/>
    </row>
    <row r="59" spans="1:37" ht="178.5" customHeight="1" x14ac:dyDescent="0.25">
      <c r="A59" s="13"/>
      <c r="B59" s="13"/>
      <c r="C59" s="14"/>
      <c r="D59" s="62" t="s">
        <v>268</v>
      </c>
      <c r="E59" s="219">
        <v>75.81</v>
      </c>
      <c r="F59" s="228" t="s">
        <v>27</v>
      </c>
      <c r="G59" s="221"/>
      <c r="H59" s="230">
        <v>69.680000000000007</v>
      </c>
      <c r="I59" s="228" t="s">
        <v>27</v>
      </c>
      <c r="J59" s="222">
        <f>SUM(J60:J62)</f>
        <v>22813505500</v>
      </c>
      <c r="K59" s="219">
        <v>73.02</v>
      </c>
      <c r="L59" s="222">
        <f>SUM(L60:L62)</f>
        <v>4584721150</v>
      </c>
      <c r="M59" s="219">
        <v>72.180000000000007</v>
      </c>
      <c r="N59" s="222">
        <f>SUM(N60:N62)</f>
        <v>4403046000</v>
      </c>
      <c r="O59" s="219">
        <v>71.349999999999994</v>
      </c>
      <c r="P59" s="222">
        <f>SUM(P64:P66)</f>
        <v>3959298125</v>
      </c>
      <c r="Q59" s="223">
        <v>72.900000000000006</v>
      </c>
      <c r="R59" s="222">
        <f>SUM(R60:R62)</f>
        <v>2555943411</v>
      </c>
      <c r="S59" s="223">
        <v>70.540000000000006</v>
      </c>
      <c r="T59" s="222">
        <f>SUM(T60:T62)</f>
        <v>3383137965</v>
      </c>
      <c r="U59" s="223">
        <v>70.92</v>
      </c>
      <c r="V59" s="222">
        <f>SUM(V64:V66)</f>
        <v>3430494214</v>
      </c>
      <c r="W59" s="234">
        <f>(K59-(Q59-K59))/K59*100</f>
        <v>100.164338537387</v>
      </c>
      <c r="X59" s="240">
        <f>R59/L59*100</f>
        <v>55.749157416040454</v>
      </c>
      <c r="Y59" s="234">
        <f>(M59-(S59-M59))/M59*100</f>
        <v>102.27209753394293</v>
      </c>
      <c r="Z59" s="240">
        <f>T59/N59*100</f>
        <v>76.836307524381979</v>
      </c>
      <c r="AA59" s="234">
        <f>(O59-(U59-O59))/O59*100</f>
        <v>100.60266292922213</v>
      </c>
      <c r="AB59" s="240">
        <f>V59/P59*100</f>
        <v>86.643998650644676</v>
      </c>
      <c r="AC59" s="223">
        <f t="shared" si="16"/>
        <v>70.92</v>
      </c>
      <c r="AD59" s="308">
        <f>R59+T59+V59</f>
        <v>9369575590</v>
      </c>
      <c r="AE59" s="234">
        <f t="shared" si="13"/>
        <v>101.77956371986221</v>
      </c>
      <c r="AF59" s="219" t="str">
        <f t="shared" si="14"/>
        <v>Sangat Tinggi</v>
      </c>
      <c r="AG59" s="234">
        <f t="shared" si="15"/>
        <v>41.070301931458971</v>
      </c>
      <c r="AH59" s="410" t="s">
        <v>282</v>
      </c>
      <c r="AK59" s="104">
        <f>R59</f>
        <v>2555943411</v>
      </c>
    </row>
    <row r="60" spans="1:37" ht="120" x14ac:dyDescent="0.2">
      <c r="A60" s="13"/>
      <c r="B60" s="13"/>
      <c r="C60" s="94" t="s">
        <v>77</v>
      </c>
      <c r="D60" s="14" t="s">
        <v>162</v>
      </c>
      <c r="E60" s="32">
        <v>8.33</v>
      </c>
      <c r="F60" s="18" t="s">
        <v>27</v>
      </c>
      <c r="G60" s="3"/>
      <c r="H60" s="74">
        <v>87.5</v>
      </c>
      <c r="I60" s="18" t="s">
        <v>27</v>
      </c>
      <c r="J60" s="183">
        <v>22613612500</v>
      </c>
      <c r="K60" s="32">
        <v>10</v>
      </c>
      <c r="L60" s="180">
        <v>4521712500</v>
      </c>
      <c r="M60" s="32">
        <v>29.17</v>
      </c>
      <c r="N60" s="180">
        <v>4344925000</v>
      </c>
      <c r="O60" s="32"/>
      <c r="P60" s="180"/>
      <c r="Q60" s="74">
        <f>12/120*100</f>
        <v>10</v>
      </c>
      <c r="R60" s="208">
        <v>2493720761</v>
      </c>
      <c r="S60" s="74">
        <f>35/120*100</f>
        <v>29.166666666666668</v>
      </c>
      <c r="T60" s="208">
        <v>3333688965</v>
      </c>
      <c r="U60" s="74"/>
      <c r="V60" s="208"/>
      <c r="W60" s="56">
        <f>Q60/K60*100</f>
        <v>100</v>
      </c>
      <c r="X60" s="237">
        <f>R60/L60*100</f>
        <v>55.149918554087641</v>
      </c>
      <c r="Y60" s="56">
        <f>S60/M60*100</f>
        <v>99.988572734544618</v>
      </c>
      <c r="Z60" s="237">
        <f>T60/N60*100</f>
        <v>76.726041646288493</v>
      </c>
      <c r="AA60" s="56"/>
      <c r="AB60" s="237"/>
      <c r="AC60" s="74">
        <f>S60</f>
        <v>29.166666666666668</v>
      </c>
      <c r="AD60" s="193">
        <f>R60+T60</f>
        <v>5827409726</v>
      </c>
      <c r="AE60" s="56">
        <f t="shared" si="13"/>
        <v>33.333333333333336</v>
      </c>
      <c r="AF60" s="32" t="str">
        <f t="shared" si="14"/>
        <v>Sangat Rendah</v>
      </c>
      <c r="AG60" s="354">
        <f t="shared" si="15"/>
        <v>25.769477238543821</v>
      </c>
      <c r="AH60" s="111"/>
      <c r="AK60" s="104">
        <f>R60</f>
        <v>2493720761</v>
      </c>
    </row>
    <row r="61" spans="1:37" ht="90" x14ac:dyDescent="0.2">
      <c r="A61" s="60"/>
      <c r="B61" s="60"/>
      <c r="C61" s="20"/>
      <c r="D61" s="14" t="s">
        <v>163</v>
      </c>
      <c r="E61" s="32">
        <v>78.69</v>
      </c>
      <c r="F61" s="18" t="s">
        <v>27</v>
      </c>
      <c r="G61" s="5"/>
      <c r="H61" s="74">
        <v>80.19</v>
      </c>
      <c r="I61" s="18" t="s">
        <v>27</v>
      </c>
      <c r="J61" s="49"/>
      <c r="K61" s="32">
        <v>78.989999999999995</v>
      </c>
      <c r="L61" s="182"/>
      <c r="M61" s="32">
        <v>79.290000000000006</v>
      </c>
      <c r="N61" s="182"/>
      <c r="O61" s="32"/>
      <c r="P61" s="182"/>
      <c r="Q61" s="74">
        <f>38877/50839*100</f>
        <v>76.470819646334505</v>
      </c>
      <c r="R61" s="209"/>
      <c r="S61" s="74">
        <f>30988/39232*100</f>
        <v>78.986541598694942</v>
      </c>
      <c r="T61" s="209"/>
      <c r="U61" s="74"/>
      <c r="V61" s="209"/>
      <c r="W61" s="56">
        <f>Q61/K61*100</f>
        <v>96.810760408070024</v>
      </c>
      <c r="X61" s="238"/>
      <c r="Y61" s="56">
        <f>S61/M61*100</f>
        <v>99.61728036157767</v>
      </c>
      <c r="Z61" s="238"/>
      <c r="AA61" s="56"/>
      <c r="AB61" s="238"/>
      <c r="AC61" s="74">
        <f>S61</f>
        <v>78.986541598694942</v>
      </c>
      <c r="AD61" s="274"/>
      <c r="AE61" s="56">
        <f t="shared" si="13"/>
        <v>98.499241300280516</v>
      </c>
      <c r="AF61" s="32" t="str">
        <f t="shared" si="14"/>
        <v>Sangat Tinggi</v>
      </c>
      <c r="AG61" s="77"/>
      <c r="AH61" s="111"/>
      <c r="AK61" s="104">
        <f>R61</f>
        <v>0</v>
      </c>
    </row>
    <row r="62" spans="1:37" ht="150" x14ac:dyDescent="0.2">
      <c r="A62" s="60"/>
      <c r="B62" s="60"/>
      <c r="C62" s="94" t="s">
        <v>189</v>
      </c>
      <c r="D62" s="14" t="s">
        <v>190</v>
      </c>
      <c r="E62" s="32"/>
      <c r="F62" s="18" t="s">
        <v>27</v>
      </c>
      <c r="G62" s="3"/>
      <c r="H62" s="92">
        <v>100</v>
      </c>
      <c r="I62" s="18" t="s">
        <v>27</v>
      </c>
      <c r="J62" s="183">
        <v>199893000</v>
      </c>
      <c r="K62" s="74">
        <f>2/11*100</f>
        <v>18.181818181818183</v>
      </c>
      <c r="L62" s="180">
        <v>63008650</v>
      </c>
      <c r="M62" s="74">
        <f>4/11*100</f>
        <v>36.363636363636367</v>
      </c>
      <c r="N62" s="180">
        <v>58121000</v>
      </c>
      <c r="O62" s="74"/>
      <c r="P62" s="180"/>
      <c r="Q62" s="74">
        <f>2/11*100</f>
        <v>18.181818181818183</v>
      </c>
      <c r="R62" s="208">
        <v>62222650</v>
      </c>
      <c r="S62" s="74">
        <f>4/11*100</f>
        <v>36.363636363636367</v>
      </c>
      <c r="T62" s="208">
        <v>49449000</v>
      </c>
      <c r="U62" s="74"/>
      <c r="V62" s="208"/>
      <c r="W62" s="56">
        <f>Q62/K62*100</f>
        <v>100</v>
      </c>
      <c r="X62" s="237">
        <f>R62/L62*100</f>
        <v>98.75255222893999</v>
      </c>
      <c r="Y62" s="56">
        <f>S62/M62*100</f>
        <v>100</v>
      </c>
      <c r="Z62" s="237">
        <f>T62/N62*100</f>
        <v>85.079403313776439</v>
      </c>
      <c r="AA62" s="56"/>
      <c r="AB62" s="237"/>
      <c r="AC62" s="74">
        <f>S62</f>
        <v>36.363636363636367</v>
      </c>
      <c r="AD62" s="193">
        <f>R62+T62</f>
        <v>111671650</v>
      </c>
      <c r="AE62" s="56">
        <f t="shared" si="13"/>
        <v>36.363636363636367</v>
      </c>
      <c r="AF62" s="32" t="str">
        <f t="shared" si="14"/>
        <v>Sangat Rendah</v>
      </c>
      <c r="AG62" s="354">
        <f t="shared" si="15"/>
        <v>55.865713156538746</v>
      </c>
      <c r="AH62" s="111"/>
      <c r="AK62" s="104">
        <f>R62</f>
        <v>62222650</v>
      </c>
    </row>
    <row r="63" spans="1:37" ht="75" x14ac:dyDescent="0.2">
      <c r="A63" s="60"/>
      <c r="B63" s="60"/>
      <c r="C63" s="20"/>
      <c r="D63" s="14" t="s">
        <v>539</v>
      </c>
      <c r="E63" s="32"/>
      <c r="F63" s="18" t="s">
        <v>27</v>
      </c>
      <c r="G63" s="5"/>
      <c r="H63" s="74">
        <v>80.27</v>
      </c>
      <c r="I63" s="18" t="s">
        <v>27</v>
      </c>
      <c r="J63" s="49"/>
      <c r="K63" s="74">
        <v>60.2</v>
      </c>
      <c r="L63" s="182"/>
      <c r="M63" s="32">
        <v>65.22</v>
      </c>
      <c r="N63" s="182"/>
      <c r="O63" s="32"/>
      <c r="P63" s="182"/>
      <c r="Q63" s="74">
        <v>57.14</v>
      </c>
      <c r="R63" s="209"/>
      <c r="S63" s="74">
        <f>195/322*100</f>
        <v>60.559006211180119</v>
      </c>
      <c r="T63" s="209"/>
      <c r="U63" s="74"/>
      <c r="V63" s="209"/>
      <c r="W63" s="56">
        <f>Q63/K63*100</f>
        <v>94.916943521594675</v>
      </c>
      <c r="X63" s="238"/>
      <c r="Y63" s="56">
        <f>S63/M63*100</f>
        <v>92.853428719994042</v>
      </c>
      <c r="Z63" s="238"/>
      <c r="AA63" s="56"/>
      <c r="AB63" s="238"/>
      <c r="AC63" s="74">
        <f>S63</f>
        <v>60.559006211180119</v>
      </c>
      <c r="AD63" s="274"/>
      <c r="AE63" s="56">
        <f t="shared" si="13"/>
        <v>75.444133812358444</v>
      </c>
      <c r="AF63" s="32" t="str">
        <f t="shared" si="14"/>
        <v>Sedang</v>
      </c>
      <c r="AG63" s="77"/>
      <c r="AH63" s="111"/>
      <c r="AK63" s="104">
        <f>R63</f>
        <v>0</v>
      </c>
    </row>
    <row r="64" spans="1:37" ht="90" x14ac:dyDescent="0.2">
      <c r="A64" s="60"/>
      <c r="B64" s="60"/>
      <c r="C64" s="20" t="s">
        <v>581</v>
      </c>
      <c r="D64" s="14" t="s">
        <v>836</v>
      </c>
      <c r="E64" s="32"/>
      <c r="F64" s="18"/>
      <c r="G64" s="5"/>
      <c r="H64" s="74">
        <v>80.19</v>
      </c>
      <c r="I64" s="18" t="s">
        <v>27</v>
      </c>
      <c r="J64" s="49">
        <v>44795800</v>
      </c>
      <c r="K64" s="74"/>
      <c r="L64" s="182"/>
      <c r="M64" s="32"/>
      <c r="N64" s="182"/>
      <c r="O64" s="74">
        <v>79.59</v>
      </c>
      <c r="P64" s="182">
        <v>28178100</v>
      </c>
      <c r="Q64" s="74"/>
      <c r="R64" s="209"/>
      <c r="S64" s="74"/>
      <c r="T64" s="209"/>
      <c r="U64" s="74">
        <v>81.905479651869499</v>
      </c>
      <c r="V64" s="209">
        <v>25044800</v>
      </c>
      <c r="W64" s="56"/>
      <c r="X64" s="238"/>
      <c r="Y64" s="56"/>
      <c r="Z64" s="238"/>
      <c r="AA64" s="56">
        <f t="shared" ref="AA64:AB66" si="17">U64/O64*100</f>
        <v>102.90925951987624</v>
      </c>
      <c r="AB64" s="238">
        <f t="shared" si="17"/>
        <v>88.880371636128757</v>
      </c>
      <c r="AC64" s="74">
        <f>U64</f>
        <v>81.905479651869499</v>
      </c>
      <c r="AD64" s="274">
        <f>V64</f>
        <v>25044800</v>
      </c>
      <c r="AE64" s="56">
        <f t="shared" si="13"/>
        <v>102.13926880143347</v>
      </c>
      <c r="AF64" s="32" t="str">
        <f t="shared" si="14"/>
        <v>Sangat Tinggi</v>
      </c>
      <c r="AG64" s="56">
        <f t="shared" si="15"/>
        <v>55.908812879778914</v>
      </c>
      <c r="AH64" s="111"/>
      <c r="AK64" s="104"/>
    </row>
    <row r="65" spans="1:41" ht="105" x14ac:dyDescent="0.2">
      <c r="A65" s="60"/>
      <c r="B65" s="60"/>
      <c r="C65" s="20" t="s">
        <v>578</v>
      </c>
      <c r="D65" s="14" t="s">
        <v>775</v>
      </c>
      <c r="E65" s="32"/>
      <c r="F65" s="18"/>
      <c r="G65" s="5"/>
      <c r="H65" s="74">
        <v>69.98</v>
      </c>
      <c r="I65" s="18" t="s">
        <v>27</v>
      </c>
      <c r="J65" s="49">
        <f>4576650400*3</f>
        <v>13729951200</v>
      </c>
      <c r="K65" s="74"/>
      <c r="L65" s="182"/>
      <c r="M65" s="32"/>
      <c r="N65" s="182"/>
      <c r="O65" s="32">
        <v>71.349999999999994</v>
      </c>
      <c r="P65" s="182">
        <v>3884047225</v>
      </c>
      <c r="Q65" s="74"/>
      <c r="R65" s="209"/>
      <c r="S65" s="74"/>
      <c r="T65" s="209"/>
      <c r="U65" s="74">
        <v>70.540000000000006</v>
      </c>
      <c r="V65" s="209">
        <v>3358976614</v>
      </c>
      <c r="W65" s="56"/>
      <c r="X65" s="238"/>
      <c r="Y65" s="56"/>
      <c r="Z65" s="238"/>
      <c r="AA65" s="56">
        <f t="shared" si="17"/>
        <v>98.864751226349</v>
      </c>
      <c r="AB65" s="238">
        <f t="shared" si="17"/>
        <v>86.481353583438988</v>
      </c>
      <c r="AC65" s="74">
        <f>U65</f>
        <v>70.540000000000006</v>
      </c>
      <c r="AD65" s="274">
        <f t="shared" ref="AD65:AD66" si="18">V65</f>
        <v>3358976614</v>
      </c>
      <c r="AE65" s="56">
        <f t="shared" si="13"/>
        <v>100.80022863675336</v>
      </c>
      <c r="AF65" s="32" t="str">
        <f t="shared" si="14"/>
        <v>Sangat Tinggi</v>
      </c>
      <c r="AG65" s="56">
        <f>AD65/J65*100</f>
        <v>24.46459251799817</v>
      </c>
      <c r="AH65" s="111"/>
      <c r="AK65" s="104"/>
    </row>
    <row r="66" spans="1:41" ht="105" x14ac:dyDescent="0.2">
      <c r="A66" s="60"/>
      <c r="B66" s="60"/>
      <c r="C66" s="20" t="s">
        <v>579</v>
      </c>
      <c r="D66" s="14" t="s">
        <v>580</v>
      </c>
      <c r="E66" s="32"/>
      <c r="F66" s="18"/>
      <c r="G66" s="5"/>
      <c r="H66" s="74">
        <v>76.19</v>
      </c>
      <c r="I66" s="18" t="s">
        <v>27</v>
      </c>
      <c r="J66" s="49">
        <v>48848800</v>
      </c>
      <c r="K66" s="74"/>
      <c r="L66" s="182"/>
      <c r="M66" s="32"/>
      <c r="N66" s="182"/>
      <c r="O66" s="74">
        <f>210/315*100</f>
        <v>66.666666666666657</v>
      </c>
      <c r="P66" s="182">
        <v>47072800</v>
      </c>
      <c r="Q66" s="74"/>
      <c r="R66" s="209"/>
      <c r="S66" s="74"/>
      <c r="T66" s="209"/>
      <c r="U66" s="74">
        <f>240/299*100</f>
        <v>80.267558528428097</v>
      </c>
      <c r="V66" s="209">
        <v>46472800</v>
      </c>
      <c r="W66" s="56"/>
      <c r="X66" s="238"/>
      <c r="Y66" s="56"/>
      <c r="Z66" s="238"/>
      <c r="AA66" s="56">
        <f t="shared" si="17"/>
        <v>120.40133779264217</v>
      </c>
      <c r="AB66" s="238">
        <f>V66/P66*100</f>
        <v>98.725378562566917</v>
      </c>
      <c r="AC66" s="74">
        <f>U66</f>
        <v>80.267558528428097</v>
      </c>
      <c r="AD66" s="274">
        <f t="shared" si="18"/>
        <v>46472800</v>
      </c>
      <c r="AE66" s="56">
        <f t="shared" si="13"/>
        <v>105.35182901749324</v>
      </c>
      <c r="AF66" s="32" t="str">
        <f t="shared" si="14"/>
        <v>Sangat Tinggi</v>
      </c>
      <c r="AG66" s="56">
        <f t="shared" si="15"/>
        <v>95.136011529454152</v>
      </c>
      <c r="AH66" s="111"/>
      <c r="AK66" s="104"/>
    </row>
    <row r="67" spans="1:41" ht="63" x14ac:dyDescent="0.25">
      <c r="A67" s="16"/>
      <c r="B67" s="16"/>
      <c r="C67" s="14"/>
      <c r="D67" s="62" t="s">
        <v>269</v>
      </c>
      <c r="E67" s="219" t="s">
        <v>26</v>
      </c>
      <c r="F67" s="232" t="s">
        <v>122</v>
      </c>
      <c r="G67" s="221"/>
      <c r="H67" s="219" t="s">
        <v>837</v>
      </c>
      <c r="I67" s="232" t="s">
        <v>122</v>
      </c>
      <c r="J67" s="222">
        <f>SUM(J68:J70)</f>
        <v>699142729316</v>
      </c>
      <c r="K67" s="219" t="s">
        <v>540</v>
      </c>
      <c r="L67" s="224">
        <f>L68</f>
        <v>41205095400</v>
      </c>
      <c r="M67" s="219" t="s">
        <v>540</v>
      </c>
      <c r="N67" s="224">
        <f>N68</f>
        <v>6066839660</v>
      </c>
      <c r="O67" s="219" t="s">
        <v>540</v>
      </c>
      <c r="P67" s="224">
        <f>SUM(P69:P70)</f>
        <v>178253900419</v>
      </c>
      <c r="Q67" s="219" t="s">
        <v>541</v>
      </c>
      <c r="R67" s="231">
        <f>R68</f>
        <v>40501178002</v>
      </c>
      <c r="S67" s="219" t="s">
        <v>563</v>
      </c>
      <c r="T67" s="233">
        <f>T68</f>
        <v>5983165335</v>
      </c>
      <c r="U67" s="219" t="s">
        <v>763</v>
      </c>
      <c r="V67" s="224">
        <f>SUM(V69:V70)</f>
        <v>165892505652</v>
      </c>
      <c r="W67" s="234">
        <f>83.6/80.01*100</f>
        <v>104.4869391326084</v>
      </c>
      <c r="X67" s="240">
        <f>R67/L67*100</f>
        <v>98.291673903028993</v>
      </c>
      <c r="Y67" s="234">
        <f>77.13/80.01*100</f>
        <v>96.40044994375701</v>
      </c>
      <c r="Z67" s="240">
        <f>T67/N67*100</f>
        <v>98.620792213255896</v>
      </c>
      <c r="AA67" s="234">
        <f>80.75/80.01*100</f>
        <v>100.92488438945131</v>
      </c>
      <c r="AB67" s="240">
        <f>V67/P67*100</f>
        <v>93.065287919117864</v>
      </c>
      <c r="AC67" s="223" t="str">
        <f>U67</f>
        <v>A (80,75)</v>
      </c>
      <c r="AD67" s="308">
        <f>R67+T67+V67</f>
        <v>212376848989</v>
      </c>
      <c r="AE67" s="234">
        <f>80.75/97.51*100</f>
        <v>82.812019280073841</v>
      </c>
      <c r="AF67" s="219" t="str">
        <f t="shared" si="14"/>
        <v>Tinggi</v>
      </c>
      <c r="AG67" s="234">
        <f t="shared" si="15"/>
        <v>30.376751424816646</v>
      </c>
      <c r="AH67" s="410" t="s">
        <v>283</v>
      </c>
      <c r="AK67" s="104">
        <f>R67</f>
        <v>40501178002</v>
      </c>
      <c r="AM67" s="322" t="s">
        <v>555</v>
      </c>
      <c r="AN67" s="322" t="s">
        <v>556</v>
      </c>
      <c r="AO67" s="88" t="s">
        <v>557</v>
      </c>
    </row>
    <row r="68" spans="1:41" ht="135" x14ac:dyDescent="0.2">
      <c r="A68" s="13"/>
      <c r="B68" s="13"/>
      <c r="C68" s="14" t="s">
        <v>164</v>
      </c>
      <c r="D68" s="14" t="s">
        <v>786</v>
      </c>
      <c r="E68" s="32">
        <v>2.86</v>
      </c>
      <c r="F68" s="18" t="s">
        <v>27</v>
      </c>
      <c r="G68" s="8"/>
      <c r="H68" s="32">
        <v>5.71</v>
      </c>
      <c r="I68" s="18" t="s">
        <v>27</v>
      </c>
      <c r="J68" s="9">
        <v>212025477000</v>
      </c>
      <c r="K68" s="32">
        <v>3.57</v>
      </c>
      <c r="L68" s="10">
        <v>41205095400</v>
      </c>
      <c r="M68" s="32">
        <v>3.93</v>
      </c>
      <c r="N68" s="10">
        <v>6066839660</v>
      </c>
      <c r="O68" s="32"/>
      <c r="P68" s="10"/>
      <c r="Q68" s="32">
        <v>3.56</v>
      </c>
      <c r="R68" s="59">
        <v>40501178002</v>
      </c>
      <c r="S68" s="74">
        <f>T68/N68*M68</f>
        <v>3.8757971339809569</v>
      </c>
      <c r="T68" s="10">
        <v>5983165335</v>
      </c>
      <c r="U68" s="74"/>
      <c r="V68" s="10"/>
      <c r="W68" s="56">
        <f>Q68/K68*100</f>
        <v>99.719887955182074</v>
      </c>
      <c r="X68" s="235">
        <f>R68/L68*100</f>
        <v>98.291673903028993</v>
      </c>
      <c r="Y68" s="56">
        <f>S68/M68*100</f>
        <v>98.620792213255896</v>
      </c>
      <c r="Z68" s="235">
        <f>T68/N68*100</f>
        <v>98.620792213255896</v>
      </c>
      <c r="AA68" s="56"/>
      <c r="AB68" s="235"/>
      <c r="AC68" s="74">
        <f>S68</f>
        <v>3.8757971339809569</v>
      </c>
      <c r="AD68" s="274">
        <f>R68+T68</f>
        <v>46484343337</v>
      </c>
      <c r="AE68" s="56">
        <f t="shared" si="13"/>
        <v>67.877357863064049</v>
      </c>
      <c r="AF68" s="32" t="str">
        <f t="shared" si="14"/>
        <v>Sedang</v>
      </c>
      <c r="AG68" s="56">
        <f t="shared" si="15"/>
        <v>21.923942346324729</v>
      </c>
      <c r="AH68" s="111"/>
      <c r="AJ68" s="88"/>
      <c r="AK68" s="104">
        <f>R68</f>
        <v>40501178002</v>
      </c>
    </row>
    <row r="69" spans="1:41" ht="120" x14ac:dyDescent="0.2">
      <c r="A69" s="60"/>
      <c r="B69" s="60"/>
      <c r="C69" s="94" t="s">
        <v>785</v>
      </c>
      <c r="D69" s="14" t="s">
        <v>771</v>
      </c>
      <c r="E69" s="74"/>
      <c r="F69" s="18"/>
      <c r="G69" s="250"/>
      <c r="H69" s="74">
        <v>93</v>
      </c>
      <c r="I69" s="18" t="s">
        <v>27</v>
      </c>
      <c r="J69" s="250">
        <f>149627599057+154347485618+151904167641</f>
        <v>455879252316</v>
      </c>
      <c r="K69" s="74"/>
      <c r="L69" s="181"/>
      <c r="M69" s="74"/>
      <c r="N69" s="181"/>
      <c r="O69" s="92">
        <v>92</v>
      </c>
      <c r="P69" s="180">
        <v>167090100419</v>
      </c>
      <c r="Q69" s="74"/>
      <c r="R69" s="337"/>
      <c r="S69" s="32"/>
      <c r="T69" s="337"/>
      <c r="U69" s="32">
        <v>97.71</v>
      </c>
      <c r="V69" s="208">
        <v>157209093011</v>
      </c>
      <c r="W69" s="56"/>
      <c r="X69" s="243"/>
      <c r="Y69" s="56"/>
      <c r="Z69" s="243"/>
      <c r="AA69" s="56">
        <f>U69/O69*100</f>
        <v>106.20652173913044</v>
      </c>
      <c r="AB69" s="238">
        <f t="shared" ref="AB69:AB70" si="19">V69/P69*100</f>
        <v>94.086419612399482</v>
      </c>
      <c r="AC69" s="74">
        <f>U69</f>
        <v>97.71</v>
      </c>
      <c r="AD69" s="11">
        <f t="shared" ref="AD69:AD70" si="20">V69</f>
        <v>157209093011</v>
      </c>
      <c r="AE69" s="56">
        <f>AC69/H69*100</f>
        <v>105.06451612903224</v>
      </c>
      <c r="AF69" s="32" t="str">
        <f t="shared" si="14"/>
        <v>Sangat Tinggi</v>
      </c>
      <c r="AG69" s="56">
        <f t="shared" si="15"/>
        <v>34.484809785120028</v>
      </c>
      <c r="AH69" s="111"/>
      <c r="AK69" s="104"/>
    </row>
    <row r="70" spans="1:41" ht="105" x14ac:dyDescent="0.2">
      <c r="A70" s="60"/>
      <c r="B70" s="60"/>
      <c r="C70" s="94" t="s">
        <v>574</v>
      </c>
      <c r="D70" s="14" t="s">
        <v>773</v>
      </c>
      <c r="E70" s="74"/>
      <c r="F70" s="18"/>
      <c r="G70" s="24"/>
      <c r="H70" s="92">
        <v>100</v>
      </c>
      <c r="I70" s="18" t="s">
        <v>27</v>
      </c>
      <c r="J70" s="24">
        <f>9718800000+9759600000+11759600000</f>
        <v>31238000000</v>
      </c>
      <c r="K70" s="74"/>
      <c r="L70" s="10"/>
      <c r="M70" s="74"/>
      <c r="N70" s="10"/>
      <c r="O70" s="92">
        <v>100</v>
      </c>
      <c r="P70" s="180">
        <v>11163800000</v>
      </c>
      <c r="Q70" s="74"/>
      <c r="R70" s="59"/>
      <c r="S70" s="32"/>
      <c r="T70" s="59"/>
      <c r="U70" s="32">
        <v>85.99</v>
      </c>
      <c r="V70" s="208">
        <v>8683412641</v>
      </c>
      <c r="W70" s="56"/>
      <c r="X70" s="235"/>
      <c r="Y70" s="56"/>
      <c r="Z70" s="235"/>
      <c r="AA70" s="56">
        <f>U70/O70*100</f>
        <v>85.99</v>
      </c>
      <c r="AB70" s="238">
        <f t="shared" si="19"/>
        <v>77.781872131353126</v>
      </c>
      <c r="AC70" s="74">
        <f>U70</f>
        <v>85.99</v>
      </c>
      <c r="AD70" s="11">
        <f t="shared" si="20"/>
        <v>8683412641</v>
      </c>
      <c r="AE70" s="56">
        <f t="shared" si="13"/>
        <v>85.99</v>
      </c>
      <c r="AF70" s="32" t="str">
        <f t="shared" si="14"/>
        <v>Tinggi</v>
      </c>
      <c r="AG70" s="56">
        <f t="shared" si="15"/>
        <v>27.797594727575387</v>
      </c>
      <c r="AH70" s="111"/>
      <c r="AK70" s="104"/>
    </row>
    <row r="71" spans="1:41" ht="110.25" x14ac:dyDescent="0.25">
      <c r="A71" s="13"/>
      <c r="B71" s="13"/>
      <c r="C71" s="14"/>
      <c r="D71" s="62" t="s">
        <v>270</v>
      </c>
      <c r="E71" s="219">
        <v>4.3499999999999996</v>
      </c>
      <c r="F71" s="228" t="s">
        <v>27</v>
      </c>
      <c r="G71" s="221"/>
      <c r="H71" s="223">
        <v>17.39</v>
      </c>
      <c r="I71" s="228" t="s">
        <v>27</v>
      </c>
      <c r="J71" s="224">
        <f>SUM(J72:J81)</f>
        <v>938283091544</v>
      </c>
      <c r="K71" s="223">
        <f>1/23*100</f>
        <v>4.3478260869565215</v>
      </c>
      <c r="L71" s="224">
        <f>SUM(L72:L81)</f>
        <v>140289580093</v>
      </c>
      <c r="M71" s="223">
        <f>1/23*100</f>
        <v>4.3478260869565215</v>
      </c>
      <c r="N71" s="224">
        <f>SUM(N72:N81)</f>
        <v>145423442502</v>
      </c>
      <c r="O71" s="223">
        <v>8.6999999999999993</v>
      </c>
      <c r="P71" s="224">
        <f>SUM(P72:P81)</f>
        <v>98051200575</v>
      </c>
      <c r="Q71" s="223">
        <f>1/23*100</f>
        <v>4.3478260869565215</v>
      </c>
      <c r="R71" s="224">
        <f>SUM(R72:R81)</f>
        <v>137117573360</v>
      </c>
      <c r="S71" s="223">
        <f>0/23*100</f>
        <v>0</v>
      </c>
      <c r="T71" s="224">
        <f>SUM(T72:T81)</f>
        <v>135415855188</v>
      </c>
      <c r="U71" s="223">
        <f>0/23*100</f>
        <v>0</v>
      </c>
      <c r="V71" s="224">
        <f>SUM(V72:V81)</f>
        <v>89148607382</v>
      </c>
      <c r="W71" s="234">
        <f t="shared" ref="W71:Z72" si="21">Q71/K71*100</f>
        <v>100</v>
      </c>
      <c r="X71" s="240">
        <f t="shared" si="21"/>
        <v>97.738957710973807</v>
      </c>
      <c r="Y71" s="253">
        <f t="shared" si="21"/>
        <v>0</v>
      </c>
      <c r="Z71" s="240">
        <f t="shared" si="21"/>
        <v>93.118312191060696</v>
      </c>
      <c r="AA71" s="253">
        <f>U71/O71*100</f>
        <v>0</v>
      </c>
      <c r="AB71" s="240">
        <f>V71/P71*100</f>
        <v>90.92046487876469</v>
      </c>
      <c r="AC71" s="223">
        <f>U71</f>
        <v>0</v>
      </c>
      <c r="AD71" s="308">
        <f>R71+T71+V71</f>
        <v>361682035930</v>
      </c>
      <c r="AE71" s="234">
        <f t="shared" si="13"/>
        <v>0</v>
      </c>
      <c r="AF71" s="219" t="str">
        <f t="shared" si="14"/>
        <v>Sangat Rendah</v>
      </c>
      <c r="AG71" s="234">
        <f t="shared" si="15"/>
        <v>38.547218764736655</v>
      </c>
      <c r="AH71" s="111"/>
      <c r="AK71" s="104">
        <f>R71</f>
        <v>137117573360</v>
      </c>
    </row>
    <row r="72" spans="1:41" ht="75" x14ac:dyDescent="0.2">
      <c r="A72" s="60"/>
      <c r="B72" s="60"/>
      <c r="C72" s="94" t="s">
        <v>787</v>
      </c>
      <c r="D72" s="14" t="s">
        <v>138</v>
      </c>
      <c r="E72" s="32">
        <v>4.3499999999999996</v>
      </c>
      <c r="F72" s="18" t="s">
        <v>27</v>
      </c>
      <c r="G72" s="3"/>
      <c r="H72" s="74">
        <v>17.39</v>
      </c>
      <c r="I72" s="18" t="s">
        <v>27</v>
      </c>
      <c r="J72" s="183">
        <v>76793868565</v>
      </c>
      <c r="K72" s="74">
        <f>1/23*100</f>
        <v>4.3478260869565215</v>
      </c>
      <c r="L72" s="180">
        <v>15705754663</v>
      </c>
      <c r="M72" s="74">
        <f>1/23*100</f>
        <v>4.3478260869565215</v>
      </c>
      <c r="N72" s="180">
        <v>11408010846</v>
      </c>
      <c r="O72" s="74"/>
      <c r="P72" s="180"/>
      <c r="Q72" s="74">
        <f>1/23*100</f>
        <v>4.3478260869565215</v>
      </c>
      <c r="R72" s="180">
        <v>14642159364</v>
      </c>
      <c r="S72" s="74">
        <f>0/23*100</f>
        <v>0</v>
      </c>
      <c r="T72" s="180">
        <v>7205230315</v>
      </c>
      <c r="U72" s="74"/>
      <c r="V72" s="180"/>
      <c r="W72" s="56">
        <f t="shared" si="21"/>
        <v>100</v>
      </c>
      <c r="X72" s="237">
        <f t="shared" si="21"/>
        <v>93.22798985580971</v>
      </c>
      <c r="Y72" s="89">
        <f t="shared" si="21"/>
        <v>0</v>
      </c>
      <c r="Z72" s="237">
        <f t="shared" si="21"/>
        <v>63.15939222240813</v>
      </c>
      <c r="AA72" s="89"/>
      <c r="AB72" s="237"/>
      <c r="AC72" s="74">
        <f>S72</f>
        <v>0</v>
      </c>
      <c r="AD72" s="193">
        <f>R72+T72</f>
        <v>21847389679</v>
      </c>
      <c r="AE72" s="56">
        <f t="shared" si="13"/>
        <v>0</v>
      </c>
      <c r="AF72" s="32" t="str">
        <f t="shared" si="14"/>
        <v>Sangat Rendah</v>
      </c>
      <c r="AG72" s="354">
        <f t="shared" si="15"/>
        <v>28.4493932748132</v>
      </c>
      <c r="AH72" s="410" t="s">
        <v>485</v>
      </c>
      <c r="AK72" s="104">
        <f>R72</f>
        <v>14642159364</v>
      </c>
    </row>
    <row r="73" spans="1:41" ht="45" x14ac:dyDescent="0.2">
      <c r="A73" s="60"/>
      <c r="B73" s="60"/>
      <c r="C73" s="20"/>
      <c r="D73" s="14" t="s">
        <v>165</v>
      </c>
      <c r="E73" s="32">
        <v>79.87</v>
      </c>
      <c r="F73" s="18" t="s">
        <v>25</v>
      </c>
      <c r="G73" s="5"/>
      <c r="H73" s="92">
        <v>82</v>
      </c>
      <c r="I73" s="18" t="s">
        <v>25</v>
      </c>
      <c r="J73" s="49"/>
      <c r="K73" s="92">
        <v>82</v>
      </c>
      <c r="L73" s="182"/>
      <c r="M73" s="92">
        <v>82</v>
      </c>
      <c r="N73" s="182"/>
      <c r="O73" s="92"/>
      <c r="P73" s="182"/>
      <c r="Q73" s="32">
        <v>80.92</v>
      </c>
      <c r="R73" s="182"/>
      <c r="S73" s="74">
        <v>90.995000000000005</v>
      </c>
      <c r="T73" s="182"/>
      <c r="U73" s="74"/>
      <c r="V73" s="182"/>
      <c r="W73" s="56">
        <f>Q73/K73*100</f>
        <v>98.682926829268297</v>
      </c>
      <c r="X73" s="238"/>
      <c r="Y73" s="89">
        <f>S73/M73*100</f>
        <v>110.96951219512196</v>
      </c>
      <c r="Z73" s="238"/>
      <c r="AA73" s="89"/>
      <c r="AB73" s="238"/>
      <c r="AC73" s="74">
        <f>S73</f>
        <v>90.995000000000005</v>
      </c>
      <c r="AD73" s="274"/>
      <c r="AE73" s="56">
        <f t="shared" si="13"/>
        <v>110.96951219512196</v>
      </c>
      <c r="AF73" s="32" t="str">
        <f t="shared" si="14"/>
        <v>Sangat Tinggi</v>
      </c>
      <c r="AG73" s="77"/>
      <c r="AH73" s="111"/>
      <c r="AK73" s="104">
        <f>R73</f>
        <v>0</v>
      </c>
    </row>
    <row r="74" spans="1:41" ht="105" x14ac:dyDescent="0.2">
      <c r="A74" s="60"/>
      <c r="B74" s="60"/>
      <c r="C74" s="94" t="s">
        <v>96</v>
      </c>
      <c r="D74" s="14" t="s">
        <v>166</v>
      </c>
      <c r="E74" s="32">
        <v>4.3499999999999996</v>
      </c>
      <c r="F74" s="18" t="s">
        <v>27</v>
      </c>
      <c r="G74" s="3"/>
      <c r="H74" s="74">
        <v>17.79</v>
      </c>
      <c r="I74" s="18" t="s">
        <v>27</v>
      </c>
      <c r="J74" s="183">
        <v>163953776220</v>
      </c>
      <c r="K74" s="32">
        <v>4.3499999999999996</v>
      </c>
      <c r="L74" s="180">
        <v>27962802888</v>
      </c>
      <c r="M74" s="32">
        <v>4.3499999999999996</v>
      </c>
      <c r="N74" s="180">
        <v>31919037475</v>
      </c>
      <c r="O74" s="32"/>
      <c r="P74" s="180"/>
      <c r="Q74" s="32">
        <v>4.3499999999999996</v>
      </c>
      <c r="R74" s="208">
        <v>27556920372</v>
      </c>
      <c r="S74" s="32">
        <v>0</v>
      </c>
      <c r="T74" s="180">
        <v>26114230692</v>
      </c>
      <c r="U74" s="32"/>
      <c r="V74" s="180"/>
      <c r="W74" s="56">
        <f>Q74/K74*100</f>
        <v>100</v>
      </c>
      <c r="X74" s="237">
        <f>R74/L74*100</f>
        <v>98.548491302443139</v>
      </c>
      <c r="Y74" s="89">
        <f>S74/M74*100</f>
        <v>0</v>
      </c>
      <c r="Z74" s="237">
        <f>T74/N74*100</f>
        <v>81.813966703894152</v>
      </c>
      <c r="AA74" s="89"/>
      <c r="AB74" s="237"/>
      <c r="AC74" s="74">
        <f>S74</f>
        <v>0</v>
      </c>
      <c r="AD74" s="193">
        <f>R74+T74</f>
        <v>53671151064</v>
      </c>
      <c r="AE74" s="56">
        <f t="shared" si="13"/>
        <v>0</v>
      </c>
      <c r="AF74" s="32" t="str">
        <f t="shared" si="14"/>
        <v>Sangat Rendah</v>
      </c>
      <c r="AG74" s="354">
        <f t="shared" si="15"/>
        <v>32.735538211685842</v>
      </c>
      <c r="AH74" s="410" t="s">
        <v>281</v>
      </c>
      <c r="AK74" s="104">
        <f>R74</f>
        <v>27556920372</v>
      </c>
    </row>
    <row r="75" spans="1:41" ht="45" x14ac:dyDescent="0.2">
      <c r="A75" s="60"/>
      <c r="B75" s="60"/>
      <c r="C75" s="20"/>
      <c r="D75" s="14" t="s">
        <v>165</v>
      </c>
      <c r="E75" s="32">
        <v>79.87</v>
      </c>
      <c r="F75" s="18" t="s">
        <v>25</v>
      </c>
      <c r="G75" s="5"/>
      <c r="H75" s="74">
        <v>82</v>
      </c>
      <c r="I75" s="18" t="s">
        <v>25</v>
      </c>
      <c r="J75" s="49"/>
      <c r="K75" s="74">
        <v>82</v>
      </c>
      <c r="L75" s="182"/>
      <c r="M75" s="74">
        <v>82</v>
      </c>
      <c r="N75" s="182"/>
      <c r="O75" s="74"/>
      <c r="P75" s="182"/>
      <c r="Q75" s="32">
        <v>80.92</v>
      </c>
      <c r="R75" s="182"/>
      <c r="S75" s="32">
        <v>81.22</v>
      </c>
      <c r="T75" s="182"/>
      <c r="U75" s="32"/>
      <c r="V75" s="182"/>
      <c r="W75" s="56">
        <f>Q75/K75*100</f>
        <v>98.682926829268297</v>
      </c>
      <c r="X75" s="238"/>
      <c r="Y75" s="56">
        <f>S75/M75*100</f>
        <v>99.048780487804876</v>
      </c>
      <c r="Z75" s="238"/>
      <c r="AA75" s="56"/>
      <c r="AB75" s="238"/>
      <c r="AC75" s="74">
        <f>S75</f>
        <v>81.22</v>
      </c>
      <c r="AD75" s="274"/>
      <c r="AE75" s="56">
        <f t="shared" si="13"/>
        <v>99.048780487804876</v>
      </c>
      <c r="AF75" s="32" t="str">
        <f t="shared" si="14"/>
        <v>Sangat Tinggi</v>
      </c>
      <c r="AG75" s="77"/>
      <c r="AH75" s="111"/>
      <c r="AK75" s="104">
        <f>R75</f>
        <v>0</v>
      </c>
    </row>
    <row r="76" spans="1:41" ht="128.25" customHeight="1" x14ac:dyDescent="0.2">
      <c r="A76" s="60"/>
      <c r="B76" s="60"/>
      <c r="C76" s="94" t="s">
        <v>785</v>
      </c>
      <c r="D76" s="14" t="s">
        <v>573</v>
      </c>
      <c r="E76" s="74"/>
      <c r="F76" s="18"/>
      <c r="G76" s="206"/>
      <c r="H76" s="92">
        <v>100</v>
      </c>
      <c r="I76" s="18" t="s">
        <v>27</v>
      </c>
      <c r="J76" s="206">
        <f>87884251517+(87072324017*2)</f>
        <v>262028899551</v>
      </c>
      <c r="K76" s="74"/>
      <c r="L76" s="180"/>
      <c r="M76" s="74"/>
      <c r="N76" s="180"/>
      <c r="O76" s="92">
        <v>100</v>
      </c>
      <c r="P76" s="181">
        <v>98051200575</v>
      </c>
      <c r="Q76" s="74"/>
      <c r="R76" s="208"/>
      <c r="S76" s="32"/>
      <c r="T76" s="208"/>
      <c r="U76" s="32">
        <v>100</v>
      </c>
      <c r="V76" s="337">
        <v>89148607382</v>
      </c>
      <c r="W76" s="56"/>
      <c r="X76" s="237"/>
      <c r="Y76" s="56"/>
      <c r="Z76" s="237"/>
      <c r="AA76" s="56">
        <f>U76/O76*100</f>
        <v>100</v>
      </c>
      <c r="AB76" s="243">
        <f>V76/P76*100</f>
        <v>90.92046487876469</v>
      </c>
      <c r="AC76" s="92">
        <f>U76</f>
        <v>100</v>
      </c>
      <c r="AD76" s="311">
        <f>V76</f>
        <v>89148607382</v>
      </c>
      <c r="AE76" s="56">
        <f t="shared" si="13"/>
        <v>100</v>
      </c>
      <c r="AF76" s="32" t="str">
        <f t="shared" si="14"/>
        <v>Sangat Tinggi</v>
      </c>
      <c r="AG76" s="354">
        <f t="shared" si="15"/>
        <v>34.022433225785676</v>
      </c>
      <c r="AH76" s="111"/>
      <c r="AK76" s="104"/>
    </row>
    <row r="77" spans="1:41" ht="111.75" customHeight="1" x14ac:dyDescent="0.2">
      <c r="A77" s="60"/>
      <c r="B77" s="60"/>
      <c r="C77" s="25"/>
      <c r="D77" s="14" t="s">
        <v>770</v>
      </c>
      <c r="E77" s="74"/>
      <c r="F77" s="18"/>
      <c r="G77" s="250"/>
      <c r="H77" s="92">
        <v>100</v>
      </c>
      <c r="I77" s="18" t="s">
        <v>27</v>
      </c>
      <c r="J77" s="250"/>
      <c r="K77" s="74"/>
      <c r="L77" s="181"/>
      <c r="M77" s="74"/>
      <c r="N77" s="181"/>
      <c r="O77" s="92">
        <v>100</v>
      </c>
      <c r="P77" s="181"/>
      <c r="Q77" s="74"/>
      <c r="R77" s="337"/>
      <c r="S77" s="32"/>
      <c r="T77" s="337"/>
      <c r="U77" s="32">
        <v>100</v>
      </c>
      <c r="V77" s="337"/>
      <c r="W77" s="56"/>
      <c r="X77" s="243"/>
      <c r="Y77" s="56"/>
      <c r="Z77" s="243"/>
      <c r="AA77" s="56">
        <v>100</v>
      </c>
      <c r="AB77" s="243"/>
      <c r="AC77" s="92">
        <v>100</v>
      </c>
      <c r="AD77" s="311"/>
      <c r="AE77" s="56">
        <f t="shared" si="13"/>
        <v>100</v>
      </c>
      <c r="AF77" s="32" t="str">
        <f t="shared" si="14"/>
        <v>Sangat Tinggi</v>
      </c>
      <c r="AG77" s="404"/>
      <c r="AH77" s="111"/>
      <c r="AK77" s="104"/>
    </row>
    <row r="78" spans="1:41" ht="75" x14ac:dyDescent="0.2">
      <c r="A78" s="60"/>
      <c r="B78" s="60"/>
      <c r="C78" s="25"/>
      <c r="D78" s="14" t="s">
        <v>572</v>
      </c>
      <c r="E78" s="74"/>
      <c r="F78" s="18"/>
      <c r="G78" s="250"/>
      <c r="H78" s="74">
        <v>88.18</v>
      </c>
      <c r="I78" s="18" t="s">
        <v>27</v>
      </c>
      <c r="J78" s="250"/>
      <c r="K78" s="74"/>
      <c r="L78" s="181"/>
      <c r="M78" s="74"/>
      <c r="N78" s="181"/>
      <c r="O78" s="74">
        <f>160/203*100</f>
        <v>78.817733990147786</v>
      </c>
      <c r="P78" s="181"/>
      <c r="Q78" s="74"/>
      <c r="R78" s="337"/>
      <c r="S78" s="32"/>
      <c r="T78" s="337"/>
      <c r="U78" s="74">
        <f>160/203*100</f>
        <v>78.817733990147786</v>
      </c>
      <c r="V78" s="337"/>
      <c r="W78" s="56"/>
      <c r="X78" s="243"/>
      <c r="Y78" s="56"/>
      <c r="Z78" s="243"/>
      <c r="AA78" s="56">
        <f>U78/O78*100</f>
        <v>100</v>
      </c>
      <c r="AB78" s="243"/>
      <c r="AC78" s="74">
        <f>U78</f>
        <v>78.817733990147786</v>
      </c>
      <c r="AD78" s="311"/>
      <c r="AE78" s="56">
        <f t="shared" si="13"/>
        <v>89.382778396629377</v>
      </c>
      <c r="AF78" s="32" t="str">
        <f t="shared" si="14"/>
        <v>Tinggi</v>
      </c>
      <c r="AG78" s="77"/>
      <c r="AH78" s="111"/>
      <c r="AK78" s="104"/>
    </row>
    <row r="79" spans="1:41" ht="75" x14ac:dyDescent="0.2">
      <c r="A79" s="13"/>
      <c r="B79" s="13"/>
      <c r="C79" s="94" t="s">
        <v>78</v>
      </c>
      <c r="D79" s="14" t="s">
        <v>542</v>
      </c>
      <c r="E79" s="74">
        <v>55</v>
      </c>
      <c r="F79" s="18" t="s">
        <v>27</v>
      </c>
      <c r="G79" s="3"/>
      <c r="H79" s="74">
        <v>85</v>
      </c>
      <c r="I79" s="18" t="s">
        <v>27</v>
      </c>
      <c r="J79" s="183">
        <v>435506547208</v>
      </c>
      <c r="K79" s="74">
        <v>66.900000000000006</v>
      </c>
      <c r="L79" s="180">
        <v>96621022542</v>
      </c>
      <c r="M79" s="74">
        <v>75.599999999999994</v>
      </c>
      <c r="N79" s="180">
        <v>102096394181</v>
      </c>
      <c r="O79" s="74"/>
      <c r="P79" s="180"/>
      <c r="Q79" s="74">
        <v>83.6</v>
      </c>
      <c r="R79" s="180">
        <v>94918493624</v>
      </c>
      <c r="S79" s="74">
        <v>77.13</v>
      </c>
      <c r="T79" s="180">
        <v>102096394181</v>
      </c>
      <c r="U79" s="74"/>
      <c r="V79" s="180"/>
      <c r="W79" s="56">
        <f>Q79/K79*100</f>
        <v>124.96263079222717</v>
      </c>
      <c r="X79" s="237">
        <f>R79/L79*100</f>
        <v>98.237931173560156</v>
      </c>
      <c r="Y79" s="56">
        <f>S79/M79*100</f>
        <v>102.02380952380952</v>
      </c>
      <c r="Z79" s="237">
        <f>T79/N79*100</f>
        <v>100</v>
      </c>
      <c r="AA79" s="56"/>
      <c r="AB79" s="237"/>
      <c r="AC79" s="74">
        <f>S79</f>
        <v>77.13</v>
      </c>
      <c r="AD79" s="193">
        <f>R79+T79</f>
        <v>197014887805</v>
      </c>
      <c r="AE79" s="56">
        <f t="shared" si="13"/>
        <v>90.741176470588229</v>
      </c>
      <c r="AF79" s="32" t="str">
        <f t="shared" si="14"/>
        <v>Tinggi</v>
      </c>
      <c r="AG79" s="354">
        <f t="shared" si="15"/>
        <v>45.238100108493832</v>
      </c>
      <c r="AH79" s="410" t="s">
        <v>283</v>
      </c>
      <c r="AK79" s="104">
        <f>R79</f>
        <v>94918493624</v>
      </c>
    </row>
    <row r="80" spans="1:41" ht="60" x14ac:dyDescent="0.2">
      <c r="A80" s="60"/>
      <c r="B80" s="60"/>
      <c r="C80" s="25"/>
      <c r="D80" s="212" t="s">
        <v>543</v>
      </c>
      <c r="E80" s="74">
        <v>68</v>
      </c>
      <c r="F80" s="18" t="s">
        <v>27</v>
      </c>
      <c r="G80" s="4"/>
      <c r="H80" s="74">
        <v>78.930000000000007</v>
      </c>
      <c r="I80" s="18" t="s">
        <v>27</v>
      </c>
      <c r="J80" s="179"/>
      <c r="K80" s="74">
        <v>72.03</v>
      </c>
      <c r="L80" s="181"/>
      <c r="M80" s="74"/>
      <c r="N80" s="181"/>
      <c r="O80" s="74"/>
      <c r="P80" s="181"/>
      <c r="Q80" s="145">
        <v>65.400000000000006</v>
      </c>
      <c r="R80" s="181"/>
      <c r="S80" s="145"/>
      <c r="T80" s="181"/>
      <c r="U80" s="145"/>
      <c r="V80" s="181"/>
      <c r="W80" s="56">
        <f>Q80/K80*100</f>
        <v>90.795501874219084</v>
      </c>
      <c r="X80" s="243"/>
      <c r="Y80" s="56"/>
      <c r="Z80" s="243"/>
      <c r="AA80" s="56"/>
      <c r="AB80" s="243"/>
      <c r="AC80" s="74">
        <f>Q80</f>
        <v>65.400000000000006</v>
      </c>
      <c r="AD80" s="311"/>
      <c r="AE80" s="56">
        <f t="shared" si="13"/>
        <v>82.858228810338275</v>
      </c>
      <c r="AF80" s="32" t="str">
        <f t="shared" si="14"/>
        <v>Tinggi</v>
      </c>
      <c r="AG80" s="404"/>
      <c r="AH80" s="111"/>
      <c r="AK80" s="104">
        <f>R80</f>
        <v>0</v>
      </c>
    </row>
    <row r="81" spans="1:37" ht="75" x14ac:dyDescent="0.2">
      <c r="A81" s="60"/>
      <c r="B81" s="60"/>
      <c r="C81" s="20"/>
      <c r="D81" s="14" t="s">
        <v>544</v>
      </c>
      <c r="E81" s="74">
        <v>80</v>
      </c>
      <c r="F81" s="18" t="s">
        <v>27</v>
      </c>
      <c r="G81" s="5"/>
      <c r="H81" s="74">
        <v>82</v>
      </c>
      <c r="I81" s="18" t="s">
        <v>27</v>
      </c>
      <c r="J81" s="49"/>
      <c r="K81" s="74">
        <v>80.5</v>
      </c>
      <c r="L81" s="182"/>
      <c r="M81" s="74">
        <v>80.75</v>
      </c>
      <c r="N81" s="182"/>
      <c r="O81" s="74"/>
      <c r="P81" s="182"/>
      <c r="Q81" s="145">
        <v>75</v>
      </c>
      <c r="R81" s="182"/>
      <c r="S81" s="145">
        <v>0</v>
      </c>
      <c r="T81" s="182"/>
      <c r="U81" s="145"/>
      <c r="V81" s="182"/>
      <c r="W81" s="56">
        <f>Q81/K81*100</f>
        <v>93.16770186335404</v>
      </c>
      <c r="X81" s="238"/>
      <c r="Y81" s="56">
        <f>S81/M81*100</f>
        <v>0</v>
      </c>
      <c r="Z81" s="238"/>
      <c r="AA81" s="56"/>
      <c r="AB81" s="238"/>
      <c r="AC81" s="74">
        <f>S81</f>
        <v>0</v>
      </c>
      <c r="AD81" s="274"/>
      <c r="AE81" s="56">
        <f t="shared" si="13"/>
        <v>0</v>
      </c>
      <c r="AF81" s="32" t="str">
        <f t="shared" si="14"/>
        <v>Sangat Rendah</v>
      </c>
      <c r="AG81" s="77"/>
      <c r="AH81" s="112"/>
      <c r="AK81" s="104">
        <f>R81</f>
        <v>0</v>
      </c>
    </row>
    <row r="82" spans="1:37" ht="78.75" x14ac:dyDescent="0.25">
      <c r="A82" s="66">
        <v>3</v>
      </c>
      <c r="B82" s="61" t="s">
        <v>93</v>
      </c>
      <c r="C82" s="14"/>
      <c r="D82" s="62" t="s">
        <v>271</v>
      </c>
      <c r="E82" s="219">
        <v>83.19</v>
      </c>
      <c r="F82" s="219" t="s">
        <v>56</v>
      </c>
      <c r="G82" s="221"/>
      <c r="H82" s="219">
        <v>88.04</v>
      </c>
      <c r="I82" s="219" t="s">
        <v>56</v>
      </c>
      <c r="J82" s="222">
        <f>SUM(J83:J92)</f>
        <v>6710828600</v>
      </c>
      <c r="K82" s="219">
        <v>84.61</v>
      </c>
      <c r="L82" s="222">
        <f>SUM(L83:L87)</f>
        <v>968608000</v>
      </c>
      <c r="M82" s="219">
        <v>85.46</v>
      </c>
      <c r="N82" s="224">
        <f>SUM(N83:N87)</f>
        <v>603955000</v>
      </c>
      <c r="O82" s="219">
        <v>86.31</v>
      </c>
      <c r="P82" s="224">
        <f>SUM(P88:P92)</f>
        <v>1760037500</v>
      </c>
      <c r="Q82" s="219">
        <v>83.95</v>
      </c>
      <c r="R82" s="224">
        <f>SUM(R83:R87)</f>
        <v>864410972</v>
      </c>
      <c r="S82" s="219">
        <v>85.48</v>
      </c>
      <c r="T82" s="224">
        <f>SUM(T83:T87)</f>
        <v>590707150</v>
      </c>
      <c r="U82" s="219">
        <v>86.33</v>
      </c>
      <c r="V82" s="224">
        <f>SUM(V88:V92)</f>
        <v>1699560100</v>
      </c>
      <c r="W82" s="228">
        <f t="shared" ref="W82:AB82" si="22">Q82/K82*100</f>
        <v>99.219950360477497</v>
      </c>
      <c r="X82" s="240">
        <f t="shared" si="22"/>
        <v>89.242600928342526</v>
      </c>
      <c r="Y82" s="234">
        <f t="shared" si="22"/>
        <v>100.02340276152589</v>
      </c>
      <c r="Z82" s="240">
        <f t="shared" si="22"/>
        <v>97.806483926782633</v>
      </c>
      <c r="AA82" s="234">
        <f>U82/O82*100</f>
        <v>100.02317228594599</v>
      </c>
      <c r="AB82" s="240">
        <f t="shared" si="22"/>
        <v>96.563857304176764</v>
      </c>
      <c r="AC82" s="223">
        <f>U82</f>
        <v>86.33</v>
      </c>
      <c r="AD82" s="308">
        <f>R82+T82+V82</f>
        <v>3154678222</v>
      </c>
      <c r="AE82" s="234">
        <f t="shared" ref="AE82" si="23">AC82/H82*100</f>
        <v>98.057701044979552</v>
      </c>
      <c r="AF82" s="219" t="str">
        <f t="shared" ref="AF82" si="24">IF(AE82&gt;=91,"Sangat Tinggi",IF(AE82&gt;=76,"Tinggi",IF(AE82&gt;=66,"Sedang",IF(AE82&gt;=51,"Rendah",IF(AE82&lt;=50,"Sangat Rendah")))))</f>
        <v>Sangat Tinggi</v>
      </c>
      <c r="AG82" s="234">
        <f t="shared" ref="AG82" si="25">AD82/J82*100</f>
        <v>47.008773581253436</v>
      </c>
      <c r="AH82" s="410" t="s">
        <v>284</v>
      </c>
      <c r="AK82" s="104">
        <f t="shared" ref="AK82:AK87" si="26">R82</f>
        <v>864410972</v>
      </c>
    </row>
    <row r="83" spans="1:37" ht="90" x14ac:dyDescent="0.2">
      <c r="A83" s="60"/>
      <c r="B83" s="60"/>
      <c r="C83" s="14" t="s">
        <v>57</v>
      </c>
      <c r="D83" s="14" t="s">
        <v>167</v>
      </c>
      <c r="E83" s="93">
        <v>59.652999999999999</v>
      </c>
      <c r="F83" s="32" t="s">
        <v>168</v>
      </c>
      <c r="G83" s="8"/>
      <c r="H83" s="178" t="s">
        <v>526</v>
      </c>
      <c r="I83" s="32" t="s">
        <v>168</v>
      </c>
      <c r="J83" s="10">
        <v>814022500</v>
      </c>
      <c r="K83" s="93">
        <v>102.092</v>
      </c>
      <c r="L83" s="10">
        <v>814022500</v>
      </c>
      <c r="M83" s="93"/>
      <c r="N83" s="10"/>
      <c r="O83" s="93"/>
      <c r="P83" s="10"/>
      <c r="Q83" s="93">
        <v>102.092</v>
      </c>
      <c r="R83" s="59">
        <v>742053472</v>
      </c>
      <c r="S83" s="93"/>
      <c r="T83" s="59"/>
      <c r="U83" s="93"/>
      <c r="V83" s="59"/>
      <c r="W83" s="18">
        <f>Q83/K83*100</f>
        <v>100</v>
      </c>
      <c r="X83" s="235">
        <f>R83/L83*100</f>
        <v>91.158840449741874</v>
      </c>
      <c r="Y83" s="18"/>
      <c r="Z83" s="235"/>
      <c r="AA83" s="18"/>
      <c r="AB83" s="235"/>
      <c r="AC83" s="93">
        <f>Q83</f>
        <v>102.092</v>
      </c>
      <c r="AD83" s="274">
        <f>R83+T83</f>
        <v>742053472</v>
      </c>
      <c r="AE83" s="89">
        <f t="shared" ref="AE83:AE92" si="27">AC83/H83*100</f>
        <v>100</v>
      </c>
      <c r="AF83" s="32" t="str">
        <f t="shared" ref="AF83:AF92" si="28">IF(AE83&gt;=91,"Sangat Tinggi",IF(AE83&gt;=76,"Tinggi",IF(AE83&gt;=66,"Sedang",IF(AE83&gt;=51,"Rendah",IF(AE83&lt;=50,"Sangat Rendah")))))</f>
        <v>Sangat Tinggi</v>
      </c>
      <c r="AG83" s="56">
        <f t="shared" ref="AG83:AG92" si="29">AD83/J83*100</f>
        <v>91.158840449741874</v>
      </c>
      <c r="AH83" s="111"/>
      <c r="AK83" s="104">
        <f t="shared" si="26"/>
        <v>742053472</v>
      </c>
    </row>
    <row r="84" spans="1:37" ht="75" x14ac:dyDescent="0.2">
      <c r="A84" s="60"/>
      <c r="B84" s="60"/>
      <c r="C84" s="94" t="s">
        <v>169</v>
      </c>
      <c r="D84" s="14" t="s">
        <v>170</v>
      </c>
      <c r="E84" s="74">
        <v>5.87</v>
      </c>
      <c r="F84" s="18" t="s">
        <v>27</v>
      </c>
      <c r="G84" s="3"/>
      <c r="H84" s="74">
        <v>5.35</v>
      </c>
      <c r="I84" s="18" t="s">
        <v>27</v>
      </c>
      <c r="J84" s="183">
        <v>1449908500</v>
      </c>
      <c r="K84" s="74"/>
      <c r="L84" s="208"/>
      <c r="M84" s="74">
        <v>5.47</v>
      </c>
      <c r="N84" s="208">
        <v>554270000</v>
      </c>
      <c r="O84" s="74"/>
      <c r="P84" s="208"/>
      <c r="Q84" s="90"/>
      <c r="R84" s="208"/>
      <c r="S84" s="32">
        <v>5.47</v>
      </c>
      <c r="T84" s="208">
        <v>544082150</v>
      </c>
      <c r="U84" s="32"/>
      <c r="V84" s="208"/>
      <c r="W84" s="18"/>
      <c r="X84" s="237"/>
      <c r="Y84" s="18">
        <f>S84/M84*100</f>
        <v>100</v>
      </c>
      <c r="Z84" s="237">
        <f>T84/N84*100</f>
        <v>98.161933714615628</v>
      </c>
      <c r="AA84" s="18"/>
      <c r="AB84" s="237"/>
      <c r="AC84" s="74">
        <f>S84</f>
        <v>5.47</v>
      </c>
      <c r="AD84" s="193">
        <f>R84+T84</f>
        <v>544082150</v>
      </c>
      <c r="AE84" s="56">
        <f>AC84/H84*100</f>
        <v>102.24299065420561</v>
      </c>
      <c r="AF84" s="32" t="str">
        <f t="shared" si="28"/>
        <v>Sangat Tinggi</v>
      </c>
      <c r="AG84" s="354">
        <f t="shared" si="29"/>
        <v>37.525274870793574</v>
      </c>
      <c r="AH84" s="111"/>
      <c r="AK84" s="104">
        <f t="shared" si="26"/>
        <v>0</v>
      </c>
    </row>
    <row r="85" spans="1:37" ht="75" x14ac:dyDescent="0.2">
      <c r="A85" s="60"/>
      <c r="B85" s="60"/>
      <c r="C85" s="20"/>
      <c r="D85" s="14" t="s">
        <v>167</v>
      </c>
      <c r="E85" s="93">
        <v>59.652999999999999</v>
      </c>
      <c r="F85" s="32" t="s">
        <v>168</v>
      </c>
      <c r="G85" s="5"/>
      <c r="H85" s="19">
        <v>162.09200000000001</v>
      </c>
      <c r="I85" s="32" t="s">
        <v>168</v>
      </c>
      <c r="J85" s="182"/>
      <c r="K85" s="93"/>
      <c r="L85" s="182"/>
      <c r="M85" s="93">
        <v>117.092</v>
      </c>
      <c r="N85" s="182"/>
      <c r="O85" s="93"/>
      <c r="P85" s="182"/>
      <c r="Q85" s="93"/>
      <c r="R85" s="209"/>
      <c r="S85" s="93">
        <v>117.092</v>
      </c>
      <c r="T85" s="209"/>
      <c r="U85" s="93"/>
      <c r="V85" s="209"/>
      <c r="W85" s="18"/>
      <c r="X85" s="238"/>
      <c r="Y85" s="18">
        <f>S85/M85*100</f>
        <v>100</v>
      </c>
      <c r="Z85" s="238"/>
      <c r="AA85" s="18"/>
      <c r="AB85" s="238"/>
      <c r="AC85" s="19">
        <f>S85</f>
        <v>117.092</v>
      </c>
      <c r="AD85" s="5"/>
      <c r="AE85" s="56">
        <f>AC85/H85*100</f>
        <v>72.237988302939058</v>
      </c>
      <c r="AF85" s="32" t="str">
        <f t="shared" si="28"/>
        <v>Sedang</v>
      </c>
      <c r="AG85" s="77"/>
      <c r="AH85" s="111"/>
      <c r="AK85" s="104">
        <f t="shared" si="26"/>
        <v>0</v>
      </c>
    </row>
    <row r="86" spans="1:37" ht="75" x14ac:dyDescent="0.2">
      <c r="A86" s="13"/>
      <c r="B86" s="13"/>
      <c r="C86" s="94" t="s">
        <v>55</v>
      </c>
      <c r="D86" s="14" t="s">
        <v>171</v>
      </c>
      <c r="E86" s="32" t="s">
        <v>173</v>
      </c>
      <c r="F86" s="18" t="s">
        <v>27</v>
      </c>
      <c r="G86" s="211"/>
      <c r="H86" s="32" t="s">
        <v>174</v>
      </c>
      <c r="I86" s="18" t="s">
        <v>27</v>
      </c>
      <c r="J86" s="183">
        <v>1055705500</v>
      </c>
      <c r="K86" s="32" t="s">
        <v>527</v>
      </c>
      <c r="L86" s="180">
        <v>154585500</v>
      </c>
      <c r="M86" s="32" t="s">
        <v>487</v>
      </c>
      <c r="N86" s="180">
        <v>49685000</v>
      </c>
      <c r="O86" s="32"/>
      <c r="P86" s="180"/>
      <c r="Q86" s="32" t="s">
        <v>487</v>
      </c>
      <c r="R86" s="208">
        <v>122357500</v>
      </c>
      <c r="S86" s="32" t="s">
        <v>487</v>
      </c>
      <c r="T86" s="208">
        <v>46625000</v>
      </c>
      <c r="U86" s="32"/>
      <c r="V86" s="208"/>
      <c r="W86" s="56">
        <f>(17-(15-17))/17*100</f>
        <v>111.76470588235294</v>
      </c>
      <c r="X86" s="237">
        <f>R86/L86*100</f>
        <v>79.151990322507601</v>
      </c>
      <c r="Y86" s="56">
        <f>(15-(15-15))/15*100</f>
        <v>100</v>
      </c>
      <c r="Z86" s="237">
        <f>T86/N86*100</f>
        <v>93.84119955721043</v>
      </c>
      <c r="AA86" s="56"/>
      <c r="AB86" s="237"/>
      <c r="AC86" s="74" t="str">
        <f>S86</f>
        <v>≤ 15</v>
      </c>
      <c r="AD86" s="193">
        <f>R86+T86</f>
        <v>168982500</v>
      </c>
      <c r="AE86" s="89">
        <f>(10-(15-10))/10*100</f>
        <v>50</v>
      </c>
      <c r="AF86" s="32" t="str">
        <f t="shared" si="28"/>
        <v>Sangat Rendah</v>
      </c>
      <c r="AG86" s="354">
        <f t="shared" si="29"/>
        <v>16.006594642161094</v>
      </c>
      <c r="AH86" s="111"/>
      <c r="AK86" s="104">
        <f t="shared" si="26"/>
        <v>122357500</v>
      </c>
    </row>
    <row r="87" spans="1:37" ht="30" x14ac:dyDescent="0.2">
      <c r="A87" s="60"/>
      <c r="B87" s="60"/>
      <c r="C87" s="20"/>
      <c r="D87" s="14" t="s">
        <v>172</v>
      </c>
      <c r="E87" s="74">
        <v>80.900000000000006</v>
      </c>
      <c r="F87" s="32" t="s">
        <v>56</v>
      </c>
      <c r="G87" s="5"/>
      <c r="H87" s="74">
        <v>86.17</v>
      </c>
      <c r="I87" s="32" t="s">
        <v>56</v>
      </c>
      <c r="J87" s="49"/>
      <c r="K87" s="74">
        <v>82.82</v>
      </c>
      <c r="L87" s="182"/>
      <c r="M87" s="74">
        <v>83.65</v>
      </c>
      <c r="N87" s="182"/>
      <c r="O87" s="74"/>
      <c r="P87" s="182"/>
      <c r="Q87" s="74">
        <v>82.82</v>
      </c>
      <c r="R87" s="209"/>
      <c r="S87" s="74">
        <v>84.9</v>
      </c>
      <c r="T87" s="209"/>
      <c r="U87" s="74"/>
      <c r="V87" s="209"/>
      <c r="W87" s="18">
        <f>Q87/K87*100</f>
        <v>100</v>
      </c>
      <c r="X87" s="238"/>
      <c r="Y87" s="18">
        <f>S87/M87*100</f>
        <v>101.49432157800358</v>
      </c>
      <c r="Z87" s="238"/>
      <c r="AA87" s="18"/>
      <c r="AB87" s="238"/>
      <c r="AC87" s="56">
        <f>S87</f>
        <v>84.9</v>
      </c>
      <c r="AD87" s="5"/>
      <c r="AE87" s="56">
        <f t="shared" si="27"/>
        <v>98.526169200417783</v>
      </c>
      <c r="AF87" s="32" t="str">
        <f t="shared" si="28"/>
        <v>Sangat Tinggi</v>
      </c>
      <c r="AG87" s="77"/>
      <c r="AH87" s="111"/>
      <c r="AK87" s="104">
        <f t="shared" si="26"/>
        <v>0</v>
      </c>
    </row>
    <row r="88" spans="1:37" ht="142.5" customHeight="1" x14ac:dyDescent="0.2">
      <c r="A88" s="60"/>
      <c r="B88" s="60"/>
      <c r="C88" s="94" t="s">
        <v>582</v>
      </c>
      <c r="D88" s="14" t="s">
        <v>583</v>
      </c>
      <c r="E88" s="74"/>
      <c r="F88" s="32"/>
      <c r="G88" s="3"/>
      <c r="H88" s="92">
        <v>100</v>
      </c>
      <c r="I88" s="32" t="s">
        <v>27</v>
      </c>
      <c r="J88" s="183">
        <f>373525000+647100000+500060000</f>
        <v>1520685000</v>
      </c>
      <c r="K88" s="74"/>
      <c r="L88" s="180"/>
      <c r="M88" s="74"/>
      <c r="N88" s="180"/>
      <c r="O88" s="358">
        <f>61.087/65.25*100</f>
        <v>93.619923371647516</v>
      </c>
      <c r="P88" s="180">
        <v>873525000</v>
      </c>
      <c r="Q88" s="74"/>
      <c r="R88" s="208"/>
      <c r="S88" s="74"/>
      <c r="T88" s="208"/>
      <c r="U88" s="358">
        <f>72.94/65.25*100</f>
        <v>111.78544061302682</v>
      </c>
      <c r="V88" s="208">
        <v>863298000</v>
      </c>
      <c r="W88" s="18"/>
      <c r="X88" s="237"/>
      <c r="Y88" s="18"/>
      <c r="Z88" s="237"/>
      <c r="AA88" s="56">
        <f>U88/O88*100</f>
        <v>119.40347373418238</v>
      </c>
      <c r="AB88" s="237">
        <f>V88/P88*100</f>
        <v>98.829226410234398</v>
      </c>
      <c r="AC88" s="56">
        <f t="shared" ref="AC88:AC93" si="30">U88</f>
        <v>111.78544061302682</v>
      </c>
      <c r="AD88" s="351">
        <f t="shared" ref="AD88:AD89" si="31">V88</f>
        <v>863298000</v>
      </c>
      <c r="AE88" s="56">
        <f t="shared" si="27"/>
        <v>111.78544061302682</v>
      </c>
      <c r="AF88" s="32" t="str">
        <f t="shared" si="28"/>
        <v>Sangat Tinggi</v>
      </c>
      <c r="AG88" s="56">
        <f t="shared" si="29"/>
        <v>56.770337052052199</v>
      </c>
      <c r="AH88" s="111"/>
      <c r="AK88" s="104"/>
    </row>
    <row r="89" spans="1:37" ht="105" x14ac:dyDescent="0.2">
      <c r="A89" s="60"/>
      <c r="B89" s="60"/>
      <c r="C89" s="94" t="s">
        <v>584</v>
      </c>
      <c r="D89" s="14" t="s">
        <v>172</v>
      </c>
      <c r="E89" s="74"/>
      <c r="F89" s="32"/>
      <c r="G89" s="3"/>
      <c r="H89" s="74">
        <v>86.17</v>
      </c>
      <c r="I89" s="32" t="s">
        <v>56</v>
      </c>
      <c r="J89" s="183">
        <f>180942500+281793500+430117500</f>
        <v>892853500</v>
      </c>
      <c r="K89" s="74"/>
      <c r="L89" s="180"/>
      <c r="M89" s="74"/>
      <c r="N89" s="180"/>
      <c r="O89" s="74">
        <v>84.48</v>
      </c>
      <c r="P89" s="180">
        <v>814892500</v>
      </c>
      <c r="Q89" s="74"/>
      <c r="R89" s="208"/>
      <c r="S89" s="74"/>
      <c r="T89" s="208"/>
      <c r="U89" s="74">
        <v>89.91</v>
      </c>
      <c r="V89" s="208">
        <v>767131300</v>
      </c>
      <c r="W89" s="18"/>
      <c r="X89" s="237"/>
      <c r="Y89" s="18"/>
      <c r="Z89" s="237"/>
      <c r="AA89" s="56">
        <f>U89/O89*100</f>
        <v>106.42755681818181</v>
      </c>
      <c r="AB89" s="237">
        <f>V89/P89*100</f>
        <v>94.138956978988034</v>
      </c>
      <c r="AC89" s="56">
        <f t="shared" si="30"/>
        <v>89.91</v>
      </c>
      <c r="AD89" s="195">
        <f t="shared" si="31"/>
        <v>767131300</v>
      </c>
      <c r="AE89" s="56">
        <f t="shared" si="27"/>
        <v>104.34025763026575</v>
      </c>
      <c r="AF89" s="32" t="str">
        <f t="shared" si="28"/>
        <v>Sangat Tinggi</v>
      </c>
      <c r="AG89" s="354">
        <f t="shared" si="29"/>
        <v>85.919056149749096</v>
      </c>
      <c r="AH89" s="111"/>
      <c r="AK89" s="104"/>
    </row>
    <row r="90" spans="1:37" ht="75" x14ac:dyDescent="0.2">
      <c r="A90" s="60"/>
      <c r="B90" s="60"/>
      <c r="C90" s="25"/>
      <c r="D90" s="94" t="s">
        <v>585</v>
      </c>
      <c r="E90" s="352"/>
      <c r="F90" s="350"/>
      <c r="G90" s="5"/>
      <c r="H90" s="353">
        <v>100</v>
      </c>
      <c r="I90" s="350" t="s">
        <v>27</v>
      </c>
      <c r="J90" s="49"/>
      <c r="K90" s="352"/>
      <c r="L90" s="182"/>
      <c r="M90" s="352"/>
      <c r="N90" s="182"/>
      <c r="O90" s="358">
        <f>69.021/102*100</f>
        <v>67.667647058823533</v>
      </c>
      <c r="P90" s="181"/>
      <c r="Q90" s="352"/>
      <c r="R90" s="337"/>
      <c r="S90" s="352"/>
      <c r="T90" s="337"/>
      <c r="U90" s="358">
        <f>69.021/102*100</f>
        <v>67.667647058823533</v>
      </c>
      <c r="V90" s="337"/>
      <c r="W90" s="122"/>
      <c r="X90" s="243"/>
      <c r="Y90" s="122"/>
      <c r="Z90" s="243"/>
      <c r="AA90" s="354">
        <f>U90/O90*100</f>
        <v>100</v>
      </c>
      <c r="AB90" s="243"/>
      <c r="AC90" s="56">
        <f t="shared" si="30"/>
        <v>67.667647058823533</v>
      </c>
      <c r="AD90" s="242"/>
      <c r="AE90" s="354">
        <f t="shared" si="27"/>
        <v>67.667647058823533</v>
      </c>
      <c r="AF90" s="394" t="str">
        <f t="shared" si="28"/>
        <v>Sedang</v>
      </c>
      <c r="AG90" s="77"/>
      <c r="AH90" s="111"/>
      <c r="AK90" s="104"/>
    </row>
    <row r="91" spans="1:37" ht="60" x14ac:dyDescent="0.2">
      <c r="A91" s="60"/>
      <c r="B91" s="60"/>
      <c r="C91" s="14" t="s">
        <v>586</v>
      </c>
      <c r="D91" s="14" t="s">
        <v>587</v>
      </c>
      <c r="E91" s="74"/>
      <c r="F91" s="32"/>
      <c r="G91" s="8"/>
      <c r="H91" s="74">
        <v>0</v>
      </c>
      <c r="I91" s="32" t="s">
        <v>27</v>
      </c>
      <c r="J91" s="9">
        <v>111667500</v>
      </c>
      <c r="K91" s="74"/>
      <c r="L91" s="10"/>
      <c r="M91" s="74"/>
      <c r="N91" s="10"/>
      <c r="O91" s="74">
        <v>2.7027027027027026</v>
      </c>
      <c r="P91" s="10">
        <v>37222500</v>
      </c>
      <c r="Q91" s="74"/>
      <c r="R91" s="59"/>
      <c r="S91" s="74"/>
      <c r="T91" s="59"/>
      <c r="U91" s="173">
        <f>5/148*100</f>
        <v>3.3783783783783785</v>
      </c>
      <c r="V91" s="59">
        <v>35977900</v>
      </c>
      <c r="W91" s="18"/>
      <c r="X91" s="235"/>
      <c r="Y91" s="18"/>
      <c r="Z91" s="235"/>
      <c r="AA91" s="89">
        <f>(O91-(U91-O91))/O91*100</f>
        <v>74.999999999999986</v>
      </c>
      <c r="AB91" s="235">
        <f>V91/P91*100</f>
        <v>96.656323460272688</v>
      </c>
      <c r="AC91" s="56">
        <f t="shared" si="30"/>
        <v>3.3783783783783785</v>
      </c>
      <c r="AD91" s="23">
        <f>V91</f>
        <v>35977900</v>
      </c>
      <c r="AE91" s="56">
        <v>10</v>
      </c>
      <c r="AF91" s="32" t="str">
        <f t="shared" si="28"/>
        <v>Sangat Rendah</v>
      </c>
      <c r="AG91" s="56">
        <f>AD91/J91*100</f>
        <v>32.21877448675756</v>
      </c>
      <c r="AH91" s="111"/>
      <c r="AK91" s="104"/>
    </row>
    <row r="92" spans="1:37" ht="126.75" customHeight="1" x14ac:dyDescent="0.2">
      <c r="A92" s="60"/>
      <c r="B92" s="60"/>
      <c r="C92" s="14" t="s">
        <v>776</v>
      </c>
      <c r="D92" s="14" t="s">
        <v>777</v>
      </c>
      <c r="E92" s="74"/>
      <c r="F92" s="32"/>
      <c r="G92" s="8"/>
      <c r="H92" s="92">
        <v>91</v>
      </c>
      <c r="I92" s="32" t="s">
        <v>27</v>
      </c>
      <c r="J92" s="9">
        <f>34397500+(415794300*2)</f>
        <v>865986100</v>
      </c>
      <c r="K92" s="74"/>
      <c r="L92" s="10"/>
      <c r="M92" s="74"/>
      <c r="N92" s="10"/>
      <c r="O92" s="92">
        <v>89</v>
      </c>
      <c r="P92" s="10">
        <v>34397500</v>
      </c>
      <c r="Q92" s="74"/>
      <c r="R92" s="59"/>
      <c r="S92" s="74"/>
      <c r="T92" s="59"/>
      <c r="U92" s="92">
        <f>59/59*100</f>
        <v>100</v>
      </c>
      <c r="V92" s="59">
        <v>33152900</v>
      </c>
      <c r="W92" s="18"/>
      <c r="X92" s="235"/>
      <c r="Y92" s="18"/>
      <c r="Z92" s="235"/>
      <c r="AA92" s="354">
        <f>U92/O92*100</f>
        <v>112.35955056179776</v>
      </c>
      <c r="AB92" s="235">
        <f>V92/P92*100</f>
        <v>96.381713787339194</v>
      </c>
      <c r="AC92" s="56">
        <f t="shared" si="30"/>
        <v>100</v>
      </c>
      <c r="AD92" s="23">
        <f>V92</f>
        <v>33152900</v>
      </c>
      <c r="AE92" s="56">
        <f t="shared" si="27"/>
        <v>109.8901098901099</v>
      </c>
      <c r="AF92" s="32" t="str">
        <f t="shared" si="28"/>
        <v>Sangat Tinggi</v>
      </c>
      <c r="AG92" s="56">
        <f t="shared" si="29"/>
        <v>3.8283408936933285</v>
      </c>
      <c r="AH92" s="112"/>
      <c r="AK92" s="104"/>
    </row>
    <row r="93" spans="1:37" ht="110.25" x14ac:dyDescent="0.25">
      <c r="A93" s="66">
        <v>4</v>
      </c>
      <c r="B93" s="61" t="s">
        <v>79</v>
      </c>
      <c r="C93" s="14"/>
      <c r="D93" s="62" t="s">
        <v>272</v>
      </c>
      <c r="E93" s="223">
        <v>52</v>
      </c>
      <c r="F93" s="219" t="s">
        <v>27</v>
      </c>
      <c r="G93" s="221"/>
      <c r="H93" s="223">
        <v>75</v>
      </c>
      <c r="I93" s="219" t="s">
        <v>27</v>
      </c>
      <c r="J93" s="222">
        <f>SUM(J94:J113)</f>
        <v>565598876526</v>
      </c>
      <c r="K93" s="223">
        <v>57</v>
      </c>
      <c r="L93" s="222">
        <f>SUM(L94:L111)</f>
        <v>44197398540</v>
      </c>
      <c r="M93" s="223">
        <v>61</v>
      </c>
      <c r="N93" s="222">
        <f>SUM(N94:N111)</f>
        <v>45448312000</v>
      </c>
      <c r="O93" s="223">
        <v>67</v>
      </c>
      <c r="P93" s="222">
        <f>SUM(P94:P113)</f>
        <v>166431248316</v>
      </c>
      <c r="Q93" s="223">
        <v>57</v>
      </c>
      <c r="R93" s="222">
        <f>SUM(R94:R111)</f>
        <v>43131384744</v>
      </c>
      <c r="S93" s="223">
        <v>61</v>
      </c>
      <c r="T93" s="222">
        <f>SUM(T94:T111)</f>
        <v>43538621347</v>
      </c>
      <c r="U93" s="223">
        <v>95.8</v>
      </c>
      <c r="V93" s="222">
        <f>SUM(V94:V113)</f>
        <v>150496150312</v>
      </c>
      <c r="W93" s="234">
        <f t="shared" ref="W93:AB93" si="32">Q93/K93*100</f>
        <v>100</v>
      </c>
      <c r="X93" s="240">
        <f t="shared" si="32"/>
        <v>97.588062123078984</v>
      </c>
      <c r="Y93" s="234">
        <f t="shared" si="32"/>
        <v>100</v>
      </c>
      <c r="Z93" s="240">
        <f t="shared" si="32"/>
        <v>95.798104332235695</v>
      </c>
      <c r="AA93" s="234">
        <f t="shared" si="32"/>
        <v>142.98507462686567</v>
      </c>
      <c r="AB93" s="240">
        <f t="shared" si="32"/>
        <v>90.42541700237426</v>
      </c>
      <c r="AC93" s="223">
        <f t="shared" si="30"/>
        <v>95.8</v>
      </c>
      <c r="AD93" s="308">
        <f>R93+T93+V93</f>
        <v>237166156403</v>
      </c>
      <c r="AE93" s="234">
        <f t="shared" ref="AE93" si="33">AC93/H93*100</f>
        <v>127.73333333333332</v>
      </c>
      <c r="AF93" s="219" t="str">
        <f t="shared" ref="AF93" si="34">IF(AE93&gt;=91,"Sangat Tinggi",IF(AE93&gt;=76,"Tinggi",IF(AE93&gt;=66,"Sedang",IF(AE93&gt;=51,"Rendah",IF(AE93&lt;=50,"Sangat Rendah")))))</f>
        <v>Sangat Tinggi</v>
      </c>
      <c r="AG93" s="234">
        <f t="shared" ref="AG93" si="35">AD93/J93*100</f>
        <v>41.93186483320352</v>
      </c>
      <c r="AH93" s="410" t="s">
        <v>285</v>
      </c>
      <c r="AK93" s="104">
        <f>R93</f>
        <v>43131384744</v>
      </c>
    </row>
    <row r="94" spans="1:37" ht="90" x14ac:dyDescent="0.2">
      <c r="A94" s="66"/>
      <c r="B94" s="61"/>
      <c r="C94" s="14" t="s">
        <v>75</v>
      </c>
      <c r="D94" s="14" t="s">
        <v>175</v>
      </c>
      <c r="E94" s="74">
        <v>0.62</v>
      </c>
      <c r="F94" s="32" t="s">
        <v>27</v>
      </c>
      <c r="G94" s="8"/>
      <c r="H94" s="74">
        <v>3.75</v>
      </c>
      <c r="I94" s="32" t="s">
        <v>27</v>
      </c>
      <c r="J94" s="9">
        <v>4263785000</v>
      </c>
      <c r="K94" s="74">
        <v>1.25</v>
      </c>
      <c r="L94" s="10">
        <v>2035039000</v>
      </c>
      <c r="M94" s="74">
        <v>1.87</v>
      </c>
      <c r="N94" s="10">
        <v>2228746000</v>
      </c>
      <c r="O94" s="74"/>
      <c r="P94" s="10"/>
      <c r="Q94" s="74">
        <v>1.25</v>
      </c>
      <c r="R94" s="10">
        <v>1796465236</v>
      </c>
      <c r="S94" s="74">
        <f>4/160*100</f>
        <v>2.5</v>
      </c>
      <c r="T94" s="10">
        <v>2093864171</v>
      </c>
      <c r="U94" s="74"/>
      <c r="V94" s="10"/>
      <c r="W94" s="56">
        <f t="shared" ref="W94:Z97" si="36">Q94/K94*100</f>
        <v>100</v>
      </c>
      <c r="X94" s="235">
        <f t="shared" si="36"/>
        <v>88.276698186128129</v>
      </c>
      <c r="Y94" s="56">
        <f t="shared" si="36"/>
        <v>133.68983957219251</v>
      </c>
      <c r="Z94" s="235">
        <f t="shared" si="36"/>
        <v>93.948084303909013</v>
      </c>
      <c r="AA94" s="56"/>
      <c r="AB94" s="235"/>
      <c r="AC94" s="74">
        <f>S94</f>
        <v>2.5</v>
      </c>
      <c r="AD94" s="274">
        <f>R94+T94</f>
        <v>3890329407</v>
      </c>
      <c r="AE94" s="56">
        <f t="shared" ref="AE94:AE113" si="37">AC94/H94*100</f>
        <v>66.666666666666657</v>
      </c>
      <c r="AF94" s="32" t="str">
        <f t="shared" ref="AF94:AF113" si="38">IF(AE94&gt;=91,"Sangat Tinggi",IF(AE94&gt;=76,"Tinggi",IF(AE94&gt;=66,"Sedang",IF(AE94&gt;=51,"Rendah",IF(AE94&lt;=50,"Sangat Rendah")))))</f>
        <v>Sedang</v>
      </c>
      <c r="AG94" s="56">
        <f>AD94/J94*100</f>
        <v>91.241218940448448</v>
      </c>
      <c r="AH94" s="410" t="s">
        <v>279</v>
      </c>
      <c r="AK94" s="104">
        <f>R94</f>
        <v>1796465236</v>
      </c>
    </row>
    <row r="95" spans="1:37" ht="75" x14ac:dyDescent="0.2">
      <c r="A95" s="66"/>
      <c r="B95" s="61"/>
      <c r="C95" s="14" t="s">
        <v>76</v>
      </c>
      <c r="D95" s="14" t="s">
        <v>176</v>
      </c>
      <c r="E95" s="74">
        <v>18.510000000000002</v>
      </c>
      <c r="F95" s="32" t="s">
        <v>27</v>
      </c>
      <c r="G95" s="8"/>
      <c r="H95" s="74">
        <v>40.74</v>
      </c>
      <c r="I95" s="32" t="s">
        <v>27</v>
      </c>
      <c r="J95" s="9">
        <v>8618875000</v>
      </c>
      <c r="K95" s="74">
        <v>25.92</v>
      </c>
      <c r="L95" s="10">
        <v>1727136175</v>
      </c>
      <c r="M95" s="74">
        <v>25.92</v>
      </c>
      <c r="N95" s="10">
        <v>1593670000</v>
      </c>
      <c r="O95" s="74"/>
      <c r="P95" s="10"/>
      <c r="Q95" s="74">
        <v>26.67</v>
      </c>
      <c r="R95" s="10">
        <v>1346489900</v>
      </c>
      <c r="S95" s="74">
        <v>26.67</v>
      </c>
      <c r="T95" s="10">
        <v>1483866675</v>
      </c>
      <c r="U95" s="74"/>
      <c r="V95" s="10"/>
      <c r="W95" s="56">
        <f t="shared" si="36"/>
        <v>102.8935185185185</v>
      </c>
      <c r="X95" s="235">
        <f t="shared" si="36"/>
        <v>77.960841738492334</v>
      </c>
      <c r="Y95" s="56">
        <f t="shared" si="36"/>
        <v>102.8935185185185</v>
      </c>
      <c r="Z95" s="235">
        <f t="shared" si="36"/>
        <v>93.110033758557293</v>
      </c>
      <c r="AA95" s="56"/>
      <c r="AB95" s="235"/>
      <c r="AC95" s="74">
        <f>S95</f>
        <v>26.67</v>
      </c>
      <c r="AD95" s="274">
        <f>R95+T95</f>
        <v>2830356575</v>
      </c>
      <c r="AE95" s="56">
        <f t="shared" si="37"/>
        <v>65.463917525773198</v>
      </c>
      <c r="AF95" s="32" t="str">
        <f t="shared" si="38"/>
        <v>Rendah</v>
      </c>
      <c r="AG95" s="56">
        <f t="shared" ref="AG95:AG113" si="39">AD95/J95*100</f>
        <v>32.8390488897913</v>
      </c>
      <c r="AH95" s="111"/>
      <c r="AK95" s="104">
        <f>R95</f>
        <v>1346489900</v>
      </c>
    </row>
    <row r="96" spans="1:37" ht="90" x14ac:dyDescent="0.2">
      <c r="A96" s="66"/>
      <c r="B96" s="61"/>
      <c r="C96" s="14" t="s">
        <v>42</v>
      </c>
      <c r="D96" s="14" t="s">
        <v>177</v>
      </c>
      <c r="E96" s="74">
        <v>2.9</v>
      </c>
      <c r="F96" s="32" t="s">
        <v>27</v>
      </c>
      <c r="G96" s="8"/>
      <c r="H96" s="74">
        <v>9.1300000000000008</v>
      </c>
      <c r="I96" s="32" t="s">
        <v>27</v>
      </c>
      <c r="J96" s="9">
        <v>39047873000</v>
      </c>
      <c r="K96" s="74">
        <v>4.1500000000000004</v>
      </c>
      <c r="L96" s="10">
        <v>18164219600</v>
      </c>
      <c r="M96" s="74">
        <v>5.39</v>
      </c>
      <c r="N96" s="10">
        <v>16779438000</v>
      </c>
      <c r="O96" s="74"/>
      <c r="P96" s="10"/>
      <c r="Q96" s="74">
        <v>7.21</v>
      </c>
      <c r="R96" s="10">
        <v>18144840520</v>
      </c>
      <c r="S96" s="74">
        <v>93.69</v>
      </c>
      <c r="T96" s="10">
        <v>16069900212</v>
      </c>
      <c r="U96" s="74"/>
      <c r="V96" s="10"/>
      <c r="W96" s="56">
        <f t="shared" si="36"/>
        <v>173.73493975903614</v>
      </c>
      <c r="X96" s="235">
        <f t="shared" si="36"/>
        <v>99.893311794138413</v>
      </c>
      <c r="Y96" s="21">
        <f t="shared" si="36"/>
        <v>1738.2189239332097</v>
      </c>
      <c r="Z96" s="235">
        <f t="shared" si="36"/>
        <v>95.771385263320497</v>
      </c>
      <c r="AA96" s="21"/>
      <c r="AB96" s="235"/>
      <c r="AC96" s="74">
        <f>S96</f>
        <v>93.69</v>
      </c>
      <c r="AD96" s="274">
        <f>R96+T96</f>
        <v>34214740732</v>
      </c>
      <c r="AE96" s="89">
        <f>AC96/H96*100</f>
        <v>1026.1774370208104</v>
      </c>
      <c r="AF96" s="32" t="str">
        <f t="shared" si="38"/>
        <v>Sangat Tinggi</v>
      </c>
      <c r="AG96" s="56">
        <f t="shared" si="39"/>
        <v>87.622546641657024</v>
      </c>
      <c r="AH96" s="111"/>
      <c r="AK96" s="104">
        <f>R96</f>
        <v>18144840520</v>
      </c>
    </row>
    <row r="97" spans="1:37" ht="105" x14ac:dyDescent="0.2">
      <c r="A97" s="66"/>
      <c r="B97" s="61"/>
      <c r="C97" s="14" t="s">
        <v>95</v>
      </c>
      <c r="D97" s="14" t="s">
        <v>178</v>
      </c>
      <c r="E97" s="74">
        <v>31.25</v>
      </c>
      <c r="F97" s="32" t="s">
        <v>27</v>
      </c>
      <c r="G97" s="8"/>
      <c r="H97" s="74">
        <v>59.38</v>
      </c>
      <c r="I97" s="32" t="s">
        <v>27</v>
      </c>
      <c r="J97" s="9">
        <v>20442440000</v>
      </c>
      <c r="K97" s="74">
        <v>25</v>
      </c>
      <c r="L97" s="10">
        <v>9324446000</v>
      </c>
      <c r="M97" s="74">
        <v>34</v>
      </c>
      <c r="N97" s="10">
        <v>11117994000</v>
      </c>
      <c r="O97" s="74"/>
      <c r="P97" s="10"/>
      <c r="Q97" s="74">
        <v>81.97</v>
      </c>
      <c r="R97" s="10">
        <v>9253839000</v>
      </c>
      <c r="S97" s="74">
        <v>93.69</v>
      </c>
      <c r="T97" s="10">
        <v>10259663790</v>
      </c>
      <c r="U97" s="74"/>
      <c r="V97" s="10"/>
      <c r="W97" s="56">
        <f t="shared" si="36"/>
        <v>327.88</v>
      </c>
      <c r="X97" s="235">
        <f t="shared" si="36"/>
        <v>99.242775388478847</v>
      </c>
      <c r="Y97" s="56">
        <f t="shared" si="36"/>
        <v>275.55882352941177</v>
      </c>
      <c r="Z97" s="235">
        <f t="shared" si="36"/>
        <v>92.279810458613312</v>
      </c>
      <c r="AA97" s="56"/>
      <c r="AB97" s="235"/>
      <c r="AC97" s="74">
        <f>S97</f>
        <v>93.69</v>
      </c>
      <c r="AD97" s="274">
        <f>R97+T97</f>
        <v>19513502790</v>
      </c>
      <c r="AE97" s="56">
        <f t="shared" si="37"/>
        <v>157.78039744021555</v>
      </c>
      <c r="AF97" s="32" t="str">
        <f t="shared" si="38"/>
        <v>Sangat Tinggi</v>
      </c>
      <c r="AG97" s="56">
        <f t="shared" si="39"/>
        <v>95.455839860603717</v>
      </c>
      <c r="AH97" s="111"/>
      <c r="AK97" s="104">
        <f>R97</f>
        <v>9253839000</v>
      </c>
    </row>
    <row r="98" spans="1:37" ht="65.25" customHeight="1" x14ac:dyDescent="0.2">
      <c r="A98" s="60"/>
      <c r="B98" s="60"/>
      <c r="C98" s="94" t="s">
        <v>567</v>
      </c>
      <c r="D98" s="14" t="s">
        <v>764</v>
      </c>
      <c r="E98" s="32"/>
      <c r="F98" s="35"/>
      <c r="G98" s="3"/>
      <c r="H98" s="74">
        <v>12.5</v>
      </c>
      <c r="I98" s="35" t="s">
        <v>27</v>
      </c>
      <c r="J98" s="183">
        <f>45500488000*3</f>
        <v>136501464000</v>
      </c>
      <c r="K98" s="74"/>
      <c r="L98" s="180"/>
      <c r="M98" s="74"/>
      <c r="N98" s="180"/>
      <c r="O98" s="74">
        <v>6.87</v>
      </c>
      <c r="P98" s="180">
        <v>54391414275</v>
      </c>
      <c r="Q98" s="32"/>
      <c r="R98" s="180"/>
      <c r="S98" s="32"/>
      <c r="T98" s="180"/>
      <c r="U98" s="32">
        <v>1.25</v>
      </c>
      <c r="V98" s="180">
        <v>47457930074</v>
      </c>
      <c r="W98" s="18"/>
      <c r="X98" s="237"/>
      <c r="Y98" s="18"/>
      <c r="Z98" s="237"/>
      <c r="AA98" s="56">
        <f t="shared" ref="AA98:AA105" si="40">U98/O98*100</f>
        <v>18.195050946142651</v>
      </c>
      <c r="AB98" s="237"/>
      <c r="AC98" s="56">
        <f>U98</f>
        <v>1.25</v>
      </c>
      <c r="AD98" s="347">
        <f>V98</f>
        <v>47457930074</v>
      </c>
      <c r="AE98" s="56">
        <f t="shared" si="37"/>
        <v>10</v>
      </c>
      <c r="AF98" s="32" t="str">
        <f t="shared" si="38"/>
        <v>Sangat Rendah</v>
      </c>
      <c r="AG98" s="354">
        <f t="shared" si="39"/>
        <v>34.767341450638213</v>
      </c>
      <c r="AH98" s="111"/>
      <c r="AK98" s="104"/>
    </row>
    <row r="99" spans="1:37" ht="66.75" customHeight="1" x14ac:dyDescent="0.2">
      <c r="A99" s="60"/>
      <c r="B99" s="60"/>
      <c r="C99" s="25"/>
      <c r="D99" s="14" t="s">
        <v>766</v>
      </c>
      <c r="E99" s="32"/>
      <c r="F99" s="35"/>
      <c r="G99" s="4"/>
      <c r="H99" s="92">
        <v>100</v>
      </c>
      <c r="I99" s="35" t="s">
        <v>27</v>
      </c>
      <c r="J99" s="179"/>
      <c r="K99" s="74"/>
      <c r="L99" s="181"/>
      <c r="M99" s="74"/>
      <c r="N99" s="181"/>
      <c r="O99" s="74">
        <v>46.67</v>
      </c>
      <c r="P99" s="181"/>
      <c r="Q99" s="32"/>
      <c r="R99" s="181"/>
      <c r="S99" s="32"/>
      <c r="T99" s="181"/>
      <c r="U99" s="74">
        <f>7/15*100</f>
        <v>46.666666666666664</v>
      </c>
      <c r="V99" s="181"/>
      <c r="W99" s="18"/>
      <c r="X99" s="243"/>
      <c r="Y99" s="18"/>
      <c r="Z99" s="243"/>
      <c r="AA99" s="56">
        <f t="shared" si="40"/>
        <v>99.992857653024785</v>
      </c>
      <c r="AB99" s="243"/>
      <c r="AC99" s="56">
        <f t="shared" ref="AC99:AC105" si="41">U99</f>
        <v>46.666666666666664</v>
      </c>
      <c r="AD99" s="336"/>
      <c r="AE99" s="56">
        <f t="shared" si="37"/>
        <v>46.666666666666664</v>
      </c>
      <c r="AF99" s="32" t="str">
        <f t="shared" si="38"/>
        <v>Sangat Rendah</v>
      </c>
      <c r="AG99" s="404"/>
      <c r="AH99" s="111"/>
      <c r="AK99" s="104"/>
    </row>
    <row r="100" spans="1:37" ht="105" x14ac:dyDescent="0.2">
      <c r="A100" s="60"/>
      <c r="B100" s="60"/>
      <c r="C100" s="25"/>
      <c r="D100" s="14" t="s">
        <v>765</v>
      </c>
      <c r="E100" s="32"/>
      <c r="F100" s="35"/>
      <c r="G100" s="4"/>
      <c r="H100" s="92">
        <v>100</v>
      </c>
      <c r="I100" s="35" t="s">
        <v>27</v>
      </c>
      <c r="J100" s="179"/>
      <c r="K100" s="74"/>
      <c r="L100" s="181"/>
      <c r="M100" s="74"/>
      <c r="N100" s="181"/>
      <c r="O100" s="92">
        <v>100</v>
      </c>
      <c r="P100" s="181"/>
      <c r="Q100" s="32"/>
      <c r="R100" s="181"/>
      <c r="S100" s="32"/>
      <c r="T100" s="181"/>
      <c r="U100" s="32">
        <v>100</v>
      </c>
      <c r="V100" s="181"/>
      <c r="W100" s="18"/>
      <c r="X100" s="243"/>
      <c r="Y100" s="18"/>
      <c r="Z100" s="243"/>
      <c r="AA100" s="89">
        <f t="shared" si="40"/>
        <v>100</v>
      </c>
      <c r="AB100" s="243"/>
      <c r="AC100" s="89">
        <f t="shared" si="41"/>
        <v>100</v>
      </c>
      <c r="AD100" s="336"/>
      <c r="AE100" s="56">
        <f t="shared" si="37"/>
        <v>100</v>
      </c>
      <c r="AF100" s="32" t="str">
        <f t="shared" si="38"/>
        <v>Sangat Tinggi</v>
      </c>
      <c r="AG100" s="404"/>
      <c r="AH100" s="111"/>
      <c r="AK100" s="104"/>
    </row>
    <row r="101" spans="1:37" ht="60" x14ac:dyDescent="0.2">
      <c r="A101" s="60"/>
      <c r="B101" s="60"/>
      <c r="C101" s="25"/>
      <c r="D101" s="14" t="s">
        <v>149</v>
      </c>
      <c r="E101" s="32"/>
      <c r="F101" s="35"/>
      <c r="G101" s="4"/>
      <c r="H101" s="92">
        <v>100</v>
      </c>
      <c r="I101" s="35" t="s">
        <v>27</v>
      </c>
      <c r="J101" s="179"/>
      <c r="K101" s="74"/>
      <c r="L101" s="181"/>
      <c r="M101" s="74"/>
      <c r="N101" s="181"/>
      <c r="O101" s="92">
        <v>100</v>
      </c>
      <c r="P101" s="181"/>
      <c r="Q101" s="32"/>
      <c r="R101" s="181"/>
      <c r="S101" s="32"/>
      <c r="T101" s="181"/>
      <c r="U101" s="32">
        <v>100</v>
      </c>
      <c r="V101" s="181"/>
      <c r="W101" s="18"/>
      <c r="X101" s="243"/>
      <c r="Y101" s="18"/>
      <c r="Z101" s="243"/>
      <c r="AA101" s="89">
        <f t="shared" si="40"/>
        <v>100</v>
      </c>
      <c r="AB101" s="243"/>
      <c r="AC101" s="89">
        <f t="shared" si="41"/>
        <v>100</v>
      </c>
      <c r="AD101" s="336"/>
      <c r="AE101" s="56">
        <f t="shared" si="37"/>
        <v>100</v>
      </c>
      <c r="AF101" s="32" t="str">
        <f t="shared" si="38"/>
        <v>Sangat Tinggi</v>
      </c>
      <c r="AG101" s="404"/>
      <c r="AH101" s="111"/>
      <c r="AK101" s="104"/>
    </row>
    <row r="102" spans="1:37" ht="60" x14ac:dyDescent="0.2">
      <c r="A102" s="60"/>
      <c r="B102" s="60"/>
      <c r="C102" s="25"/>
      <c r="D102" s="14" t="s">
        <v>767</v>
      </c>
      <c r="E102" s="32"/>
      <c r="F102" s="35"/>
      <c r="G102" s="4"/>
      <c r="H102" s="92">
        <v>15</v>
      </c>
      <c r="I102" s="35" t="s">
        <v>27</v>
      </c>
      <c r="J102" s="179"/>
      <c r="K102" s="74"/>
      <c r="L102" s="181"/>
      <c r="M102" s="74"/>
      <c r="N102" s="181"/>
      <c r="O102" s="74">
        <v>12.9</v>
      </c>
      <c r="P102" s="181"/>
      <c r="Q102" s="32"/>
      <c r="R102" s="181"/>
      <c r="S102" s="32"/>
      <c r="T102" s="181"/>
      <c r="U102" s="74">
        <f>28/242*100</f>
        <v>11.570247933884298</v>
      </c>
      <c r="V102" s="181"/>
      <c r="W102" s="18"/>
      <c r="X102" s="243"/>
      <c r="Y102" s="18"/>
      <c r="Z102" s="243"/>
      <c r="AA102" s="56">
        <f t="shared" si="40"/>
        <v>89.691844448715486</v>
      </c>
      <c r="AB102" s="243"/>
      <c r="AC102" s="56">
        <f t="shared" si="41"/>
        <v>11.570247933884298</v>
      </c>
      <c r="AD102" s="336"/>
      <c r="AE102" s="56">
        <f t="shared" si="37"/>
        <v>77.134986225895318</v>
      </c>
      <c r="AF102" s="32" t="str">
        <f t="shared" si="38"/>
        <v>Tinggi</v>
      </c>
      <c r="AG102" s="404"/>
      <c r="AH102" s="111"/>
      <c r="AK102" s="104"/>
    </row>
    <row r="103" spans="1:37" ht="60" x14ac:dyDescent="0.2">
      <c r="A103" s="60"/>
      <c r="B103" s="60"/>
      <c r="C103" s="25"/>
      <c r="D103" s="14" t="s">
        <v>152</v>
      </c>
      <c r="E103" s="32"/>
      <c r="F103" s="35"/>
      <c r="G103" s="4"/>
      <c r="H103" s="92">
        <v>100</v>
      </c>
      <c r="I103" s="35" t="s">
        <v>27</v>
      </c>
      <c r="J103" s="179"/>
      <c r="K103" s="74"/>
      <c r="L103" s="181"/>
      <c r="M103" s="74"/>
      <c r="N103" s="181"/>
      <c r="O103" s="92">
        <v>100</v>
      </c>
      <c r="P103" s="181"/>
      <c r="Q103" s="32"/>
      <c r="R103" s="181"/>
      <c r="S103" s="32"/>
      <c r="T103" s="181"/>
      <c r="U103" s="32">
        <v>94</v>
      </c>
      <c r="V103" s="181"/>
      <c r="W103" s="18"/>
      <c r="X103" s="243"/>
      <c r="Y103" s="18"/>
      <c r="Z103" s="243"/>
      <c r="AA103" s="56">
        <f t="shared" si="40"/>
        <v>94</v>
      </c>
      <c r="AB103" s="243"/>
      <c r="AC103" s="89">
        <f t="shared" si="41"/>
        <v>94</v>
      </c>
      <c r="AD103" s="336"/>
      <c r="AE103" s="56">
        <f t="shared" si="37"/>
        <v>94</v>
      </c>
      <c r="AF103" s="32" t="str">
        <f t="shared" si="38"/>
        <v>Sangat Tinggi</v>
      </c>
      <c r="AG103" s="404"/>
      <c r="AH103" s="111"/>
      <c r="AK103" s="104"/>
    </row>
    <row r="104" spans="1:37" ht="75" x14ac:dyDescent="0.2">
      <c r="A104" s="60"/>
      <c r="B104" s="60"/>
      <c r="C104" s="25"/>
      <c r="D104" s="14" t="s">
        <v>768</v>
      </c>
      <c r="E104" s="32"/>
      <c r="F104" s="35"/>
      <c r="G104" s="4"/>
      <c r="H104" s="92">
        <v>27</v>
      </c>
      <c r="I104" s="35" t="s">
        <v>27</v>
      </c>
      <c r="J104" s="179"/>
      <c r="K104" s="74"/>
      <c r="L104" s="181"/>
      <c r="M104" s="74"/>
      <c r="N104" s="181"/>
      <c r="O104" s="92">
        <v>40</v>
      </c>
      <c r="P104" s="181"/>
      <c r="Q104" s="32"/>
      <c r="R104" s="181"/>
      <c r="S104" s="32"/>
      <c r="T104" s="181"/>
      <c r="U104" s="74">
        <f>8/37*100</f>
        <v>21.621621621621621</v>
      </c>
      <c r="V104" s="181"/>
      <c r="W104" s="18"/>
      <c r="X104" s="243"/>
      <c r="Y104" s="18"/>
      <c r="Z104" s="243"/>
      <c r="AA104" s="56">
        <f t="shared" si="40"/>
        <v>54.054054054054056</v>
      </c>
      <c r="AB104" s="243"/>
      <c r="AC104" s="56">
        <f t="shared" si="41"/>
        <v>21.621621621621621</v>
      </c>
      <c r="AD104" s="336"/>
      <c r="AE104" s="56">
        <f t="shared" si="37"/>
        <v>80.08008008008008</v>
      </c>
      <c r="AF104" s="32" t="str">
        <f t="shared" si="38"/>
        <v>Tinggi</v>
      </c>
      <c r="AG104" s="404"/>
      <c r="AH104" s="111"/>
      <c r="AK104" s="104"/>
    </row>
    <row r="105" spans="1:37" ht="60" x14ac:dyDescent="0.2">
      <c r="A105" s="60"/>
      <c r="B105" s="60"/>
      <c r="C105" s="25"/>
      <c r="D105" s="14" t="s">
        <v>769</v>
      </c>
      <c r="E105" s="32"/>
      <c r="F105" s="35"/>
      <c r="G105" s="4"/>
      <c r="H105" s="92">
        <v>100</v>
      </c>
      <c r="I105" s="35" t="s">
        <v>27</v>
      </c>
      <c r="J105" s="179"/>
      <c r="K105" s="74"/>
      <c r="L105" s="181"/>
      <c r="M105" s="74"/>
      <c r="N105" s="181"/>
      <c r="O105" s="92">
        <v>90</v>
      </c>
      <c r="P105" s="181"/>
      <c r="Q105" s="32"/>
      <c r="R105" s="181"/>
      <c r="S105" s="32"/>
      <c r="T105" s="181"/>
      <c r="U105" s="74">
        <v>91.7</v>
      </c>
      <c r="V105" s="181"/>
      <c r="W105" s="18"/>
      <c r="X105" s="243"/>
      <c r="Y105" s="18"/>
      <c r="Z105" s="243"/>
      <c r="AA105" s="56">
        <f t="shared" si="40"/>
        <v>101.8888888888889</v>
      </c>
      <c r="AB105" s="243"/>
      <c r="AC105" s="56">
        <f t="shared" si="41"/>
        <v>91.7</v>
      </c>
      <c r="AD105" s="336"/>
      <c r="AE105" s="56">
        <f t="shared" si="37"/>
        <v>91.7</v>
      </c>
      <c r="AF105" s="32" t="str">
        <f t="shared" si="38"/>
        <v>Sangat Tinggi</v>
      </c>
      <c r="AG105" s="77"/>
      <c r="AH105" s="111"/>
      <c r="AK105" s="104"/>
    </row>
    <row r="106" spans="1:37" ht="90" x14ac:dyDescent="0.2">
      <c r="A106" s="13"/>
      <c r="B106" s="13"/>
      <c r="C106" s="94" t="s">
        <v>91</v>
      </c>
      <c r="D106" s="14" t="s">
        <v>179</v>
      </c>
      <c r="E106" s="32">
        <v>40.909999999999997</v>
      </c>
      <c r="F106" s="32" t="s">
        <v>27</v>
      </c>
      <c r="G106" s="3"/>
      <c r="H106" s="18">
        <v>90.91</v>
      </c>
      <c r="I106" s="32" t="s">
        <v>27</v>
      </c>
      <c r="J106" s="183">
        <v>24882571325</v>
      </c>
      <c r="K106" s="32">
        <v>98.18</v>
      </c>
      <c r="L106" s="180">
        <v>5300764265</v>
      </c>
      <c r="M106" s="32">
        <v>72.73</v>
      </c>
      <c r="N106" s="180">
        <v>3000925000</v>
      </c>
      <c r="O106" s="32"/>
      <c r="P106" s="180"/>
      <c r="Q106" s="74">
        <f>19/22*100</f>
        <v>86.36363636363636</v>
      </c>
      <c r="R106" s="180">
        <v>5171513188</v>
      </c>
      <c r="S106" s="92">
        <f>22/22*100</f>
        <v>100</v>
      </c>
      <c r="T106" s="208">
        <v>2903787499</v>
      </c>
      <c r="U106" s="74"/>
      <c r="V106" s="208"/>
      <c r="W106" s="56">
        <f>Q106/K106*100</f>
        <v>87.964591936887714</v>
      </c>
      <c r="X106" s="237">
        <f>R106/L106*100</f>
        <v>97.561652046037551</v>
      </c>
      <c r="Y106" s="56">
        <f>S106/M106*100</f>
        <v>137.49484394335212</v>
      </c>
      <c r="Z106" s="237">
        <f>T106/N106*100</f>
        <v>96.763081349917115</v>
      </c>
      <c r="AA106" s="56"/>
      <c r="AB106" s="237"/>
      <c r="AC106" s="74">
        <f>S106</f>
        <v>100</v>
      </c>
      <c r="AD106" s="193">
        <f>R106+T106</f>
        <v>8075300687</v>
      </c>
      <c r="AE106" s="56">
        <f t="shared" si="37"/>
        <v>109.9989000109999</v>
      </c>
      <c r="AF106" s="32" t="str">
        <f t="shared" si="38"/>
        <v>Sangat Tinggi</v>
      </c>
      <c r="AG106" s="354">
        <f t="shared" si="39"/>
        <v>32.453642276457941</v>
      </c>
      <c r="AH106" s="410" t="s">
        <v>281</v>
      </c>
      <c r="AK106" s="104">
        <f>R106</f>
        <v>5171513188</v>
      </c>
    </row>
    <row r="107" spans="1:37" ht="69.75" customHeight="1" x14ac:dyDescent="0.2">
      <c r="A107" s="13"/>
      <c r="B107" s="13"/>
      <c r="C107" s="20"/>
      <c r="D107" s="14" t="s">
        <v>545</v>
      </c>
      <c r="E107" s="32">
        <v>14.29</v>
      </c>
      <c r="F107" s="32" t="s">
        <v>27</v>
      </c>
      <c r="G107" s="5"/>
      <c r="H107" s="18">
        <v>90.48</v>
      </c>
      <c r="I107" s="32" t="s">
        <v>27</v>
      </c>
      <c r="J107" s="49"/>
      <c r="K107" s="74">
        <v>38.1</v>
      </c>
      <c r="L107" s="182"/>
      <c r="M107" s="74">
        <v>52.38</v>
      </c>
      <c r="N107" s="182"/>
      <c r="O107" s="74"/>
      <c r="P107" s="182"/>
      <c r="Q107" s="74">
        <v>38.1</v>
      </c>
      <c r="R107" s="182"/>
      <c r="S107" s="56">
        <f>12/21*100</f>
        <v>57.142857142857139</v>
      </c>
      <c r="T107" s="209"/>
      <c r="U107" s="56"/>
      <c r="V107" s="209"/>
      <c r="W107" s="56">
        <f>Q107/K107*100</f>
        <v>100</v>
      </c>
      <c r="X107" s="238"/>
      <c r="Y107" s="56">
        <f>S107/M107*100</f>
        <v>109.09289259804721</v>
      </c>
      <c r="Z107" s="238"/>
      <c r="AA107" s="56"/>
      <c r="AB107" s="238"/>
      <c r="AC107" s="74">
        <f>S107</f>
        <v>57.142857142857139</v>
      </c>
      <c r="AD107" s="5"/>
      <c r="AE107" s="56">
        <f t="shared" si="37"/>
        <v>63.155235569028669</v>
      </c>
      <c r="AF107" s="32" t="str">
        <f t="shared" si="38"/>
        <v>Rendah</v>
      </c>
      <c r="AG107" s="77"/>
      <c r="AH107" s="111"/>
      <c r="AK107" s="104">
        <f>R107</f>
        <v>0</v>
      </c>
    </row>
    <row r="108" spans="1:37" ht="128.25" customHeight="1" x14ac:dyDescent="0.2">
      <c r="A108" s="60"/>
      <c r="B108" s="60"/>
      <c r="C108" s="94" t="s">
        <v>571</v>
      </c>
      <c r="D108" s="14" t="s">
        <v>573</v>
      </c>
      <c r="E108" s="74"/>
      <c r="F108" s="18"/>
      <c r="G108" s="206"/>
      <c r="H108" s="92">
        <v>100</v>
      </c>
      <c r="I108" s="18" t="s">
        <v>27</v>
      </c>
      <c r="J108" s="206">
        <f>87884251517+(87072324017*2)</f>
        <v>262028899551</v>
      </c>
      <c r="K108" s="74"/>
      <c r="L108" s="180"/>
      <c r="M108" s="74"/>
      <c r="N108" s="180"/>
      <c r="O108" s="92">
        <v>100</v>
      </c>
      <c r="P108" s="181">
        <v>98051200575</v>
      </c>
      <c r="Q108" s="74"/>
      <c r="R108" s="208"/>
      <c r="S108" s="32"/>
      <c r="T108" s="208"/>
      <c r="U108" s="92">
        <v>100</v>
      </c>
      <c r="V108" s="337">
        <v>89148607382</v>
      </c>
      <c r="W108" s="56"/>
      <c r="X108" s="237"/>
      <c r="Y108" s="56"/>
      <c r="Z108" s="237"/>
      <c r="AA108" s="56">
        <f>U108/O108*100</f>
        <v>100</v>
      </c>
      <c r="AB108" s="243">
        <f>V108/P108*100</f>
        <v>90.92046487876469</v>
      </c>
      <c r="AC108" s="74">
        <f>U108</f>
        <v>100</v>
      </c>
      <c r="AD108" s="311">
        <f>V108</f>
        <v>89148607382</v>
      </c>
      <c r="AE108" s="89">
        <f t="shared" si="37"/>
        <v>100</v>
      </c>
      <c r="AF108" s="32" t="str">
        <f t="shared" si="38"/>
        <v>Sangat Tinggi</v>
      </c>
      <c r="AG108" s="354">
        <f t="shared" si="39"/>
        <v>34.022433225785676</v>
      </c>
      <c r="AH108" s="111"/>
      <c r="AK108" s="104"/>
    </row>
    <row r="109" spans="1:37" ht="94.5" customHeight="1" x14ac:dyDescent="0.2">
      <c r="A109" s="60"/>
      <c r="B109" s="60"/>
      <c r="C109" s="25"/>
      <c r="D109" s="14" t="s">
        <v>770</v>
      </c>
      <c r="E109" s="74"/>
      <c r="F109" s="18"/>
      <c r="G109" s="250"/>
      <c r="H109" s="92">
        <v>100</v>
      </c>
      <c r="I109" s="18" t="s">
        <v>27</v>
      </c>
      <c r="J109" s="250"/>
      <c r="K109" s="74"/>
      <c r="L109" s="181"/>
      <c r="M109" s="74"/>
      <c r="N109" s="181"/>
      <c r="O109" s="92">
        <v>100</v>
      </c>
      <c r="P109" s="181"/>
      <c r="Q109" s="74"/>
      <c r="R109" s="337"/>
      <c r="S109" s="32"/>
      <c r="T109" s="337"/>
      <c r="U109" s="92">
        <v>100</v>
      </c>
      <c r="V109" s="337"/>
      <c r="W109" s="56"/>
      <c r="X109" s="243"/>
      <c r="Y109" s="56"/>
      <c r="Z109" s="243"/>
      <c r="AA109" s="56">
        <v>100</v>
      </c>
      <c r="AB109" s="243"/>
      <c r="AC109" s="74">
        <v>100</v>
      </c>
      <c r="AD109" s="311"/>
      <c r="AE109" s="89">
        <f t="shared" si="37"/>
        <v>100</v>
      </c>
      <c r="AF109" s="32" t="str">
        <f t="shared" si="38"/>
        <v>Sangat Tinggi</v>
      </c>
      <c r="AG109" s="404"/>
      <c r="AH109" s="111"/>
      <c r="AK109" s="104"/>
    </row>
    <row r="110" spans="1:37" ht="67.5" customHeight="1" x14ac:dyDescent="0.2">
      <c r="A110" s="60"/>
      <c r="B110" s="60"/>
      <c r="C110" s="25"/>
      <c r="D110" s="14" t="s">
        <v>572</v>
      </c>
      <c r="E110" s="74"/>
      <c r="F110" s="18"/>
      <c r="G110" s="250"/>
      <c r="H110" s="74">
        <v>88.18</v>
      </c>
      <c r="I110" s="18" t="s">
        <v>27</v>
      </c>
      <c r="J110" s="250"/>
      <c r="K110" s="74"/>
      <c r="L110" s="181"/>
      <c r="M110" s="74"/>
      <c r="N110" s="181"/>
      <c r="O110" s="74">
        <f>160/203*100</f>
        <v>78.817733990147786</v>
      </c>
      <c r="P110" s="181"/>
      <c r="Q110" s="74"/>
      <c r="R110" s="337"/>
      <c r="S110" s="32"/>
      <c r="T110" s="337"/>
      <c r="U110" s="74">
        <f>160/203*100</f>
        <v>78.817733990147786</v>
      </c>
      <c r="V110" s="337"/>
      <c r="W110" s="56"/>
      <c r="X110" s="243"/>
      <c r="Y110" s="56"/>
      <c r="Z110" s="243"/>
      <c r="AA110" s="56">
        <f>U110/O110*100</f>
        <v>100</v>
      </c>
      <c r="AB110" s="243"/>
      <c r="AC110" s="74">
        <f>U110</f>
        <v>78.817733990147786</v>
      </c>
      <c r="AD110" s="311"/>
      <c r="AE110" s="56">
        <f t="shared" si="37"/>
        <v>89.382778396629377</v>
      </c>
      <c r="AF110" s="32" t="str">
        <f t="shared" si="38"/>
        <v>Tinggi</v>
      </c>
      <c r="AG110" s="77"/>
      <c r="AH110" s="111"/>
      <c r="AK110" s="104"/>
    </row>
    <row r="111" spans="1:37" ht="75" x14ac:dyDescent="0.2">
      <c r="A111" s="13"/>
      <c r="B111" s="13"/>
      <c r="C111" s="14" t="s">
        <v>180</v>
      </c>
      <c r="D111" s="14" t="s">
        <v>181</v>
      </c>
      <c r="E111" s="32">
        <v>76.94</v>
      </c>
      <c r="F111" s="32" t="s">
        <v>27</v>
      </c>
      <c r="G111" s="23">
        <v>20326858000</v>
      </c>
      <c r="H111" s="18">
        <v>80.040000000000006</v>
      </c>
      <c r="I111" s="32" t="s">
        <v>27</v>
      </c>
      <c r="J111" s="9">
        <v>35454967500</v>
      </c>
      <c r="K111" s="32">
        <v>77.62</v>
      </c>
      <c r="L111" s="10">
        <v>7645793500</v>
      </c>
      <c r="M111" s="32">
        <v>78.27</v>
      </c>
      <c r="N111" s="10">
        <v>10727539000</v>
      </c>
      <c r="O111" s="32"/>
      <c r="P111" s="10"/>
      <c r="Q111" s="74">
        <v>78.64</v>
      </c>
      <c r="R111" s="59">
        <v>7418236900</v>
      </c>
      <c r="S111" s="32">
        <f>45228/56296*100</f>
        <v>80.339633366491398</v>
      </c>
      <c r="T111" s="59">
        <v>10727539000</v>
      </c>
      <c r="U111" s="32"/>
      <c r="V111" s="59"/>
      <c r="W111" s="56">
        <f>Q111/K111*100</f>
        <v>101.31409430559133</v>
      </c>
      <c r="X111" s="237">
        <f>R111/L111*100</f>
        <v>97.023767382679111</v>
      </c>
      <c r="Y111" s="56">
        <f>S111/M111*100</f>
        <v>102.64422303116316</v>
      </c>
      <c r="Z111" s="339">
        <f>T111/N111*100</f>
        <v>100</v>
      </c>
      <c r="AA111" s="56"/>
      <c r="AB111" s="235"/>
      <c r="AC111" s="74">
        <f>S111</f>
        <v>80.339633366491398</v>
      </c>
      <c r="AD111" s="274">
        <f>R111+T111</f>
        <v>18145775900</v>
      </c>
      <c r="AE111" s="56">
        <f t="shared" si="37"/>
        <v>100.37435453084882</v>
      </c>
      <c r="AF111" s="32" t="str">
        <f t="shared" si="38"/>
        <v>Sangat Tinggi</v>
      </c>
      <c r="AG111" s="56">
        <f t="shared" si="39"/>
        <v>51.179784327823739</v>
      </c>
      <c r="AH111" s="410" t="s">
        <v>303</v>
      </c>
      <c r="AK111" s="104">
        <f>R111</f>
        <v>7418236900</v>
      </c>
    </row>
    <row r="112" spans="1:37" ht="105" x14ac:dyDescent="0.2">
      <c r="A112" s="60"/>
      <c r="B112" s="60"/>
      <c r="C112" s="14" t="s">
        <v>590</v>
      </c>
      <c r="D112" s="14" t="s">
        <v>591</v>
      </c>
      <c r="E112" s="32"/>
      <c r="F112" s="32"/>
      <c r="G112" s="23"/>
      <c r="H112" s="18">
        <v>94.56</v>
      </c>
      <c r="I112" s="32" t="s">
        <v>27</v>
      </c>
      <c r="J112" s="9">
        <f>7090993500*3</f>
        <v>21272980500</v>
      </c>
      <c r="K112" s="32"/>
      <c r="L112" s="10"/>
      <c r="M112" s="32"/>
      <c r="N112" s="10"/>
      <c r="O112" s="74">
        <f>47120/56296*100</f>
        <v>83.70044052863436</v>
      </c>
      <c r="P112" s="10">
        <v>8081125966</v>
      </c>
      <c r="Q112" s="74"/>
      <c r="R112" s="59"/>
      <c r="S112" s="32"/>
      <c r="T112" s="59"/>
      <c r="U112" s="74">
        <f>(45228+1513)/56296*100</f>
        <v>83.027213301122643</v>
      </c>
      <c r="V112" s="59">
        <v>8042989045</v>
      </c>
      <c r="W112" s="56"/>
      <c r="X112" s="237"/>
      <c r="Y112" s="56"/>
      <c r="Z112" s="235"/>
      <c r="AA112" s="56">
        <f>U112/O112*100</f>
        <v>99.195670628183379</v>
      </c>
      <c r="AB112" s="235">
        <f>V112/P112*100</f>
        <v>99.528074167381448</v>
      </c>
      <c r="AC112" s="74">
        <f>U112</f>
        <v>83.027213301122643</v>
      </c>
      <c r="AD112" s="274">
        <f t="shared" ref="AD112:AD113" si="42">V112</f>
        <v>8042989045</v>
      </c>
      <c r="AE112" s="56">
        <f t="shared" si="37"/>
        <v>87.803736570561171</v>
      </c>
      <c r="AF112" s="32" t="str">
        <f t="shared" si="38"/>
        <v>Tinggi</v>
      </c>
      <c r="AG112" s="56">
        <f t="shared" si="39"/>
        <v>37.808472794867647</v>
      </c>
      <c r="AH112" s="411"/>
      <c r="AK112" s="104"/>
    </row>
    <row r="113" spans="1:37" ht="112.5" customHeight="1" x14ac:dyDescent="0.2">
      <c r="A113" s="60"/>
      <c r="B113" s="60"/>
      <c r="C113" s="14" t="s">
        <v>592</v>
      </c>
      <c r="D113" s="14" t="s">
        <v>593</v>
      </c>
      <c r="E113" s="32"/>
      <c r="F113" s="32"/>
      <c r="G113" s="23"/>
      <c r="H113" s="56">
        <v>89.3</v>
      </c>
      <c r="I113" s="32" t="s">
        <v>27</v>
      </c>
      <c r="J113" s="9">
        <f>4361673550*3</f>
        <v>13085020650</v>
      </c>
      <c r="K113" s="32"/>
      <c r="L113" s="10"/>
      <c r="M113" s="32"/>
      <c r="N113" s="10"/>
      <c r="O113" s="74">
        <f>47458/56296*100</f>
        <v>84.3008384254654</v>
      </c>
      <c r="P113" s="10">
        <v>5907507500</v>
      </c>
      <c r="Q113" s="74"/>
      <c r="R113" s="10"/>
      <c r="S113" s="32"/>
      <c r="T113" s="10"/>
      <c r="U113" s="74">
        <f>(46354+589)/56296*100</f>
        <v>83.386030979110416</v>
      </c>
      <c r="V113" s="10">
        <v>5846623811</v>
      </c>
      <c r="W113" s="56"/>
      <c r="X113" s="237"/>
      <c r="Y113" s="56"/>
      <c r="Z113" s="235"/>
      <c r="AA113" s="56">
        <f>U113/O113*100</f>
        <v>98.914829954907489</v>
      </c>
      <c r="AB113" s="235">
        <f>V113/P113*100</f>
        <v>98.969384482372647</v>
      </c>
      <c r="AC113" s="74">
        <f>U113</f>
        <v>83.386030979110416</v>
      </c>
      <c r="AD113" s="274">
        <f t="shared" si="42"/>
        <v>5846623811</v>
      </c>
      <c r="AE113" s="56">
        <f t="shared" si="37"/>
        <v>93.377414310314023</v>
      </c>
      <c r="AF113" s="32" t="str">
        <f t="shared" si="38"/>
        <v>Sangat Tinggi</v>
      </c>
      <c r="AG113" s="56">
        <f t="shared" si="39"/>
        <v>44.681808056604019</v>
      </c>
      <c r="AH113" s="412"/>
      <c r="AK113" s="104"/>
    </row>
    <row r="114" spans="1:37" ht="63" x14ac:dyDescent="0.25">
      <c r="A114" s="66">
        <v>5</v>
      </c>
      <c r="B114" s="61" t="s">
        <v>98</v>
      </c>
      <c r="C114" s="14"/>
      <c r="D114" s="62" t="s">
        <v>273</v>
      </c>
      <c r="E114" s="219">
        <v>54.97</v>
      </c>
      <c r="F114" s="219" t="s">
        <v>27</v>
      </c>
      <c r="G114" s="221"/>
      <c r="H114" s="234">
        <v>67.2</v>
      </c>
      <c r="I114" s="219" t="s">
        <v>27</v>
      </c>
      <c r="J114" s="222">
        <f>SUM(J115:J118)</f>
        <v>46517617040</v>
      </c>
      <c r="K114" s="223">
        <v>56.58</v>
      </c>
      <c r="L114" s="222">
        <f>SUM(L115:L116)</f>
        <v>1064341200</v>
      </c>
      <c r="M114" s="223">
        <v>60</v>
      </c>
      <c r="N114" s="222">
        <f>SUM(N115:N116)</f>
        <v>4845809000</v>
      </c>
      <c r="O114" s="223">
        <v>71.19</v>
      </c>
      <c r="P114" s="222">
        <f>P118</f>
        <v>20165138345</v>
      </c>
      <c r="Q114" s="223">
        <v>61.4</v>
      </c>
      <c r="R114" s="222">
        <f>SUM(R115:R116)</f>
        <v>949078300</v>
      </c>
      <c r="S114" s="223">
        <f>9736/17409*100</f>
        <v>55.925096214601645</v>
      </c>
      <c r="T114" s="222">
        <f>SUM(T115:T116)</f>
        <v>4736785000</v>
      </c>
      <c r="U114" s="223">
        <v>54.09</v>
      </c>
      <c r="V114" s="222">
        <f>V118</f>
        <v>17421392718</v>
      </c>
      <c r="W114" s="234">
        <f t="shared" ref="W114:AB114" si="43">Q114/K114*100</f>
        <v>108.51891127606928</v>
      </c>
      <c r="X114" s="240">
        <f t="shared" si="43"/>
        <v>89.170493447026203</v>
      </c>
      <c r="Y114" s="234">
        <f t="shared" si="43"/>
        <v>93.20849369100273</v>
      </c>
      <c r="Z114" s="240">
        <f t="shared" si="43"/>
        <v>97.750138315397905</v>
      </c>
      <c r="AA114" s="234">
        <f>U114/O114*100</f>
        <v>75.979772439949429</v>
      </c>
      <c r="AB114" s="240">
        <f t="shared" si="43"/>
        <v>86.393618630043662</v>
      </c>
      <c r="AC114" s="223">
        <f>U114</f>
        <v>54.09</v>
      </c>
      <c r="AD114" s="308">
        <f>R114+T114+V114</f>
        <v>23107256018</v>
      </c>
      <c r="AE114" s="234">
        <f>AC114/H114*100</f>
        <v>80.491071428571431</v>
      </c>
      <c r="AF114" s="219" t="str">
        <f t="shared" ref="AF114" si="44">IF(AE114&gt;=91,"Sangat Tinggi",IF(AE114&gt;=76,"Tinggi",IF(AE114&gt;=66,"Sedang",IF(AE114&gt;=51,"Rendah",IF(AE114&lt;=50,"Sangat Rendah")))))</f>
        <v>Tinggi</v>
      </c>
      <c r="AG114" s="234">
        <f>AD114/J114*100</f>
        <v>49.674204072255719</v>
      </c>
      <c r="AH114" s="410" t="s">
        <v>286</v>
      </c>
      <c r="AK114" s="104">
        <f>R114</f>
        <v>949078300</v>
      </c>
    </row>
    <row r="115" spans="1:37" ht="105" x14ac:dyDescent="0.2">
      <c r="A115" s="66"/>
      <c r="B115" s="61"/>
      <c r="C115" s="14" t="s">
        <v>184</v>
      </c>
      <c r="D115" s="14" t="s">
        <v>185</v>
      </c>
      <c r="E115" s="32">
        <v>35.33</v>
      </c>
      <c r="F115" s="32" t="s">
        <v>27</v>
      </c>
      <c r="G115" s="8"/>
      <c r="H115" s="74">
        <v>66.319999999999993</v>
      </c>
      <c r="I115" s="32" t="s">
        <v>27</v>
      </c>
      <c r="J115" s="9">
        <v>4847440000</v>
      </c>
      <c r="K115" s="74">
        <v>56.07</v>
      </c>
      <c r="L115" s="10">
        <v>474195000</v>
      </c>
      <c r="M115" s="74">
        <v>58.63</v>
      </c>
      <c r="N115" s="10">
        <v>4373245000</v>
      </c>
      <c r="O115" s="74"/>
      <c r="P115" s="10"/>
      <c r="Q115" s="74">
        <v>56.07</v>
      </c>
      <c r="R115" s="59">
        <v>452629700</v>
      </c>
      <c r="S115" s="74">
        <f>200/427*100</f>
        <v>46.838407494145201</v>
      </c>
      <c r="T115" s="59">
        <v>4314695000</v>
      </c>
      <c r="U115" s="74"/>
      <c r="V115" s="59"/>
      <c r="W115" s="56">
        <f t="shared" ref="W115:Z116" si="45">Q115/K115*100</f>
        <v>100</v>
      </c>
      <c r="X115" s="235">
        <f t="shared" si="45"/>
        <v>95.452229568004725</v>
      </c>
      <c r="Y115" s="56">
        <f t="shared" si="45"/>
        <v>79.888124670211837</v>
      </c>
      <c r="Z115" s="235">
        <f t="shared" si="45"/>
        <v>98.66117722652173</v>
      </c>
      <c r="AA115" s="56"/>
      <c r="AB115" s="235"/>
      <c r="AC115" s="74">
        <f>S115</f>
        <v>46.838407494145201</v>
      </c>
      <c r="AD115" s="274">
        <f>R115+T115</f>
        <v>4767324700</v>
      </c>
      <c r="AE115" s="56">
        <f t="shared" ref="AE115:AE118" si="46">AC115/H115*100</f>
        <v>70.624860515900494</v>
      </c>
      <c r="AF115" s="32" t="str">
        <f t="shared" ref="AF115:AF118" si="47">IF(AE115&gt;=91,"Sangat Tinggi",IF(AE115&gt;=76,"Tinggi",IF(AE115&gt;=66,"Sedang",IF(AE115&gt;=51,"Rendah",IF(AE115&lt;=50,"Sangat Rendah")))))</f>
        <v>Sedang</v>
      </c>
      <c r="AG115" s="56">
        <f>AD115/J115*100</f>
        <v>98.347265773274145</v>
      </c>
      <c r="AH115" s="111"/>
      <c r="AK115" s="104">
        <f>R115</f>
        <v>452629700</v>
      </c>
    </row>
    <row r="116" spans="1:37" ht="111.75" customHeight="1" x14ac:dyDescent="0.2">
      <c r="A116" s="66"/>
      <c r="B116" s="61"/>
      <c r="C116" s="94" t="s">
        <v>186</v>
      </c>
      <c r="D116" s="14" t="s">
        <v>187</v>
      </c>
      <c r="E116" s="74">
        <v>5.63</v>
      </c>
      <c r="F116" s="32" t="s">
        <v>27</v>
      </c>
      <c r="G116" s="3"/>
      <c r="H116" s="74">
        <v>6.87</v>
      </c>
      <c r="I116" s="32" t="s">
        <v>27</v>
      </c>
      <c r="J116" s="183">
        <v>2950731000</v>
      </c>
      <c r="K116" s="74">
        <v>6.02</v>
      </c>
      <c r="L116" s="180">
        <v>590146200</v>
      </c>
      <c r="M116" s="74">
        <v>6.74</v>
      </c>
      <c r="N116" s="180">
        <v>472564000</v>
      </c>
      <c r="O116" s="74"/>
      <c r="P116" s="180"/>
      <c r="Q116" s="74">
        <v>7.19</v>
      </c>
      <c r="R116" s="208">
        <v>496448600</v>
      </c>
      <c r="S116" s="74">
        <f>503/7518*100</f>
        <v>6.6906092045756855</v>
      </c>
      <c r="T116" s="208">
        <v>422090000</v>
      </c>
      <c r="U116" s="74"/>
      <c r="V116" s="208"/>
      <c r="W116" s="56">
        <f t="shared" si="45"/>
        <v>119.43521594684387</v>
      </c>
      <c r="X116" s="237">
        <f t="shared" si="45"/>
        <v>84.122985117925026</v>
      </c>
      <c r="Y116" s="56">
        <f t="shared" si="45"/>
        <v>99.267198880944889</v>
      </c>
      <c r="Z116" s="237">
        <f t="shared" si="45"/>
        <v>89.319118680221095</v>
      </c>
      <c r="AA116" s="56"/>
      <c r="AB116" s="237"/>
      <c r="AC116" s="74">
        <f>S116</f>
        <v>6.6906092045756855</v>
      </c>
      <c r="AD116" s="193">
        <f>R116+T116</f>
        <v>918538600</v>
      </c>
      <c r="AE116" s="56">
        <f t="shared" si="46"/>
        <v>97.388780270388438</v>
      </c>
      <c r="AF116" s="32" t="str">
        <f t="shared" si="47"/>
        <v>Sangat Tinggi</v>
      </c>
      <c r="AG116" s="354">
        <f t="shared" ref="AG116:AG118" si="48">AD116/J116*100</f>
        <v>31.129187987654582</v>
      </c>
      <c r="AH116" s="410" t="s">
        <v>286</v>
      </c>
      <c r="AJ116" s="150"/>
      <c r="AK116" s="104">
        <f>R116</f>
        <v>496448600</v>
      </c>
    </row>
    <row r="117" spans="1:37" ht="110.25" customHeight="1" x14ac:dyDescent="0.2">
      <c r="A117" s="66"/>
      <c r="B117" s="61"/>
      <c r="C117" s="20"/>
      <c r="D117" s="14" t="s">
        <v>188</v>
      </c>
      <c r="E117" s="74">
        <v>1.1100000000000001</v>
      </c>
      <c r="F117" s="32" t="s">
        <v>27</v>
      </c>
      <c r="G117" s="5"/>
      <c r="H117" s="74">
        <v>4.26</v>
      </c>
      <c r="I117" s="32" t="s">
        <v>27</v>
      </c>
      <c r="J117" s="49"/>
      <c r="K117" s="74">
        <v>3.54</v>
      </c>
      <c r="L117" s="182"/>
      <c r="M117" s="74">
        <v>3.85</v>
      </c>
      <c r="N117" s="182"/>
      <c r="O117" s="74"/>
      <c r="P117" s="182"/>
      <c r="Q117" s="74">
        <v>3.25</v>
      </c>
      <c r="R117" s="209"/>
      <c r="S117" s="74">
        <f>129/3149*100</f>
        <v>4.0965385836773578</v>
      </c>
      <c r="T117" s="209"/>
      <c r="U117" s="74"/>
      <c r="V117" s="209"/>
      <c r="W117" s="56">
        <f>Q117/K117*100</f>
        <v>91.807909604519779</v>
      </c>
      <c r="X117" s="238"/>
      <c r="Y117" s="56">
        <f>S117/M117*100</f>
        <v>106.40359957603526</v>
      </c>
      <c r="Z117" s="238"/>
      <c r="AA117" s="56"/>
      <c r="AB117" s="238"/>
      <c r="AC117" s="74">
        <f>S117</f>
        <v>4.0965385836773578</v>
      </c>
      <c r="AD117" s="274"/>
      <c r="AE117" s="56">
        <f t="shared" si="46"/>
        <v>96.162877551111691</v>
      </c>
      <c r="AF117" s="32" t="str">
        <f t="shared" si="47"/>
        <v>Sangat Tinggi</v>
      </c>
      <c r="AG117" s="77"/>
      <c r="AH117" s="111"/>
      <c r="AK117" s="104">
        <f>R117</f>
        <v>0</v>
      </c>
    </row>
    <row r="118" spans="1:37" ht="60" x14ac:dyDescent="0.2">
      <c r="A118" s="66"/>
      <c r="B118" s="61"/>
      <c r="C118" s="94" t="s">
        <v>595</v>
      </c>
      <c r="D118" s="14" t="s">
        <v>838</v>
      </c>
      <c r="E118" s="32"/>
      <c r="F118" s="32"/>
      <c r="G118" s="3"/>
      <c r="H118" s="74">
        <v>22.944162436548226</v>
      </c>
      <c r="I118" s="32" t="s">
        <v>27</v>
      </c>
      <c r="J118" s="183">
        <v>38719446040</v>
      </c>
      <c r="K118" s="74"/>
      <c r="L118" s="180"/>
      <c r="M118" s="74"/>
      <c r="N118" s="180"/>
      <c r="O118" s="74">
        <v>17.258883248730964</v>
      </c>
      <c r="P118" s="180">
        <v>20165138345</v>
      </c>
      <c r="Q118" s="74"/>
      <c r="R118" s="208"/>
      <c r="S118" s="74"/>
      <c r="T118" s="208"/>
      <c r="U118" s="74">
        <v>17.36040609137056</v>
      </c>
      <c r="V118" s="208">
        <v>17421392718</v>
      </c>
      <c r="W118" s="56"/>
      <c r="X118" s="237"/>
      <c r="Y118" s="56"/>
      <c r="Z118" s="237"/>
      <c r="AA118" s="56">
        <f>U118/O118*100</f>
        <v>100.58823529411767</v>
      </c>
      <c r="AB118" s="237">
        <f>V118/P118*100</f>
        <v>86.393618630043662</v>
      </c>
      <c r="AC118" s="74">
        <f>U118</f>
        <v>17.36040609137056</v>
      </c>
      <c r="AD118" s="311">
        <f>V118</f>
        <v>17421392718</v>
      </c>
      <c r="AE118" s="56">
        <f t="shared" si="46"/>
        <v>75.663716814159287</v>
      </c>
      <c r="AF118" s="32" t="str">
        <f t="shared" si="47"/>
        <v>Sedang</v>
      </c>
      <c r="AG118" s="354">
        <f t="shared" si="48"/>
        <v>44.993910036838948</v>
      </c>
      <c r="AH118" s="111"/>
      <c r="AK118" s="104"/>
    </row>
    <row r="119" spans="1:37" ht="45" x14ac:dyDescent="0.2">
      <c r="A119" s="66"/>
      <c r="B119" s="61"/>
      <c r="C119" s="25"/>
      <c r="D119" s="14" t="s">
        <v>839</v>
      </c>
      <c r="E119" s="32"/>
      <c r="F119" s="32"/>
      <c r="G119" s="4"/>
      <c r="H119" s="74">
        <v>34.550195567144719</v>
      </c>
      <c r="I119" s="32" t="s">
        <v>27</v>
      </c>
      <c r="J119" s="179"/>
      <c r="K119" s="74"/>
      <c r="L119" s="181"/>
      <c r="M119" s="74"/>
      <c r="N119" s="181"/>
      <c r="O119" s="74">
        <v>24.119947848761409</v>
      </c>
      <c r="P119" s="181"/>
      <c r="Q119" s="74"/>
      <c r="R119" s="337"/>
      <c r="S119" s="74"/>
      <c r="T119" s="337"/>
      <c r="U119" s="74">
        <v>24.250325945241201</v>
      </c>
      <c r="V119" s="337"/>
      <c r="W119" s="56"/>
      <c r="X119" s="243"/>
      <c r="Y119" s="56"/>
      <c r="Z119" s="243"/>
      <c r="AA119" s="56">
        <f>U119/O119*100</f>
        <v>100.54054054054053</v>
      </c>
      <c r="AB119" s="243"/>
      <c r="AC119" s="74">
        <f>U119</f>
        <v>24.250325945241201</v>
      </c>
      <c r="AD119" s="311"/>
      <c r="AE119" s="56">
        <f t="shared" ref="AE119:AE120" si="49">AC119/H119*100</f>
        <v>70.188679245283026</v>
      </c>
      <c r="AF119" s="32" t="str">
        <f t="shared" ref="AF119:AF120" si="50">IF(AE119&gt;=91,"Sangat Tinggi",IF(AE119&gt;=76,"Tinggi",IF(AE119&gt;=66,"Sedang",IF(AE119&gt;=51,"Rendah",IF(AE119&lt;=50,"Sangat Rendah")))))</f>
        <v>Sedang</v>
      </c>
      <c r="AG119" s="404"/>
      <c r="AH119" s="111"/>
      <c r="AK119" s="104"/>
    </row>
    <row r="120" spans="1:37" ht="75" x14ac:dyDescent="0.2">
      <c r="A120" s="66"/>
      <c r="B120" s="61"/>
      <c r="C120" s="25"/>
      <c r="D120" s="14" t="s">
        <v>840</v>
      </c>
      <c r="E120" s="32"/>
      <c r="F120" s="32"/>
      <c r="G120" s="4"/>
      <c r="H120" s="74">
        <v>6.7796610169491522</v>
      </c>
      <c r="I120" s="32" t="s">
        <v>27</v>
      </c>
      <c r="J120" s="179"/>
      <c r="K120" s="74"/>
      <c r="L120" s="181"/>
      <c r="M120" s="74"/>
      <c r="N120" s="181"/>
      <c r="O120" s="74">
        <v>4.5197740112994351</v>
      </c>
      <c r="P120" s="181"/>
      <c r="Q120" s="74"/>
      <c r="R120" s="337"/>
      <c r="S120" s="74"/>
      <c r="T120" s="337"/>
      <c r="U120" s="74">
        <v>3.898305084745763</v>
      </c>
      <c r="V120" s="337"/>
      <c r="W120" s="56"/>
      <c r="X120" s="243"/>
      <c r="Y120" s="56"/>
      <c r="Z120" s="243"/>
      <c r="AA120" s="56">
        <f>U120/O120*100</f>
        <v>86.25</v>
      </c>
      <c r="AB120" s="243"/>
      <c r="AC120" s="74">
        <f>U120</f>
        <v>3.898305084745763</v>
      </c>
      <c r="AD120" s="311"/>
      <c r="AE120" s="56">
        <f t="shared" si="49"/>
        <v>57.500000000000007</v>
      </c>
      <c r="AF120" s="32" t="str">
        <f t="shared" si="50"/>
        <v>Rendah</v>
      </c>
      <c r="AG120" s="404"/>
      <c r="AH120" s="111"/>
      <c r="AK120" s="104"/>
    </row>
    <row r="121" spans="1:37" ht="75" x14ac:dyDescent="0.2">
      <c r="A121" s="66"/>
      <c r="B121" s="61"/>
      <c r="C121" s="20"/>
      <c r="D121" s="14" t="s">
        <v>841</v>
      </c>
      <c r="E121" s="32"/>
      <c r="F121" s="32"/>
      <c r="G121" s="5"/>
      <c r="H121" s="74">
        <v>40.35248041775457</v>
      </c>
      <c r="I121" s="32" t="s">
        <v>27</v>
      </c>
      <c r="J121" s="49"/>
      <c r="K121" s="74"/>
      <c r="L121" s="182"/>
      <c r="M121" s="74"/>
      <c r="N121" s="182"/>
      <c r="O121" s="74">
        <v>39.177545691906005</v>
      </c>
      <c r="P121" s="182"/>
      <c r="Q121" s="74"/>
      <c r="R121" s="209"/>
      <c r="S121" s="74"/>
      <c r="T121" s="209"/>
      <c r="U121" s="74">
        <v>31.305483028720623</v>
      </c>
      <c r="V121" s="209"/>
      <c r="W121" s="56"/>
      <c r="X121" s="238"/>
      <c r="Y121" s="56"/>
      <c r="Z121" s="238"/>
      <c r="AA121" s="56">
        <f>U121/O121*100</f>
        <v>79.906697767410847</v>
      </c>
      <c r="AB121" s="238"/>
      <c r="AC121" s="74">
        <f>U121</f>
        <v>31.305483028720623</v>
      </c>
      <c r="AD121" s="274"/>
      <c r="AE121" s="56">
        <f t="shared" ref="AE121" si="51">AC121/H121*100</f>
        <v>77.58007117437721</v>
      </c>
      <c r="AF121" s="32" t="str">
        <f t="shared" ref="AF121" si="52">IF(AE121&gt;=91,"Sangat Tinggi",IF(AE121&gt;=76,"Tinggi",IF(AE121&gt;=66,"Sedang",IF(AE121&gt;=51,"Rendah",IF(AE121&lt;=50,"Sangat Rendah")))))</f>
        <v>Tinggi</v>
      </c>
      <c r="AG121" s="77"/>
      <c r="AH121" s="112"/>
      <c r="AK121" s="104"/>
    </row>
    <row r="122" spans="1:37" ht="15" x14ac:dyDescent="0.2">
      <c r="A122" s="414" t="s">
        <v>5</v>
      </c>
      <c r="B122" s="415"/>
      <c r="C122" s="415"/>
      <c r="D122" s="415"/>
      <c r="E122" s="415"/>
      <c r="F122" s="415"/>
      <c r="G122" s="415"/>
      <c r="H122" s="415"/>
      <c r="I122" s="415"/>
      <c r="J122" s="415"/>
      <c r="K122" s="415"/>
      <c r="L122" s="415"/>
      <c r="M122" s="415"/>
      <c r="N122" s="415"/>
      <c r="O122" s="415"/>
      <c r="P122" s="415"/>
      <c r="Q122" s="415"/>
      <c r="R122" s="415"/>
      <c r="S122" s="415"/>
      <c r="T122" s="415"/>
      <c r="U122" s="415"/>
      <c r="V122" s="416"/>
      <c r="W122" s="110">
        <f>AVERAGE(W17:W121)</f>
        <v>108.99885992251761</v>
      </c>
      <c r="X122" s="110"/>
      <c r="Y122" s="110">
        <f>AVERAGE(Y17:Y121)</f>
        <v>129.04548553007791</v>
      </c>
      <c r="Z122" s="95"/>
      <c r="AA122" s="110">
        <f>AVERAGE(AA17:AA121)</f>
        <v>92.435919558836147</v>
      </c>
      <c r="AB122" s="95"/>
      <c r="AC122" s="95"/>
      <c r="AD122" s="95"/>
      <c r="AE122" s="95"/>
      <c r="AF122" s="95"/>
      <c r="AG122" s="95"/>
      <c r="AH122" s="115"/>
    </row>
    <row r="123" spans="1:37" ht="15" x14ac:dyDescent="0.2">
      <c r="A123" s="414" t="s">
        <v>6</v>
      </c>
      <c r="B123" s="415"/>
      <c r="C123" s="415"/>
      <c r="D123" s="415"/>
      <c r="E123" s="415"/>
      <c r="F123" s="415"/>
      <c r="G123" s="415"/>
      <c r="H123" s="415"/>
      <c r="I123" s="415"/>
      <c r="J123" s="415"/>
      <c r="K123" s="415"/>
      <c r="L123" s="415"/>
      <c r="M123" s="415"/>
      <c r="N123" s="415"/>
      <c r="O123" s="415"/>
      <c r="P123" s="415"/>
      <c r="Q123" s="415"/>
      <c r="R123" s="415"/>
      <c r="S123" s="415"/>
      <c r="T123" s="415"/>
      <c r="U123" s="415"/>
      <c r="V123" s="416"/>
      <c r="W123" s="156" t="str">
        <f>IF(W122&gt;=91,"Sangat Tinggi",IF(W122&gt;=76,"Tinggi",IF(W122&gt;=66,"Sedang",IF(W122&gt;=51,"Rendah",IF(W122&lt;=50,"Sangat Rendah")))))</f>
        <v>Sangat Tinggi</v>
      </c>
      <c r="X123" s="95"/>
      <c r="Y123" s="156" t="str">
        <f>IF(Y122&gt;=91,"Sangat Tinggi",IF(Y122&gt;=76,"Tinggi",IF(Y122&gt;=66,"Sedang",IF(Y122&gt;=51,"Rendah",IF(Y122&lt;=50,"Sangat Rendah")))))</f>
        <v>Sangat Tinggi</v>
      </c>
      <c r="Z123" s="95"/>
      <c r="AA123" s="156" t="str">
        <f>IF(AA122&gt;=91,"Sangat Tinggi",IF(AA122&gt;=76,"Tinggi",IF(AA122&gt;=66,"Sedang",IF(AA122&gt;=51,"Rendah",IF(AA122&lt;=50,"Sangat Rendah")))))</f>
        <v>Sangat Tinggi</v>
      </c>
      <c r="AB123" s="95"/>
      <c r="AC123" s="95"/>
      <c r="AD123" s="95"/>
      <c r="AE123" s="95"/>
      <c r="AF123" s="95"/>
      <c r="AG123" s="95"/>
      <c r="AH123" s="115"/>
    </row>
    <row r="124" spans="1:37" ht="15" x14ac:dyDescent="0.2">
      <c r="A124" s="459" t="s">
        <v>847</v>
      </c>
      <c r="B124" s="459"/>
      <c r="C124" s="459"/>
      <c r="D124" s="459"/>
      <c r="E124" s="459"/>
      <c r="F124" s="459"/>
      <c r="G124" s="459"/>
      <c r="H124" s="459"/>
      <c r="I124" s="459"/>
      <c r="J124" s="459"/>
      <c r="K124" s="459"/>
      <c r="L124" s="459"/>
      <c r="M124" s="459"/>
      <c r="N124" s="459"/>
      <c r="O124" s="459"/>
      <c r="P124" s="459"/>
      <c r="Q124" s="459"/>
      <c r="R124" s="459"/>
      <c r="S124" s="459"/>
      <c r="T124" s="459"/>
      <c r="U124" s="459"/>
      <c r="V124" s="459"/>
      <c r="W124" s="459"/>
      <c r="X124" s="459"/>
      <c r="Y124" s="459"/>
      <c r="Z124" s="459"/>
      <c r="AA124" s="459"/>
      <c r="AB124" s="459"/>
      <c r="AC124" s="459"/>
      <c r="AD124" s="459"/>
      <c r="AE124" s="459"/>
      <c r="AF124" s="459"/>
      <c r="AG124" s="459"/>
      <c r="AH124" s="115"/>
    </row>
    <row r="125" spans="1:37" ht="15" x14ac:dyDescent="0.2">
      <c r="A125" s="459" t="s">
        <v>8</v>
      </c>
      <c r="B125" s="459"/>
      <c r="C125" s="459"/>
      <c r="D125" s="459"/>
      <c r="E125" s="459"/>
      <c r="F125" s="459"/>
      <c r="G125" s="459"/>
      <c r="H125" s="459"/>
      <c r="I125" s="459"/>
      <c r="J125" s="459"/>
      <c r="K125" s="459"/>
      <c r="L125" s="459"/>
      <c r="M125" s="459"/>
      <c r="N125" s="459"/>
      <c r="O125" s="459"/>
      <c r="P125" s="459"/>
      <c r="Q125" s="459"/>
      <c r="R125" s="459"/>
      <c r="S125" s="459"/>
      <c r="T125" s="459"/>
      <c r="U125" s="459"/>
      <c r="V125" s="459"/>
      <c r="W125" s="459"/>
      <c r="X125" s="459"/>
      <c r="Y125" s="459"/>
      <c r="Z125" s="459"/>
      <c r="AA125" s="459"/>
      <c r="AB125" s="459"/>
      <c r="AC125" s="459"/>
      <c r="AD125" s="459"/>
      <c r="AE125" s="459"/>
      <c r="AF125" s="459"/>
      <c r="AG125" s="459"/>
      <c r="AH125" s="115"/>
    </row>
    <row r="126" spans="1:37" ht="15" x14ac:dyDescent="0.2">
      <c r="A126" s="459" t="s">
        <v>848</v>
      </c>
      <c r="B126" s="459"/>
      <c r="C126" s="459"/>
      <c r="D126" s="459"/>
      <c r="E126" s="459"/>
      <c r="F126" s="459"/>
      <c r="G126" s="459"/>
      <c r="H126" s="459"/>
      <c r="I126" s="459"/>
      <c r="J126" s="459"/>
      <c r="K126" s="459"/>
      <c r="L126" s="459"/>
      <c r="M126" s="459"/>
      <c r="N126" s="459"/>
      <c r="O126" s="459"/>
      <c r="P126" s="459"/>
      <c r="Q126" s="459"/>
      <c r="R126" s="459"/>
      <c r="S126" s="459"/>
      <c r="T126" s="459"/>
      <c r="U126" s="459"/>
      <c r="V126" s="459"/>
      <c r="W126" s="459"/>
      <c r="X126" s="459"/>
      <c r="Y126" s="459"/>
      <c r="Z126" s="459"/>
      <c r="AA126" s="459"/>
      <c r="AB126" s="459"/>
      <c r="AC126" s="459"/>
      <c r="AD126" s="459"/>
      <c r="AE126" s="459"/>
      <c r="AF126" s="459"/>
      <c r="AG126" s="459"/>
      <c r="AH126" s="115"/>
    </row>
    <row r="127" spans="1:37" ht="15" x14ac:dyDescent="0.2">
      <c r="A127" s="459" t="s">
        <v>10</v>
      </c>
      <c r="B127" s="459"/>
      <c r="C127" s="459"/>
      <c r="D127" s="459"/>
      <c r="E127" s="459"/>
      <c r="F127" s="459"/>
      <c r="G127" s="459"/>
      <c r="H127" s="459"/>
      <c r="I127" s="459"/>
      <c r="J127" s="459"/>
      <c r="K127" s="459"/>
      <c r="L127" s="459"/>
      <c r="M127" s="459"/>
      <c r="N127" s="459"/>
      <c r="O127" s="459"/>
      <c r="P127" s="459"/>
      <c r="Q127" s="459"/>
      <c r="R127" s="459"/>
      <c r="S127" s="459"/>
      <c r="T127" s="459"/>
      <c r="U127" s="459"/>
      <c r="V127" s="459"/>
      <c r="W127" s="459"/>
      <c r="X127" s="459"/>
      <c r="Y127" s="459"/>
      <c r="Z127" s="459"/>
      <c r="AA127" s="459"/>
      <c r="AB127" s="459"/>
      <c r="AC127" s="459"/>
      <c r="AD127" s="459"/>
      <c r="AE127" s="459"/>
      <c r="AF127" s="459"/>
      <c r="AG127" s="459"/>
      <c r="AH127" s="413"/>
    </row>
    <row r="128" spans="1:37" ht="15" x14ac:dyDescent="0.2">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row>
    <row r="131" spans="1:3" ht="51" x14ac:dyDescent="0.2">
      <c r="A131" s="153" t="s">
        <v>492</v>
      </c>
      <c r="B131" s="153" t="s">
        <v>493</v>
      </c>
      <c r="C131" s="153" t="s">
        <v>494</v>
      </c>
    </row>
    <row r="132" spans="1:3" ht="25.5" x14ac:dyDescent="0.2">
      <c r="A132" s="154" t="s">
        <v>495</v>
      </c>
      <c r="B132" s="154" t="s">
        <v>496</v>
      </c>
      <c r="C132" s="154" t="s">
        <v>497</v>
      </c>
    </row>
    <row r="133" spans="1:3" ht="25.5" x14ac:dyDescent="0.2">
      <c r="A133" s="154" t="s">
        <v>498</v>
      </c>
      <c r="B133" s="154" t="s">
        <v>499</v>
      </c>
      <c r="C133" s="154" t="s">
        <v>500</v>
      </c>
    </row>
    <row r="134" spans="1:3" ht="25.5" x14ac:dyDescent="0.2">
      <c r="A134" s="154" t="s">
        <v>501</v>
      </c>
      <c r="B134" s="154" t="s">
        <v>502</v>
      </c>
      <c r="C134" s="154" t="s">
        <v>264</v>
      </c>
    </row>
    <row r="135" spans="1:3" ht="25.5" x14ac:dyDescent="0.2">
      <c r="A135" s="154" t="s">
        <v>503</v>
      </c>
      <c r="B135" s="154" t="s">
        <v>504</v>
      </c>
      <c r="C135" s="154" t="s">
        <v>505</v>
      </c>
    </row>
    <row r="136" spans="1:3" ht="25.5" x14ac:dyDescent="0.2">
      <c r="A136" s="154" t="s">
        <v>506</v>
      </c>
      <c r="B136" s="155" t="s">
        <v>507</v>
      </c>
      <c r="C136" s="154" t="s">
        <v>508</v>
      </c>
    </row>
  </sheetData>
  <mergeCells count="73">
    <mergeCell ref="A125:AG125"/>
    <mergeCell ref="A127:AG127"/>
    <mergeCell ref="A126:AG126"/>
    <mergeCell ref="A1:AH1"/>
    <mergeCell ref="A2:AH2"/>
    <mergeCell ref="A3:AH3"/>
    <mergeCell ref="AA13:AB13"/>
    <mergeCell ref="AA14:AB14"/>
    <mergeCell ref="AH11:AH12"/>
    <mergeCell ref="AF15:AF16"/>
    <mergeCell ref="N15:N16"/>
    <mergeCell ref="K15:K16"/>
    <mergeCell ref="A124:AG124"/>
    <mergeCell ref="A14:A16"/>
    <mergeCell ref="B14:B16"/>
    <mergeCell ref="AD15:AD16"/>
    <mergeCell ref="Q14:R14"/>
    <mergeCell ref="Q15:Q16"/>
    <mergeCell ref="W14:X14"/>
    <mergeCell ref="AC14:AD14"/>
    <mergeCell ref="G15:G16"/>
    <mergeCell ref="J15:J16"/>
    <mergeCell ref="U15:U16"/>
    <mergeCell ref="V15:V16"/>
    <mergeCell ref="L15:L16"/>
    <mergeCell ref="D11:D13"/>
    <mergeCell ref="AC15:AC16"/>
    <mergeCell ref="AE11:AG13"/>
    <mergeCell ref="AE14:AG14"/>
    <mergeCell ref="Q11:V12"/>
    <mergeCell ref="H11:J13"/>
    <mergeCell ref="W13:X13"/>
    <mergeCell ref="Y14:Z14"/>
    <mergeCell ref="M13:N13"/>
    <mergeCell ref="H14:J14"/>
    <mergeCell ref="O14:P14"/>
    <mergeCell ref="O15:O16"/>
    <mergeCell ref="P15:P16"/>
    <mergeCell ref="U13:V13"/>
    <mergeCell ref="U14:V14"/>
    <mergeCell ref="S14:T14"/>
    <mergeCell ref="A4:AG4"/>
    <mergeCell ref="A7:AG7"/>
    <mergeCell ref="A10:AG10"/>
    <mergeCell ref="E11:G13"/>
    <mergeCell ref="A5:AG5"/>
    <mergeCell ref="A6:AG6"/>
    <mergeCell ref="A8:AG8"/>
    <mergeCell ref="A9:AG9"/>
    <mergeCell ref="Y13:Z13"/>
    <mergeCell ref="AC11:AD13"/>
    <mergeCell ref="B11:B13"/>
    <mergeCell ref="C11:C13"/>
    <mergeCell ref="Q13:R13"/>
    <mergeCell ref="S13:T13"/>
    <mergeCell ref="K13:L13"/>
    <mergeCell ref="O13:P13"/>
    <mergeCell ref="A122:V122"/>
    <mergeCell ref="A123:V123"/>
    <mergeCell ref="A11:A13"/>
    <mergeCell ref="M14:N14"/>
    <mergeCell ref="W11:AB12"/>
    <mergeCell ref="T15:T16"/>
    <mergeCell ref="D14:D16"/>
    <mergeCell ref="E15:F16"/>
    <mergeCell ref="H15:I16"/>
    <mergeCell ref="M15:M16"/>
    <mergeCell ref="K14:L14"/>
    <mergeCell ref="R15:R16"/>
    <mergeCell ref="S15:S16"/>
    <mergeCell ref="C14:C16"/>
    <mergeCell ref="E14:G14"/>
    <mergeCell ref="K11:P12"/>
  </mergeCells>
  <printOptions horizontalCentered="1"/>
  <pageMargins left="0.23622047244094491" right="0.23622047244094491" top="3.937007874015748E-2" bottom="3.937007874015748E-2" header="0" footer="0"/>
  <pageSetup paperSize="256" scale="35" orientation="landscape" horizontalDpi="4294967293" r:id="rId1"/>
  <rowBreaks count="3" manualBreakCount="3">
    <brk id="33" max="33" man="1"/>
    <brk id="50" max="33" man="1"/>
    <brk id="62" max="3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K141"/>
  <sheetViews>
    <sheetView showRuler="0" view="pageBreakPreview" topLeftCell="A123" zoomScale="70" zoomScaleNormal="40" zoomScaleSheetLayoutView="70" zoomScalePageLayoutView="55" workbookViewId="0">
      <selection activeCell="AA115" sqref="AA115"/>
    </sheetView>
  </sheetViews>
  <sheetFormatPr defaultColWidth="9.140625" defaultRowHeight="14.25" x14ac:dyDescent="0.2"/>
  <cols>
    <col min="1" max="1" width="6.42578125" style="2" customWidth="1"/>
    <col min="2" max="2" width="18" style="2" customWidth="1"/>
    <col min="3" max="3" width="14.85546875" style="2" customWidth="1"/>
    <col min="4" max="4" width="15" style="2" customWidth="1"/>
    <col min="5" max="6" width="8" style="2" customWidth="1"/>
    <col min="7" max="7" width="20.7109375" style="2" bestFit="1" customWidth="1"/>
    <col min="8" max="8" width="9.7109375" style="2" customWidth="1"/>
    <col min="9" max="9" width="7.7109375" style="2" customWidth="1"/>
    <col min="10" max="10" width="19.28515625" style="2" customWidth="1"/>
    <col min="11" max="11" width="9" style="2" customWidth="1"/>
    <col min="12" max="12" width="19.28515625" style="2" customWidth="1"/>
    <col min="13" max="13" width="9" style="2" customWidth="1"/>
    <col min="14" max="14" width="19.28515625" style="2" customWidth="1"/>
    <col min="15" max="15" width="16.7109375" style="2" customWidth="1"/>
    <col min="16" max="16" width="19.28515625" style="2" customWidth="1"/>
    <col min="17" max="17" width="11.140625" style="2" customWidth="1"/>
    <col min="18" max="18" width="21.42578125" style="2" bestFit="1" customWidth="1"/>
    <col min="19" max="19" width="10.85546875" style="2" customWidth="1"/>
    <col min="20" max="20" width="18" style="2" customWidth="1"/>
    <col min="21" max="21" width="15.140625" style="2" customWidth="1"/>
    <col min="22" max="22" width="19.85546875" style="2" customWidth="1"/>
    <col min="23" max="23" width="10.140625" style="2" customWidth="1"/>
    <col min="24" max="24" width="9.5703125" style="2" customWidth="1"/>
    <col min="25" max="25" width="11.140625" style="2" customWidth="1"/>
    <col min="26" max="26" width="10.42578125" style="2" customWidth="1"/>
    <col min="27" max="27" width="11.140625" style="2" customWidth="1"/>
    <col min="28" max="28" width="10.42578125" style="2" customWidth="1"/>
    <col min="29" max="29" width="19.85546875" style="2" customWidth="1"/>
    <col min="30" max="30" width="17.5703125" style="2" bestFit="1" customWidth="1"/>
    <col min="31" max="31" width="8.5703125" style="2" customWidth="1"/>
    <col min="32" max="32" width="11.5703125" style="2" customWidth="1"/>
    <col min="33" max="33" width="15.140625" style="2" customWidth="1"/>
    <col min="34" max="34" width="16.7109375" style="2" customWidth="1"/>
    <col min="35" max="35" width="9.140625" style="2"/>
    <col min="36" max="36" width="16.42578125" style="2" bestFit="1" customWidth="1"/>
    <col min="37" max="37" width="22.85546875" style="2" customWidth="1"/>
    <col min="38" max="16384" width="9.140625" style="2"/>
  </cols>
  <sheetData>
    <row r="1" spans="1:34" ht="23.25" x14ac:dyDescent="0.35">
      <c r="A1" s="460" t="s">
        <v>23</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row>
    <row r="2" spans="1:34" ht="23.25" x14ac:dyDescent="0.35">
      <c r="A2" s="460" t="s">
        <v>24</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row>
    <row r="3" spans="1:34" ht="23.25" x14ac:dyDescent="0.2">
      <c r="A3" s="461" t="s">
        <v>565</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row>
    <row r="4" spans="1:34" ht="18" x14ac:dyDescent="0.2">
      <c r="A4" s="439" t="s">
        <v>11</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row>
    <row r="5" spans="1:34" ht="18" customHeight="1" x14ac:dyDescent="0.2">
      <c r="A5" s="439" t="s">
        <v>191</v>
      </c>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row>
    <row r="6" spans="1:34" ht="18" x14ac:dyDescent="0.2">
      <c r="A6" s="439" t="s">
        <v>192</v>
      </c>
      <c r="B6" s="439"/>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row>
    <row r="7" spans="1:34" ht="18" x14ac:dyDescent="0.2">
      <c r="A7" s="439" t="s">
        <v>193</v>
      </c>
      <c r="B7" s="439"/>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row>
    <row r="8" spans="1:34" ht="18" x14ac:dyDescent="0.2">
      <c r="A8" s="439" t="s">
        <v>194</v>
      </c>
      <c r="B8" s="439"/>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39"/>
      <c r="AC8" s="439"/>
      <c r="AD8" s="439"/>
      <c r="AE8" s="439"/>
      <c r="AF8" s="439"/>
      <c r="AG8" s="439"/>
    </row>
    <row r="9" spans="1:34" ht="18" x14ac:dyDescent="0.2">
      <c r="A9" s="439" t="s">
        <v>195</v>
      </c>
      <c r="B9" s="439"/>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row>
    <row r="10" spans="1:34" ht="18" x14ac:dyDescent="0.2">
      <c r="A10" s="439" t="s">
        <v>243</v>
      </c>
      <c r="B10" s="439"/>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row>
    <row r="11" spans="1:34" ht="15" customHeight="1" x14ac:dyDescent="0.2">
      <c r="A11" s="440"/>
      <c r="B11" s="440"/>
      <c r="C11" s="440"/>
      <c r="D11" s="440"/>
      <c r="E11" s="440"/>
      <c r="F11" s="440"/>
      <c r="G11" s="440"/>
      <c r="H11" s="440"/>
      <c r="I11" s="440"/>
      <c r="J11" s="440"/>
      <c r="K11" s="440"/>
      <c r="L11" s="440"/>
      <c r="M11" s="440"/>
      <c r="N11" s="440"/>
      <c r="O11" s="440"/>
      <c r="P11" s="440"/>
      <c r="Q11" s="440"/>
      <c r="R11" s="440"/>
      <c r="S11" s="440"/>
      <c r="T11" s="440"/>
      <c r="U11" s="440"/>
      <c r="V11" s="440"/>
      <c r="W11" s="440"/>
      <c r="X11" s="440"/>
      <c r="Y11" s="440"/>
      <c r="Z11" s="440"/>
      <c r="AA11" s="440"/>
      <c r="AB11" s="440"/>
      <c r="AC11" s="440"/>
      <c r="AD11" s="440"/>
      <c r="AE11" s="440"/>
      <c r="AF11" s="440"/>
      <c r="AG11" s="440"/>
    </row>
    <row r="12" spans="1:34" s="118" customFormat="1" ht="68.25" customHeight="1" x14ac:dyDescent="0.2">
      <c r="A12" s="417" t="s">
        <v>0</v>
      </c>
      <c r="B12" s="417" t="s">
        <v>257</v>
      </c>
      <c r="C12" s="452" t="s">
        <v>1</v>
      </c>
      <c r="D12" s="452" t="s">
        <v>299</v>
      </c>
      <c r="E12" s="441" t="s">
        <v>20</v>
      </c>
      <c r="F12" s="442"/>
      <c r="G12" s="443"/>
      <c r="H12" s="441" t="s">
        <v>19</v>
      </c>
      <c r="I12" s="442"/>
      <c r="J12" s="443"/>
      <c r="K12" s="420" t="s">
        <v>536</v>
      </c>
      <c r="L12" s="421"/>
      <c r="M12" s="421"/>
      <c r="N12" s="421"/>
      <c r="O12" s="421"/>
      <c r="P12" s="422"/>
      <c r="Q12" s="420" t="s">
        <v>537</v>
      </c>
      <c r="R12" s="421"/>
      <c r="S12" s="421"/>
      <c r="T12" s="421"/>
      <c r="U12" s="421"/>
      <c r="V12" s="422"/>
      <c r="W12" s="420" t="s">
        <v>538</v>
      </c>
      <c r="X12" s="421"/>
      <c r="Y12" s="421"/>
      <c r="Z12" s="421"/>
      <c r="AA12" s="421"/>
      <c r="AB12" s="422"/>
      <c r="AC12" s="420" t="s">
        <v>18</v>
      </c>
      <c r="AD12" s="422"/>
      <c r="AE12" s="420" t="s">
        <v>4</v>
      </c>
      <c r="AF12" s="421"/>
      <c r="AG12" s="422"/>
      <c r="AH12" s="462" t="s">
        <v>278</v>
      </c>
    </row>
    <row r="13" spans="1:34" s="118" customFormat="1" ht="18" customHeight="1" x14ac:dyDescent="0.2">
      <c r="A13" s="417"/>
      <c r="B13" s="417"/>
      <c r="C13" s="452"/>
      <c r="D13" s="452"/>
      <c r="E13" s="444"/>
      <c r="F13" s="445"/>
      <c r="G13" s="446"/>
      <c r="H13" s="444"/>
      <c r="I13" s="445"/>
      <c r="J13" s="446"/>
      <c r="K13" s="436"/>
      <c r="L13" s="437"/>
      <c r="M13" s="437"/>
      <c r="N13" s="437"/>
      <c r="O13" s="437"/>
      <c r="P13" s="438"/>
      <c r="Q13" s="436"/>
      <c r="R13" s="437"/>
      <c r="S13" s="437"/>
      <c r="T13" s="437"/>
      <c r="U13" s="437"/>
      <c r="V13" s="438"/>
      <c r="W13" s="423"/>
      <c r="X13" s="424"/>
      <c r="Y13" s="424"/>
      <c r="Z13" s="424"/>
      <c r="AA13" s="424"/>
      <c r="AB13" s="425"/>
      <c r="AC13" s="423"/>
      <c r="AD13" s="425"/>
      <c r="AE13" s="423"/>
      <c r="AF13" s="424"/>
      <c r="AG13" s="425"/>
      <c r="AH13" s="463"/>
    </row>
    <row r="14" spans="1:34" s="118" customFormat="1" ht="15.75" customHeight="1" x14ac:dyDescent="0.2">
      <c r="A14" s="417"/>
      <c r="B14" s="417"/>
      <c r="C14" s="452"/>
      <c r="D14" s="452"/>
      <c r="E14" s="447"/>
      <c r="F14" s="448"/>
      <c r="G14" s="449"/>
      <c r="H14" s="447"/>
      <c r="I14" s="448"/>
      <c r="J14" s="449"/>
      <c r="K14" s="453" t="s">
        <v>534</v>
      </c>
      <c r="L14" s="454"/>
      <c r="M14" s="453" t="s">
        <v>535</v>
      </c>
      <c r="N14" s="454"/>
      <c r="O14" s="453" t="s">
        <v>564</v>
      </c>
      <c r="P14" s="454"/>
      <c r="Q14" s="453" t="s">
        <v>534</v>
      </c>
      <c r="R14" s="454"/>
      <c r="S14" s="453" t="s">
        <v>535</v>
      </c>
      <c r="T14" s="454"/>
      <c r="U14" s="453" t="s">
        <v>564</v>
      </c>
      <c r="V14" s="454"/>
      <c r="W14" s="450" t="s">
        <v>534</v>
      </c>
      <c r="X14" s="451"/>
      <c r="Y14" s="450" t="s">
        <v>535</v>
      </c>
      <c r="Z14" s="451"/>
      <c r="AA14" s="450" t="s">
        <v>564</v>
      </c>
      <c r="AB14" s="451"/>
      <c r="AC14" s="436"/>
      <c r="AD14" s="438"/>
      <c r="AE14" s="436"/>
      <c r="AF14" s="437"/>
      <c r="AG14" s="438"/>
      <c r="AH14" s="113"/>
    </row>
    <row r="15" spans="1:34" s="96" customFormat="1" ht="15.75" x14ac:dyDescent="0.25">
      <c r="A15" s="426">
        <v>1</v>
      </c>
      <c r="B15" s="426">
        <v>2</v>
      </c>
      <c r="C15" s="426">
        <v>3</v>
      </c>
      <c r="D15" s="426">
        <v>4</v>
      </c>
      <c r="E15" s="433">
        <v>5</v>
      </c>
      <c r="F15" s="434"/>
      <c r="G15" s="435"/>
      <c r="H15" s="433">
        <v>6</v>
      </c>
      <c r="I15" s="434"/>
      <c r="J15" s="435"/>
      <c r="K15" s="418">
        <v>7</v>
      </c>
      <c r="L15" s="419"/>
      <c r="M15" s="418">
        <v>8</v>
      </c>
      <c r="N15" s="419"/>
      <c r="O15" s="418">
        <v>8</v>
      </c>
      <c r="P15" s="419"/>
      <c r="Q15" s="418">
        <v>12</v>
      </c>
      <c r="R15" s="419"/>
      <c r="S15" s="418">
        <v>13</v>
      </c>
      <c r="T15" s="419"/>
      <c r="U15" s="418">
        <v>13</v>
      </c>
      <c r="V15" s="419"/>
      <c r="W15" s="455">
        <v>17</v>
      </c>
      <c r="X15" s="457"/>
      <c r="Y15" s="455">
        <v>18</v>
      </c>
      <c r="Z15" s="457"/>
      <c r="AA15" s="455">
        <v>18</v>
      </c>
      <c r="AB15" s="457"/>
      <c r="AC15" s="455">
        <v>22</v>
      </c>
      <c r="AD15" s="457"/>
      <c r="AE15" s="455">
        <v>23</v>
      </c>
      <c r="AF15" s="456"/>
      <c r="AG15" s="457"/>
      <c r="AH15" s="114"/>
    </row>
    <row r="16" spans="1:34" s="96" customFormat="1" ht="87" customHeight="1" x14ac:dyDescent="0.2">
      <c r="A16" s="428"/>
      <c r="B16" s="428"/>
      <c r="C16" s="428"/>
      <c r="D16" s="428"/>
      <c r="E16" s="429" t="s">
        <v>2</v>
      </c>
      <c r="F16" s="430"/>
      <c r="G16" s="427" t="s">
        <v>3</v>
      </c>
      <c r="H16" s="429" t="s">
        <v>2</v>
      </c>
      <c r="I16" s="430"/>
      <c r="J16" s="427" t="s">
        <v>3</v>
      </c>
      <c r="K16" s="429" t="s">
        <v>2</v>
      </c>
      <c r="L16" s="426" t="s">
        <v>3</v>
      </c>
      <c r="M16" s="429" t="s">
        <v>2</v>
      </c>
      <c r="N16" s="426" t="s">
        <v>3</v>
      </c>
      <c r="O16" s="429" t="s">
        <v>2</v>
      </c>
      <c r="P16" s="426" t="s">
        <v>3</v>
      </c>
      <c r="Q16" s="429" t="s">
        <v>2</v>
      </c>
      <c r="R16" s="426" t="s">
        <v>3</v>
      </c>
      <c r="S16" s="429" t="s">
        <v>2</v>
      </c>
      <c r="T16" s="426" t="s">
        <v>3</v>
      </c>
      <c r="U16" s="429" t="s">
        <v>2</v>
      </c>
      <c r="V16" s="426" t="s">
        <v>3</v>
      </c>
      <c r="W16" s="406" t="s">
        <v>12</v>
      </c>
      <c r="X16" s="99" t="s">
        <v>13</v>
      </c>
      <c r="Y16" s="406" t="s">
        <v>14</v>
      </c>
      <c r="Z16" s="99" t="s">
        <v>15</v>
      </c>
      <c r="AA16" s="406" t="s">
        <v>14</v>
      </c>
      <c r="AB16" s="99" t="s">
        <v>15</v>
      </c>
      <c r="AC16" s="429" t="s">
        <v>2</v>
      </c>
      <c r="AD16" s="426" t="s">
        <v>3</v>
      </c>
      <c r="AE16" s="406" t="s">
        <v>17</v>
      </c>
      <c r="AF16" s="464" t="s">
        <v>21</v>
      </c>
      <c r="AG16" s="99" t="s">
        <v>16</v>
      </c>
      <c r="AH16" s="115"/>
    </row>
    <row r="17" spans="1:37" s="96" customFormat="1" ht="15.75" x14ac:dyDescent="0.2">
      <c r="A17" s="427"/>
      <c r="B17" s="427"/>
      <c r="C17" s="427"/>
      <c r="D17" s="427"/>
      <c r="E17" s="431"/>
      <c r="F17" s="432"/>
      <c r="G17" s="458"/>
      <c r="H17" s="431"/>
      <c r="I17" s="432"/>
      <c r="J17" s="458"/>
      <c r="K17" s="431"/>
      <c r="L17" s="427"/>
      <c r="M17" s="431"/>
      <c r="N17" s="427"/>
      <c r="O17" s="431"/>
      <c r="P17" s="427"/>
      <c r="Q17" s="431"/>
      <c r="R17" s="427"/>
      <c r="S17" s="431"/>
      <c r="T17" s="427"/>
      <c r="U17" s="431"/>
      <c r="V17" s="427"/>
      <c r="W17" s="405" t="s">
        <v>2</v>
      </c>
      <c r="X17" s="176" t="s">
        <v>3</v>
      </c>
      <c r="Y17" s="407" t="s">
        <v>2</v>
      </c>
      <c r="Z17" s="176" t="s">
        <v>3</v>
      </c>
      <c r="AA17" s="407" t="s">
        <v>2</v>
      </c>
      <c r="AB17" s="327" t="s">
        <v>3</v>
      </c>
      <c r="AC17" s="431"/>
      <c r="AD17" s="427"/>
      <c r="AE17" s="405" t="s">
        <v>2</v>
      </c>
      <c r="AF17" s="465"/>
      <c r="AG17" s="176" t="s">
        <v>3</v>
      </c>
      <c r="AH17" s="115"/>
    </row>
    <row r="18" spans="1:37" ht="15" hidden="1" customHeight="1" x14ac:dyDescent="0.2">
      <c r="A18" s="475"/>
      <c r="B18" s="466" t="s">
        <v>32</v>
      </c>
      <c r="C18" s="469" t="s">
        <v>33</v>
      </c>
      <c r="D18" s="466" t="s">
        <v>34</v>
      </c>
      <c r="E18" s="478" t="s">
        <v>35</v>
      </c>
      <c r="F18" s="479"/>
      <c r="G18" s="475"/>
      <c r="H18" s="478" t="s">
        <v>36</v>
      </c>
      <c r="I18" s="479"/>
      <c r="J18" s="469" t="s">
        <v>37</v>
      </c>
      <c r="K18" s="472" t="s">
        <v>38</v>
      </c>
      <c r="L18" s="469" t="s">
        <v>39</v>
      </c>
      <c r="M18" s="472" t="s">
        <v>38</v>
      </c>
      <c r="N18" s="469" t="s">
        <v>39</v>
      </c>
      <c r="O18" s="472" t="s">
        <v>38</v>
      </c>
      <c r="P18" s="469" t="s">
        <v>39</v>
      </c>
      <c r="Q18" s="472" t="s">
        <v>40</v>
      </c>
      <c r="R18" s="3"/>
      <c r="S18" s="3"/>
      <c r="T18" s="3"/>
      <c r="U18" s="3"/>
      <c r="V18" s="3"/>
      <c r="W18" s="3"/>
      <c r="X18" s="3"/>
      <c r="Y18" s="3"/>
      <c r="Z18" s="3"/>
      <c r="AA18" s="3"/>
      <c r="AB18" s="3"/>
      <c r="AC18" s="3"/>
      <c r="AD18" s="3"/>
      <c r="AE18" s="3"/>
      <c r="AF18" s="3"/>
      <c r="AG18" s="3"/>
      <c r="AH18" s="111"/>
    </row>
    <row r="19" spans="1:37" ht="15" hidden="1" customHeight="1" x14ac:dyDescent="0.2">
      <c r="A19" s="476"/>
      <c r="B19" s="467"/>
      <c r="C19" s="470"/>
      <c r="D19" s="467"/>
      <c r="E19" s="480"/>
      <c r="F19" s="481"/>
      <c r="G19" s="476"/>
      <c r="H19" s="480"/>
      <c r="I19" s="481"/>
      <c r="J19" s="470"/>
      <c r="K19" s="473"/>
      <c r="L19" s="470"/>
      <c r="M19" s="473"/>
      <c r="N19" s="470"/>
      <c r="O19" s="473"/>
      <c r="P19" s="470"/>
      <c r="Q19" s="473"/>
      <c r="R19" s="4"/>
      <c r="S19" s="4"/>
      <c r="T19" s="4"/>
      <c r="U19" s="4"/>
      <c r="V19" s="4"/>
      <c r="W19" s="4"/>
      <c r="X19" s="4"/>
      <c r="Y19" s="4"/>
      <c r="Z19" s="4"/>
      <c r="AA19" s="4"/>
      <c r="AB19" s="4"/>
      <c r="AC19" s="4"/>
      <c r="AD19" s="4"/>
      <c r="AE19" s="4"/>
      <c r="AF19" s="4"/>
      <c r="AG19" s="4"/>
      <c r="AH19" s="111"/>
    </row>
    <row r="20" spans="1:37" ht="15" hidden="1" customHeight="1" x14ac:dyDescent="0.2">
      <c r="A20" s="477"/>
      <c r="B20" s="468"/>
      <c r="C20" s="471"/>
      <c r="D20" s="468"/>
      <c r="E20" s="482"/>
      <c r="F20" s="483"/>
      <c r="G20" s="477"/>
      <c r="H20" s="482"/>
      <c r="I20" s="483"/>
      <c r="J20" s="471"/>
      <c r="K20" s="474"/>
      <c r="L20" s="471"/>
      <c r="M20" s="474"/>
      <c r="N20" s="471"/>
      <c r="O20" s="474"/>
      <c r="P20" s="471"/>
      <c r="Q20" s="474"/>
      <c r="R20" s="5"/>
      <c r="S20" s="5"/>
      <c r="T20" s="5"/>
      <c r="U20" s="5"/>
      <c r="V20" s="5"/>
      <c r="W20" s="5"/>
      <c r="X20" s="5"/>
      <c r="Y20" s="5"/>
      <c r="Z20" s="5"/>
      <c r="AA20" s="5"/>
      <c r="AB20" s="5"/>
      <c r="AC20" s="5"/>
      <c r="AD20" s="5"/>
      <c r="AE20" s="5"/>
      <c r="AF20" s="5"/>
      <c r="AG20" s="5"/>
      <c r="AH20" s="111"/>
    </row>
    <row r="21" spans="1:37" ht="160.5" customHeight="1" x14ac:dyDescent="0.25">
      <c r="A21" s="106" t="s">
        <v>265</v>
      </c>
      <c r="B21" s="107" t="s">
        <v>266</v>
      </c>
      <c r="C21" s="102"/>
      <c r="D21" s="103" t="s">
        <v>274</v>
      </c>
      <c r="E21" s="213">
        <v>5.8</v>
      </c>
      <c r="F21" s="214" t="s">
        <v>27</v>
      </c>
      <c r="G21" s="215"/>
      <c r="H21" s="216">
        <v>4.28</v>
      </c>
      <c r="I21" s="214" t="s">
        <v>27</v>
      </c>
      <c r="J21" s="217">
        <f>J22</f>
        <v>33908752500</v>
      </c>
      <c r="K21" s="213">
        <v>5.14</v>
      </c>
      <c r="L21" s="217">
        <f>L22</f>
        <v>8281652500</v>
      </c>
      <c r="M21" s="213">
        <f>M22</f>
        <v>5.0599999999999996</v>
      </c>
      <c r="N21" s="217">
        <f>N22</f>
        <v>4397920200</v>
      </c>
      <c r="O21" s="213">
        <f>O22</f>
        <v>4.8</v>
      </c>
      <c r="P21" s="217">
        <f>P22</f>
        <v>8504877900</v>
      </c>
      <c r="Q21" s="213">
        <v>5.33</v>
      </c>
      <c r="R21" s="217">
        <f>R22</f>
        <v>8040550150</v>
      </c>
      <c r="S21" s="213">
        <v>5.17</v>
      </c>
      <c r="T21" s="217">
        <f>T22</f>
        <v>3158177950</v>
      </c>
      <c r="U21" s="213">
        <v>4.84</v>
      </c>
      <c r="V21" s="217">
        <f>V22</f>
        <v>7012067344</v>
      </c>
      <c r="W21" s="239">
        <f>(K21-(Q21-K21))/K21*100</f>
        <v>96.303501945525284</v>
      </c>
      <c r="X21" s="239">
        <f>R21/L21*100</f>
        <v>97.088716895571267</v>
      </c>
      <c r="Y21" s="239">
        <f>(M21-(S21-M21))/M21*100</f>
        <v>97.826086956521735</v>
      </c>
      <c r="Z21" s="239">
        <f>T21/N21*100</f>
        <v>71.810715210339652</v>
      </c>
      <c r="AA21" s="239">
        <f>(O21-(U21-O21))/O21*100</f>
        <v>99.166666666666671</v>
      </c>
      <c r="AB21" s="239">
        <f>V21/P21*100</f>
        <v>82.447595679180765</v>
      </c>
      <c r="AC21" s="213">
        <f>U21</f>
        <v>4.84</v>
      </c>
      <c r="AD21" s="307">
        <f>R21+T21+V21</f>
        <v>18210795444</v>
      </c>
      <c r="AE21" s="239">
        <f>(H21-(AC21-H21))/H21*100</f>
        <v>86.9158878504673</v>
      </c>
      <c r="AF21" s="402" t="str">
        <f>IF(AE21&gt;=91,"Sangat Tinggi",IF(AE21&gt;=76,"Tinggi",IF(AE21&gt;=66,"Sedang",IF(AE21&gt;=51,"Rendah",IF(AE21&lt;=50,"Sangat Rendah")))))</f>
        <v>Tinggi</v>
      </c>
      <c r="AG21" s="239">
        <f>AD21/J21*100</f>
        <v>53.705294655118905</v>
      </c>
      <c r="AH21" s="116"/>
      <c r="AK21" s="105">
        <f>R21</f>
        <v>8040550150</v>
      </c>
    </row>
    <row r="22" spans="1:37" ht="78.75" x14ac:dyDescent="0.25">
      <c r="A22" s="66">
        <v>6</v>
      </c>
      <c r="B22" s="61" t="s">
        <v>100</v>
      </c>
      <c r="C22" s="94"/>
      <c r="D22" s="62" t="s">
        <v>330</v>
      </c>
      <c r="E22" s="223">
        <v>5.8</v>
      </c>
      <c r="F22" s="219" t="s">
        <v>27</v>
      </c>
      <c r="G22" s="293"/>
      <c r="H22" s="228">
        <v>4.28</v>
      </c>
      <c r="I22" s="219" t="s">
        <v>27</v>
      </c>
      <c r="J22" s="296">
        <f>SUM(J24:J25)</f>
        <v>33908752500</v>
      </c>
      <c r="K22" s="223">
        <v>5.14</v>
      </c>
      <c r="L22" s="296">
        <f>SUM(L24:L25)</f>
        <v>8281652500</v>
      </c>
      <c r="M22" s="223">
        <v>5.0599999999999996</v>
      </c>
      <c r="N22" s="296">
        <f>SUM(N24:N25)</f>
        <v>4397920200</v>
      </c>
      <c r="O22" s="223">
        <v>4.8</v>
      </c>
      <c r="P22" s="296">
        <f>SUM(P24:P29)</f>
        <v>8504877900</v>
      </c>
      <c r="Q22" s="223">
        <v>5.33</v>
      </c>
      <c r="R22" s="296">
        <f>SUM(R24:R25)</f>
        <v>8040550150</v>
      </c>
      <c r="S22" s="223">
        <v>5.17</v>
      </c>
      <c r="T22" s="296">
        <f>SUM(T24:T25)</f>
        <v>3158177950</v>
      </c>
      <c r="U22" s="223">
        <v>4.84</v>
      </c>
      <c r="V22" s="296">
        <f>SUM(V24:V29)</f>
        <v>7012067344</v>
      </c>
      <c r="W22" s="234">
        <f>(K22-(Q22-K22))/K22*100</f>
        <v>96.303501945525284</v>
      </c>
      <c r="X22" s="300">
        <f>R22/L22*100</f>
        <v>97.088716895571267</v>
      </c>
      <c r="Y22" s="234">
        <f>(M22-(S22-M22))/M22*100</f>
        <v>97.826086956521735</v>
      </c>
      <c r="Z22" s="300">
        <f>T22/N22*100</f>
        <v>71.810715210339652</v>
      </c>
      <c r="AA22" s="234">
        <f>(O22-(U22-O22))/O22*100</f>
        <v>99.166666666666671</v>
      </c>
      <c r="AB22" s="300">
        <f>V22/P22*100</f>
        <v>82.447595679180765</v>
      </c>
      <c r="AC22" s="223">
        <f>U22</f>
        <v>4.84</v>
      </c>
      <c r="AD22" s="309">
        <f>R22+T22+V22</f>
        <v>18210795444</v>
      </c>
      <c r="AE22" s="234">
        <f>(H22-(AC22-H22))/H22*100</f>
        <v>86.9158878504673</v>
      </c>
      <c r="AF22" s="219" t="str">
        <f>IF(AE22&gt;=91,"Sangat Tinggi",IF(AE22&gt;=76,"Tinggi",IF(AE22&gt;=66,"Sedang",IF(AE22&gt;=51,"Rendah",IF(AE22&lt;=50,"Sangat Rendah")))))</f>
        <v>Tinggi</v>
      </c>
      <c r="AG22" s="403">
        <f>AD22/J22*100</f>
        <v>53.705294655118905</v>
      </c>
      <c r="AH22" s="410" t="s">
        <v>286</v>
      </c>
      <c r="AK22" s="105">
        <f>R22</f>
        <v>8040550150</v>
      </c>
    </row>
    <row r="23" spans="1:37" ht="31.5" x14ac:dyDescent="0.25">
      <c r="A23" s="66"/>
      <c r="B23" s="61"/>
      <c r="C23" s="20"/>
      <c r="D23" s="62" t="s">
        <v>331</v>
      </c>
      <c r="E23" s="241">
        <v>0.32</v>
      </c>
      <c r="F23" s="219" t="s">
        <v>25</v>
      </c>
      <c r="G23" s="295"/>
      <c r="H23" s="241">
        <v>0.28399999999999997</v>
      </c>
      <c r="I23" s="219" t="s">
        <v>25</v>
      </c>
      <c r="J23" s="283"/>
      <c r="K23" s="241">
        <v>0.318</v>
      </c>
      <c r="L23" s="299"/>
      <c r="M23" s="241">
        <v>0.312</v>
      </c>
      <c r="N23" s="299"/>
      <c r="O23" s="241">
        <v>0.308</v>
      </c>
      <c r="P23" s="299"/>
      <c r="Q23" s="241">
        <v>0.28799999999999998</v>
      </c>
      <c r="R23" s="313"/>
      <c r="S23" s="241">
        <v>0.3</v>
      </c>
      <c r="T23" s="313"/>
      <c r="U23" s="241">
        <v>0.27500000000000002</v>
      </c>
      <c r="V23" s="313"/>
      <c r="W23" s="234">
        <f>(K23-(Q23-K23))/K23*100</f>
        <v>109.43396226415094</v>
      </c>
      <c r="X23" s="302"/>
      <c r="Y23" s="234">
        <f>(M23-(S23-M23))/M23*100</f>
        <v>103.84615384615385</v>
      </c>
      <c r="Z23" s="302"/>
      <c r="AA23" s="234">
        <f>(O23-(U23-O23))/O23*100</f>
        <v>110.71428571428569</v>
      </c>
      <c r="AB23" s="302"/>
      <c r="AC23" s="306">
        <f>U23</f>
        <v>0.27500000000000002</v>
      </c>
      <c r="AD23" s="5"/>
      <c r="AE23" s="234">
        <f>(H23-(AC23-H23))/H23*100</f>
        <v>103.16901408450703</v>
      </c>
      <c r="AF23" s="219" t="str">
        <f>IF(AE23&gt;=91,"Sangat Tinggi",IF(AE23&gt;=76,"Tinggi",IF(AE23&gt;=66,"Sedang",IF(AE23&gt;=51,"Rendah",IF(AE23&lt;=50,"Sangat Rendah")))))</f>
        <v>Sangat Tinggi</v>
      </c>
      <c r="AG23" s="5"/>
      <c r="AH23" s="111"/>
      <c r="AK23" s="105">
        <f>R23</f>
        <v>0</v>
      </c>
    </row>
    <row r="24" spans="1:37" ht="135" x14ac:dyDescent="0.2">
      <c r="A24" s="60"/>
      <c r="B24" s="60"/>
      <c r="C24" s="14" t="s">
        <v>50</v>
      </c>
      <c r="D24" s="14" t="s">
        <v>196</v>
      </c>
      <c r="E24" s="74">
        <v>4.8499999999999996</v>
      </c>
      <c r="F24" s="32" t="s">
        <v>27</v>
      </c>
      <c r="G24" s="8"/>
      <c r="H24" s="74">
        <v>7.25</v>
      </c>
      <c r="I24" s="32" t="s">
        <v>27</v>
      </c>
      <c r="J24" s="9">
        <v>1996682500</v>
      </c>
      <c r="K24" s="74">
        <v>5.72</v>
      </c>
      <c r="L24" s="10">
        <v>541006500</v>
      </c>
      <c r="M24" s="74">
        <v>7</v>
      </c>
      <c r="N24" s="10">
        <v>300583000</v>
      </c>
      <c r="O24" s="74"/>
      <c r="P24" s="10"/>
      <c r="Q24" s="74">
        <v>6.06</v>
      </c>
      <c r="R24" s="59">
        <v>532926300</v>
      </c>
      <c r="S24" s="74">
        <f>772/11272*100</f>
        <v>6.8488289567068845</v>
      </c>
      <c r="T24" s="59">
        <v>291723000</v>
      </c>
      <c r="U24" s="74"/>
      <c r="V24" s="59"/>
      <c r="W24" s="56">
        <f t="shared" ref="W24:Z25" si="0">Q24/K24*100</f>
        <v>105.94405594405593</v>
      </c>
      <c r="X24" s="235">
        <f t="shared" si="0"/>
        <v>98.506450477027542</v>
      </c>
      <c r="Y24" s="56">
        <f t="shared" si="0"/>
        <v>97.840413667241208</v>
      </c>
      <c r="Z24" s="235">
        <f t="shared" si="0"/>
        <v>97.052394846015915</v>
      </c>
      <c r="AA24" s="56"/>
      <c r="AB24" s="235"/>
      <c r="AC24" s="74">
        <f>S24</f>
        <v>6.8488289567068845</v>
      </c>
      <c r="AD24" s="193">
        <f>R24+T24</f>
        <v>824649300</v>
      </c>
      <c r="AE24" s="56">
        <f t="shared" ref="AE24" si="1">AC24/H24*100</f>
        <v>94.466606299405314</v>
      </c>
      <c r="AF24" s="32" t="str">
        <f t="shared" ref="AF24" si="2">IF(AE24&gt;=91,"Sangat Tinggi",IF(AE24&gt;=76,"Tinggi",IF(AE24&gt;=66,"Sedang",IF(AE24&gt;=51,"Rendah",IF(AE24&lt;=50,"Sangat Rendah")))))</f>
        <v>Sangat Tinggi</v>
      </c>
      <c r="AG24" s="56">
        <f t="shared" ref="AG24" si="3">AD24/J24*100</f>
        <v>41.300972988945411</v>
      </c>
      <c r="AH24" s="111"/>
      <c r="AK24" s="105">
        <f>R24</f>
        <v>532926300</v>
      </c>
    </row>
    <row r="25" spans="1:37" ht="135" x14ac:dyDescent="0.2">
      <c r="A25" s="60"/>
      <c r="B25" s="60"/>
      <c r="C25" s="14" t="s">
        <v>99</v>
      </c>
      <c r="D25" s="14" t="s">
        <v>197</v>
      </c>
      <c r="E25" s="74">
        <v>74.64</v>
      </c>
      <c r="F25" s="32" t="s">
        <v>27</v>
      </c>
      <c r="G25" s="8"/>
      <c r="H25" s="74">
        <v>86.2</v>
      </c>
      <c r="I25" s="32" t="s">
        <v>27</v>
      </c>
      <c r="J25" s="9">
        <v>31912070000</v>
      </c>
      <c r="K25" s="74">
        <v>74.64</v>
      </c>
      <c r="L25" s="10">
        <v>7740646000</v>
      </c>
      <c r="M25" s="74">
        <v>77.13</v>
      </c>
      <c r="N25" s="10">
        <v>4097337200</v>
      </c>
      <c r="O25" s="74"/>
      <c r="P25" s="10"/>
      <c r="Q25" s="74">
        <v>67.63</v>
      </c>
      <c r="R25" s="59">
        <v>7507623850</v>
      </c>
      <c r="S25" s="74">
        <f>8332/14016*100</f>
        <v>59.446347031963477</v>
      </c>
      <c r="T25" s="59">
        <v>2866454950</v>
      </c>
      <c r="U25" s="74"/>
      <c r="V25" s="59"/>
      <c r="W25" s="56">
        <f t="shared" si="0"/>
        <v>90.608252947481233</v>
      </c>
      <c r="X25" s="235">
        <f t="shared" si="0"/>
        <v>96.989629160150201</v>
      </c>
      <c r="Y25" s="56">
        <f t="shared" si="0"/>
        <v>77.072924973374143</v>
      </c>
      <c r="Z25" s="235">
        <f t="shared" si="0"/>
        <v>69.958971158146326</v>
      </c>
      <c r="AA25" s="56"/>
      <c r="AB25" s="235"/>
      <c r="AC25" s="74">
        <f>S25</f>
        <v>59.446347031963477</v>
      </c>
      <c r="AD25" s="193">
        <f>R25+T25</f>
        <v>10374078800</v>
      </c>
      <c r="AE25" s="56">
        <f>AC25/H25*100</f>
        <v>68.963279619447178</v>
      </c>
      <c r="AF25" s="32" t="str">
        <f t="shared" ref="AF25:AF29" si="4">IF(AE25&gt;=91,"Sangat Tinggi",IF(AE25&gt;=76,"Tinggi",IF(AE25&gt;=66,"Sedang",IF(AE25&gt;=51,"Rendah",IF(AE25&lt;=50,"Sangat Rendah")))))</f>
        <v>Sedang</v>
      </c>
      <c r="AG25" s="56">
        <f t="shared" ref="AG25:AG29" si="5">AD25/J25*100</f>
        <v>32.508323026365886</v>
      </c>
      <c r="AH25" s="111"/>
      <c r="AK25" s="105">
        <f>R25</f>
        <v>7507623850</v>
      </c>
    </row>
    <row r="26" spans="1:37" ht="195" x14ac:dyDescent="0.2">
      <c r="A26" s="66"/>
      <c r="B26" s="61"/>
      <c r="C26" s="14" t="s">
        <v>594</v>
      </c>
      <c r="D26" s="14" t="s">
        <v>778</v>
      </c>
      <c r="E26" s="32"/>
      <c r="F26" s="32"/>
      <c r="G26" s="8"/>
      <c r="H26" s="74">
        <v>63.18</v>
      </c>
      <c r="I26" s="32" t="s">
        <v>27</v>
      </c>
      <c r="J26" s="9">
        <f>4832470100*3</f>
        <v>14497410300</v>
      </c>
      <c r="K26" s="74"/>
      <c r="L26" s="10"/>
      <c r="M26" s="74"/>
      <c r="N26" s="10"/>
      <c r="O26" s="74">
        <f>155/478*100</f>
        <v>32.42677824267782</v>
      </c>
      <c r="P26" s="10">
        <v>4674681700</v>
      </c>
      <c r="Q26" s="74"/>
      <c r="R26" s="59"/>
      <c r="S26" s="74"/>
      <c r="T26" s="59"/>
      <c r="U26" s="74">
        <f>155/478*100</f>
        <v>32.42677824267782</v>
      </c>
      <c r="V26" s="59">
        <v>4445586784</v>
      </c>
      <c r="W26" s="56"/>
      <c r="X26" s="235"/>
      <c r="Y26" s="56"/>
      <c r="Z26" s="235"/>
      <c r="AA26" s="56">
        <f t="shared" ref="AA26:AB29" si="6">U26/O26*100</f>
        <v>100</v>
      </c>
      <c r="AB26" s="235">
        <f t="shared" si="6"/>
        <v>95.099240318330118</v>
      </c>
      <c r="AC26" s="74">
        <f t="shared" ref="AC26:AC31" si="7">U26</f>
        <v>32.42677824267782</v>
      </c>
      <c r="AD26" s="11">
        <f t="shared" ref="AD26:AD29" si="8">V26</f>
        <v>4445586784</v>
      </c>
      <c r="AE26" s="56">
        <f>AC26/H26*100</f>
        <v>51.32443533187373</v>
      </c>
      <c r="AF26" s="32" t="str">
        <f t="shared" si="4"/>
        <v>Rendah</v>
      </c>
      <c r="AG26" s="56">
        <f t="shared" si="5"/>
        <v>30.664695914690366</v>
      </c>
      <c r="AH26" s="111"/>
      <c r="AK26" s="104"/>
    </row>
    <row r="27" spans="1:37" ht="66.75" customHeight="1" x14ac:dyDescent="0.2">
      <c r="A27" s="66"/>
      <c r="B27" s="61"/>
      <c r="C27" s="14" t="s">
        <v>596</v>
      </c>
      <c r="D27" s="14" t="s">
        <v>597</v>
      </c>
      <c r="E27" s="32"/>
      <c r="F27" s="32"/>
      <c r="G27" s="8"/>
      <c r="H27" s="74">
        <v>14.32</v>
      </c>
      <c r="I27" s="32" t="s">
        <v>27</v>
      </c>
      <c r="J27" s="9">
        <f>6571330500*3</f>
        <v>19713991500</v>
      </c>
      <c r="K27" s="74"/>
      <c r="L27" s="10"/>
      <c r="M27" s="74"/>
      <c r="N27" s="10"/>
      <c r="O27" s="74">
        <f>780/8766*100</f>
        <v>8.8980150581793289</v>
      </c>
      <c r="P27" s="10">
        <v>2796211900</v>
      </c>
      <c r="Q27" s="74"/>
      <c r="R27" s="59"/>
      <c r="S27" s="74"/>
      <c r="T27" s="59"/>
      <c r="U27" s="74">
        <f>762/8766*100</f>
        <v>8.6926762491444212</v>
      </c>
      <c r="V27" s="59">
        <v>1662014600</v>
      </c>
      <c r="W27" s="56"/>
      <c r="X27" s="235"/>
      <c r="Y27" s="56"/>
      <c r="Z27" s="235"/>
      <c r="AA27" s="56">
        <f t="shared" si="6"/>
        <v>97.692307692307693</v>
      </c>
      <c r="AB27" s="235">
        <f t="shared" si="6"/>
        <v>59.438077636390865</v>
      </c>
      <c r="AC27" s="74">
        <f t="shared" si="7"/>
        <v>8.6926762491444212</v>
      </c>
      <c r="AD27" s="274">
        <f t="shared" si="8"/>
        <v>1662014600</v>
      </c>
      <c r="AE27" s="56">
        <f t="shared" ref="AE27:AE29" si="9">AC27/H27*100</f>
        <v>60.703046432572769</v>
      </c>
      <c r="AF27" s="32" t="str">
        <f t="shared" si="4"/>
        <v>Rendah</v>
      </c>
      <c r="AG27" s="56">
        <f t="shared" si="5"/>
        <v>8.4306346586382563</v>
      </c>
      <c r="AH27" s="111"/>
      <c r="AK27" s="104"/>
    </row>
    <row r="28" spans="1:37" ht="66.75" customHeight="1" x14ac:dyDescent="0.2">
      <c r="A28" s="66"/>
      <c r="B28" s="61"/>
      <c r="C28" s="14" t="s">
        <v>779</v>
      </c>
      <c r="D28" s="14" t="s">
        <v>597</v>
      </c>
      <c r="E28" s="32"/>
      <c r="F28" s="32"/>
      <c r="G28" s="8"/>
      <c r="H28" s="74">
        <v>14.32</v>
      </c>
      <c r="I28" s="32" t="s">
        <v>27</v>
      </c>
      <c r="J28" s="9">
        <f>156020000*3</f>
        <v>468060000</v>
      </c>
      <c r="K28" s="74"/>
      <c r="L28" s="10"/>
      <c r="M28" s="74"/>
      <c r="N28" s="10"/>
      <c r="O28" s="74">
        <f>780/8766*100</f>
        <v>8.8980150581793289</v>
      </c>
      <c r="P28" s="10">
        <v>484449800</v>
      </c>
      <c r="Q28" s="74"/>
      <c r="R28" s="59"/>
      <c r="S28" s="74"/>
      <c r="T28" s="59"/>
      <c r="U28" s="74">
        <f>762/8766*100</f>
        <v>8.6926762491444212</v>
      </c>
      <c r="V28" s="59">
        <v>458414000</v>
      </c>
      <c r="W28" s="56"/>
      <c r="X28" s="235"/>
      <c r="Y28" s="56"/>
      <c r="Z28" s="235"/>
      <c r="AA28" s="56">
        <f t="shared" si="6"/>
        <v>97.692307692307693</v>
      </c>
      <c r="AB28" s="235">
        <f t="shared" si="6"/>
        <v>94.62569702784478</v>
      </c>
      <c r="AC28" s="74">
        <f t="shared" si="7"/>
        <v>8.6926762491444212</v>
      </c>
      <c r="AD28" s="274">
        <f t="shared" si="8"/>
        <v>458414000</v>
      </c>
      <c r="AE28" s="56">
        <f t="shared" si="9"/>
        <v>60.703046432572769</v>
      </c>
      <c r="AF28" s="32" t="str">
        <f t="shared" si="4"/>
        <v>Rendah</v>
      </c>
      <c r="AG28" s="56">
        <f t="shared" si="5"/>
        <v>97.939153100029912</v>
      </c>
      <c r="AH28" s="111"/>
      <c r="AK28" s="104"/>
    </row>
    <row r="29" spans="1:37" ht="120" x14ac:dyDescent="0.2">
      <c r="A29" s="66"/>
      <c r="B29" s="61"/>
      <c r="C29" s="14" t="s">
        <v>788</v>
      </c>
      <c r="D29" s="14" t="s">
        <v>789</v>
      </c>
      <c r="E29" s="32"/>
      <c r="F29" s="32"/>
      <c r="G29" s="8"/>
      <c r="H29" s="74">
        <v>63.18</v>
      </c>
      <c r="I29" s="32" t="s">
        <v>27</v>
      </c>
      <c r="J29" s="9">
        <v>1160910500</v>
      </c>
      <c r="K29" s="74"/>
      <c r="L29" s="10"/>
      <c r="M29" s="74"/>
      <c r="N29" s="10"/>
      <c r="O29" s="74">
        <f>155/478*100</f>
        <v>32.42677824267782</v>
      </c>
      <c r="P29" s="10">
        <v>549534500</v>
      </c>
      <c r="Q29" s="74"/>
      <c r="R29" s="59"/>
      <c r="S29" s="74"/>
      <c r="T29" s="59"/>
      <c r="U29" s="74">
        <f>155/478*100</f>
        <v>32.42677824267782</v>
      </c>
      <c r="V29" s="59">
        <v>446051960</v>
      </c>
      <c r="W29" s="56"/>
      <c r="X29" s="235"/>
      <c r="Y29" s="56"/>
      <c r="Z29" s="235"/>
      <c r="AA29" s="56">
        <f t="shared" si="6"/>
        <v>100</v>
      </c>
      <c r="AB29" s="235">
        <f t="shared" si="6"/>
        <v>81.169054900101813</v>
      </c>
      <c r="AC29" s="74">
        <f t="shared" si="7"/>
        <v>32.42677824267782</v>
      </c>
      <c r="AD29" s="274">
        <f t="shared" si="8"/>
        <v>446051960</v>
      </c>
      <c r="AE29" s="56">
        <f t="shared" si="9"/>
        <v>51.32443533187373</v>
      </c>
      <c r="AF29" s="32" t="str">
        <f t="shared" si="4"/>
        <v>Rendah</v>
      </c>
      <c r="AG29" s="56">
        <f t="shared" si="5"/>
        <v>38.422596746260801</v>
      </c>
      <c r="AH29" s="112"/>
      <c r="AK29" s="104"/>
    </row>
    <row r="30" spans="1:37" ht="49.15" customHeight="1" x14ac:dyDescent="0.25">
      <c r="A30" s="66"/>
      <c r="B30" s="61"/>
      <c r="C30" s="20"/>
      <c r="D30" s="62" t="s">
        <v>298</v>
      </c>
      <c r="E30" s="223">
        <v>6.13</v>
      </c>
      <c r="F30" s="219" t="s">
        <v>27</v>
      </c>
      <c r="G30" s="221"/>
      <c r="H30" s="223">
        <v>6.43</v>
      </c>
      <c r="I30" s="219" t="s">
        <v>27</v>
      </c>
      <c r="J30" s="222">
        <f>J31+J38+J45+J58+J96+J103+J108+J115</f>
        <v>141549274713</v>
      </c>
      <c r="K30" s="223">
        <v>6.23</v>
      </c>
      <c r="L30" s="222">
        <f>L31+L38+L45+L58+L96+L103+L108+L115</f>
        <v>26065167955</v>
      </c>
      <c r="M30" s="223">
        <v>6.28</v>
      </c>
      <c r="N30" s="222">
        <f>N31+N38+N45+N58+N96+N103+N108+N115</f>
        <v>18548238850</v>
      </c>
      <c r="O30" s="223">
        <v>6.33</v>
      </c>
      <c r="P30" s="222">
        <f>P31+P38+P45+P58+P96+P103+P108+P115</f>
        <v>27870210371</v>
      </c>
      <c r="Q30" s="223">
        <v>5.3</v>
      </c>
      <c r="R30" s="222">
        <f>R31+R38+R45+R58+R96+R103+R108+R115</f>
        <v>23203516871</v>
      </c>
      <c r="S30" s="223">
        <v>-1.19</v>
      </c>
      <c r="T30" s="222">
        <f>T31+T38+T45+T58+T96+T103+T108+T115</f>
        <v>16264776372</v>
      </c>
      <c r="U30" s="223">
        <v>4.18</v>
      </c>
      <c r="V30" s="222">
        <f>V31+V38+V45+V58+V96+V103+V108+V115</f>
        <v>23190713859</v>
      </c>
      <c r="W30" s="234">
        <f t="shared" ref="W30:AB30" si="10">Q30/K30*100</f>
        <v>85.07223113964686</v>
      </c>
      <c r="X30" s="240">
        <f t="shared" si="10"/>
        <v>89.021167678871379</v>
      </c>
      <c r="Y30" s="234">
        <f t="shared" si="10"/>
        <v>-18.949044585987259</v>
      </c>
      <c r="Z30" s="240">
        <f t="shared" si="10"/>
        <v>87.689060419879155</v>
      </c>
      <c r="AA30" s="234">
        <f t="shared" si="10"/>
        <v>66.034755134281198</v>
      </c>
      <c r="AB30" s="240">
        <f t="shared" si="10"/>
        <v>83.209683566403243</v>
      </c>
      <c r="AC30" s="223">
        <f t="shared" si="7"/>
        <v>4.18</v>
      </c>
      <c r="AD30" s="309">
        <f>R30+T30+V30</f>
        <v>62659007102</v>
      </c>
      <c r="AE30" s="234">
        <f>AC30/H30*100</f>
        <v>65.007776049766719</v>
      </c>
      <c r="AF30" s="219" t="str">
        <f>IF(AE30&gt;=91,"Sangat Tinggi",IF(AE30&gt;=76,"Tinggi",IF(AE30&gt;=66,"Sedang",IF(AE30&gt;=51,"Rendah",IF(AE30&lt;=50,"Sangat Rendah")))))</f>
        <v>Rendah</v>
      </c>
      <c r="AG30" s="234">
        <f>AD30/J30*100</f>
        <v>44.266568817851635</v>
      </c>
      <c r="AH30" s="123"/>
      <c r="AK30" s="105">
        <f>R30</f>
        <v>23203516871</v>
      </c>
    </row>
    <row r="31" spans="1:37" ht="90" x14ac:dyDescent="0.25">
      <c r="A31" s="66">
        <v>7</v>
      </c>
      <c r="B31" s="61" t="s">
        <v>51</v>
      </c>
      <c r="C31" s="14"/>
      <c r="D31" s="62" t="s">
        <v>332</v>
      </c>
      <c r="E31" s="219">
        <v>2.4300000000000002</v>
      </c>
      <c r="F31" s="219" t="s">
        <v>27</v>
      </c>
      <c r="G31" s="221"/>
      <c r="H31" s="219">
        <v>1.86</v>
      </c>
      <c r="I31" s="219" t="s">
        <v>27</v>
      </c>
      <c r="J31" s="222">
        <f>SUM(J32:J34)</f>
        <v>1063227500</v>
      </c>
      <c r="K31" s="219">
        <v>2.0699999999999998</v>
      </c>
      <c r="L31" s="222">
        <f>SUM(L32:L34)</f>
        <v>202894250</v>
      </c>
      <c r="M31" s="219">
        <v>2.04</v>
      </c>
      <c r="N31" s="222">
        <f>SUM(N32:N34)</f>
        <v>106049000</v>
      </c>
      <c r="O31" s="219">
        <v>1.96</v>
      </c>
      <c r="P31" s="222">
        <f>SUM(P32:P37)</f>
        <v>440701450</v>
      </c>
      <c r="Q31" s="223">
        <v>2.4300000000000002</v>
      </c>
      <c r="R31" s="222">
        <f>SUM(R32:R34)</f>
        <v>191969605</v>
      </c>
      <c r="S31" s="223">
        <v>2.2400000000000002</v>
      </c>
      <c r="T31" s="222">
        <f>SUM(T32:T34)</f>
        <v>89789000</v>
      </c>
      <c r="U31" s="223">
        <v>2.44</v>
      </c>
      <c r="V31" s="222">
        <f>SUM(V32:V37)</f>
        <v>344441700</v>
      </c>
      <c r="W31" s="234">
        <f>(K31-(Q31-K31))/K31*100</f>
        <v>82.608695652173893</v>
      </c>
      <c r="X31" s="240">
        <f>R31/L31*100</f>
        <v>94.615596548448266</v>
      </c>
      <c r="Y31" s="234">
        <f>(M31-(S31-M31))/M31*100</f>
        <v>90.196078431372541</v>
      </c>
      <c r="Z31" s="240">
        <f>T31/N31*100</f>
        <v>84.667465039745778</v>
      </c>
      <c r="AA31" s="234">
        <f>(O31-(U31-O31))/O31*100</f>
        <v>75.510204081632651</v>
      </c>
      <c r="AB31" s="240">
        <f>V31/P31*100</f>
        <v>78.157605335766419</v>
      </c>
      <c r="AC31" s="223">
        <f t="shared" si="7"/>
        <v>2.44</v>
      </c>
      <c r="AD31" s="309">
        <f>R31+T31+V31</f>
        <v>626200305</v>
      </c>
      <c r="AE31" s="234">
        <f>(H31-(AC31-H31))/H31*100</f>
        <v>68.817204301075279</v>
      </c>
      <c r="AF31" s="219" t="str">
        <f>IF(AE31&gt;=91,"Sangat Tinggi",IF(AE31&gt;=76,"Tinggi",IF(AE31&gt;=66,"Sedang",IF(AE31&gt;=51,"Rendah",IF(AE31&lt;=50,"Sangat Rendah")))))</f>
        <v>Sedang</v>
      </c>
      <c r="AG31" s="234">
        <f>AD31/J31*100</f>
        <v>58.89617273819573</v>
      </c>
      <c r="AH31" s="410" t="s">
        <v>288</v>
      </c>
      <c r="AK31" s="105">
        <f>R31</f>
        <v>191969605</v>
      </c>
    </row>
    <row r="32" spans="1:37" s="149" customFormat="1" ht="75" x14ac:dyDescent="0.2">
      <c r="A32" s="60"/>
      <c r="B32" s="60"/>
      <c r="C32" s="94" t="s">
        <v>53</v>
      </c>
      <c r="D32" s="14" t="s">
        <v>127</v>
      </c>
      <c r="E32" s="74">
        <v>42.76</v>
      </c>
      <c r="F32" s="18" t="s">
        <v>27</v>
      </c>
      <c r="G32" s="236"/>
      <c r="H32" s="74">
        <v>48.5</v>
      </c>
      <c r="I32" s="18" t="s">
        <v>27</v>
      </c>
      <c r="J32" s="183">
        <v>994471250</v>
      </c>
      <c r="K32" s="32">
        <v>42.96</v>
      </c>
      <c r="L32" s="180">
        <v>185143000</v>
      </c>
      <c r="M32" s="32">
        <v>43.03</v>
      </c>
      <c r="N32" s="180">
        <v>101049000</v>
      </c>
      <c r="O32" s="32"/>
      <c r="P32" s="180"/>
      <c r="Q32" s="74">
        <v>42.98</v>
      </c>
      <c r="R32" s="180">
        <v>177444605</v>
      </c>
      <c r="S32" s="74">
        <f>973/1139*100</f>
        <v>85.425812115891134</v>
      </c>
      <c r="T32" s="180">
        <v>84789000</v>
      </c>
      <c r="U32" s="74"/>
      <c r="V32" s="180"/>
      <c r="W32" s="56">
        <f>Q32/K32*100</f>
        <v>100.04655493482308</v>
      </c>
      <c r="X32" s="237">
        <f>R32/L32*100</f>
        <v>95.841919489259652</v>
      </c>
      <c r="Y32" s="56">
        <f>S32/M32*100</f>
        <v>198.52617270716041</v>
      </c>
      <c r="Z32" s="237">
        <f>T32/N32*100</f>
        <v>83.908796722382206</v>
      </c>
      <c r="AA32" s="56"/>
      <c r="AB32" s="237"/>
      <c r="AC32" s="74">
        <f>S32</f>
        <v>85.425812115891134</v>
      </c>
      <c r="AD32" s="193">
        <f>R32+T32</f>
        <v>262233605</v>
      </c>
      <c r="AE32" s="18">
        <f>AC32/H32*100</f>
        <v>176.13569508431161</v>
      </c>
      <c r="AF32" s="32" t="str">
        <f t="shared" ref="AF32" si="11">IF(AE32&gt;=91,"Sangat Tinggi",IF(AE32&gt;=76,"Tinggi",IF(AE32&gt;=66,"Sedang",IF(AE32&gt;=51,"Rendah",IF(AE32&lt;=50,"Sangat Rendah")))))</f>
        <v>Sangat Tinggi</v>
      </c>
      <c r="AG32" s="354">
        <f t="shared" ref="AG32" si="12">AD32/J32*100</f>
        <v>26.369148932158669</v>
      </c>
      <c r="AH32" s="111"/>
      <c r="AK32" s="105">
        <f>R32</f>
        <v>177444605</v>
      </c>
    </row>
    <row r="33" spans="1:37" ht="96.6" customHeight="1" x14ac:dyDescent="0.2">
      <c r="A33" s="60"/>
      <c r="B33" s="60"/>
      <c r="C33" s="20"/>
      <c r="D33" s="14" t="s">
        <v>198</v>
      </c>
      <c r="E33" s="74">
        <v>75</v>
      </c>
      <c r="F33" s="18" t="s">
        <v>27</v>
      </c>
      <c r="G33" s="29"/>
      <c r="H33" s="74">
        <v>95</v>
      </c>
      <c r="I33" s="18" t="s">
        <v>27</v>
      </c>
      <c r="J33" s="49"/>
      <c r="K33" s="74">
        <v>80</v>
      </c>
      <c r="L33" s="182"/>
      <c r="M33" s="74">
        <v>85</v>
      </c>
      <c r="N33" s="182"/>
      <c r="O33" s="74"/>
      <c r="P33" s="182"/>
      <c r="Q33" s="74">
        <v>83.33</v>
      </c>
      <c r="R33" s="209"/>
      <c r="S33" s="74">
        <f>3/6*100</f>
        <v>50</v>
      </c>
      <c r="T33" s="209"/>
      <c r="U33" s="74"/>
      <c r="V33" s="209"/>
      <c r="W33" s="56">
        <f>Q33/K33*100</f>
        <v>104.16250000000001</v>
      </c>
      <c r="X33" s="238"/>
      <c r="Y33" s="56">
        <f>S33/M33*100</f>
        <v>58.82352941176471</v>
      </c>
      <c r="Z33" s="238"/>
      <c r="AA33" s="56"/>
      <c r="AB33" s="238"/>
      <c r="AC33" s="74">
        <f>S33</f>
        <v>50</v>
      </c>
      <c r="AD33" s="5"/>
      <c r="AE33" s="56">
        <f>AC33/H33*100</f>
        <v>52.631578947368418</v>
      </c>
      <c r="AF33" s="32" t="str">
        <f t="shared" ref="AF33" si="13">IF(AE33&gt;=91,"Sangat Tinggi",IF(AE33&gt;=76,"Tinggi",IF(AE33&gt;=66,"Sedang",IF(AE33&gt;=51,"Rendah",IF(AE33&lt;=50,"Sangat Rendah")))))</f>
        <v>Rendah</v>
      </c>
      <c r="AG33" s="5"/>
      <c r="AH33" s="111"/>
      <c r="AK33" s="105">
        <f>R33</f>
        <v>0</v>
      </c>
    </row>
    <row r="34" spans="1:37" ht="60" x14ac:dyDescent="0.2">
      <c r="A34" s="60"/>
      <c r="B34" s="60"/>
      <c r="C34" s="14" t="s">
        <v>52</v>
      </c>
      <c r="D34" s="14" t="s">
        <v>128</v>
      </c>
      <c r="E34" s="74">
        <v>0.73</v>
      </c>
      <c r="F34" s="18" t="s">
        <v>27</v>
      </c>
      <c r="G34" s="8"/>
      <c r="H34" s="74">
        <v>0.79</v>
      </c>
      <c r="I34" s="18" t="s">
        <v>27</v>
      </c>
      <c r="J34" s="9">
        <v>68756250</v>
      </c>
      <c r="K34" s="32">
        <v>0.75</v>
      </c>
      <c r="L34" s="10">
        <v>17751250</v>
      </c>
      <c r="M34" s="32">
        <v>0.76</v>
      </c>
      <c r="N34" s="10">
        <v>5000000</v>
      </c>
      <c r="O34" s="32"/>
      <c r="P34" s="10"/>
      <c r="Q34" s="74">
        <v>0.96</v>
      </c>
      <c r="R34" s="59">
        <v>14525000</v>
      </c>
      <c r="S34" s="74">
        <f>1097/5898*100</f>
        <v>18.599525262800949</v>
      </c>
      <c r="T34" s="59">
        <v>5000000</v>
      </c>
      <c r="U34" s="74"/>
      <c r="V34" s="59"/>
      <c r="W34" s="56">
        <f>Q34/K34*100</f>
        <v>128</v>
      </c>
      <c r="X34" s="235">
        <f>R34/L34*100</f>
        <v>81.825223575804515</v>
      </c>
      <c r="Y34" s="317">
        <f>S34/M34*100</f>
        <v>2447.3059556317035</v>
      </c>
      <c r="Z34" s="235">
        <f>T34/N34*100</f>
        <v>100</v>
      </c>
      <c r="AA34" s="317"/>
      <c r="AB34" s="235"/>
      <c r="AC34" s="74">
        <f>S34</f>
        <v>18.599525262800949</v>
      </c>
      <c r="AD34" s="193">
        <f>R34+T34</f>
        <v>19525000</v>
      </c>
      <c r="AE34" s="89">
        <f>AC34/H34*100</f>
        <v>2354.3702864304996</v>
      </c>
      <c r="AF34" s="32" t="str">
        <f t="shared" ref="AF34" si="14">IF(AE34&gt;=91,"Sangat Tinggi",IF(AE34&gt;=76,"Tinggi",IF(AE34&gt;=66,"Sedang",IF(AE34&gt;=51,"Rendah",IF(AE34&lt;=50,"Sangat Rendah")))))</f>
        <v>Sangat Tinggi</v>
      </c>
      <c r="AG34" s="354">
        <f t="shared" ref="AG34" si="15">AD34/J34*100</f>
        <v>28.397418416507591</v>
      </c>
      <c r="AH34" s="111"/>
      <c r="AK34" s="105">
        <f>R34</f>
        <v>14525000</v>
      </c>
    </row>
    <row r="35" spans="1:37" ht="75" x14ac:dyDescent="0.2">
      <c r="A35" s="60"/>
      <c r="B35" s="60"/>
      <c r="C35" s="14" t="s">
        <v>599</v>
      </c>
      <c r="D35" s="14" t="s">
        <v>127</v>
      </c>
      <c r="E35" s="74"/>
      <c r="F35" s="18"/>
      <c r="G35" s="8"/>
      <c r="H35" s="74">
        <v>41.42</v>
      </c>
      <c r="I35" s="18" t="s">
        <v>27</v>
      </c>
      <c r="J35" s="9">
        <f>356440000*3</f>
        <v>1069320000</v>
      </c>
      <c r="K35" s="32"/>
      <c r="L35" s="10"/>
      <c r="M35" s="32"/>
      <c r="N35" s="10"/>
      <c r="O35" s="74">
        <f>(350+76)/1139*100</f>
        <v>37.401229148375769</v>
      </c>
      <c r="P35" s="10">
        <v>344890950</v>
      </c>
      <c r="Q35" s="74"/>
      <c r="R35" s="59"/>
      <c r="S35" s="74"/>
      <c r="T35" s="59"/>
      <c r="U35" s="74">
        <v>43.05</v>
      </c>
      <c r="V35" s="59">
        <v>316555200</v>
      </c>
      <c r="W35" s="56"/>
      <c r="X35" s="235"/>
      <c r="Y35" s="317"/>
      <c r="Z35" s="235"/>
      <c r="AA35" s="317">
        <f t="shared" ref="AA35:AB37" si="16">U35/O35*100</f>
        <v>115.1031690140845</v>
      </c>
      <c r="AB35" s="235">
        <f t="shared" si="16"/>
        <v>91.78414220494912</v>
      </c>
      <c r="AC35" s="74">
        <f>U35</f>
        <v>43.05</v>
      </c>
      <c r="AD35" s="193">
        <f t="shared" ref="AD35:AD37" si="17">V35</f>
        <v>316555200</v>
      </c>
      <c r="AE35" s="89">
        <f t="shared" ref="AE35:AE37" si="18">AC35/H35*100</f>
        <v>103.93529695799131</v>
      </c>
      <c r="AF35" s="32" t="str">
        <f t="shared" ref="AF35:AF37" si="19">IF(AE35&gt;=91,"Sangat Tinggi",IF(AE35&gt;=76,"Tinggi",IF(AE35&gt;=66,"Sedang",IF(AE35&gt;=51,"Rendah",IF(AE35&lt;=50,"Sangat Rendah")))))</f>
        <v>Sangat Tinggi</v>
      </c>
      <c r="AG35" s="354">
        <f t="shared" ref="AG35:AG37" si="20">AD35/J35*100</f>
        <v>29.603411513859275</v>
      </c>
      <c r="AH35" s="111"/>
      <c r="AK35" s="105"/>
    </row>
    <row r="36" spans="1:37" ht="60" x14ac:dyDescent="0.2">
      <c r="A36" s="60"/>
      <c r="B36" s="60"/>
      <c r="C36" s="14" t="s">
        <v>598</v>
      </c>
      <c r="D36" s="14" t="s">
        <v>127</v>
      </c>
      <c r="E36" s="74"/>
      <c r="F36" s="18"/>
      <c r="G36" s="8"/>
      <c r="H36" s="74">
        <v>41.42</v>
      </c>
      <c r="I36" s="18" t="s">
        <v>27</v>
      </c>
      <c r="J36" s="9">
        <f>56565000*3</f>
        <v>169695000</v>
      </c>
      <c r="K36" s="32"/>
      <c r="L36" s="10"/>
      <c r="M36" s="32"/>
      <c r="N36" s="10"/>
      <c r="O36" s="74">
        <f>(350+76)/1139*100</f>
        <v>37.401229148375769</v>
      </c>
      <c r="P36" s="10">
        <v>29530500</v>
      </c>
      <c r="Q36" s="74"/>
      <c r="R36" s="59"/>
      <c r="S36" s="74"/>
      <c r="T36" s="59"/>
      <c r="U36" s="74">
        <v>43.05</v>
      </c>
      <c r="V36" s="59">
        <v>27886500</v>
      </c>
      <c r="W36" s="56"/>
      <c r="X36" s="235"/>
      <c r="Y36" s="317"/>
      <c r="Z36" s="235"/>
      <c r="AA36" s="317">
        <f t="shared" si="16"/>
        <v>115.1031690140845</v>
      </c>
      <c r="AB36" s="235">
        <f t="shared" si="16"/>
        <v>94.43287448570122</v>
      </c>
      <c r="AC36" s="74">
        <f>U36</f>
        <v>43.05</v>
      </c>
      <c r="AD36" s="193">
        <f t="shared" si="17"/>
        <v>27886500</v>
      </c>
      <c r="AE36" s="89">
        <f t="shared" si="18"/>
        <v>103.93529695799131</v>
      </c>
      <c r="AF36" s="32" t="str">
        <f t="shared" si="19"/>
        <v>Sangat Tinggi</v>
      </c>
      <c r="AG36" s="354">
        <f t="shared" si="20"/>
        <v>16.433306815168393</v>
      </c>
      <c r="AH36" s="111"/>
      <c r="AK36" s="105"/>
    </row>
    <row r="37" spans="1:37" ht="105" x14ac:dyDescent="0.2">
      <c r="A37" s="60"/>
      <c r="B37" s="60"/>
      <c r="C37" s="14" t="s">
        <v>600</v>
      </c>
      <c r="D37" s="14" t="s">
        <v>198</v>
      </c>
      <c r="E37" s="74"/>
      <c r="F37" s="18"/>
      <c r="G37" s="8"/>
      <c r="H37" s="92">
        <v>100</v>
      </c>
      <c r="I37" s="18" t="s">
        <v>27</v>
      </c>
      <c r="J37" s="9">
        <f>66280000*3</f>
        <v>198840000</v>
      </c>
      <c r="K37" s="32"/>
      <c r="L37" s="10"/>
      <c r="M37" s="32"/>
      <c r="N37" s="10"/>
      <c r="O37" s="32">
        <v>100</v>
      </c>
      <c r="P37" s="10">
        <v>66280000</v>
      </c>
      <c r="Q37" s="74"/>
      <c r="R37" s="59"/>
      <c r="S37" s="74"/>
      <c r="T37" s="59"/>
      <c r="U37" s="92">
        <f>4/4*100</f>
        <v>100</v>
      </c>
      <c r="V37" s="59">
        <v>0</v>
      </c>
      <c r="W37" s="56"/>
      <c r="X37" s="235"/>
      <c r="Y37" s="317"/>
      <c r="Z37" s="235"/>
      <c r="AA37" s="338">
        <f t="shared" si="16"/>
        <v>100</v>
      </c>
      <c r="AB37" s="235">
        <f t="shared" si="16"/>
        <v>0</v>
      </c>
      <c r="AC37" s="92">
        <f>U37</f>
        <v>100</v>
      </c>
      <c r="AD37" s="193">
        <f t="shared" si="17"/>
        <v>0</v>
      </c>
      <c r="AE37" s="89">
        <f t="shared" si="18"/>
        <v>100</v>
      </c>
      <c r="AF37" s="32" t="str">
        <f t="shared" si="19"/>
        <v>Sangat Tinggi</v>
      </c>
      <c r="AG37" s="354">
        <f t="shared" si="20"/>
        <v>0</v>
      </c>
      <c r="AH37" s="112"/>
      <c r="AK37" s="105"/>
    </row>
    <row r="38" spans="1:37" ht="102" customHeight="1" x14ac:dyDescent="0.2">
      <c r="A38" s="66">
        <v>8</v>
      </c>
      <c r="B38" s="61" t="s">
        <v>54</v>
      </c>
      <c r="C38" s="14"/>
      <c r="D38" s="62" t="s">
        <v>333</v>
      </c>
      <c r="E38" s="219">
        <v>5.27</v>
      </c>
      <c r="F38" s="219" t="s">
        <v>27</v>
      </c>
      <c r="G38" s="227"/>
      <c r="H38" s="219">
        <v>5.85</v>
      </c>
      <c r="I38" s="219" t="s">
        <v>27</v>
      </c>
      <c r="J38" s="222">
        <f>SUM(J39:J41)</f>
        <v>10144850000</v>
      </c>
      <c r="K38" s="219">
        <v>4.47</v>
      </c>
      <c r="L38" s="222">
        <f>SUM(L39:L41)</f>
        <v>330746000</v>
      </c>
      <c r="M38" s="219">
        <v>4.9800000000000004</v>
      </c>
      <c r="N38" s="222">
        <f>SUM(N39:N41)</f>
        <v>2385681500</v>
      </c>
      <c r="O38" s="219">
        <v>5.27</v>
      </c>
      <c r="P38" s="222">
        <f>SUM(P39:P43)</f>
        <v>1148294716</v>
      </c>
      <c r="Q38" s="223">
        <v>4.3899999999999997</v>
      </c>
      <c r="R38" s="222">
        <f>SUM(R39:R41)</f>
        <v>262450200</v>
      </c>
      <c r="S38" s="223">
        <v>-3.6</v>
      </c>
      <c r="T38" s="222">
        <f>SUM(T39:T41)</f>
        <v>2114506000</v>
      </c>
      <c r="U38" s="223">
        <v>5.59</v>
      </c>
      <c r="V38" s="222">
        <f>SUM(V39:V43)</f>
        <v>799466932</v>
      </c>
      <c r="W38" s="234">
        <f t="shared" ref="W38:AB38" si="21">Q38/K38*100</f>
        <v>98.210290827740494</v>
      </c>
      <c r="X38" s="240">
        <f t="shared" si="21"/>
        <v>79.350982324805145</v>
      </c>
      <c r="Y38" s="234">
        <f t="shared" si="21"/>
        <v>-72.289156626506028</v>
      </c>
      <c r="Z38" s="240">
        <f>T38/N38*100</f>
        <v>88.633206067113306</v>
      </c>
      <c r="AA38" s="234">
        <f t="shared" si="21"/>
        <v>106.07210626185959</v>
      </c>
      <c r="AB38" s="240">
        <f t="shared" si="21"/>
        <v>69.622103181392674</v>
      </c>
      <c r="AC38" s="223">
        <f>U38</f>
        <v>5.59</v>
      </c>
      <c r="AD38" s="309">
        <f>R38+T38+V38</f>
        <v>3176423132</v>
      </c>
      <c r="AE38" s="234">
        <f>AC38/H38*100</f>
        <v>95.555555555555557</v>
      </c>
      <c r="AF38" s="219" t="str">
        <f>IF(AE38&gt;=91,"Sangat Tinggi",IF(AE38&gt;=76,"Tinggi",IF(AE38&gt;=66,"Sedang",IF(AE38&gt;=51,"Rendah",IF(AE38&lt;=50,"Sangat Rendah")))))</f>
        <v>Sangat Tinggi</v>
      </c>
      <c r="AG38" s="234">
        <f>AD38/J38*100</f>
        <v>31.310695890032875</v>
      </c>
      <c r="AH38" s="410" t="s">
        <v>288</v>
      </c>
      <c r="AK38" s="105">
        <f>R38</f>
        <v>262450200</v>
      </c>
    </row>
    <row r="39" spans="1:37" ht="75" x14ac:dyDescent="0.2">
      <c r="A39" s="60"/>
      <c r="B39" s="60"/>
      <c r="C39" s="94" t="s">
        <v>201</v>
      </c>
      <c r="D39" s="14" t="s">
        <v>199</v>
      </c>
      <c r="E39" s="32">
        <v>3.94</v>
      </c>
      <c r="F39" s="32" t="s">
        <v>27</v>
      </c>
      <c r="G39" s="236"/>
      <c r="H39" s="32">
        <v>15.32</v>
      </c>
      <c r="I39" s="32" t="s">
        <v>27</v>
      </c>
      <c r="J39" s="183">
        <v>944850000</v>
      </c>
      <c r="K39" s="32">
        <v>4.18</v>
      </c>
      <c r="L39" s="180">
        <v>330746000</v>
      </c>
      <c r="M39" s="32">
        <v>6.96</v>
      </c>
      <c r="N39" s="180">
        <v>91481000</v>
      </c>
      <c r="O39" s="32"/>
      <c r="P39" s="180"/>
      <c r="Q39" s="74">
        <v>4.9800000000000004</v>
      </c>
      <c r="R39" s="208">
        <v>262450200</v>
      </c>
      <c r="S39" s="74">
        <f>30/402*100</f>
        <v>7.4626865671641784</v>
      </c>
      <c r="T39" s="208">
        <v>70881000</v>
      </c>
      <c r="U39" s="74"/>
      <c r="V39" s="208"/>
      <c r="W39" s="56">
        <f>Q39/K39*100</f>
        <v>119.13875598086125</v>
      </c>
      <c r="X39" s="237">
        <f>R39/L39*100</f>
        <v>79.350982324805145</v>
      </c>
      <c r="Y39" s="56">
        <f>S39/M39*100</f>
        <v>107.22250814891061</v>
      </c>
      <c r="Z39" s="237">
        <f>T39/N39*100</f>
        <v>77.481662858954309</v>
      </c>
      <c r="AA39" s="56"/>
      <c r="AB39" s="237"/>
      <c r="AC39" s="74">
        <f>S39</f>
        <v>7.4626865671641784</v>
      </c>
      <c r="AD39" s="193">
        <f>R39+T39</f>
        <v>333331200</v>
      </c>
      <c r="AE39" s="56">
        <f>AC39/H39*100</f>
        <v>48.712053310471134</v>
      </c>
      <c r="AF39" s="32" t="str">
        <f t="shared" ref="AF39:AF40" si="22">IF(AE39&gt;=91,"Sangat Tinggi",IF(AE39&gt;=76,"Tinggi",IF(AE39&gt;=66,"Sedang",IF(AE39&gt;=51,"Rendah",IF(AE39&lt;=50,"Sangat Rendah")))))</f>
        <v>Sangat Rendah</v>
      </c>
      <c r="AG39" s="354">
        <f t="shared" ref="AG39" si="23">AD39/J39*100</f>
        <v>35.278742657564692</v>
      </c>
      <c r="AH39" s="111"/>
      <c r="AK39" s="105">
        <f>R39</f>
        <v>262450200</v>
      </c>
    </row>
    <row r="40" spans="1:37" ht="75" x14ac:dyDescent="0.2">
      <c r="A40" s="60"/>
      <c r="B40" s="60"/>
      <c r="C40" s="20"/>
      <c r="D40" s="14" t="s">
        <v>129</v>
      </c>
      <c r="E40" s="32">
        <v>5.58</v>
      </c>
      <c r="F40" s="32" t="s">
        <v>27</v>
      </c>
      <c r="G40" s="29"/>
      <c r="H40" s="74">
        <v>27.9</v>
      </c>
      <c r="I40" s="32" t="s">
        <v>27</v>
      </c>
      <c r="J40" s="49"/>
      <c r="K40" s="32">
        <v>5.58</v>
      </c>
      <c r="L40" s="182"/>
      <c r="M40" s="32">
        <v>11.16</v>
      </c>
      <c r="N40" s="182"/>
      <c r="O40" s="32"/>
      <c r="P40" s="182"/>
      <c r="Q40" s="74">
        <v>5.6</v>
      </c>
      <c r="R40" s="209"/>
      <c r="S40" s="74">
        <f>(318568047-297796675)/318568047*100</f>
        <v>6.5202308252842442</v>
      </c>
      <c r="T40" s="209"/>
      <c r="U40" s="74"/>
      <c r="V40" s="209"/>
      <c r="W40" s="56">
        <f>Q40/K40*100</f>
        <v>100.35842293906809</v>
      </c>
      <c r="X40" s="238"/>
      <c r="Y40" s="56">
        <f>S40/M40*100</f>
        <v>58.42500739502011</v>
      </c>
      <c r="Z40" s="238"/>
      <c r="AA40" s="56"/>
      <c r="AB40" s="238"/>
      <c r="AC40" s="74">
        <f>S40</f>
        <v>6.5202308252842442</v>
      </c>
      <c r="AD40" s="5"/>
      <c r="AE40" s="56">
        <f>AC40/H40*100</f>
        <v>23.370002958008048</v>
      </c>
      <c r="AF40" s="32" t="str">
        <f t="shared" si="22"/>
        <v>Sangat Rendah</v>
      </c>
      <c r="AG40" s="5"/>
      <c r="AH40" s="111"/>
      <c r="AK40" s="105">
        <f>R40</f>
        <v>0</v>
      </c>
    </row>
    <row r="41" spans="1:37" ht="60" x14ac:dyDescent="0.2">
      <c r="A41" s="60"/>
      <c r="B41" s="60"/>
      <c r="C41" s="14" t="s">
        <v>200</v>
      </c>
      <c r="D41" s="14" t="s">
        <v>202</v>
      </c>
      <c r="E41" s="7"/>
      <c r="F41" s="12"/>
      <c r="G41" s="12"/>
      <c r="H41" s="74">
        <v>34</v>
      </c>
      <c r="I41" s="32" t="s">
        <v>27</v>
      </c>
      <c r="J41" s="9">
        <v>9200000000</v>
      </c>
      <c r="K41" s="74"/>
      <c r="L41" s="59"/>
      <c r="M41" s="74">
        <v>8.5</v>
      </c>
      <c r="N41" s="59">
        <v>2294200500</v>
      </c>
      <c r="O41" s="74"/>
      <c r="P41" s="59"/>
      <c r="Q41" s="74"/>
      <c r="R41" s="59"/>
      <c r="S41" s="74">
        <f>2/4*100</f>
        <v>50</v>
      </c>
      <c r="T41" s="59">
        <v>2043625000</v>
      </c>
      <c r="U41" s="74"/>
      <c r="V41" s="59"/>
      <c r="W41" s="56"/>
      <c r="X41" s="22"/>
      <c r="Y41" s="56">
        <f>S41/M41*100</f>
        <v>588.23529411764707</v>
      </c>
      <c r="Z41" s="235">
        <f>T41/N41*100</f>
        <v>89.077872661957841</v>
      </c>
      <c r="AA41" s="56"/>
      <c r="AB41" s="235"/>
      <c r="AC41" s="74">
        <f>Q41+S41</f>
        <v>50</v>
      </c>
      <c r="AD41" s="193">
        <f>R41+T41</f>
        <v>2043625000</v>
      </c>
      <c r="AE41" s="56">
        <f>AC41/H41*100</f>
        <v>147.05882352941177</v>
      </c>
      <c r="AF41" s="32" t="str">
        <f t="shared" ref="AF41" si="24">IF(AE41&gt;=91,"Sangat Tinggi",IF(AE41&gt;=76,"Tinggi",IF(AE41&gt;=66,"Sedang",IF(AE41&gt;=51,"Rendah",IF(AE41&lt;=50,"Sangat Rendah")))))</f>
        <v>Sangat Tinggi</v>
      </c>
      <c r="AG41" s="354">
        <f t="shared" ref="AG41" si="25">AD41/J41*100</f>
        <v>22.213315217391305</v>
      </c>
      <c r="AH41" s="111"/>
      <c r="AK41" s="105">
        <f>R41</f>
        <v>0</v>
      </c>
    </row>
    <row r="42" spans="1:37" ht="75" x14ac:dyDescent="0.2">
      <c r="A42" s="60"/>
      <c r="B42" s="60"/>
      <c r="C42" s="14" t="s">
        <v>601</v>
      </c>
      <c r="D42" s="14" t="s">
        <v>602</v>
      </c>
      <c r="E42" s="7"/>
      <c r="F42" s="12"/>
      <c r="G42" s="12"/>
      <c r="H42" s="74">
        <v>22.97</v>
      </c>
      <c r="I42" s="32" t="s">
        <v>27</v>
      </c>
      <c r="J42" s="9">
        <f>1536149216*3</f>
        <v>4608447648</v>
      </c>
      <c r="K42" s="74"/>
      <c r="L42" s="59"/>
      <c r="M42" s="74"/>
      <c r="N42" s="59"/>
      <c r="O42" s="74">
        <f>(586+90)/3486*100</f>
        <v>19.391853126792885</v>
      </c>
      <c r="P42" s="59">
        <v>1028814716</v>
      </c>
      <c r="Q42" s="74"/>
      <c r="R42" s="59"/>
      <c r="S42" s="74"/>
      <c r="T42" s="59"/>
      <c r="U42" s="74">
        <v>20.12</v>
      </c>
      <c r="V42" s="59">
        <v>724474932</v>
      </c>
      <c r="W42" s="56"/>
      <c r="X42" s="22"/>
      <c r="Y42" s="56"/>
      <c r="Z42" s="235"/>
      <c r="AA42" s="56">
        <f>U42/O42*100</f>
        <v>103.75491124260357</v>
      </c>
      <c r="AB42" s="235">
        <f>V42/P42*100</f>
        <v>70.418406806692673</v>
      </c>
      <c r="AC42" s="74">
        <f>U42</f>
        <v>20.12</v>
      </c>
      <c r="AD42" s="193">
        <f t="shared" ref="AD42:AD43" si="26">V42</f>
        <v>724474932</v>
      </c>
      <c r="AE42" s="56">
        <f t="shared" ref="AE42:AE43" si="27">AC42/H42*100</f>
        <v>87.592511972137572</v>
      </c>
      <c r="AF42" s="32" t="str">
        <f t="shared" ref="AF42:AF43" si="28">IF(AE42&gt;=91,"Sangat Tinggi",IF(AE42&gt;=76,"Tinggi",IF(AE42&gt;=66,"Sedang",IF(AE42&gt;=51,"Rendah",IF(AE42&lt;=50,"Sangat Rendah")))))</f>
        <v>Tinggi</v>
      </c>
      <c r="AG42" s="354">
        <f t="shared" ref="AG42:AG43" si="29">AD42/J42*100</f>
        <v>15.72058505024814</v>
      </c>
      <c r="AH42" s="111"/>
      <c r="AK42" s="105"/>
    </row>
    <row r="43" spans="1:37" ht="90" x14ac:dyDescent="0.2">
      <c r="A43" s="60"/>
      <c r="B43" s="60"/>
      <c r="C43" s="14" t="s">
        <v>603</v>
      </c>
      <c r="D43" s="14" t="s">
        <v>602</v>
      </c>
      <c r="E43" s="7"/>
      <c r="F43" s="12"/>
      <c r="G43" s="12"/>
      <c r="H43" s="74">
        <v>22.97</v>
      </c>
      <c r="I43" s="32" t="s">
        <v>27</v>
      </c>
      <c r="J43" s="9">
        <f>119480000+(82467000*2)</f>
        <v>284414000</v>
      </c>
      <c r="K43" s="74"/>
      <c r="L43" s="59"/>
      <c r="M43" s="74"/>
      <c r="N43" s="59"/>
      <c r="O43" s="74">
        <f>(586+90)/3486*100</f>
        <v>19.391853126792885</v>
      </c>
      <c r="P43" s="59">
        <v>119480000</v>
      </c>
      <c r="Q43" s="74"/>
      <c r="R43" s="59"/>
      <c r="S43" s="74"/>
      <c r="T43" s="59"/>
      <c r="U43" s="74">
        <v>20.12</v>
      </c>
      <c r="V43" s="59">
        <v>74992000</v>
      </c>
      <c r="W43" s="56"/>
      <c r="X43" s="22"/>
      <c r="Y43" s="56"/>
      <c r="Z43" s="235"/>
      <c r="AA43" s="56">
        <f>U43/O43*100</f>
        <v>103.75491124260357</v>
      </c>
      <c r="AB43" s="235">
        <f>V43/P43*100</f>
        <v>62.765316370940738</v>
      </c>
      <c r="AC43" s="74">
        <f>U43</f>
        <v>20.12</v>
      </c>
      <c r="AD43" s="193">
        <f t="shared" si="26"/>
        <v>74992000</v>
      </c>
      <c r="AE43" s="56">
        <f t="shared" si="27"/>
        <v>87.592511972137572</v>
      </c>
      <c r="AF43" s="32" t="str">
        <f t="shared" si="28"/>
        <v>Tinggi</v>
      </c>
      <c r="AG43" s="354">
        <f t="shared" si="29"/>
        <v>26.367197114066116</v>
      </c>
      <c r="AH43" s="111"/>
      <c r="AK43" s="105"/>
    </row>
    <row r="44" spans="1:37" ht="124.5" customHeight="1" x14ac:dyDescent="0.2">
      <c r="A44" s="60"/>
      <c r="B44" s="60"/>
      <c r="C44" s="14" t="s">
        <v>780</v>
      </c>
      <c r="D44" s="14" t="s">
        <v>781</v>
      </c>
      <c r="E44" s="7"/>
      <c r="F44" s="12"/>
      <c r="G44" s="12"/>
      <c r="H44" s="74">
        <v>31.65</v>
      </c>
      <c r="I44" s="32" t="s">
        <v>27</v>
      </c>
      <c r="J44" s="9">
        <f>75000000*2</f>
        <v>150000000</v>
      </c>
      <c r="K44" s="74"/>
      <c r="L44" s="59"/>
      <c r="M44" s="74"/>
      <c r="N44" s="59"/>
      <c r="O44" s="74"/>
      <c r="P44" s="59"/>
      <c r="Q44" s="74"/>
      <c r="R44" s="59"/>
      <c r="S44" s="74"/>
      <c r="T44" s="59"/>
      <c r="U44" s="74"/>
      <c r="V44" s="59"/>
      <c r="W44" s="56"/>
      <c r="X44" s="22"/>
      <c r="Y44" s="56"/>
      <c r="Z44" s="235"/>
      <c r="AA44" s="56"/>
      <c r="AB44" s="235"/>
      <c r="AC44" s="74"/>
      <c r="AD44" s="193"/>
      <c r="AE44" s="56"/>
      <c r="AF44" s="32"/>
      <c r="AG44" s="354"/>
      <c r="AH44" s="111"/>
      <c r="AK44" s="105"/>
    </row>
    <row r="45" spans="1:37" ht="180.75" customHeight="1" x14ac:dyDescent="0.2">
      <c r="A45" s="60"/>
      <c r="B45" s="60"/>
      <c r="C45" s="14"/>
      <c r="D45" s="62" t="s">
        <v>334</v>
      </c>
      <c r="E45" s="219">
        <v>5.41</v>
      </c>
      <c r="F45" s="219" t="s">
        <v>27</v>
      </c>
      <c r="G45" s="227"/>
      <c r="H45" s="219">
        <v>5.83</v>
      </c>
      <c r="I45" s="219" t="s">
        <v>27</v>
      </c>
      <c r="J45" s="222">
        <f>SUM(J46:J48)</f>
        <v>37546755000</v>
      </c>
      <c r="K45" s="223">
        <v>5.38</v>
      </c>
      <c r="L45" s="222">
        <f>SUM(L46:L48)</f>
        <v>6927558000</v>
      </c>
      <c r="M45" s="223">
        <v>5.5</v>
      </c>
      <c r="N45" s="222">
        <f>SUM(N46:N48)</f>
        <v>2660943000</v>
      </c>
      <c r="O45" s="223">
        <v>5.61</v>
      </c>
      <c r="P45" s="222">
        <f>SUM(P46:P57)</f>
        <v>2812984620</v>
      </c>
      <c r="Q45" s="223">
        <v>5.15</v>
      </c>
      <c r="R45" s="222">
        <f>SUM(R46:R48)</f>
        <v>6594430286</v>
      </c>
      <c r="S45" s="223">
        <v>-2.39</v>
      </c>
      <c r="T45" s="222">
        <f>SUM(T46:T48)</f>
        <v>2271037880</v>
      </c>
      <c r="U45" s="223">
        <v>4.4000000000000004</v>
      </c>
      <c r="V45" s="222">
        <f>SUM(V46:V57)</f>
        <v>2291829018</v>
      </c>
      <c r="W45" s="234">
        <f t="shared" ref="W45:AB45" si="30">Q45/K45*100</f>
        <v>95.724907063197037</v>
      </c>
      <c r="X45" s="240">
        <f t="shared" si="30"/>
        <v>95.191267774300854</v>
      </c>
      <c r="Y45" s="234">
        <f t="shared" si="30"/>
        <v>-43.454545454545453</v>
      </c>
      <c r="Z45" s="240">
        <f>T45/N45*100</f>
        <v>85.347107397640613</v>
      </c>
      <c r="AA45" s="234">
        <f>U45/O45*100</f>
        <v>78.431372549019613</v>
      </c>
      <c r="AB45" s="240">
        <f t="shared" si="30"/>
        <v>81.473215377907039</v>
      </c>
      <c r="AC45" s="223">
        <f>U45</f>
        <v>4.4000000000000004</v>
      </c>
      <c r="AD45" s="309">
        <f>R45+T45+V45</f>
        <v>11157297184</v>
      </c>
      <c r="AE45" s="234">
        <f t="shared" ref="AE45:AE50" si="31">AC45/H45*100</f>
        <v>75.471698113207552</v>
      </c>
      <c r="AF45" s="219" t="str">
        <f>IF(AE45&gt;=91,"Sangat Tinggi",IF(AE45&gt;=76,"Tinggi",IF(AE45&gt;=66,"Sedang",IF(AE45&gt;=51,"Rendah",IF(AE45&lt;=50,"Sangat Rendah")))))</f>
        <v>Sedang</v>
      </c>
      <c r="AG45" s="234">
        <f>AD45/J45*100</f>
        <v>29.715742902415936</v>
      </c>
      <c r="AH45" s="410" t="s">
        <v>289</v>
      </c>
      <c r="AK45" s="105">
        <f>R45</f>
        <v>6594430286</v>
      </c>
    </row>
    <row r="46" spans="1:37" ht="120" x14ac:dyDescent="0.2">
      <c r="A46" s="60"/>
      <c r="B46" s="60"/>
      <c r="C46" s="14" t="s">
        <v>101</v>
      </c>
      <c r="D46" s="14" t="s">
        <v>203</v>
      </c>
      <c r="E46" s="32">
        <v>11.05</v>
      </c>
      <c r="F46" s="18" t="s">
        <v>27</v>
      </c>
      <c r="G46" s="24">
        <v>674622728</v>
      </c>
      <c r="H46" s="56">
        <v>5.19</v>
      </c>
      <c r="I46" s="18" t="s">
        <v>27</v>
      </c>
      <c r="J46" s="24">
        <v>4085490000</v>
      </c>
      <c r="K46" s="56">
        <v>11.05</v>
      </c>
      <c r="L46" s="10">
        <v>827098000</v>
      </c>
      <c r="M46" s="56">
        <v>9.5399999999999991</v>
      </c>
      <c r="N46" s="10">
        <v>132018000</v>
      </c>
      <c r="O46" s="56"/>
      <c r="P46" s="10"/>
      <c r="Q46" s="74">
        <v>11.05</v>
      </c>
      <c r="R46" s="59">
        <v>824148000</v>
      </c>
      <c r="S46" s="74">
        <v>0</v>
      </c>
      <c r="T46" s="59">
        <v>49083000</v>
      </c>
      <c r="U46" s="74"/>
      <c r="V46" s="59"/>
      <c r="W46" s="18">
        <f t="shared" ref="W46:Z48" si="32">Q46/K46*100</f>
        <v>100</v>
      </c>
      <c r="X46" s="235">
        <f t="shared" si="32"/>
        <v>99.643331261833552</v>
      </c>
      <c r="Y46" s="18">
        <f t="shared" si="32"/>
        <v>0</v>
      </c>
      <c r="Z46" s="235">
        <f t="shared" si="32"/>
        <v>37.179021042585106</v>
      </c>
      <c r="AA46" s="18"/>
      <c r="AB46" s="235"/>
      <c r="AC46" s="74">
        <f>S46</f>
        <v>0</v>
      </c>
      <c r="AD46" s="193">
        <f>R46+T46</f>
        <v>873231000</v>
      </c>
      <c r="AE46" s="56">
        <f t="shared" si="31"/>
        <v>0</v>
      </c>
      <c r="AF46" s="32" t="str">
        <f t="shared" ref="AF46" si="33">IF(AE46&gt;=91,"Sangat Tinggi",IF(AE46&gt;=76,"Tinggi",IF(AE46&gt;=66,"Sedang",IF(AE46&gt;=51,"Rendah",IF(AE46&lt;=50,"Sangat Rendah")))))</f>
        <v>Sangat Rendah</v>
      </c>
      <c r="AG46" s="354">
        <f t="shared" ref="AG46" si="34">AD46/J46*100</f>
        <v>21.373960039065082</v>
      </c>
      <c r="AH46" s="111"/>
      <c r="AJ46" s="150"/>
      <c r="AK46" s="105">
        <f>R46</f>
        <v>824148000</v>
      </c>
    </row>
    <row r="47" spans="1:37" ht="90" x14ac:dyDescent="0.2">
      <c r="A47" s="60"/>
      <c r="B47" s="60"/>
      <c r="C47" s="14" t="s">
        <v>102</v>
      </c>
      <c r="D47" s="14" t="s">
        <v>204</v>
      </c>
      <c r="E47" s="109" t="s">
        <v>276</v>
      </c>
      <c r="F47" s="18" t="s">
        <v>132</v>
      </c>
      <c r="G47" s="24">
        <v>119904000</v>
      </c>
      <c r="H47" s="108" t="s">
        <v>277</v>
      </c>
      <c r="I47" s="18" t="s">
        <v>132</v>
      </c>
      <c r="J47" s="24">
        <v>7924915000</v>
      </c>
      <c r="K47" s="108" t="s">
        <v>528</v>
      </c>
      <c r="L47" s="10">
        <v>1572728000</v>
      </c>
      <c r="M47" s="108" t="s">
        <v>518</v>
      </c>
      <c r="N47" s="10">
        <v>45025000</v>
      </c>
      <c r="O47" s="108"/>
      <c r="P47" s="10"/>
      <c r="Q47" s="109" t="s">
        <v>491</v>
      </c>
      <c r="R47" s="59">
        <v>1463909200</v>
      </c>
      <c r="S47" s="109" t="s">
        <v>558</v>
      </c>
      <c r="T47" s="59">
        <v>32917920</v>
      </c>
      <c r="U47" s="109"/>
      <c r="V47" s="59"/>
      <c r="W47" s="56">
        <f t="shared" si="32"/>
        <v>44.971428571428575</v>
      </c>
      <c r="X47" s="235">
        <f t="shared" si="32"/>
        <v>93.080888748721975</v>
      </c>
      <c r="Y47" s="56">
        <f t="shared" si="32"/>
        <v>29.456578947368424</v>
      </c>
      <c r="Z47" s="235">
        <f t="shared" si="32"/>
        <v>73.110316490838429</v>
      </c>
      <c r="AA47" s="56"/>
      <c r="AB47" s="235"/>
      <c r="AC47" s="74" t="str">
        <f>S47</f>
        <v>11.193.500</v>
      </c>
      <c r="AD47" s="193">
        <f>R47+T47</f>
        <v>1496827120</v>
      </c>
      <c r="AE47" s="56">
        <f t="shared" si="31"/>
        <v>24.874444444444443</v>
      </c>
      <c r="AF47" s="32" t="str">
        <f t="shared" ref="AF47:AF49" si="35">IF(AE47&gt;=91,"Sangat Tinggi",IF(AE47&gt;=76,"Tinggi",IF(AE47&gt;=66,"Sedang",IF(AE47&gt;=51,"Rendah",IF(AE47&lt;=50,"Sangat Rendah")))))</f>
        <v>Sangat Rendah</v>
      </c>
      <c r="AG47" s="354">
        <f t="shared" ref="AG47:AG48" si="36">AD47/J47*100</f>
        <v>18.887611034313935</v>
      </c>
      <c r="AH47" s="111"/>
      <c r="AK47" s="105">
        <f>R47</f>
        <v>1463909200</v>
      </c>
    </row>
    <row r="48" spans="1:37" ht="105" x14ac:dyDescent="0.2">
      <c r="A48" s="60"/>
      <c r="B48" s="60"/>
      <c r="C48" s="94" t="s">
        <v>103</v>
      </c>
      <c r="D48" s="14" t="s">
        <v>205</v>
      </c>
      <c r="E48" s="32">
        <v>97.42</v>
      </c>
      <c r="F48" s="18" t="s">
        <v>27</v>
      </c>
      <c r="G48" s="206">
        <v>2888497114</v>
      </c>
      <c r="H48" s="56">
        <v>97</v>
      </c>
      <c r="I48" s="18" t="s">
        <v>27</v>
      </c>
      <c r="J48" s="206">
        <v>25536350000</v>
      </c>
      <c r="K48" s="56">
        <v>97.42</v>
      </c>
      <c r="L48" s="180">
        <v>4527732000</v>
      </c>
      <c r="M48" s="56">
        <v>97.43</v>
      </c>
      <c r="N48" s="180">
        <v>2483900000</v>
      </c>
      <c r="O48" s="56"/>
      <c r="P48" s="180"/>
      <c r="Q48" s="90">
        <v>97.42</v>
      </c>
      <c r="R48" s="208">
        <v>4306373086</v>
      </c>
      <c r="S48" s="18">
        <v>97.43</v>
      </c>
      <c r="T48" s="208">
        <v>2189036960</v>
      </c>
      <c r="U48" s="18"/>
      <c r="V48" s="208"/>
      <c r="W48" s="56">
        <f t="shared" si="32"/>
        <v>100</v>
      </c>
      <c r="X48" s="237">
        <f t="shared" si="32"/>
        <v>95.111042040474132</v>
      </c>
      <c r="Y48" s="56">
        <f t="shared" si="32"/>
        <v>100</v>
      </c>
      <c r="Z48" s="237">
        <f t="shared" si="32"/>
        <v>88.12902934900761</v>
      </c>
      <c r="AA48" s="56"/>
      <c r="AB48" s="237"/>
      <c r="AC48" s="74">
        <f>S48</f>
        <v>97.43</v>
      </c>
      <c r="AD48" s="193">
        <f>R48+T48</f>
        <v>6495410046</v>
      </c>
      <c r="AE48" s="56">
        <f t="shared" si="31"/>
        <v>100.44329896907217</v>
      </c>
      <c r="AF48" s="32" t="str">
        <f t="shared" si="35"/>
        <v>Sangat Tinggi</v>
      </c>
      <c r="AG48" s="354">
        <f t="shared" si="36"/>
        <v>25.435937579176347</v>
      </c>
      <c r="AH48" s="111"/>
      <c r="AI48" s="88"/>
      <c r="AK48" s="105">
        <f>R48</f>
        <v>4306373086</v>
      </c>
    </row>
    <row r="49" spans="1:37" ht="75" x14ac:dyDescent="0.2">
      <c r="A49" s="60"/>
      <c r="B49" s="60"/>
      <c r="C49" s="20"/>
      <c r="D49" s="14" t="s">
        <v>206</v>
      </c>
      <c r="E49" s="32">
        <v>3.9</v>
      </c>
      <c r="F49" s="18" t="s">
        <v>207</v>
      </c>
      <c r="G49" s="207"/>
      <c r="H49" s="32">
        <v>4.5999999999999996</v>
      </c>
      <c r="I49" s="18" t="s">
        <v>207</v>
      </c>
      <c r="J49" s="207"/>
      <c r="K49" s="32">
        <v>4.2</v>
      </c>
      <c r="L49" s="182"/>
      <c r="M49" s="32">
        <v>4.3</v>
      </c>
      <c r="N49" s="182"/>
      <c r="O49" s="32"/>
      <c r="P49" s="182"/>
      <c r="Q49" s="32">
        <v>3.9</v>
      </c>
      <c r="R49" s="182"/>
      <c r="S49" s="210">
        <v>3.407</v>
      </c>
      <c r="T49" s="182"/>
      <c r="U49" s="210"/>
      <c r="V49" s="182"/>
      <c r="W49" s="56">
        <f>Q49/K49*100</f>
        <v>92.857142857142847</v>
      </c>
      <c r="X49" s="238"/>
      <c r="Y49" s="56">
        <f>S49/M49*100</f>
        <v>79.232558139534888</v>
      </c>
      <c r="Z49" s="238"/>
      <c r="AA49" s="56"/>
      <c r="AB49" s="238"/>
      <c r="AC49" s="210">
        <f>S49</f>
        <v>3.407</v>
      </c>
      <c r="AD49" s="5"/>
      <c r="AE49" s="56">
        <f t="shared" si="31"/>
        <v>74.065217391304344</v>
      </c>
      <c r="AF49" s="32" t="str">
        <f t="shared" si="35"/>
        <v>Sedang</v>
      </c>
      <c r="AG49" s="5"/>
      <c r="AH49" s="111"/>
      <c r="AI49" s="88"/>
      <c r="AK49" s="105">
        <f>R49</f>
        <v>0</v>
      </c>
    </row>
    <row r="50" spans="1:37" ht="90" x14ac:dyDescent="0.2">
      <c r="A50" s="60"/>
      <c r="B50" s="60"/>
      <c r="C50" s="20" t="s">
        <v>604</v>
      </c>
      <c r="D50" s="14" t="s">
        <v>790</v>
      </c>
      <c r="E50" s="32"/>
      <c r="F50" s="18"/>
      <c r="G50" s="207"/>
      <c r="H50" s="32">
        <v>100</v>
      </c>
      <c r="I50" s="18" t="s">
        <v>27</v>
      </c>
      <c r="J50" s="207">
        <f>72857820*3</f>
        <v>218573460</v>
      </c>
      <c r="K50" s="32"/>
      <c r="L50" s="182"/>
      <c r="M50" s="32"/>
      <c r="N50" s="182"/>
      <c r="O50" s="32">
        <v>71.42</v>
      </c>
      <c r="P50" s="182">
        <v>55261120</v>
      </c>
      <c r="Q50" s="32"/>
      <c r="R50" s="182"/>
      <c r="S50" s="210"/>
      <c r="T50" s="182"/>
      <c r="U50" s="74">
        <v>71.42</v>
      </c>
      <c r="V50" s="182">
        <v>40358100</v>
      </c>
      <c r="W50" s="56"/>
      <c r="X50" s="238"/>
      <c r="Y50" s="56"/>
      <c r="Z50" s="238"/>
      <c r="AA50" s="56">
        <f t="shared" ref="AA50:AB53" si="37">U50/O50*100</f>
        <v>100</v>
      </c>
      <c r="AB50" s="238">
        <f t="shared" si="37"/>
        <v>73.031635985662263</v>
      </c>
      <c r="AC50" s="74">
        <f>U50</f>
        <v>71.42</v>
      </c>
      <c r="AD50" s="64">
        <f>V50</f>
        <v>40358100</v>
      </c>
      <c r="AE50" s="56">
        <f t="shared" si="31"/>
        <v>71.42</v>
      </c>
      <c r="AF50" s="32" t="str">
        <f t="shared" ref="AF50" si="38">IF(AE50&gt;=91,"Sangat Tinggi",IF(AE50&gt;=76,"Tinggi",IF(AE50&gt;=66,"Sedang",IF(AE50&gt;=51,"Rendah",IF(AE50&lt;=50,"Sangat Rendah")))))</f>
        <v>Sedang</v>
      </c>
      <c r="AG50" s="354">
        <f t="shared" ref="AG50" si="39">AD50/J50*100</f>
        <v>18.464318586529217</v>
      </c>
      <c r="AH50" s="111"/>
      <c r="AI50" s="88"/>
      <c r="AK50" s="105"/>
    </row>
    <row r="51" spans="1:37" ht="90" x14ac:dyDescent="0.2">
      <c r="A51" s="60"/>
      <c r="B51" s="60"/>
      <c r="C51" s="20" t="s">
        <v>605</v>
      </c>
      <c r="D51" s="14" t="s">
        <v>606</v>
      </c>
      <c r="E51" s="32"/>
      <c r="F51" s="18"/>
      <c r="G51" s="207"/>
      <c r="H51" s="355" t="s">
        <v>782</v>
      </c>
      <c r="I51" s="18" t="s">
        <v>3</v>
      </c>
      <c r="J51" s="207">
        <f>3076185000*3</f>
        <v>9228555000</v>
      </c>
      <c r="K51" s="32"/>
      <c r="L51" s="182"/>
      <c r="M51" s="32"/>
      <c r="N51" s="182"/>
      <c r="O51" s="331" t="s">
        <v>607</v>
      </c>
      <c r="P51" s="182">
        <v>2147143100</v>
      </c>
      <c r="Q51" s="32"/>
      <c r="R51" s="182"/>
      <c r="S51" s="210"/>
      <c r="T51" s="182"/>
      <c r="U51" s="356" t="s">
        <v>783</v>
      </c>
      <c r="V51" s="182">
        <v>2097620818</v>
      </c>
      <c r="W51" s="56"/>
      <c r="X51" s="238"/>
      <c r="Y51" s="56"/>
      <c r="Z51" s="238"/>
      <c r="AA51" s="56">
        <f t="shared" si="37"/>
        <v>74.49320444998385</v>
      </c>
      <c r="AB51" s="238">
        <f t="shared" si="37"/>
        <v>97.693573288152052</v>
      </c>
      <c r="AC51" s="74" t="str">
        <f t="shared" ref="AC51:AC58" si="40">U51</f>
        <v>3.546.411.691</v>
      </c>
      <c r="AD51" s="64">
        <f t="shared" ref="AD51:AD57" si="41">V51</f>
        <v>2097620818</v>
      </c>
      <c r="AE51" s="56">
        <f t="shared" ref="AE51:AE52" si="42">AC51/H51*100</f>
        <v>70.903705392156638</v>
      </c>
      <c r="AF51" s="32" t="str">
        <f t="shared" ref="AF51:AF53" si="43">IF(AE51&gt;=91,"Sangat Tinggi",IF(AE51&gt;=76,"Tinggi",IF(AE51&gt;=66,"Sedang",IF(AE51&gt;=51,"Rendah",IF(AE51&lt;=50,"Sangat Rendah")))))</f>
        <v>Sedang</v>
      </c>
      <c r="AG51" s="354">
        <f t="shared" ref="AG51:AG53" si="44">AD51/J51*100</f>
        <v>22.729677809797959</v>
      </c>
      <c r="AH51" s="111"/>
      <c r="AI51" s="88"/>
      <c r="AK51" s="105"/>
    </row>
    <row r="52" spans="1:37" ht="105.75" customHeight="1" x14ac:dyDescent="0.2">
      <c r="A52" s="60"/>
      <c r="B52" s="60"/>
      <c r="C52" s="20" t="s">
        <v>608</v>
      </c>
      <c r="D52" s="14" t="s">
        <v>791</v>
      </c>
      <c r="E52" s="32"/>
      <c r="F52" s="18"/>
      <c r="G52" s="207"/>
      <c r="H52" s="74">
        <v>1.8</v>
      </c>
      <c r="I52" s="18" t="s">
        <v>27</v>
      </c>
      <c r="J52" s="207">
        <f>170043900*3</f>
        <v>510131700</v>
      </c>
      <c r="K52" s="32"/>
      <c r="L52" s="182"/>
      <c r="M52" s="32"/>
      <c r="N52" s="182"/>
      <c r="O52" s="32">
        <v>2</v>
      </c>
      <c r="P52" s="182">
        <v>155511400</v>
      </c>
      <c r="Q52" s="32"/>
      <c r="R52" s="182"/>
      <c r="S52" s="210"/>
      <c r="T52" s="182"/>
      <c r="U52" s="92">
        <v>2</v>
      </c>
      <c r="V52" s="182">
        <v>71365800</v>
      </c>
      <c r="W52" s="56"/>
      <c r="X52" s="238"/>
      <c r="Y52" s="56"/>
      <c r="Z52" s="238"/>
      <c r="AA52" s="56">
        <f t="shared" si="37"/>
        <v>100</v>
      </c>
      <c r="AB52" s="238">
        <f t="shared" si="37"/>
        <v>45.891040785434377</v>
      </c>
      <c r="AC52" s="92">
        <f t="shared" si="40"/>
        <v>2</v>
      </c>
      <c r="AD52" s="64">
        <f t="shared" si="41"/>
        <v>71365800</v>
      </c>
      <c r="AE52" s="56">
        <f t="shared" si="42"/>
        <v>111.11111111111111</v>
      </c>
      <c r="AF52" s="32" t="str">
        <f t="shared" si="43"/>
        <v>Sangat Tinggi</v>
      </c>
      <c r="AG52" s="354">
        <f t="shared" si="44"/>
        <v>13.98968148813336</v>
      </c>
      <c r="AH52" s="111"/>
      <c r="AI52" s="88"/>
      <c r="AK52" s="105"/>
    </row>
    <row r="53" spans="1:37" ht="60" x14ac:dyDescent="0.2">
      <c r="A53" s="60"/>
      <c r="B53" s="60"/>
      <c r="C53" s="94" t="s">
        <v>609</v>
      </c>
      <c r="D53" s="14" t="s">
        <v>792</v>
      </c>
      <c r="E53" s="32"/>
      <c r="F53" s="18"/>
      <c r="G53" s="206"/>
      <c r="H53" s="355" t="s">
        <v>795</v>
      </c>
      <c r="I53" s="18" t="s">
        <v>3</v>
      </c>
      <c r="J53" s="206">
        <f>711125000*3</f>
        <v>2133375000</v>
      </c>
      <c r="K53" s="32"/>
      <c r="L53" s="180"/>
      <c r="M53" s="32"/>
      <c r="N53" s="180"/>
      <c r="O53" s="162">
        <v>4080000000</v>
      </c>
      <c r="P53" s="180">
        <v>381375000</v>
      </c>
      <c r="Q53" s="32"/>
      <c r="R53" s="180"/>
      <c r="S53" s="210"/>
      <c r="T53" s="180"/>
      <c r="U53" s="162">
        <v>4080000000</v>
      </c>
      <c r="V53" s="180">
        <v>19763800</v>
      </c>
      <c r="W53" s="56"/>
      <c r="X53" s="237"/>
      <c r="Y53" s="56"/>
      <c r="Z53" s="237"/>
      <c r="AA53" s="56">
        <f t="shared" si="37"/>
        <v>100</v>
      </c>
      <c r="AB53" s="237">
        <f t="shared" si="37"/>
        <v>5.1822484431333988</v>
      </c>
      <c r="AC53" s="162">
        <f t="shared" si="40"/>
        <v>4080000000</v>
      </c>
      <c r="AD53" s="351">
        <f t="shared" si="41"/>
        <v>19763800</v>
      </c>
      <c r="AE53" s="56">
        <f>AC53/H53*100</f>
        <v>85</v>
      </c>
      <c r="AF53" s="32" t="str">
        <f t="shared" si="43"/>
        <v>Tinggi</v>
      </c>
      <c r="AG53" s="354">
        <f t="shared" si="44"/>
        <v>0.92641003105408093</v>
      </c>
      <c r="AH53" s="111"/>
      <c r="AI53" s="88"/>
      <c r="AK53" s="105"/>
    </row>
    <row r="54" spans="1:37" ht="45" x14ac:dyDescent="0.2">
      <c r="A54" s="60"/>
      <c r="B54" s="60"/>
      <c r="C54" s="25"/>
      <c r="D54" s="14" t="s">
        <v>793</v>
      </c>
      <c r="E54" s="32"/>
      <c r="F54" s="18"/>
      <c r="G54" s="250"/>
      <c r="H54" s="355" t="s">
        <v>795</v>
      </c>
      <c r="I54" s="18" t="s">
        <v>3</v>
      </c>
      <c r="J54" s="250"/>
      <c r="K54" s="32"/>
      <c r="L54" s="181"/>
      <c r="M54" s="32"/>
      <c r="N54" s="181"/>
      <c r="O54" s="162">
        <v>4373500000</v>
      </c>
      <c r="P54" s="181"/>
      <c r="Q54" s="32"/>
      <c r="R54" s="181"/>
      <c r="S54" s="210"/>
      <c r="T54" s="181"/>
      <c r="U54" s="162">
        <v>4373500000</v>
      </c>
      <c r="V54" s="181"/>
      <c r="W54" s="56"/>
      <c r="X54" s="243"/>
      <c r="Y54" s="56"/>
      <c r="Z54" s="243"/>
      <c r="AA54" s="56">
        <f>U54/O54*100</f>
        <v>100</v>
      </c>
      <c r="AB54" s="243"/>
      <c r="AC54" s="162">
        <f t="shared" si="40"/>
        <v>4373500000</v>
      </c>
      <c r="AD54" s="359"/>
      <c r="AE54" s="56">
        <f t="shared" ref="AE54:AE55" si="45">AC54/H54*100</f>
        <v>91.114583333333329</v>
      </c>
      <c r="AF54" s="32" t="str">
        <f t="shared" ref="AF54:AF56" si="46">IF(AE54&gt;=91,"Sangat Tinggi",IF(AE54&gt;=76,"Tinggi",IF(AE54&gt;=66,"Sedang",IF(AE54&gt;=51,"Rendah",IF(AE54&lt;=50,"Sangat Rendah")))))</f>
        <v>Sangat Tinggi</v>
      </c>
      <c r="AG54" s="404"/>
      <c r="AH54" s="111"/>
      <c r="AI54" s="88"/>
      <c r="AK54" s="105"/>
    </row>
    <row r="55" spans="1:37" ht="30" x14ac:dyDescent="0.2">
      <c r="A55" s="60"/>
      <c r="B55" s="60"/>
      <c r="C55" s="20"/>
      <c r="D55" s="14" t="s">
        <v>794</v>
      </c>
      <c r="E55" s="32"/>
      <c r="F55" s="18"/>
      <c r="G55" s="207"/>
      <c r="H55" s="355" t="s">
        <v>796</v>
      </c>
      <c r="I55" s="18" t="s">
        <v>3</v>
      </c>
      <c r="J55" s="207"/>
      <c r="K55" s="32"/>
      <c r="L55" s="182"/>
      <c r="M55" s="32"/>
      <c r="N55" s="182"/>
      <c r="O55" s="162">
        <v>1284200000</v>
      </c>
      <c r="P55" s="182"/>
      <c r="Q55" s="32"/>
      <c r="R55" s="182"/>
      <c r="S55" s="210"/>
      <c r="T55" s="182"/>
      <c r="U55" s="162">
        <v>1284200000</v>
      </c>
      <c r="V55" s="182"/>
      <c r="W55" s="56"/>
      <c r="X55" s="238"/>
      <c r="Y55" s="56"/>
      <c r="Z55" s="238"/>
      <c r="AA55" s="56">
        <f>U55/O55*100</f>
        <v>100</v>
      </c>
      <c r="AB55" s="238"/>
      <c r="AC55" s="162">
        <f t="shared" si="40"/>
        <v>1284200000</v>
      </c>
      <c r="AD55" s="360"/>
      <c r="AE55" s="56">
        <f t="shared" si="45"/>
        <v>91.728571428571428</v>
      </c>
      <c r="AF55" s="32" t="str">
        <f t="shared" si="46"/>
        <v>Sangat Tinggi</v>
      </c>
      <c r="AG55" s="77"/>
      <c r="AH55" s="111"/>
      <c r="AI55" s="88"/>
      <c r="AK55" s="105"/>
    </row>
    <row r="56" spans="1:37" ht="75" x14ac:dyDescent="0.2">
      <c r="A56" s="60"/>
      <c r="B56" s="60"/>
      <c r="C56" s="20" t="s">
        <v>610</v>
      </c>
      <c r="D56" s="14" t="s">
        <v>797</v>
      </c>
      <c r="E56" s="32"/>
      <c r="F56" s="18"/>
      <c r="G56" s="207"/>
      <c r="H56" s="192" t="s">
        <v>842</v>
      </c>
      <c r="I56" s="18" t="s">
        <v>3</v>
      </c>
      <c r="J56" s="207">
        <f>79170000*3</f>
        <v>237510000</v>
      </c>
      <c r="K56" s="32"/>
      <c r="L56" s="182"/>
      <c r="M56" s="32"/>
      <c r="N56" s="182"/>
      <c r="O56" s="361">
        <v>37000000</v>
      </c>
      <c r="P56" s="182">
        <v>63694000</v>
      </c>
      <c r="Q56" s="32"/>
      <c r="R56" s="182"/>
      <c r="S56" s="210"/>
      <c r="T56" s="182"/>
      <c r="U56" s="159">
        <v>14885000</v>
      </c>
      <c r="V56" s="182">
        <v>57720500</v>
      </c>
      <c r="W56" s="56"/>
      <c r="X56" s="238"/>
      <c r="Y56" s="56"/>
      <c r="Z56" s="238"/>
      <c r="AA56" s="56">
        <f>U56/O56*100</f>
        <v>40.229729729729726</v>
      </c>
      <c r="AB56" s="238">
        <f>V56/P56*100</f>
        <v>90.621565610575558</v>
      </c>
      <c r="AC56" s="162">
        <f t="shared" si="40"/>
        <v>14885000</v>
      </c>
      <c r="AD56" s="64">
        <f t="shared" si="41"/>
        <v>57720500</v>
      </c>
      <c r="AE56" s="56">
        <f>AC56/H56*100</f>
        <v>40.229729729729726</v>
      </c>
      <c r="AF56" s="32" t="str">
        <f t="shared" si="46"/>
        <v>Sangat Rendah</v>
      </c>
      <c r="AG56" s="354">
        <f t="shared" ref="AG56" si="47">AD56/J56*100</f>
        <v>24.302345164414131</v>
      </c>
      <c r="AH56" s="111"/>
      <c r="AI56" s="88"/>
      <c r="AK56" s="105"/>
    </row>
    <row r="57" spans="1:37" ht="98.25" customHeight="1" x14ac:dyDescent="0.2">
      <c r="A57" s="60"/>
      <c r="B57" s="60"/>
      <c r="C57" s="20" t="s">
        <v>611</v>
      </c>
      <c r="D57" s="14" t="s">
        <v>798</v>
      </c>
      <c r="E57" s="32"/>
      <c r="F57" s="18"/>
      <c r="G57" s="207"/>
      <c r="H57" s="32">
        <v>90</v>
      </c>
      <c r="I57" s="18" t="s">
        <v>647</v>
      </c>
      <c r="J57" s="207">
        <f>15368000*3</f>
        <v>46104000</v>
      </c>
      <c r="K57" s="32"/>
      <c r="L57" s="182"/>
      <c r="M57" s="32"/>
      <c r="N57" s="182"/>
      <c r="O57" s="32">
        <v>70</v>
      </c>
      <c r="P57" s="314">
        <v>10000000</v>
      </c>
      <c r="Q57" s="32"/>
      <c r="R57" s="182"/>
      <c r="S57" s="210"/>
      <c r="T57" s="182"/>
      <c r="U57" s="32">
        <v>70</v>
      </c>
      <c r="V57" s="182">
        <v>5000000</v>
      </c>
      <c r="W57" s="56"/>
      <c r="X57" s="238"/>
      <c r="Y57" s="56"/>
      <c r="Z57" s="238"/>
      <c r="AA57" s="56">
        <f>U57/O57*100</f>
        <v>100</v>
      </c>
      <c r="AB57" s="238">
        <f>V57/P57*100</f>
        <v>50</v>
      </c>
      <c r="AC57" s="92">
        <f t="shared" si="40"/>
        <v>70</v>
      </c>
      <c r="AD57" s="64">
        <f t="shared" si="41"/>
        <v>5000000</v>
      </c>
      <c r="AE57" s="56">
        <f t="shared" ref="AE57" si="48">AC57/H57*100</f>
        <v>77.777777777777786</v>
      </c>
      <c r="AF57" s="32" t="str">
        <f t="shared" ref="AF57" si="49">IF(AE57&gt;=91,"Sangat Tinggi",IF(AE57&gt;=76,"Tinggi",IF(AE57&gt;=66,"Sedang",IF(AE57&gt;=51,"Rendah",IF(AE57&lt;=50,"Sangat Rendah")))))</f>
        <v>Tinggi</v>
      </c>
      <c r="AG57" s="354">
        <f t="shared" ref="AG57" si="50">AD57/J57*100</f>
        <v>10.845045982994968</v>
      </c>
      <c r="AH57" s="111"/>
      <c r="AI57" s="88"/>
      <c r="AK57" s="105"/>
    </row>
    <row r="58" spans="1:37" ht="126" x14ac:dyDescent="0.25">
      <c r="A58" s="60"/>
      <c r="B58" s="60"/>
      <c r="C58" s="14"/>
      <c r="D58" s="62" t="s">
        <v>335</v>
      </c>
      <c r="E58" s="219">
        <v>2.06</v>
      </c>
      <c r="F58" s="228" t="s">
        <v>27</v>
      </c>
      <c r="G58" s="221"/>
      <c r="H58" s="219">
        <v>4.92</v>
      </c>
      <c r="I58" s="228" t="s">
        <v>27</v>
      </c>
      <c r="J58" s="222">
        <v>31625249895</v>
      </c>
      <c r="K58" s="219">
        <v>3.27</v>
      </c>
      <c r="L58" s="224">
        <f>SUM(L59:L87)</f>
        <v>9280497705</v>
      </c>
      <c r="M58" s="219">
        <v>4.51</v>
      </c>
      <c r="N58" s="224">
        <f>SUM(N59:N87)</f>
        <v>6193055450</v>
      </c>
      <c r="O58" s="219">
        <v>4.8600000000000003</v>
      </c>
      <c r="P58" s="224">
        <f>SUM(P59:P87)</f>
        <v>9357732010</v>
      </c>
      <c r="Q58" s="223">
        <v>2.97</v>
      </c>
      <c r="R58" s="224">
        <f>SUM(R59:R87)</f>
        <v>7257960733</v>
      </c>
      <c r="S58" s="223">
        <v>0.03</v>
      </c>
      <c r="T58" s="224">
        <f>SUM(T59:T87)</f>
        <v>5316817990</v>
      </c>
      <c r="U58" s="223">
        <v>-7.0000000000000007E-2</v>
      </c>
      <c r="V58" s="224">
        <f>SUM(V59:V87)</f>
        <v>7768843428</v>
      </c>
      <c r="W58" s="234">
        <f t="shared" ref="W58:Z59" si="51">Q58/K58*100</f>
        <v>90.825688073394502</v>
      </c>
      <c r="X58" s="240">
        <f t="shared" si="51"/>
        <v>78.206589384636899</v>
      </c>
      <c r="Y58" s="234">
        <f t="shared" si="51"/>
        <v>0.66518847006651882</v>
      </c>
      <c r="Z58" s="240">
        <f>T58/N58*100</f>
        <v>85.851289931531298</v>
      </c>
      <c r="AA58" s="234">
        <f>U58/O58*100</f>
        <v>-1.440329218106996</v>
      </c>
      <c r="AB58" s="240">
        <f>V58/P58*100</f>
        <v>83.020580410915187</v>
      </c>
      <c r="AC58" s="223">
        <f t="shared" si="40"/>
        <v>-7.0000000000000007E-2</v>
      </c>
      <c r="AD58" s="309">
        <f>R58+T58+V58</f>
        <v>20343622151</v>
      </c>
      <c r="AE58" s="234">
        <f>AC58/H58*100</f>
        <v>-1.4227642276422765</v>
      </c>
      <c r="AF58" s="219" t="str">
        <f>IF(AE58&gt;=91,"Sangat Tinggi",IF(AE58&gt;=76,"Tinggi",IF(AE58&gt;=66,"Sedang",IF(AE58&gt;=51,"Rendah",IF(AE58&lt;=50,"Sangat Rendah")))))</f>
        <v>Sangat Rendah</v>
      </c>
      <c r="AG58" s="234">
        <f>AD58/J58*100</f>
        <v>64.327150674045285</v>
      </c>
      <c r="AH58" s="410" t="s">
        <v>290</v>
      </c>
      <c r="AK58" s="105">
        <f t="shared" ref="AK58:AK76" si="52">R58</f>
        <v>7257960733</v>
      </c>
    </row>
    <row r="59" spans="1:37" s="149" customFormat="1" ht="75" x14ac:dyDescent="0.2">
      <c r="A59" s="60"/>
      <c r="B59" s="60"/>
      <c r="C59" s="94" t="s">
        <v>104</v>
      </c>
      <c r="D59" s="14" t="s">
        <v>208</v>
      </c>
      <c r="E59" s="158" t="s">
        <v>210</v>
      </c>
      <c r="F59" s="18" t="s">
        <v>168</v>
      </c>
      <c r="G59" s="236"/>
      <c r="H59" s="159" t="s">
        <v>211</v>
      </c>
      <c r="I59" s="18" t="s">
        <v>168</v>
      </c>
      <c r="J59" s="183">
        <v>2518005000</v>
      </c>
      <c r="K59" s="159" t="s">
        <v>529</v>
      </c>
      <c r="L59" s="180">
        <v>497802500</v>
      </c>
      <c r="M59" s="159" t="s">
        <v>519</v>
      </c>
      <c r="N59" s="180">
        <v>1035529400</v>
      </c>
      <c r="O59" s="159"/>
      <c r="P59" s="180"/>
      <c r="Q59" s="160">
        <v>255810</v>
      </c>
      <c r="R59" s="180">
        <v>460458500</v>
      </c>
      <c r="S59" s="161">
        <v>159073</v>
      </c>
      <c r="T59" s="180">
        <v>863994475</v>
      </c>
      <c r="U59" s="161"/>
      <c r="V59" s="180"/>
      <c r="W59" s="56">
        <f t="shared" si="51"/>
        <v>105.39869060224881</v>
      </c>
      <c r="X59" s="237">
        <f t="shared" si="51"/>
        <v>92.498229719617726</v>
      </c>
      <c r="Y59" s="56">
        <f t="shared" si="51"/>
        <v>64.314795722400802</v>
      </c>
      <c r="Z59" s="237">
        <f t="shared" si="51"/>
        <v>83.435050226483185</v>
      </c>
      <c r="AA59" s="56"/>
      <c r="AB59" s="237"/>
      <c r="AC59" s="362">
        <f t="shared" ref="AC59:AC72" si="53">S59</f>
        <v>159073</v>
      </c>
      <c r="AD59" s="193">
        <f>R59+T59</f>
        <v>1324452975</v>
      </c>
      <c r="AE59" s="56">
        <f t="shared" ref="AE59" si="54">AC59/H59*100</f>
        <v>61.987764009040603</v>
      </c>
      <c r="AF59" s="32" t="str">
        <f t="shared" ref="AF59" si="55">IF(AE59&gt;=91,"Sangat Tinggi",IF(AE59&gt;=76,"Tinggi",IF(AE59&gt;=66,"Sedang",IF(AE59&gt;=51,"Rendah",IF(AE59&lt;=50,"Sangat Rendah")))))</f>
        <v>Rendah</v>
      </c>
      <c r="AG59" s="354">
        <f t="shared" ref="AG59" si="56">AD59/J59*100</f>
        <v>52.599298849684573</v>
      </c>
      <c r="AH59" s="122" t="s">
        <v>293</v>
      </c>
      <c r="AK59" s="105">
        <f t="shared" si="52"/>
        <v>460458500</v>
      </c>
    </row>
    <row r="60" spans="1:37" s="149" customFormat="1" ht="30" x14ac:dyDescent="0.2">
      <c r="A60" s="60"/>
      <c r="B60" s="60"/>
      <c r="C60" s="25"/>
      <c r="D60" s="14" t="s">
        <v>209</v>
      </c>
      <c r="E60" s="162">
        <v>4973</v>
      </c>
      <c r="F60" s="18" t="s">
        <v>168</v>
      </c>
      <c r="G60" s="242"/>
      <c r="H60" s="55">
        <v>5102</v>
      </c>
      <c r="I60" s="18" t="s">
        <v>168</v>
      </c>
      <c r="J60" s="179"/>
      <c r="K60" s="55">
        <v>5035</v>
      </c>
      <c r="L60" s="181"/>
      <c r="M60" s="55">
        <v>5038</v>
      </c>
      <c r="N60" s="181"/>
      <c r="O60" s="55"/>
      <c r="P60" s="181"/>
      <c r="Q60" s="162">
        <v>2982</v>
      </c>
      <c r="R60" s="181"/>
      <c r="S60" s="162">
        <v>3242</v>
      </c>
      <c r="T60" s="181"/>
      <c r="U60" s="162"/>
      <c r="V60" s="181"/>
      <c r="W60" s="56">
        <f t="shared" ref="W60:W72" si="57">Q60/K60*100</f>
        <v>59.22542204568024</v>
      </c>
      <c r="X60" s="243"/>
      <c r="Y60" s="56">
        <f t="shared" ref="Y60:Y72" si="58">S60/M60*100</f>
        <v>64.350932909884875</v>
      </c>
      <c r="Z60" s="243"/>
      <c r="AA60" s="56"/>
      <c r="AB60" s="243"/>
      <c r="AC60" s="362">
        <f t="shared" si="53"/>
        <v>3242</v>
      </c>
      <c r="AD60" s="4"/>
      <c r="AE60" s="56">
        <f t="shared" ref="AE60:AE61" si="59">AC60/H60*100</f>
        <v>63.543708349666794</v>
      </c>
      <c r="AF60" s="32" t="str">
        <f t="shared" ref="AF60:AF62" si="60">IF(AE60&gt;=91,"Sangat Tinggi",IF(AE60&gt;=76,"Tinggi",IF(AE60&gt;=66,"Sedang",IF(AE60&gt;=51,"Rendah",IF(AE60&lt;=50,"Sangat Rendah")))))</f>
        <v>Rendah</v>
      </c>
      <c r="AG60" s="404"/>
      <c r="AH60" s="111"/>
      <c r="AK60" s="105">
        <f t="shared" si="52"/>
        <v>0</v>
      </c>
    </row>
    <row r="61" spans="1:37" s="149" customFormat="1" ht="60" x14ac:dyDescent="0.2">
      <c r="A61" s="60"/>
      <c r="B61" s="60"/>
      <c r="C61" s="20"/>
      <c r="D61" s="14" t="s">
        <v>291</v>
      </c>
      <c r="E61" s="32">
        <v>619</v>
      </c>
      <c r="F61" s="18" t="s">
        <v>168</v>
      </c>
      <c r="G61" s="29"/>
      <c r="H61" s="18">
        <v>545</v>
      </c>
      <c r="I61" s="18" t="s">
        <v>168</v>
      </c>
      <c r="J61" s="49"/>
      <c r="K61" s="18">
        <v>530</v>
      </c>
      <c r="L61" s="182"/>
      <c r="M61" s="18">
        <v>533</v>
      </c>
      <c r="N61" s="182"/>
      <c r="O61" s="18"/>
      <c r="P61" s="182"/>
      <c r="Q61" s="32">
        <v>643</v>
      </c>
      <c r="R61" s="182"/>
      <c r="S61" s="32">
        <v>584.76</v>
      </c>
      <c r="T61" s="182"/>
      <c r="U61" s="32"/>
      <c r="V61" s="182"/>
      <c r="W61" s="56">
        <f t="shared" si="57"/>
        <v>121.32075471698114</v>
      </c>
      <c r="X61" s="238"/>
      <c r="Y61" s="56">
        <f t="shared" si="58"/>
        <v>109.71106941838649</v>
      </c>
      <c r="Z61" s="238"/>
      <c r="AA61" s="56"/>
      <c r="AB61" s="238"/>
      <c r="AC61" s="363">
        <f t="shared" si="53"/>
        <v>584.76</v>
      </c>
      <c r="AD61" s="5"/>
      <c r="AE61" s="56">
        <f t="shared" si="59"/>
        <v>107.29541284403669</v>
      </c>
      <c r="AF61" s="32" t="str">
        <f t="shared" si="60"/>
        <v>Sangat Tinggi</v>
      </c>
      <c r="AG61" s="77"/>
      <c r="AH61" s="111"/>
      <c r="AK61" s="105">
        <f t="shared" si="52"/>
        <v>0</v>
      </c>
    </row>
    <row r="62" spans="1:37" s="149" customFormat="1" ht="60" x14ac:dyDescent="0.2">
      <c r="A62" s="60"/>
      <c r="B62" s="60"/>
      <c r="C62" s="94" t="s">
        <v>105</v>
      </c>
      <c r="D62" s="14" t="s">
        <v>212</v>
      </c>
      <c r="E62" s="159" t="s">
        <v>216</v>
      </c>
      <c r="F62" s="18" t="s">
        <v>168</v>
      </c>
      <c r="G62" s="236"/>
      <c r="H62" s="159" t="s">
        <v>217</v>
      </c>
      <c r="I62" s="18" t="s">
        <v>168</v>
      </c>
      <c r="J62" s="183">
        <v>2035547500</v>
      </c>
      <c r="K62" s="159">
        <v>115568</v>
      </c>
      <c r="L62" s="180">
        <v>407109500</v>
      </c>
      <c r="M62" s="159">
        <v>115637</v>
      </c>
      <c r="N62" s="180">
        <v>483936700</v>
      </c>
      <c r="O62" s="159"/>
      <c r="P62" s="180"/>
      <c r="Q62" s="159">
        <v>118032</v>
      </c>
      <c r="R62" s="180">
        <v>307958640</v>
      </c>
      <c r="S62" s="159">
        <v>131282</v>
      </c>
      <c r="T62" s="180">
        <v>431632900</v>
      </c>
      <c r="U62" s="159"/>
      <c r="V62" s="180"/>
      <c r="W62" s="56">
        <f t="shared" si="57"/>
        <v>102.13207808389866</v>
      </c>
      <c r="X62" s="237">
        <f>R62/L62*100</f>
        <v>75.645161805361951</v>
      </c>
      <c r="Y62" s="56">
        <f t="shared" si="58"/>
        <v>113.52940667779343</v>
      </c>
      <c r="Z62" s="237">
        <f>T62/N62*100</f>
        <v>89.192016228568733</v>
      </c>
      <c r="AA62" s="56"/>
      <c r="AB62" s="237"/>
      <c r="AC62" s="362">
        <f t="shared" si="53"/>
        <v>131282</v>
      </c>
      <c r="AD62" s="193">
        <f>R62+T62</f>
        <v>739591540</v>
      </c>
      <c r="AE62" s="56">
        <f>AC62/H62*100</f>
        <v>113.32849916265258</v>
      </c>
      <c r="AF62" s="32" t="str">
        <f t="shared" si="60"/>
        <v>Sangat Tinggi</v>
      </c>
      <c r="AG62" s="354">
        <f t="shared" ref="AG62" si="61">AD62/J62*100</f>
        <v>36.333789312212076</v>
      </c>
      <c r="AH62" s="111"/>
      <c r="AK62" s="105">
        <f t="shared" si="52"/>
        <v>307958640</v>
      </c>
    </row>
    <row r="63" spans="1:37" s="149" customFormat="1" ht="30" x14ac:dyDescent="0.2">
      <c r="A63" s="60"/>
      <c r="B63" s="60"/>
      <c r="C63" s="25"/>
      <c r="D63" s="14" t="s">
        <v>213</v>
      </c>
      <c r="E63" s="162">
        <v>29040</v>
      </c>
      <c r="F63" s="18" t="s">
        <v>168</v>
      </c>
      <c r="G63" s="242"/>
      <c r="H63" s="162">
        <v>30328</v>
      </c>
      <c r="I63" s="18" t="s">
        <v>168</v>
      </c>
      <c r="J63" s="179"/>
      <c r="K63" s="162">
        <v>29340</v>
      </c>
      <c r="L63" s="181"/>
      <c r="M63" s="162">
        <v>29564</v>
      </c>
      <c r="N63" s="181"/>
      <c r="O63" s="162"/>
      <c r="P63" s="181"/>
      <c r="Q63" s="162">
        <v>16452</v>
      </c>
      <c r="R63" s="181"/>
      <c r="S63" s="162">
        <v>36747</v>
      </c>
      <c r="T63" s="181"/>
      <c r="U63" s="162"/>
      <c r="V63" s="181"/>
      <c r="W63" s="56">
        <f t="shared" si="57"/>
        <v>56.073619631901842</v>
      </c>
      <c r="X63" s="243"/>
      <c r="Y63" s="56">
        <f t="shared" si="58"/>
        <v>124.29644161818428</v>
      </c>
      <c r="Z63" s="243"/>
      <c r="AA63" s="56"/>
      <c r="AB63" s="243"/>
      <c r="AC63" s="362">
        <f t="shared" si="53"/>
        <v>36747</v>
      </c>
      <c r="AD63" s="4"/>
      <c r="AE63" s="56">
        <f t="shared" ref="AE63:AE68" si="62">AC63/H63*100</f>
        <v>121.16525982590345</v>
      </c>
      <c r="AF63" s="32" t="str">
        <f t="shared" ref="AF63:AF68" si="63">IF(AE63&gt;=91,"Sangat Tinggi",IF(AE63&gt;=76,"Tinggi",IF(AE63&gt;=66,"Sedang",IF(AE63&gt;=51,"Rendah",IF(AE63&lt;=50,"Sangat Rendah")))))</f>
        <v>Sangat Tinggi</v>
      </c>
      <c r="AG63" s="404"/>
      <c r="AH63" s="111"/>
      <c r="AK63" s="105">
        <f t="shared" si="52"/>
        <v>0</v>
      </c>
    </row>
    <row r="64" spans="1:37" s="149" customFormat="1" ht="30" x14ac:dyDescent="0.2">
      <c r="A64" s="60"/>
      <c r="B64" s="60"/>
      <c r="C64" s="25"/>
      <c r="D64" s="14" t="s">
        <v>214</v>
      </c>
      <c r="E64" s="162">
        <v>79464</v>
      </c>
      <c r="F64" s="18" t="s">
        <v>168</v>
      </c>
      <c r="G64" s="242"/>
      <c r="H64" s="162">
        <v>81672</v>
      </c>
      <c r="I64" s="18" t="s">
        <v>168</v>
      </c>
      <c r="J64" s="179"/>
      <c r="K64" s="162">
        <v>80875</v>
      </c>
      <c r="L64" s="181"/>
      <c r="M64" s="162">
        <v>81074</v>
      </c>
      <c r="N64" s="181"/>
      <c r="O64" s="162"/>
      <c r="P64" s="181"/>
      <c r="Q64" s="170">
        <v>92244</v>
      </c>
      <c r="R64" s="181"/>
      <c r="S64" s="162">
        <v>92727</v>
      </c>
      <c r="T64" s="181"/>
      <c r="U64" s="162"/>
      <c r="V64" s="181"/>
      <c r="W64" s="56">
        <f t="shared" si="57"/>
        <v>114.05749613601238</v>
      </c>
      <c r="X64" s="243"/>
      <c r="Y64" s="56">
        <f t="shared" si="58"/>
        <v>114.37328860053778</v>
      </c>
      <c r="Z64" s="243"/>
      <c r="AA64" s="56"/>
      <c r="AB64" s="243"/>
      <c r="AC64" s="362">
        <f t="shared" si="53"/>
        <v>92727</v>
      </c>
      <c r="AD64" s="4"/>
      <c r="AE64" s="56">
        <f t="shared" si="62"/>
        <v>113.53585071995298</v>
      </c>
      <c r="AF64" s="32" t="str">
        <f t="shared" si="63"/>
        <v>Sangat Tinggi</v>
      </c>
      <c r="AG64" s="404"/>
      <c r="AH64" s="111"/>
      <c r="AK64" s="105">
        <f t="shared" si="52"/>
        <v>0</v>
      </c>
    </row>
    <row r="65" spans="1:37" s="149" customFormat="1" ht="30" x14ac:dyDescent="0.2">
      <c r="A65" s="60"/>
      <c r="B65" s="60"/>
      <c r="C65" s="20"/>
      <c r="D65" s="14" t="s">
        <v>215</v>
      </c>
      <c r="E65" s="162">
        <v>2400</v>
      </c>
      <c r="F65" s="18" t="s">
        <v>168</v>
      </c>
      <c r="G65" s="29"/>
      <c r="H65" s="162">
        <v>2424</v>
      </c>
      <c r="I65" s="18" t="s">
        <v>168</v>
      </c>
      <c r="J65" s="49"/>
      <c r="K65" s="162">
        <v>2376</v>
      </c>
      <c r="L65" s="182"/>
      <c r="M65" s="162">
        <v>2388</v>
      </c>
      <c r="N65" s="182"/>
      <c r="O65" s="162"/>
      <c r="P65" s="182"/>
      <c r="Q65" s="162">
        <v>2376</v>
      </c>
      <c r="R65" s="182"/>
      <c r="S65" s="162">
        <v>3145.5</v>
      </c>
      <c r="T65" s="182"/>
      <c r="U65" s="162"/>
      <c r="V65" s="182"/>
      <c r="W65" s="56">
        <f t="shared" si="57"/>
        <v>100</v>
      </c>
      <c r="X65" s="238"/>
      <c r="Y65" s="56">
        <f t="shared" si="58"/>
        <v>131.72110552763817</v>
      </c>
      <c r="Z65" s="238"/>
      <c r="AA65" s="56"/>
      <c r="AB65" s="238"/>
      <c r="AC65" s="362">
        <f t="shared" si="53"/>
        <v>3145.5</v>
      </c>
      <c r="AD65" s="5"/>
      <c r="AE65" s="56">
        <f t="shared" si="62"/>
        <v>129.76485148514851</v>
      </c>
      <c r="AF65" s="32" t="str">
        <f t="shared" si="63"/>
        <v>Sangat Tinggi</v>
      </c>
      <c r="AG65" s="77"/>
      <c r="AH65" s="111"/>
      <c r="AK65" s="105">
        <f t="shared" si="52"/>
        <v>0</v>
      </c>
    </row>
    <row r="66" spans="1:37" s="149" customFormat="1" ht="60" x14ac:dyDescent="0.2">
      <c r="A66" s="60"/>
      <c r="B66" s="60"/>
      <c r="C66" s="94" t="s">
        <v>106</v>
      </c>
      <c r="D66" s="14" t="s">
        <v>218</v>
      </c>
      <c r="E66" s="162">
        <v>6617</v>
      </c>
      <c r="F66" s="18" t="s">
        <v>168</v>
      </c>
      <c r="G66" s="236"/>
      <c r="H66" s="55">
        <v>6216</v>
      </c>
      <c r="I66" s="18" t="s">
        <v>168</v>
      </c>
      <c r="J66" s="183">
        <v>1920877500</v>
      </c>
      <c r="K66" s="55">
        <v>5976</v>
      </c>
      <c r="L66" s="180">
        <v>510041500</v>
      </c>
      <c r="M66" s="55">
        <v>6036</v>
      </c>
      <c r="N66" s="180">
        <v>433279200</v>
      </c>
      <c r="O66" s="55"/>
      <c r="P66" s="180"/>
      <c r="Q66" s="163">
        <v>6679.2</v>
      </c>
      <c r="R66" s="180">
        <v>445504500</v>
      </c>
      <c r="S66" s="163">
        <v>7890.9</v>
      </c>
      <c r="T66" s="180">
        <v>359271150</v>
      </c>
      <c r="U66" s="163"/>
      <c r="V66" s="180"/>
      <c r="W66" s="56">
        <f t="shared" si="57"/>
        <v>111.76706827309238</v>
      </c>
      <c r="X66" s="237">
        <f>R66/L66*100</f>
        <v>87.346715904490125</v>
      </c>
      <c r="Y66" s="56">
        <f t="shared" si="58"/>
        <v>130.73061630218689</v>
      </c>
      <c r="Z66" s="237">
        <f>T66/N66*100</f>
        <v>82.919085430364532</v>
      </c>
      <c r="AA66" s="56"/>
      <c r="AB66" s="237"/>
      <c r="AC66" s="364">
        <f t="shared" si="53"/>
        <v>7890.9</v>
      </c>
      <c r="AD66" s="193">
        <f>R66+T66</f>
        <v>804775650</v>
      </c>
      <c r="AE66" s="56">
        <f t="shared" si="62"/>
        <v>126.94498069498069</v>
      </c>
      <c r="AF66" s="32" t="str">
        <f t="shared" si="63"/>
        <v>Sangat Tinggi</v>
      </c>
      <c r="AG66" s="354">
        <f t="shared" ref="AG66" si="64">AD66/J66*100</f>
        <v>41.896250541744593</v>
      </c>
      <c r="AH66" s="111"/>
      <c r="AJ66" s="151"/>
      <c r="AK66" s="105">
        <f t="shared" si="52"/>
        <v>445504500</v>
      </c>
    </row>
    <row r="67" spans="1:37" s="149" customFormat="1" ht="30" x14ac:dyDescent="0.2">
      <c r="A67" s="60"/>
      <c r="B67" s="60"/>
      <c r="C67" s="25"/>
      <c r="D67" s="14" t="s">
        <v>219</v>
      </c>
      <c r="E67" s="162">
        <v>2838</v>
      </c>
      <c r="F67" s="18" t="s">
        <v>168</v>
      </c>
      <c r="G67" s="242"/>
      <c r="H67" s="55">
        <v>4096</v>
      </c>
      <c r="I67" s="18" t="s">
        <v>168</v>
      </c>
      <c r="J67" s="179"/>
      <c r="K67" s="55">
        <v>3816</v>
      </c>
      <c r="L67" s="181"/>
      <c r="M67" s="55">
        <v>3886</v>
      </c>
      <c r="N67" s="181"/>
      <c r="O67" s="55"/>
      <c r="P67" s="181"/>
      <c r="Q67" s="163">
        <v>3820.1</v>
      </c>
      <c r="R67" s="181"/>
      <c r="S67" s="163">
        <v>3917.6</v>
      </c>
      <c r="T67" s="181"/>
      <c r="U67" s="163"/>
      <c r="V67" s="181"/>
      <c r="W67" s="56">
        <f t="shared" si="57"/>
        <v>100.10744234800839</v>
      </c>
      <c r="X67" s="243"/>
      <c r="Y67" s="56">
        <f t="shared" si="58"/>
        <v>100.81317550180134</v>
      </c>
      <c r="Z67" s="243"/>
      <c r="AA67" s="56"/>
      <c r="AB67" s="243"/>
      <c r="AC67" s="364">
        <f t="shared" si="53"/>
        <v>3917.6</v>
      </c>
      <c r="AD67" s="4"/>
      <c r="AE67" s="56">
        <f t="shared" si="62"/>
        <v>95.64453125</v>
      </c>
      <c r="AF67" s="32" t="str">
        <f t="shared" si="63"/>
        <v>Sangat Tinggi</v>
      </c>
      <c r="AG67" s="404"/>
      <c r="AH67" s="111"/>
      <c r="AK67" s="105">
        <f t="shared" si="52"/>
        <v>0</v>
      </c>
    </row>
    <row r="68" spans="1:37" s="149" customFormat="1" ht="45" x14ac:dyDescent="0.2">
      <c r="A68" s="60"/>
      <c r="B68" s="60"/>
      <c r="C68" s="25"/>
      <c r="D68" s="14" t="s">
        <v>220</v>
      </c>
      <c r="E68" s="32">
        <v>38</v>
      </c>
      <c r="F68" s="18" t="s">
        <v>168</v>
      </c>
      <c r="G68" s="29"/>
      <c r="H68" s="18">
        <v>96</v>
      </c>
      <c r="I68" s="18" t="s">
        <v>168</v>
      </c>
      <c r="J68" s="49"/>
      <c r="K68" s="18">
        <v>48</v>
      </c>
      <c r="L68" s="182"/>
      <c r="M68" s="18">
        <v>60</v>
      </c>
      <c r="N68" s="182"/>
      <c r="O68" s="18"/>
      <c r="P68" s="182"/>
      <c r="Q68" s="32">
        <v>111.7</v>
      </c>
      <c r="R68" s="182"/>
      <c r="S68" s="32">
        <v>87</v>
      </c>
      <c r="T68" s="182"/>
      <c r="U68" s="32"/>
      <c r="V68" s="182"/>
      <c r="W68" s="56">
        <f t="shared" si="57"/>
        <v>232.70833333333334</v>
      </c>
      <c r="X68" s="238"/>
      <c r="Y68" s="56">
        <f t="shared" si="58"/>
        <v>145</v>
      </c>
      <c r="Z68" s="238"/>
      <c r="AA68" s="56"/>
      <c r="AB68" s="238"/>
      <c r="AC68" s="362">
        <f t="shared" si="53"/>
        <v>87</v>
      </c>
      <c r="AD68" s="5"/>
      <c r="AE68" s="56">
        <f t="shared" si="62"/>
        <v>90.625</v>
      </c>
      <c r="AF68" s="32" t="str">
        <f t="shared" si="63"/>
        <v>Tinggi</v>
      </c>
      <c r="AG68" s="77"/>
      <c r="AH68" s="111"/>
      <c r="AK68" s="105">
        <f t="shared" si="52"/>
        <v>0</v>
      </c>
    </row>
    <row r="69" spans="1:37" s="149" customFormat="1" ht="75" x14ac:dyDescent="0.2">
      <c r="A69" s="60"/>
      <c r="B69" s="60"/>
      <c r="C69" s="94" t="s">
        <v>221</v>
      </c>
      <c r="D69" s="14" t="s">
        <v>222</v>
      </c>
      <c r="E69" s="162">
        <v>6680</v>
      </c>
      <c r="F69" s="18" t="s">
        <v>225</v>
      </c>
      <c r="G69" s="236"/>
      <c r="H69" s="162">
        <v>7375</v>
      </c>
      <c r="I69" s="18" t="s">
        <v>225</v>
      </c>
      <c r="J69" s="183">
        <v>6477840000</v>
      </c>
      <c r="K69" s="55">
        <v>6840</v>
      </c>
      <c r="L69" s="180">
        <v>1295568555</v>
      </c>
      <c r="M69" s="55">
        <v>7040</v>
      </c>
      <c r="N69" s="180">
        <v>383275000</v>
      </c>
      <c r="O69" s="55"/>
      <c r="P69" s="180"/>
      <c r="Q69" s="162">
        <v>6330</v>
      </c>
      <c r="R69" s="180">
        <v>1090885443</v>
      </c>
      <c r="S69" s="162">
        <v>5730</v>
      </c>
      <c r="T69" s="180">
        <v>290248505</v>
      </c>
      <c r="U69" s="162"/>
      <c r="V69" s="180"/>
      <c r="W69" s="56">
        <f t="shared" si="57"/>
        <v>92.543859649122808</v>
      </c>
      <c r="X69" s="237">
        <f>R69/L69*100</f>
        <v>84.201290529160772</v>
      </c>
      <c r="Y69" s="56">
        <f t="shared" si="58"/>
        <v>81.392045454545453</v>
      </c>
      <c r="Z69" s="237">
        <f>T69/N69*100</f>
        <v>75.7285252103581</v>
      </c>
      <c r="AA69" s="56"/>
      <c r="AB69" s="237"/>
      <c r="AC69" s="362">
        <f t="shared" si="53"/>
        <v>5730</v>
      </c>
      <c r="AD69" s="193">
        <f>R69+T69</f>
        <v>1381133948</v>
      </c>
      <c r="AE69" s="56">
        <f t="shared" ref="AE69:AE71" si="65">AC69/H69*100</f>
        <v>77.694915254237287</v>
      </c>
      <c r="AF69" s="32" t="str">
        <f t="shared" ref="AF69:AF71" si="66">IF(AE69&gt;=91,"Sangat Tinggi",IF(AE69&gt;=76,"Tinggi",IF(AE69&gt;=66,"Sedang",IF(AE69&gt;=51,"Rendah",IF(AE69&lt;=50,"Sangat Rendah")))))</f>
        <v>Tinggi</v>
      </c>
      <c r="AG69" s="354">
        <f t="shared" ref="AG69" si="67">AD69/J69*100</f>
        <v>21.320902461314265</v>
      </c>
      <c r="AH69" s="111"/>
      <c r="AK69" s="105">
        <f t="shared" si="52"/>
        <v>1090885443</v>
      </c>
    </row>
    <row r="70" spans="1:37" s="149" customFormat="1" ht="60" x14ac:dyDescent="0.2">
      <c r="A70" s="60"/>
      <c r="B70" s="60"/>
      <c r="C70" s="25"/>
      <c r="D70" s="14" t="s">
        <v>223</v>
      </c>
      <c r="E70" s="162">
        <v>2713</v>
      </c>
      <c r="F70" s="18" t="s">
        <v>225</v>
      </c>
      <c r="G70" s="242"/>
      <c r="H70" s="162">
        <v>3184</v>
      </c>
      <c r="I70" s="18" t="s">
        <v>225</v>
      </c>
      <c r="J70" s="179"/>
      <c r="K70" s="55">
        <v>2824</v>
      </c>
      <c r="L70" s="181"/>
      <c r="M70" s="55">
        <v>2916</v>
      </c>
      <c r="N70" s="181"/>
      <c r="O70" s="55"/>
      <c r="P70" s="181"/>
      <c r="Q70" s="162">
        <v>2804</v>
      </c>
      <c r="R70" s="181"/>
      <c r="S70" s="162">
        <v>2804</v>
      </c>
      <c r="T70" s="181"/>
      <c r="U70" s="162"/>
      <c r="V70" s="181"/>
      <c r="W70" s="56">
        <f t="shared" si="57"/>
        <v>99.291784702549577</v>
      </c>
      <c r="X70" s="243"/>
      <c r="Y70" s="56">
        <f t="shared" si="58"/>
        <v>96.159122085048011</v>
      </c>
      <c r="Z70" s="243"/>
      <c r="AA70" s="56"/>
      <c r="AB70" s="243"/>
      <c r="AC70" s="362">
        <f t="shared" si="53"/>
        <v>2804</v>
      </c>
      <c r="AD70" s="4"/>
      <c r="AE70" s="56">
        <f t="shared" si="65"/>
        <v>88.065326633165824</v>
      </c>
      <c r="AF70" s="32" t="str">
        <f t="shared" si="66"/>
        <v>Tinggi</v>
      </c>
      <c r="AG70" s="404"/>
      <c r="AH70" s="111"/>
      <c r="AK70" s="105">
        <f t="shared" si="52"/>
        <v>0</v>
      </c>
    </row>
    <row r="71" spans="1:37" s="149" customFormat="1" ht="90" x14ac:dyDescent="0.2">
      <c r="A71" s="60"/>
      <c r="B71" s="60"/>
      <c r="C71" s="25"/>
      <c r="D71" s="14" t="s">
        <v>224</v>
      </c>
      <c r="E71" s="159" t="s">
        <v>226</v>
      </c>
      <c r="F71" s="18" t="s">
        <v>225</v>
      </c>
      <c r="G71" s="29"/>
      <c r="H71" s="159" t="s">
        <v>523</v>
      </c>
      <c r="I71" s="18" t="s">
        <v>225</v>
      </c>
      <c r="J71" s="49"/>
      <c r="K71" s="159" t="s">
        <v>530</v>
      </c>
      <c r="L71" s="182"/>
      <c r="M71" s="159" t="s">
        <v>520</v>
      </c>
      <c r="N71" s="182"/>
      <c r="O71" s="159"/>
      <c r="P71" s="182"/>
      <c r="Q71" s="159">
        <v>2125309</v>
      </c>
      <c r="R71" s="182"/>
      <c r="S71" s="159">
        <v>1835386</v>
      </c>
      <c r="T71" s="182"/>
      <c r="U71" s="159"/>
      <c r="V71" s="182"/>
      <c r="W71" s="56">
        <f t="shared" si="57"/>
        <v>70.50413243428477</v>
      </c>
      <c r="X71" s="238"/>
      <c r="Y71" s="56">
        <f t="shared" si="58"/>
        <v>60.859392641574438</v>
      </c>
      <c r="Z71" s="238"/>
      <c r="AA71" s="56"/>
      <c r="AB71" s="238"/>
      <c r="AC71" s="362">
        <f t="shared" si="53"/>
        <v>1835386</v>
      </c>
      <c r="AD71" s="5"/>
      <c r="AE71" s="56">
        <f t="shared" si="65"/>
        <v>60.778577060465445</v>
      </c>
      <c r="AF71" s="32" t="str">
        <f t="shared" si="66"/>
        <v>Rendah</v>
      </c>
      <c r="AG71" s="77"/>
      <c r="AH71" s="111"/>
      <c r="AK71" s="105">
        <f t="shared" si="52"/>
        <v>0</v>
      </c>
    </row>
    <row r="72" spans="1:37" s="149" customFormat="1" ht="90" x14ac:dyDescent="0.2">
      <c r="A72" s="60"/>
      <c r="B72" s="60"/>
      <c r="C72" s="14" t="s">
        <v>227</v>
      </c>
      <c r="D72" s="14" t="s">
        <v>228</v>
      </c>
      <c r="E72" s="159">
        <v>6937</v>
      </c>
      <c r="F72" s="18" t="s">
        <v>225</v>
      </c>
      <c r="G72" s="12"/>
      <c r="H72" s="159">
        <v>7437</v>
      </c>
      <c r="I72" s="18" t="s">
        <v>225</v>
      </c>
      <c r="J72" s="9">
        <v>311000000</v>
      </c>
      <c r="K72" s="159">
        <v>7037</v>
      </c>
      <c r="L72" s="10">
        <v>201279200</v>
      </c>
      <c r="M72" s="159">
        <v>7137</v>
      </c>
      <c r="N72" s="10">
        <v>105493300</v>
      </c>
      <c r="O72" s="159"/>
      <c r="P72" s="10"/>
      <c r="Q72" s="159">
        <v>5858</v>
      </c>
      <c r="R72" s="10">
        <v>156165200</v>
      </c>
      <c r="S72" s="159">
        <v>4931</v>
      </c>
      <c r="T72" s="10">
        <v>82214800</v>
      </c>
      <c r="U72" s="159"/>
      <c r="V72" s="10"/>
      <c r="W72" s="56">
        <f t="shared" si="57"/>
        <v>83.2457012931647</v>
      </c>
      <c r="X72" s="235">
        <f>R72/L72*100</f>
        <v>77.58635765642947</v>
      </c>
      <c r="Y72" s="56">
        <f t="shared" si="58"/>
        <v>69.090654336555986</v>
      </c>
      <c r="Z72" s="235">
        <f>T72/N72*100</f>
        <v>77.93366972120505</v>
      </c>
      <c r="AA72" s="56"/>
      <c r="AB72" s="235"/>
      <c r="AC72" s="362">
        <f t="shared" si="53"/>
        <v>4931</v>
      </c>
      <c r="AD72" s="193">
        <f>R72+T72</f>
        <v>238380000</v>
      </c>
      <c r="AE72" s="56">
        <f t="shared" ref="AE72:AE74" si="68">AC72/H72*100</f>
        <v>66.303617049885716</v>
      </c>
      <c r="AF72" s="32" t="str">
        <f t="shared" ref="AF72:AF74" si="69">IF(AE72&gt;=91,"Sangat Tinggi",IF(AE72&gt;=76,"Tinggi",IF(AE72&gt;=66,"Sedang",IF(AE72&gt;=51,"Rendah",IF(AE72&lt;=50,"Sangat Rendah")))))</f>
        <v>Sedang</v>
      </c>
      <c r="AG72" s="354">
        <f t="shared" ref="AG72:AG73" si="70">AD72/J72*100</f>
        <v>76.649517684887456</v>
      </c>
      <c r="AH72" s="111"/>
      <c r="AK72" s="105">
        <f t="shared" si="52"/>
        <v>156165200</v>
      </c>
    </row>
    <row r="73" spans="1:37" ht="108.75" customHeight="1" x14ac:dyDescent="0.2">
      <c r="A73" s="17"/>
      <c r="B73" s="61"/>
      <c r="C73" s="303" t="s">
        <v>107</v>
      </c>
      <c r="D73" s="212" t="s">
        <v>546</v>
      </c>
      <c r="E73" s="56">
        <v>0</v>
      </c>
      <c r="F73" s="18" t="s">
        <v>27</v>
      </c>
      <c r="G73" s="183"/>
      <c r="H73" s="56">
        <v>1</v>
      </c>
      <c r="I73" s="18" t="s">
        <v>27</v>
      </c>
      <c r="J73" s="183">
        <v>201279200</v>
      </c>
      <c r="K73" s="56">
        <v>5</v>
      </c>
      <c r="L73" s="183">
        <v>201279200</v>
      </c>
      <c r="M73" s="56"/>
      <c r="N73" s="183"/>
      <c r="O73" s="56"/>
      <c r="P73" s="183"/>
      <c r="Q73" s="56">
        <v>2</v>
      </c>
      <c r="R73" s="183">
        <v>191586000</v>
      </c>
      <c r="S73" s="56"/>
      <c r="T73" s="208"/>
      <c r="U73" s="56"/>
      <c r="V73" s="208"/>
      <c r="W73" s="56">
        <f>(K73-(Q73-K73))/K73*100</f>
        <v>160</v>
      </c>
      <c r="X73" s="237">
        <f>R73/L73*100</f>
        <v>95.184201844999379</v>
      </c>
      <c r="Y73" s="56"/>
      <c r="Z73" s="237"/>
      <c r="AA73" s="56"/>
      <c r="AB73" s="237"/>
      <c r="AC73" s="315">
        <f>Q73</f>
        <v>2</v>
      </c>
      <c r="AD73" s="193">
        <f>R73+T73</f>
        <v>191586000</v>
      </c>
      <c r="AE73" s="56">
        <v>50</v>
      </c>
      <c r="AF73" s="32" t="str">
        <f>IF(AE73&gt;=91,"Sangat Tinggi",IF(AE73&gt;=76,"Tinggi",IF(AE73&gt;=66,"Sedang",IF(AE73&gt;=51,"Rendah",IF(AE73&lt;=50,"Sangat Rendah")))))</f>
        <v>Sangat Rendah</v>
      </c>
      <c r="AG73" s="354">
        <f t="shared" si="70"/>
        <v>95.184201844999379</v>
      </c>
      <c r="AH73" s="111"/>
      <c r="AK73" s="105">
        <f t="shared" si="52"/>
        <v>191586000</v>
      </c>
    </row>
    <row r="74" spans="1:37" ht="48" customHeight="1" x14ac:dyDescent="0.2">
      <c r="A74" s="17"/>
      <c r="B74" s="61"/>
      <c r="C74" s="305"/>
      <c r="D74" s="212" t="s">
        <v>229</v>
      </c>
      <c r="E74" s="18">
        <v>5</v>
      </c>
      <c r="F74" s="18" t="s">
        <v>230</v>
      </c>
      <c r="G74" s="49"/>
      <c r="H74" s="18">
        <v>25</v>
      </c>
      <c r="I74" s="18" t="s">
        <v>230</v>
      </c>
      <c r="J74" s="49"/>
      <c r="K74" s="18">
        <v>5</v>
      </c>
      <c r="L74" s="49"/>
      <c r="M74" s="18"/>
      <c r="N74" s="49"/>
      <c r="O74" s="18"/>
      <c r="P74" s="49"/>
      <c r="Q74" s="18">
        <v>5</v>
      </c>
      <c r="R74" s="194"/>
      <c r="S74" s="18"/>
      <c r="T74" s="194"/>
      <c r="U74" s="18"/>
      <c r="V74" s="194"/>
      <c r="W74" s="56">
        <f>Q74/K74*100</f>
        <v>100</v>
      </c>
      <c r="X74" s="238"/>
      <c r="Y74" s="56"/>
      <c r="Z74" s="238"/>
      <c r="AA74" s="56"/>
      <c r="AB74" s="238"/>
      <c r="AC74" s="315">
        <f>Q74</f>
        <v>5</v>
      </c>
      <c r="AD74" s="4"/>
      <c r="AE74" s="56">
        <f t="shared" si="68"/>
        <v>20</v>
      </c>
      <c r="AF74" s="32" t="str">
        <f t="shared" si="69"/>
        <v>Sangat Rendah</v>
      </c>
      <c r="AG74" s="404"/>
      <c r="AH74" s="111"/>
      <c r="AK74" s="105">
        <f t="shared" si="52"/>
        <v>0</v>
      </c>
    </row>
    <row r="75" spans="1:37" ht="60" x14ac:dyDescent="0.2">
      <c r="A75" s="15"/>
      <c r="B75" s="20"/>
      <c r="C75" s="14" t="s">
        <v>108</v>
      </c>
      <c r="D75" s="14" t="s">
        <v>231</v>
      </c>
      <c r="E75" s="18">
        <v>0</v>
      </c>
      <c r="F75" s="18" t="s">
        <v>232</v>
      </c>
      <c r="G75" s="9"/>
      <c r="H75" s="18">
        <v>4</v>
      </c>
      <c r="I75" s="18" t="s">
        <v>232</v>
      </c>
      <c r="J75" s="9">
        <v>1357574900</v>
      </c>
      <c r="K75" s="18">
        <v>4</v>
      </c>
      <c r="L75" s="21">
        <v>263534900</v>
      </c>
      <c r="M75" s="18">
        <v>4</v>
      </c>
      <c r="N75" s="21">
        <v>412216200</v>
      </c>
      <c r="O75" s="18"/>
      <c r="P75" s="21"/>
      <c r="Q75" s="18">
        <v>5</v>
      </c>
      <c r="R75" s="23">
        <v>213189700</v>
      </c>
      <c r="S75" s="18">
        <v>3</v>
      </c>
      <c r="T75" s="59">
        <v>291835260</v>
      </c>
      <c r="U75" s="18"/>
      <c r="V75" s="59"/>
      <c r="W75" s="56">
        <f>Q75/K75*100</f>
        <v>125</v>
      </c>
      <c r="X75" s="235">
        <f t="shared" ref="X75:Z76" si="71">R75/L75*100</f>
        <v>80.896192496705368</v>
      </c>
      <c r="Y75" s="56">
        <f t="shared" si="71"/>
        <v>75</v>
      </c>
      <c r="Z75" s="235">
        <f t="shared" si="71"/>
        <v>70.796649913322184</v>
      </c>
      <c r="AA75" s="56"/>
      <c r="AB75" s="235"/>
      <c r="AC75" s="315">
        <f>S75</f>
        <v>3</v>
      </c>
      <c r="AD75" s="193">
        <f>R75+T75</f>
        <v>505024960</v>
      </c>
      <c r="AE75" s="56">
        <f t="shared" ref="AE75" si="72">AC75/H75*100</f>
        <v>75</v>
      </c>
      <c r="AF75" s="32" t="str">
        <f t="shared" ref="AF75" si="73">IF(AE75&gt;=91,"Sangat Tinggi",IF(AE75&gt;=76,"Tinggi",IF(AE75&gt;=66,"Sedang",IF(AE75&gt;=51,"Rendah",IF(AE75&lt;=50,"Sangat Rendah")))))</f>
        <v>Sedang</v>
      </c>
      <c r="AG75" s="354">
        <f t="shared" ref="AG75" si="74">AD75/J75*100</f>
        <v>37.200522785151669</v>
      </c>
      <c r="AH75" s="111"/>
      <c r="AK75" s="105">
        <f t="shared" si="52"/>
        <v>213189700</v>
      </c>
    </row>
    <row r="76" spans="1:37" ht="110.25" customHeight="1" x14ac:dyDescent="0.2">
      <c r="A76" s="60"/>
      <c r="B76" s="25"/>
      <c r="C76" s="14" t="s">
        <v>109</v>
      </c>
      <c r="D76" s="14" t="s">
        <v>233</v>
      </c>
      <c r="E76" s="55">
        <v>6760</v>
      </c>
      <c r="F76" s="18" t="s">
        <v>234</v>
      </c>
      <c r="G76" s="9"/>
      <c r="H76" s="55">
        <v>7437</v>
      </c>
      <c r="I76" s="18" t="s">
        <v>234</v>
      </c>
      <c r="J76" s="9">
        <v>4422088500</v>
      </c>
      <c r="K76" s="55">
        <v>6937</v>
      </c>
      <c r="L76" s="21">
        <v>3484281750</v>
      </c>
      <c r="M76" s="55">
        <v>7037</v>
      </c>
      <c r="N76" s="21">
        <v>937806750</v>
      </c>
      <c r="O76" s="55"/>
      <c r="P76" s="21"/>
      <c r="Q76" s="55">
        <v>7255</v>
      </c>
      <c r="R76" s="23">
        <v>2089593500</v>
      </c>
      <c r="S76" s="55">
        <v>7505</v>
      </c>
      <c r="T76" s="59">
        <v>744160000</v>
      </c>
      <c r="U76" s="55"/>
      <c r="V76" s="59"/>
      <c r="W76" s="56">
        <f>Q76/K76*100</f>
        <v>104.58411417039066</v>
      </c>
      <c r="X76" s="235">
        <f t="shared" si="71"/>
        <v>59.972001403158629</v>
      </c>
      <c r="Y76" s="56">
        <f t="shared" si="71"/>
        <v>106.65056131874377</v>
      </c>
      <c r="Z76" s="235">
        <f t="shared" si="71"/>
        <v>79.351102985769728</v>
      </c>
      <c r="AA76" s="56"/>
      <c r="AB76" s="235"/>
      <c r="AC76" s="362">
        <f>S76</f>
        <v>7505</v>
      </c>
      <c r="AD76" s="193">
        <f>R76+T76</f>
        <v>2833753500</v>
      </c>
      <c r="AE76" s="56">
        <f>AC76/H76*100</f>
        <v>100.9143471830039</v>
      </c>
      <c r="AF76" s="32" t="str">
        <f t="shared" ref="AF76:AF78" si="75">IF(AE76&gt;=91,"Sangat Tinggi",IF(AE76&gt;=76,"Tinggi",IF(AE76&gt;=66,"Sedang",IF(AE76&gt;=51,"Rendah",IF(AE76&lt;=50,"Sangat Rendah")))))</f>
        <v>Sangat Tinggi</v>
      </c>
      <c r="AG76" s="354">
        <f>AD76/J76*100</f>
        <v>64.081790764703157</v>
      </c>
      <c r="AH76" s="111"/>
      <c r="AK76" s="105">
        <f t="shared" si="52"/>
        <v>2089593500</v>
      </c>
    </row>
    <row r="77" spans="1:37" ht="112.5" customHeight="1" x14ac:dyDescent="0.2">
      <c r="A77" s="60"/>
      <c r="B77" s="25"/>
      <c r="C77" s="94" t="s">
        <v>612</v>
      </c>
      <c r="D77" s="14" t="s">
        <v>613</v>
      </c>
      <c r="E77" s="55"/>
      <c r="F77" s="18"/>
      <c r="G77" s="183"/>
      <c r="H77" s="55">
        <v>25</v>
      </c>
      <c r="I77" s="18" t="s">
        <v>27</v>
      </c>
      <c r="J77" s="183">
        <v>4736991000</v>
      </c>
      <c r="K77" s="55"/>
      <c r="L77" s="244"/>
      <c r="M77" s="55"/>
      <c r="N77" s="211"/>
      <c r="O77" s="55">
        <v>20</v>
      </c>
      <c r="P77" s="244">
        <v>2541744000</v>
      </c>
      <c r="Q77" s="55"/>
      <c r="R77" s="195"/>
      <c r="S77" s="55"/>
      <c r="T77" s="208"/>
      <c r="U77" s="54">
        <v>22.049999999999997</v>
      </c>
      <c r="V77" s="208">
        <v>1828069525</v>
      </c>
      <c r="W77" s="56"/>
      <c r="X77" s="237"/>
      <c r="Y77" s="56"/>
      <c r="Z77" s="237"/>
      <c r="AA77" s="89">
        <f>U77/O77*100</f>
        <v>110.24999999999999</v>
      </c>
      <c r="AB77" s="237">
        <f>V77/P77*100</f>
        <v>71.921858574270274</v>
      </c>
      <c r="AC77" s="363">
        <f>U77</f>
        <v>22.049999999999997</v>
      </c>
      <c r="AD77" s="193">
        <f>V77</f>
        <v>1828069525</v>
      </c>
      <c r="AE77" s="56">
        <f t="shared" ref="AE77:AE78" si="76">AC77/H77*100</f>
        <v>88.199999999999989</v>
      </c>
      <c r="AF77" s="32" t="str">
        <f t="shared" si="75"/>
        <v>Tinggi</v>
      </c>
      <c r="AG77" s="354">
        <f t="shared" ref="AG77" si="77">AD77/J77*100</f>
        <v>38.591365805845946</v>
      </c>
      <c r="AH77" s="111"/>
      <c r="AK77" s="105"/>
    </row>
    <row r="78" spans="1:37" ht="120" x14ac:dyDescent="0.2">
      <c r="A78" s="60"/>
      <c r="B78" s="25"/>
      <c r="C78" s="25"/>
      <c r="D78" s="14" t="s">
        <v>614</v>
      </c>
      <c r="E78" s="55"/>
      <c r="F78" s="18"/>
      <c r="G78" s="179"/>
      <c r="H78" s="54">
        <v>0.59</v>
      </c>
      <c r="I78" s="18" t="s">
        <v>27</v>
      </c>
      <c r="J78" s="179"/>
      <c r="K78" s="55"/>
      <c r="L78" s="245"/>
      <c r="M78" s="55"/>
      <c r="N78" s="245"/>
      <c r="O78" s="54">
        <v>0.16</v>
      </c>
      <c r="P78" s="245"/>
      <c r="Q78" s="55"/>
      <c r="R78" s="247"/>
      <c r="S78" s="55"/>
      <c r="T78" s="337"/>
      <c r="U78" s="54">
        <v>0.16</v>
      </c>
      <c r="V78" s="337"/>
      <c r="W78" s="56"/>
      <c r="X78" s="243"/>
      <c r="Y78" s="56"/>
      <c r="Z78" s="243"/>
      <c r="AA78" s="89">
        <f t="shared" ref="AA78:AA83" si="78">U78/O78*100</f>
        <v>100</v>
      </c>
      <c r="AB78" s="243"/>
      <c r="AC78" s="363">
        <f t="shared" ref="AC78:AC83" si="79">U78</f>
        <v>0.16</v>
      </c>
      <c r="AD78" s="311"/>
      <c r="AE78" s="56">
        <f t="shared" si="76"/>
        <v>27.118644067796609</v>
      </c>
      <c r="AF78" s="32" t="str">
        <f t="shared" si="75"/>
        <v>Sangat Rendah</v>
      </c>
      <c r="AG78" s="404"/>
      <c r="AH78" s="111"/>
      <c r="AK78" s="105"/>
    </row>
    <row r="79" spans="1:37" ht="90" x14ac:dyDescent="0.2">
      <c r="A79" s="60"/>
      <c r="B79" s="25"/>
      <c r="C79" s="94" t="s">
        <v>799</v>
      </c>
      <c r="D79" s="14" t="s">
        <v>800</v>
      </c>
      <c r="E79" s="55"/>
      <c r="F79" s="18"/>
      <c r="G79" s="183"/>
      <c r="H79" s="54">
        <v>13.51</v>
      </c>
      <c r="I79" s="18" t="s">
        <v>27</v>
      </c>
      <c r="J79" s="244">
        <v>14004006410</v>
      </c>
      <c r="K79" s="55"/>
      <c r="L79" s="244"/>
      <c r="M79" s="55"/>
      <c r="N79" s="211"/>
      <c r="O79" s="54">
        <v>12.86</v>
      </c>
      <c r="P79" s="244">
        <v>4281202160</v>
      </c>
      <c r="Q79" s="55"/>
      <c r="R79" s="195"/>
      <c r="S79" s="55"/>
      <c r="T79" s="208"/>
      <c r="U79" s="54">
        <v>12.94</v>
      </c>
      <c r="V79" s="208">
        <v>3933642459</v>
      </c>
      <c r="W79" s="56"/>
      <c r="X79" s="237"/>
      <c r="Y79" s="56"/>
      <c r="Z79" s="237"/>
      <c r="AA79" s="56">
        <f t="shared" si="78"/>
        <v>100.62208398133747</v>
      </c>
      <c r="AB79" s="237">
        <f>V79/P79*100</f>
        <v>91.881726486842666</v>
      </c>
      <c r="AC79" s="363">
        <f t="shared" si="79"/>
        <v>12.94</v>
      </c>
      <c r="AD79" s="193">
        <f>V79</f>
        <v>3933642459</v>
      </c>
      <c r="AE79" s="56">
        <f>AC79/H79*100</f>
        <v>95.780903034789048</v>
      </c>
      <c r="AF79" s="32" t="str">
        <f t="shared" ref="AF79" si="80">IF(AE79&gt;=91,"Sangat Tinggi",IF(AE79&gt;=76,"Tinggi",IF(AE79&gt;=66,"Sedang",IF(AE79&gt;=51,"Rendah",IF(AE79&lt;=50,"Sangat Rendah")))))</f>
        <v>Sangat Tinggi</v>
      </c>
      <c r="AG79" s="354">
        <f>AD79/J79*100</f>
        <v>28.089407729712683</v>
      </c>
      <c r="AH79" s="111"/>
      <c r="AK79" s="105"/>
    </row>
    <row r="80" spans="1:37" ht="112.5" customHeight="1" x14ac:dyDescent="0.2">
      <c r="A80" s="60"/>
      <c r="B80" s="25"/>
      <c r="C80" s="14" t="s">
        <v>615</v>
      </c>
      <c r="D80" s="14" t="s">
        <v>784</v>
      </c>
      <c r="E80" s="55"/>
      <c r="F80" s="18"/>
      <c r="G80" s="9"/>
      <c r="H80" s="55">
        <v>100</v>
      </c>
      <c r="I80" s="18" t="s">
        <v>27</v>
      </c>
      <c r="J80" s="9">
        <f>787545050*3</f>
        <v>2362635150</v>
      </c>
      <c r="K80" s="55"/>
      <c r="L80" s="21"/>
      <c r="M80" s="55"/>
      <c r="N80" s="21"/>
      <c r="O80" s="55">
        <v>100</v>
      </c>
      <c r="P80" s="21">
        <v>242344450</v>
      </c>
      <c r="Q80" s="55"/>
      <c r="R80" s="23"/>
      <c r="S80" s="55"/>
      <c r="T80" s="59"/>
      <c r="U80" s="55">
        <v>100</v>
      </c>
      <c r="V80" s="59">
        <v>198259500</v>
      </c>
      <c r="W80" s="56"/>
      <c r="X80" s="235"/>
      <c r="Y80" s="56"/>
      <c r="Z80" s="235"/>
      <c r="AA80" s="56">
        <f t="shared" si="78"/>
        <v>100</v>
      </c>
      <c r="AB80" s="235">
        <f>V80/P80*100</f>
        <v>81.808970661387121</v>
      </c>
      <c r="AC80" s="362">
        <f t="shared" si="79"/>
        <v>100</v>
      </c>
      <c r="AD80" s="193">
        <f t="shared" ref="AD80:AD83" si="81">V80</f>
        <v>198259500</v>
      </c>
      <c r="AE80" s="56">
        <f t="shared" ref="AE80:AE82" si="82">AC80/H80*100</f>
        <v>100</v>
      </c>
      <c r="AF80" s="32" t="str">
        <f t="shared" ref="AF80:AF83" si="83">IF(AE80&gt;=91,"Sangat Tinggi",IF(AE80&gt;=76,"Tinggi",IF(AE80&gt;=66,"Sedang",IF(AE80&gt;=51,"Rendah",IF(AE80&lt;=50,"Sangat Rendah")))))</f>
        <v>Sangat Tinggi</v>
      </c>
      <c r="AG80" s="354">
        <f t="shared" ref="AG80:AG82" si="84">AD80/J80*100</f>
        <v>8.3914564633477156</v>
      </c>
      <c r="AH80" s="111"/>
      <c r="AK80" s="105"/>
    </row>
    <row r="81" spans="1:37" ht="150" x14ac:dyDescent="0.2">
      <c r="A81" s="60"/>
      <c r="B81" s="25"/>
      <c r="C81" s="14" t="s">
        <v>616</v>
      </c>
      <c r="D81" s="14" t="s">
        <v>617</v>
      </c>
      <c r="E81" s="55"/>
      <c r="F81" s="18"/>
      <c r="G81" s="9"/>
      <c r="H81" s="55">
        <v>100</v>
      </c>
      <c r="I81" s="18" t="s">
        <v>27</v>
      </c>
      <c r="J81" s="9">
        <f>421181900*3</f>
        <v>1263545700</v>
      </c>
      <c r="K81" s="55"/>
      <c r="L81" s="21"/>
      <c r="M81" s="55"/>
      <c r="N81" s="21"/>
      <c r="O81" s="55">
        <v>95</v>
      </c>
      <c r="P81" s="21">
        <v>1447981500</v>
      </c>
      <c r="Q81" s="55"/>
      <c r="R81" s="23"/>
      <c r="S81" s="55"/>
      <c r="T81" s="59"/>
      <c r="U81" s="54">
        <v>92.581959672337746</v>
      </c>
      <c r="V81" s="59">
        <v>1006297320</v>
      </c>
      <c r="W81" s="56"/>
      <c r="X81" s="235"/>
      <c r="Y81" s="56"/>
      <c r="Z81" s="235"/>
      <c r="AA81" s="56">
        <f t="shared" si="78"/>
        <v>97.454694391934467</v>
      </c>
      <c r="AB81" s="235">
        <f>V81/P81*100</f>
        <v>69.49655917565245</v>
      </c>
      <c r="AC81" s="363">
        <f t="shared" si="79"/>
        <v>92.581959672337746</v>
      </c>
      <c r="AD81" s="193">
        <f t="shared" si="81"/>
        <v>1006297320</v>
      </c>
      <c r="AE81" s="56">
        <f t="shared" si="82"/>
        <v>92.581959672337746</v>
      </c>
      <c r="AF81" s="32" t="str">
        <f t="shared" si="83"/>
        <v>Sangat Tinggi</v>
      </c>
      <c r="AG81" s="354">
        <f t="shared" si="84"/>
        <v>79.640753793076101</v>
      </c>
      <c r="AH81" s="111"/>
      <c r="AK81" s="105"/>
    </row>
    <row r="82" spans="1:37" ht="75" x14ac:dyDescent="0.2">
      <c r="A82" s="60"/>
      <c r="B82" s="25"/>
      <c r="C82" s="14" t="s">
        <v>618</v>
      </c>
      <c r="D82" s="14" t="s">
        <v>801</v>
      </c>
      <c r="E82" s="55"/>
      <c r="F82" s="18"/>
      <c r="G82" s="9"/>
      <c r="H82" s="55">
        <v>10</v>
      </c>
      <c r="I82" s="18" t="s">
        <v>27</v>
      </c>
      <c r="J82" s="9">
        <f>732334900*3</f>
        <v>2197004700</v>
      </c>
      <c r="K82" s="55"/>
      <c r="L82" s="21"/>
      <c r="M82" s="55"/>
      <c r="N82" s="21"/>
      <c r="O82" s="55">
        <v>10</v>
      </c>
      <c r="P82" s="21">
        <v>291936000</v>
      </c>
      <c r="Q82" s="55"/>
      <c r="R82" s="23"/>
      <c r="S82" s="55"/>
      <c r="T82" s="59"/>
      <c r="U82" s="54">
        <v>9.9337748344370862</v>
      </c>
      <c r="V82" s="59">
        <v>282837300</v>
      </c>
      <c r="W82" s="56"/>
      <c r="X82" s="235"/>
      <c r="Y82" s="56"/>
      <c r="Z82" s="235"/>
      <c r="AA82" s="56">
        <f t="shared" si="78"/>
        <v>99.337748344370851</v>
      </c>
      <c r="AB82" s="235">
        <f>V82/P82*100</f>
        <v>96.883323742190058</v>
      </c>
      <c r="AC82" s="363">
        <f t="shared" si="79"/>
        <v>9.9337748344370862</v>
      </c>
      <c r="AD82" s="193">
        <f t="shared" si="81"/>
        <v>282837300</v>
      </c>
      <c r="AE82" s="56">
        <f t="shared" si="82"/>
        <v>99.337748344370851</v>
      </c>
      <c r="AF82" s="32" t="str">
        <f t="shared" si="83"/>
        <v>Sangat Tinggi</v>
      </c>
      <c r="AG82" s="354">
        <f t="shared" si="84"/>
        <v>12.873768544964879</v>
      </c>
      <c r="AH82" s="111"/>
      <c r="AK82" s="105"/>
    </row>
    <row r="83" spans="1:37" ht="60" x14ac:dyDescent="0.2">
      <c r="A83" s="60"/>
      <c r="B83" s="25"/>
      <c r="C83" s="14" t="s">
        <v>619</v>
      </c>
      <c r="D83" s="14" t="s">
        <v>620</v>
      </c>
      <c r="E83" s="55"/>
      <c r="F83" s="18"/>
      <c r="G83" s="9"/>
      <c r="H83" s="55">
        <v>15</v>
      </c>
      <c r="I83" s="18" t="s">
        <v>27</v>
      </c>
      <c r="J83" s="9">
        <f>228285000*3</f>
        <v>684855000</v>
      </c>
      <c r="K83" s="55"/>
      <c r="L83" s="21"/>
      <c r="M83" s="55"/>
      <c r="N83" s="21"/>
      <c r="O83" s="55">
        <v>5</v>
      </c>
      <c r="P83" s="21">
        <v>552523900</v>
      </c>
      <c r="Q83" s="55"/>
      <c r="R83" s="23"/>
      <c r="S83" s="55"/>
      <c r="T83" s="59"/>
      <c r="U83" s="54">
        <v>5.9760956175298796</v>
      </c>
      <c r="V83" s="59">
        <v>519737324</v>
      </c>
      <c r="W83" s="56"/>
      <c r="X83" s="235"/>
      <c r="Y83" s="56"/>
      <c r="Z83" s="235"/>
      <c r="AA83" s="56">
        <f t="shared" si="78"/>
        <v>119.52191235059759</v>
      </c>
      <c r="AB83" s="235">
        <f>V83/P83*100</f>
        <v>94.066034790531234</v>
      </c>
      <c r="AC83" s="363">
        <f t="shared" si="79"/>
        <v>5.9760956175298796</v>
      </c>
      <c r="AD83" s="193">
        <f t="shared" si="81"/>
        <v>519737324</v>
      </c>
      <c r="AE83" s="56">
        <f>AC83/H83*100</f>
        <v>39.840637450199196</v>
      </c>
      <c r="AF83" s="32" t="str">
        <f t="shared" si="83"/>
        <v>Sangat Rendah</v>
      </c>
      <c r="AG83" s="354">
        <f>AD83/J83*100</f>
        <v>75.890126231100012</v>
      </c>
      <c r="AH83" s="111"/>
      <c r="AK83" s="105"/>
    </row>
    <row r="84" spans="1:37" ht="120" x14ac:dyDescent="0.2">
      <c r="A84" s="60"/>
      <c r="B84" s="25"/>
      <c r="C84" s="14" t="s">
        <v>73</v>
      </c>
      <c r="D84" s="14" t="s">
        <v>510</v>
      </c>
      <c r="E84" s="56">
        <v>2</v>
      </c>
      <c r="F84" s="18" t="s">
        <v>27</v>
      </c>
      <c r="G84" s="9"/>
      <c r="H84" s="56">
        <v>7</v>
      </c>
      <c r="I84" s="18" t="s">
        <v>27</v>
      </c>
      <c r="J84" s="9">
        <v>139500000</v>
      </c>
      <c r="K84" s="56">
        <v>3</v>
      </c>
      <c r="L84" s="21">
        <v>27900000</v>
      </c>
      <c r="M84" s="56">
        <v>5</v>
      </c>
      <c r="N84" s="21">
        <v>7440000</v>
      </c>
      <c r="O84" s="56"/>
      <c r="P84" s="21"/>
      <c r="Q84" s="56">
        <v>5</v>
      </c>
      <c r="R84" s="23">
        <v>27900000</v>
      </c>
      <c r="S84" s="56">
        <v>5</v>
      </c>
      <c r="T84" s="59">
        <v>6250000</v>
      </c>
      <c r="U84" s="56"/>
      <c r="V84" s="59"/>
      <c r="W84" s="56">
        <f t="shared" ref="W84:Z87" si="85">Q84/K84*100</f>
        <v>166.66666666666669</v>
      </c>
      <c r="X84" s="235">
        <f t="shared" si="85"/>
        <v>100</v>
      </c>
      <c r="Y84" s="56">
        <f t="shared" si="85"/>
        <v>100</v>
      </c>
      <c r="Z84" s="235">
        <f t="shared" si="85"/>
        <v>84.005376344086031</v>
      </c>
      <c r="AA84" s="56"/>
      <c r="AB84" s="235"/>
      <c r="AC84" s="316">
        <f>S84</f>
        <v>5</v>
      </c>
      <c r="AD84" s="193">
        <f>R84+T84</f>
        <v>34150000</v>
      </c>
      <c r="AE84" s="56">
        <f t="shared" ref="AE84:AE88" si="86">AC84/H84*100</f>
        <v>71.428571428571431</v>
      </c>
      <c r="AF84" s="32" t="str">
        <f t="shared" ref="AF84:AF88" si="87">IF(AE84&gt;=91,"Sangat Tinggi",IF(AE84&gt;=76,"Tinggi",IF(AE84&gt;=66,"Sedang",IF(AE84&gt;=51,"Rendah",IF(AE84&lt;=50,"Sangat Rendah")))))</f>
        <v>Sedang</v>
      </c>
      <c r="AG84" s="354">
        <f t="shared" ref="AG84:AG87" si="88">AD84/J84*100</f>
        <v>24.480286738351253</v>
      </c>
      <c r="AH84" s="122" t="s">
        <v>294</v>
      </c>
      <c r="AK84" s="105">
        <f>R84</f>
        <v>27900000</v>
      </c>
    </row>
    <row r="85" spans="1:37" ht="75" x14ac:dyDescent="0.2">
      <c r="A85" s="60"/>
      <c r="B85" s="25"/>
      <c r="C85" s="14" t="s">
        <v>71</v>
      </c>
      <c r="D85" s="14" t="s">
        <v>235</v>
      </c>
      <c r="E85" s="55">
        <v>3959</v>
      </c>
      <c r="F85" s="18" t="s">
        <v>168</v>
      </c>
      <c r="G85" s="9"/>
      <c r="H85" s="55">
        <v>7014</v>
      </c>
      <c r="I85" s="18" t="s">
        <v>168</v>
      </c>
      <c r="J85" s="9">
        <v>3834900000</v>
      </c>
      <c r="K85" s="55">
        <v>4791</v>
      </c>
      <c r="L85" s="21">
        <v>775780000</v>
      </c>
      <c r="M85" s="55">
        <v>5270</v>
      </c>
      <c r="N85" s="21">
        <v>2048829000</v>
      </c>
      <c r="O85" s="55"/>
      <c r="P85" s="21"/>
      <c r="Q85" s="142">
        <v>5030.55</v>
      </c>
      <c r="R85" s="23">
        <v>742195750</v>
      </c>
      <c r="S85" s="54">
        <v>5347.4800000000005</v>
      </c>
      <c r="T85" s="59">
        <v>1996151000</v>
      </c>
      <c r="U85" s="54"/>
      <c r="V85" s="59"/>
      <c r="W85" s="56">
        <f t="shared" si="85"/>
        <v>105</v>
      </c>
      <c r="X85" s="235">
        <f t="shared" si="85"/>
        <v>95.670905411327951</v>
      </c>
      <c r="Y85" s="56">
        <f t="shared" si="85"/>
        <v>101.47020872865275</v>
      </c>
      <c r="Z85" s="235">
        <f t="shared" si="85"/>
        <v>97.428872785381301</v>
      </c>
      <c r="AA85" s="56"/>
      <c r="AB85" s="235"/>
      <c r="AC85" s="363">
        <f>S85</f>
        <v>5347.4800000000005</v>
      </c>
      <c r="AD85" s="193">
        <f>R85+T85</f>
        <v>2738346750</v>
      </c>
      <c r="AE85" s="56">
        <f t="shared" si="86"/>
        <v>76.240091246079274</v>
      </c>
      <c r="AF85" s="32" t="str">
        <f t="shared" si="87"/>
        <v>Tinggi</v>
      </c>
      <c r="AG85" s="354">
        <f t="shared" si="88"/>
        <v>71.405949307674248</v>
      </c>
      <c r="AH85" s="111"/>
      <c r="AJ85" s="143"/>
      <c r="AK85" s="105">
        <f>R85</f>
        <v>742195750</v>
      </c>
    </row>
    <row r="86" spans="1:37" ht="75" x14ac:dyDescent="0.2">
      <c r="A86" s="60"/>
      <c r="B86" s="25"/>
      <c r="C86" s="14" t="s">
        <v>72</v>
      </c>
      <c r="D86" s="14" t="s">
        <v>236</v>
      </c>
      <c r="E86" s="55">
        <v>8454</v>
      </c>
      <c r="F86" s="18" t="s">
        <v>168</v>
      </c>
      <c r="G86" s="9"/>
      <c r="H86" s="55">
        <v>13625</v>
      </c>
      <c r="I86" s="18" t="s">
        <v>168</v>
      </c>
      <c r="J86" s="9">
        <v>7904470000</v>
      </c>
      <c r="K86" s="55">
        <v>9579</v>
      </c>
      <c r="L86" s="21">
        <v>1599369000</v>
      </c>
      <c r="M86" s="55">
        <v>10058</v>
      </c>
      <c r="N86" s="21">
        <v>295249900</v>
      </c>
      <c r="O86" s="55"/>
      <c r="P86" s="21"/>
      <c r="Q86" s="142">
        <v>10057.950000000001</v>
      </c>
      <c r="R86" s="23">
        <v>1516176500</v>
      </c>
      <c r="S86" s="142">
        <v>10359.68</v>
      </c>
      <c r="T86" s="59">
        <v>251059900</v>
      </c>
      <c r="U86" s="142"/>
      <c r="V86" s="59"/>
      <c r="W86" s="56">
        <f t="shared" si="85"/>
        <v>105</v>
      </c>
      <c r="X86" s="235">
        <f t="shared" si="85"/>
        <v>94.798417375852608</v>
      </c>
      <c r="Y86" s="56">
        <f t="shared" si="85"/>
        <v>102.9994034599324</v>
      </c>
      <c r="Z86" s="235">
        <f t="shared" si="85"/>
        <v>85.033017792724067</v>
      </c>
      <c r="AA86" s="56"/>
      <c r="AB86" s="235"/>
      <c r="AC86" s="363">
        <f>S86</f>
        <v>10359.68</v>
      </c>
      <c r="AD86" s="193">
        <f>R86+T86</f>
        <v>1767236400</v>
      </c>
      <c r="AE86" s="56">
        <f t="shared" si="86"/>
        <v>76.034348623853205</v>
      </c>
      <c r="AF86" s="32" t="str">
        <f t="shared" si="87"/>
        <v>Tinggi</v>
      </c>
      <c r="AG86" s="354">
        <f t="shared" si="88"/>
        <v>22.357430668975908</v>
      </c>
      <c r="AH86" s="111"/>
      <c r="AJ86" s="143"/>
      <c r="AK86" s="105">
        <f>R86</f>
        <v>1516176500</v>
      </c>
    </row>
    <row r="87" spans="1:37" ht="75" x14ac:dyDescent="0.2">
      <c r="A87" s="60"/>
      <c r="B87" s="25"/>
      <c r="C87" s="14" t="s">
        <v>74</v>
      </c>
      <c r="D87" s="14" t="s">
        <v>237</v>
      </c>
      <c r="E87" s="18">
        <v>1</v>
      </c>
      <c r="F87" s="18" t="s">
        <v>27</v>
      </c>
      <c r="G87" s="9"/>
      <c r="H87" s="18">
        <v>15</v>
      </c>
      <c r="I87" s="18" t="s">
        <v>27</v>
      </c>
      <c r="J87" s="9">
        <v>82758000</v>
      </c>
      <c r="K87" s="56">
        <v>1</v>
      </c>
      <c r="L87" s="21">
        <v>16551600</v>
      </c>
      <c r="M87" s="56">
        <v>7</v>
      </c>
      <c r="N87" s="21">
        <v>50000000</v>
      </c>
      <c r="O87" s="56"/>
      <c r="P87" s="21"/>
      <c r="Q87" s="56">
        <v>1</v>
      </c>
      <c r="R87" s="23">
        <v>16347000</v>
      </c>
      <c r="S87" s="56">
        <v>0.5</v>
      </c>
      <c r="T87" s="59">
        <v>0</v>
      </c>
      <c r="U87" s="56"/>
      <c r="V87" s="59"/>
      <c r="W87" s="56">
        <f t="shared" si="85"/>
        <v>100</v>
      </c>
      <c r="X87" s="235">
        <f t="shared" si="85"/>
        <v>98.763865728992968</v>
      </c>
      <c r="Y87" s="56">
        <f t="shared" si="85"/>
        <v>7.1428571428571423</v>
      </c>
      <c r="Z87" s="235">
        <f t="shared" si="85"/>
        <v>0</v>
      </c>
      <c r="AA87" s="56"/>
      <c r="AB87" s="235"/>
      <c r="AC87" s="316">
        <f>Q87+S87</f>
        <v>1.5</v>
      </c>
      <c r="AD87" s="193">
        <f>R87+T87</f>
        <v>16347000</v>
      </c>
      <c r="AE87" s="56">
        <f>AC87/H87*100</f>
        <v>10</v>
      </c>
      <c r="AF87" s="32" t="str">
        <f t="shared" si="87"/>
        <v>Sangat Rendah</v>
      </c>
      <c r="AG87" s="354">
        <f t="shared" si="88"/>
        <v>19.752773145798592</v>
      </c>
      <c r="AH87" s="111"/>
      <c r="AK87" s="105">
        <f>R87</f>
        <v>16347000</v>
      </c>
    </row>
    <row r="88" spans="1:37" ht="75" x14ac:dyDescent="0.2">
      <c r="A88" s="60"/>
      <c r="B88" s="25"/>
      <c r="C88" s="14" t="s">
        <v>621</v>
      </c>
      <c r="D88" s="14" t="s">
        <v>622</v>
      </c>
      <c r="E88" s="18"/>
      <c r="F88" s="18"/>
      <c r="G88" s="9"/>
      <c r="H88" s="56">
        <v>11.3</v>
      </c>
      <c r="I88" s="18" t="s">
        <v>27</v>
      </c>
      <c r="J88" s="9">
        <v>2121855000</v>
      </c>
      <c r="K88" s="56"/>
      <c r="L88" s="21"/>
      <c r="M88" s="56"/>
      <c r="N88" s="21"/>
      <c r="O88" s="56">
        <f>(11400-10359.69)/10359.69*100</f>
        <v>10.041902798249749</v>
      </c>
      <c r="P88" s="21">
        <v>1476937500</v>
      </c>
      <c r="Q88" s="56"/>
      <c r="R88" s="23"/>
      <c r="S88" s="56"/>
      <c r="T88" s="59"/>
      <c r="U88" s="56">
        <f>(10760-10359.69)/10359.69*100</f>
        <v>3.8641117639620441</v>
      </c>
      <c r="V88" s="59">
        <v>1392670150</v>
      </c>
      <c r="W88" s="56"/>
      <c r="X88" s="235"/>
      <c r="Y88" s="56"/>
      <c r="Z88" s="235"/>
      <c r="AA88" s="56">
        <f>U88/O88*100</f>
        <v>38.479876190750808</v>
      </c>
      <c r="AB88" s="235">
        <f>V88/P88*100</f>
        <v>94.294453895307001</v>
      </c>
      <c r="AC88" s="316">
        <f>U88</f>
        <v>3.8641117639620441</v>
      </c>
      <c r="AD88" s="193">
        <f>V88</f>
        <v>1392670150</v>
      </c>
      <c r="AE88" s="56">
        <f t="shared" si="86"/>
        <v>34.195679327097736</v>
      </c>
      <c r="AF88" s="32" t="str">
        <f t="shared" si="87"/>
        <v>Sangat Rendah</v>
      </c>
      <c r="AG88" s="354">
        <f>AD88/J88*100</f>
        <v>65.634557969324021</v>
      </c>
      <c r="AH88" s="111"/>
      <c r="AK88" s="105"/>
    </row>
    <row r="89" spans="1:37" ht="75" x14ac:dyDescent="0.2">
      <c r="A89" s="60"/>
      <c r="B89" s="25"/>
      <c r="C89" s="94" t="s">
        <v>623</v>
      </c>
      <c r="D89" s="14" t="s">
        <v>624</v>
      </c>
      <c r="E89" s="18"/>
      <c r="F89" s="18"/>
      <c r="G89" s="183"/>
      <c r="H89" s="18">
        <v>100</v>
      </c>
      <c r="I89" s="18" t="s">
        <v>27</v>
      </c>
      <c r="J89" s="183">
        <v>844852750</v>
      </c>
      <c r="K89" s="56"/>
      <c r="L89" s="244"/>
      <c r="M89" s="56"/>
      <c r="N89" s="244"/>
      <c r="O89" s="56">
        <f>(0.264+0.173)/0.867*100</f>
        <v>50.403690888119954</v>
      </c>
      <c r="P89" s="244">
        <v>725328250</v>
      </c>
      <c r="Q89" s="56"/>
      <c r="R89" s="195"/>
      <c r="S89" s="56"/>
      <c r="T89" s="208"/>
      <c r="U89" s="56">
        <f>(0.264+0.173)/0.867*100</f>
        <v>50.403690888119954</v>
      </c>
      <c r="V89" s="208">
        <v>700826500</v>
      </c>
      <c r="W89" s="56"/>
      <c r="X89" s="237"/>
      <c r="Y89" s="56"/>
      <c r="Z89" s="237"/>
      <c r="AA89" s="89">
        <f>U89/O89*100</f>
        <v>100</v>
      </c>
      <c r="AB89" s="237">
        <f>V89/P89*100</f>
        <v>96.621977704577205</v>
      </c>
      <c r="AC89" s="363">
        <f>U89</f>
        <v>50.403690888119954</v>
      </c>
      <c r="AD89" s="193">
        <f>V89</f>
        <v>700826500</v>
      </c>
      <c r="AE89" s="56">
        <f>AC89/H89*100</f>
        <v>50.403690888119954</v>
      </c>
      <c r="AF89" s="32" t="str">
        <f>IF(AE89&gt;=90,"Sangat Tinggi",IF(AE89&gt;=75,"Tinggi",IF(AE89&gt;=65,"Sedang",IF(AE89&gt;=50,"Rendah",IF(AE89&lt;=50,"Sangat Rendah")))))</f>
        <v>Rendah</v>
      </c>
      <c r="AG89" s="354">
        <f t="shared" ref="AG89:AG93" si="89">AD89/J89*100</f>
        <v>82.952502669843938</v>
      </c>
      <c r="AH89" s="111"/>
      <c r="AK89" s="105"/>
    </row>
    <row r="90" spans="1:37" ht="60" x14ac:dyDescent="0.2">
      <c r="A90" s="60"/>
      <c r="B90" s="25"/>
      <c r="C90" s="25"/>
      <c r="D90" s="14" t="s">
        <v>625</v>
      </c>
      <c r="E90" s="18"/>
      <c r="F90" s="18"/>
      <c r="G90" s="179"/>
      <c r="H90" s="18">
        <v>100</v>
      </c>
      <c r="I90" s="18" t="s">
        <v>27</v>
      </c>
      <c r="J90" s="179"/>
      <c r="K90" s="56"/>
      <c r="L90" s="245"/>
      <c r="M90" s="56"/>
      <c r="N90" s="245"/>
      <c r="O90" s="56">
        <f>(1365000+786500)/3968315*100</f>
        <v>54.216966143060716</v>
      </c>
      <c r="P90" s="245"/>
      <c r="Q90" s="56"/>
      <c r="R90" s="247"/>
      <c r="S90" s="56"/>
      <c r="T90" s="337"/>
      <c r="U90" s="56">
        <f>(1365000+504730)/3968315*100</f>
        <v>47.116471348670657</v>
      </c>
      <c r="V90" s="337"/>
      <c r="W90" s="56"/>
      <c r="X90" s="243"/>
      <c r="Y90" s="56"/>
      <c r="Z90" s="243"/>
      <c r="AA90" s="56">
        <f t="shared" ref="AA90:AA96" si="90">U90/O90*100</f>
        <v>86.903555658842663</v>
      </c>
      <c r="AB90" s="243"/>
      <c r="AC90" s="363">
        <f t="shared" ref="AC90:AC96" si="91">U90</f>
        <v>47.116471348670657</v>
      </c>
      <c r="AD90" s="311"/>
      <c r="AE90" s="56">
        <f t="shared" ref="AE90:AE95" si="92">AC90/H90*100</f>
        <v>47.116471348670657</v>
      </c>
      <c r="AF90" s="32" t="str">
        <f t="shared" ref="AF90:AF95" si="93">IF(AE90&gt;=91,"Sangat Tinggi",IF(AE90&gt;=76,"Tinggi",IF(AE90&gt;=66,"Sedang",IF(AE90&gt;=51,"Rendah",IF(AE90&lt;=50,"Sangat Rendah")))))</f>
        <v>Sangat Rendah</v>
      </c>
      <c r="AG90" s="404"/>
      <c r="AH90" s="111"/>
      <c r="AK90" s="105"/>
    </row>
    <row r="91" spans="1:37" ht="124.5" customHeight="1" x14ac:dyDescent="0.2">
      <c r="A91" s="60"/>
      <c r="B91" s="25"/>
      <c r="C91" s="25"/>
      <c r="D91" s="14" t="s">
        <v>626</v>
      </c>
      <c r="E91" s="18"/>
      <c r="F91" s="18"/>
      <c r="G91" s="179"/>
      <c r="H91" s="18">
        <v>100</v>
      </c>
      <c r="I91" s="18" t="s">
        <v>27</v>
      </c>
      <c r="J91" s="179"/>
      <c r="K91" s="56"/>
      <c r="L91" s="245"/>
      <c r="M91" s="56"/>
      <c r="N91" s="245"/>
      <c r="O91" s="89">
        <f>(6+3)/15*100</f>
        <v>60</v>
      </c>
      <c r="P91" s="245"/>
      <c r="Q91" s="56"/>
      <c r="R91" s="247"/>
      <c r="S91" s="56"/>
      <c r="T91" s="337"/>
      <c r="U91" s="89">
        <f>(6+3)/15*100</f>
        <v>60</v>
      </c>
      <c r="V91" s="337"/>
      <c r="W91" s="56"/>
      <c r="X91" s="243"/>
      <c r="Y91" s="56"/>
      <c r="Z91" s="243"/>
      <c r="AA91" s="89">
        <f t="shared" si="90"/>
        <v>100</v>
      </c>
      <c r="AB91" s="243"/>
      <c r="AC91" s="315">
        <f t="shared" si="91"/>
        <v>60</v>
      </c>
      <c r="AD91" s="311"/>
      <c r="AE91" s="89">
        <f t="shared" si="92"/>
        <v>60</v>
      </c>
      <c r="AF91" s="32" t="str">
        <f t="shared" si="93"/>
        <v>Rendah</v>
      </c>
      <c r="AG91" s="404"/>
      <c r="AH91" s="111"/>
      <c r="AK91" s="105"/>
    </row>
    <row r="92" spans="1:37" ht="63" customHeight="1" x14ac:dyDescent="0.2">
      <c r="A92" s="60"/>
      <c r="B92" s="25"/>
      <c r="C92" s="20"/>
      <c r="D92" s="14" t="s">
        <v>627</v>
      </c>
      <c r="E92" s="18"/>
      <c r="F92" s="18"/>
      <c r="G92" s="49"/>
      <c r="H92" s="18">
        <v>100</v>
      </c>
      <c r="I92" s="18" t="s">
        <v>27</v>
      </c>
      <c r="J92" s="49"/>
      <c r="K92" s="56"/>
      <c r="L92" s="246"/>
      <c r="M92" s="56"/>
      <c r="N92" s="246"/>
      <c r="O92" s="89">
        <v>65</v>
      </c>
      <c r="P92" s="246"/>
      <c r="Q92" s="56"/>
      <c r="R92" s="194"/>
      <c r="S92" s="56"/>
      <c r="T92" s="209"/>
      <c r="U92" s="89">
        <v>100</v>
      </c>
      <c r="V92" s="209"/>
      <c r="W92" s="56"/>
      <c r="X92" s="238"/>
      <c r="Y92" s="56"/>
      <c r="Z92" s="238"/>
      <c r="AA92" s="56">
        <f t="shared" si="90"/>
        <v>153.84615384615387</v>
      </c>
      <c r="AB92" s="238"/>
      <c r="AC92" s="315">
        <f t="shared" si="91"/>
        <v>100</v>
      </c>
      <c r="AD92" s="274"/>
      <c r="AE92" s="89">
        <f t="shared" si="92"/>
        <v>100</v>
      </c>
      <c r="AF92" s="32" t="str">
        <f t="shared" si="93"/>
        <v>Sangat Tinggi</v>
      </c>
      <c r="AG92" s="77"/>
      <c r="AH92" s="111"/>
      <c r="AK92" s="105"/>
    </row>
    <row r="93" spans="1:37" ht="93.75" customHeight="1" x14ac:dyDescent="0.2">
      <c r="A93" s="60"/>
      <c r="B93" s="25"/>
      <c r="C93" s="94" t="s">
        <v>628</v>
      </c>
      <c r="D93" s="14" t="s">
        <v>629</v>
      </c>
      <c r="E93" s="18"/>
      <c r="F93" s="18"/>
      <c r="G93" s="183"/>
      <c r="H93" s="18">
        <v>100</v>
      </c>
      <c r="I93" s="18" t="s">
        <v>27</v>
      </c>
      <c r="J93" s="183">
        <v>4296080000</v>
      </c>
      <c r="K93" s="56"/>
      <c r="L93" s="244"/>
      <c r="M93" s="56"/>
      <c r="N93" s="244"/>
      <c r="O93" s="89">
        <f>5/5*100</f>
        <v>100</v>
      </c>
      <c r="P93" s="244">
        <v>3093250000</v>
      </c>
      <c r="Q93" s="56"/>
      <c r="R93" s="195"/>
      <c r="S93" s="56"/>
      <c r="T93" s="208"/>
      <c r="U93" s="89">
        <f>5/5*100</f>
        <v>100</v>
      </c>
      <c r="V93" s="208">
        <v>1345571000</v>
      </c>
      <c r="W93" s="56"/>
      <c r="X93" s="237"/>
      <c r="Y93" s="56"/>
      <c r="Z93" s="237"/>
      <c r="AA93" s="89">
        <f t="shared" si="90"/>
        <v>100</v>
      </c>
      <c r="AB93" s="237">
        <f>V93/P93*100</f>
        <v>43.500234381314151</v>
      </c>
      <c r="AC93" s="362">
        <f t="shared" si="91"/>
        <v>100</v>
      </c>
      <c r="AD93" s="193">
        <f>V93</f>
        <v>1345571000</v>
      </c>
      <c r="AE93" s="89">
        <f t="shared" si="92"/>
        <v>100</v>
      </c>
      <c r="AF93" s="32" t="str">
        <f t="shared" si="93"/>
        <v>Sangat Tinggi</v>
      </c>
      <c r="AG93" s="354">
        <f t="shared" si="89"/>
        <v>31.320901845403252</v>
      </c>
      <c r="AH93" s="111"/>
      <c r="AK93" s="105"/>
    </row>
    <row r="94" spans="1:37" ht="78" customHeight="1" x14ac:dyDescent="0.2">
      <c r="A94" s="60"/>
      <c r="B94" s="25"/>
      <c r="C94" s="20"/>
      <c r="D94" s="14" t="s">
        <v>630</v>
      </c>
      <c r="E94" s="18"/>
      <c r="F94" s="18"/>
      <c r="G94" s="49"/>
      <c r="H94" s="18">
        <v>100</v>
      </c>
      <c r="I94" s="18" t="s">
        <v>27</v>
      </c>
      <c r="J94" s="49"/>
      <c r="K94" s="56"/>
      <c r="L94" s="246"/>
      <c r="M94" s="56"/>
      <c r="N94" s="246"/>
      <c r="O94" s="89">
        <f>6/6*100</f>
        <v>100</v>
      </c>
      <c r="P94" s="246"/>
      <c r="Q94" s="56"/>
      <c r="R94" s="194"/>
      <c r="S94" s="56"/>
      <c r="T94" s="209"/>
      <c r="U94" s="89">
        <f>6/6*100</f>
        <v>100</v>
      </c>
      <c r="V94" s="209"/>
      <c r="W94" s="56"/>
      <c r="X94" s="238"/>
      <c r="Y94" s="56"/>
      <c r="Z94" s="238"/>
      <c r="AA94" s="89">
        <f t="shared" si="90"/>
        <v>100</v>
      </c>
      <c r="AB94" s="238"/>
      <c r="AC94" s="362">
        <f t="shared" si="91"/>
        <v>100</v>
      </c>
      <c r="AD94" s="274"/>
      <c r="AE94" s="89">
        <f t="shared" si="92"/>
        <v>100</v>
      </c>
      <c r="AF94" s="32" t="str">
        <f t="shared" si="93"/>
        <v>Sangat Tinggi</v>
      </c>
      <c r="AG94" s="77"/>
      <c r="AH94" s="111"/>
      <c r="AK94" s="105"/>
    </row>
    <row r="95" spans="1:37" ht="90" x14ac:dyDescent="0.2">
      <c r="A95" s="60"/>
      <c r="B95" s="25"/>
      <c r="C95" s="14" t="s">
        <v>631</v>
      </c>
      <c r="D95" s="14" t="s">
        <v>632</v>
      </c>
      <c r="E95" s="18"/>
      <c r="F95" s="18"/>
      <c r="G95" s="9"/>
      <c r="H95" s="55">
        <v>3366</v>
      </c>
      <c r="I95" s="18" t="s">
        <v>168</v>
      </c>
      <c r="J95" s="9">
        <f>112335700*3</f>
        <v>337007100</v>
      </c>
      <c r="K95" s="56"/>
      <c r="L95" s="21"/>
      <c r="M95" s="56"/>
      <c r="N95" s="21"/>
      <c r="O95" s="54">
        <v>2715.75</v>
      </c>
      <c r="P95" s="21">
        <v>37419728</v>
      </c>
      <c r="Q95" s="56"/>
      <c r="R95" s="23"/>
      <c r="S95" s="56"/>
      <c r="T95" s="59"/>
      <c r="U95" s="54">
        <v>2249.58</v>
      </c>
      <c r="V95" s="59">
        <v>32067667</v>
      </c>
      <c r="W95" s="56"/>
      <c r="X95" s="235"/>
      <c r="Y95" s="56"/>
      <c r="Z95" s="235"/>
      <c r="AA95" s="56">
        <f t="shared" si="90"/>
        <v>82.834576083954701</v>
      </c>
      <c r="AB95" s="235">
        <f>V95/P95*100</f>
        <v>85.697220995299588</v>
      </c>
      <c r="AC95" s="363">
        <f t="shared" si="91"/>
        <v>2249.58</v>
      </c>
      <c r="AD95" s="193">
        <f>V95</f>
        <v>32067667</v>
      </c>
      <c r="AE95" s="56">
        <f t="shared" si="92"/>
        <v>66.832442067736181</v>
      </c>
      <c r="AF95" s="32" t="str">
        <f t="shared" si="93"/>
        <v>Sedang</v>
      </c>
      <c r="AG95" s="354">
        <f>AD95/J95*100</f>
        <v>9.5154277165080501</v>
      </c>
      <c r="AH95" s="111"/>
      <c r="AK95" s="105"/>
    </row>
    <row r="96" spans="1:37" ht="72" customHeight="1" x14ac:dyDescent="0.2">
      <c r="A96" s="60"/>
      <c r="B96" s="25"/>
      <c r="C96" s="14"/>
      <c r="D96" s="62" t="s">
        <v>336</v>
      </c>
      <c r="E96" s="219">
        <v>1.18</v>
      </c>
      <c r="F96" s="228" t="s">
        <v>27</v>
      </c>
      <c r="G96" s="229"/>
      <c r="H96" s="223">
        <v>5.0999999999999996</v>
      </c>
      <c r="I96" s="228" t="s">
        <v>27</v>
      </c>
      <c r="J96" s="222">
        <f>J97</f>
        <v>1114361000</v>
      </c>
      <c r="K96" s="219">
        <v>2.35</v>
      </c>
      <c r="L96" s="222">
        <f>L97</f>
        <v>233406000</v>
      </c>
      <c r="M96" s="219">
        <v>3.18</v>
      </c>
      <c r="N96" s="222">
        <f>SUM(N97:N100)</f>
        <v>165580000</v>
      </c>
      <c r="O96" s="219">
        <v>3.82</v>
      </c>
      <c r="P96" s="222">
        <f>SUM(P97:P102)</f>
        <v>275262200</v>
      </c>
      <c r="Q96" s="219">
        <v>2.35</v>
      </c>
      <c r="R96" s="222">
        <f>R97</f>
        <v>212947500</v>
      </c>
      <c r="S96" s="223">
        <v>3.18</v>
      </c>
      <c r="T96" s="222">
        <f>SUM(T97:T100)</f>
        <v>145552500</v>
      </c>
      <c r="U96" s="223">
        <f>21/162*100</f>
        <v>12.962962962962962</v>
      </c>
      <c r="V96" s="222">
        <f>SUM(V97:V102)</f>
        <v>211111500</v>
      </c>
      <c r="W96" s="234">
        <f t="shared" ref="W96:Z97" si="94">Q96/K96*100</f>
        <v>100</v>
      </c>
      <c r="X96" s="240">
        <f t="shared" si="94"/>
        <v>91.234801161923855</v>
      </c>
      <c r="Y96" s="234">
        <f t="shared" si="94"/>
        <v>100</v>
      </c>
      <c r="Z96" s="240">
        <f t="shared" si="94"/>
        <v>87.904638241333501</v>
      </c>
      <c r="AA96" s="234">
        <f>U96/O96*100</f>
        <v>339.3445801822765</v>
      </c>
      <c r="AB96" s="240">
        <f>V96/P96*100</f>
        <v>76.694693277900129</v>
      </c>
      <c r="AC96" s="318">
        <f t="shared" si="91"/>
        <v>12.962962962962962</v>
      </c>
      <c r="AD96" s="309">
        <f>R96+T96+V96</f>
        <v>569611500</v>
      </c>
      <c r="AE96" s="234">
        <f>AC96/H96*100</f>
        <v>254.17574437182279</v>
      </c>
      <c r="AF96" s="219" t="str">
        <f>IF(AE96&gt;=91,"Sangat Tinggi",IF(AE96&gt;=76,"Tinggi",IF(AE96&gt;=66,"Sedang",IF(AE96&gt;=51,"Rendah",IF(AE96&lt;=50,"Sangat Rendah")))))</f>
        <v>Sangat Tinggi</v>
      </c>
      <c r="AG96" s="234">
        <f>AD96/J96*100</f>
        <v>51.115527194508779</v>
      </c>
      <c r="AH96" s="410" t="s">
        <v>288</v>
      </c>
      <c r="AK96" s="105">
        <f>R96</f>
        <v>212947500</v>
      </c>
    </row>
    <row r="97" spans="1:37" ht="65.25" customHeight="1" x14ac:dyDescent="0.2">
      <c r="A97" s="60"/>
      <c r="B97" s="25"/>
      <c r="C97" s="94" t="s">
        <v>253</v>
      </c>
      <c r="D97" s="14" t="s">
        <v>130</v>
      </c>
      <c r="E97" s="18">
        <v>85.62</v>
      </c>
      <c r="F97" s="18" t="s">
        <v>27</v>
      </c>
      <c r="G97" s="183"/>
      <c r="H97" s="18">
        <v>100</v>
      </c>
      <c r="I97" s="18" t="s">
        <v>27</v>
      </c>
      <c r="J97" s="183">
        <v>1114361000</v>
      </c>
      <c r="K97" s="18">
        <v>97.45</v>
      </c>
      <c r="L97" s="244">
        <v>233406000</v>
      </c>
      <c r="M97" s="18">
        <v>98.09</v>
      </c>
      <c r="N97" s="244">
        <v>86000000</v>
      </c>
      <c r="O97" s="18"/>
      <c r="P97" s="244"/>
      <c r="Q97" s="171">
        <v>97.55</v>
      </c>
      <c r="R97" s="195">
        <v>212947500</v>
      </c>
      <c r="S97" s="56">
        <f>141/162*100</f>
        <v>87.037037037037038</v>
      </c>
      <c r="T97" s="195">
        <v>73025000</v>
      </c>
      <c r="U97" s="56"/>
      <c r="V97" s="195"/>
      <c r="W97" s="56">
        <f t="shared" si="94"/>
        <v>100.10261672652643</v>
      </c>
      <c r="X97" s="237">
        <f t="shared" si="94"/>
        <v>91.234801161923855</v>
      </c>
      <c r="Y97" s="56">
        <f t="shared" si="94"/>
        <v>88.731814697764335</v>
      </c>
      <c r="Z97" s="237">
        <f t="shared" si="94"/>
        <v>84.912790697674424</v>
      </c>
      <c r="AA97" s="56"/>
      <c r="AB97" s="237"/>
      <c r="AC97" s="316">
        <f>S97</f>
        <v>87.037037037037038</v>
      </c>
      <c r="AD97" s="193">
        <f>R97+T97</f>
        <v>285972500</v>
      </c>
      <c r="AE97" s="56">
        <f t="shared" ref="AE97" si="95">AC97/H97*100</f>
        <v>87.037037037037038</v>
      </c>
      <c r="AF97" s="32" t="str">
        <f t="shared" ref="AF97:AF99" si="96">IF(AE97&gt;=91,"Sangat Tinggi",IF(AE97&gt;=76,"Tinggi",IF(AE97&gt;=66,"Sedang",IF(AE97&gt;=51,"Rendah",IF(AE97&lt;=50,"Sangat Rendah")))))</f>
        <v>Tinggi</v>
      </c>
      <c r="AG97" s="354">
        <f t="shared" ref="AG97" si="97">AD97/J97*100</f>
        <v>25.662464856541099</v>
      </c>
      <c r="AH97" s="410" t="s">
        <v>288</v>
      </c>
      <c r="AK97" s="119">
        <f>R97</f>
        <v>212947500</v>
      </c>
    </row>
    <row r="98" spans="1:37" ht="60.75" customHeight="1" x14ac:dyDescent="0.2">
      <c r="A98" s="60"/>
      <c r="B98" s="25"/>
      <c r="C98" s="25"/>
      <c r="D98" s="14" t="s">
        <v>254</v>
      </c>
      <c r="E98" s="56">
        <v>30.5</v>
      </c>
      <c r="F98" s="18" t="s">
        <v>27</v>
      </c>
      <c r="G98" s="179"/>
      <c r="H98" s="56">
        <v>72.88</v>
      </c>
      <c r="I98" s="18" t="s">
        <v>27</v>
      </c>
      <c r="J98" s="179"/>
      <c r="K98" s="56">
        <v>31.21</v>
      </c>
      <c r="L98" s="245"/>
      <c r="M98" s="56">
        <v>41.63</v>
      </c>
      <c r="N98" s="245"/>
      <c r="O98" s="56"/>
      <c r="P98" s="245"/>
      <c r="Q98" s="56">
        <v>31.25</v>
      </c>
      <c r="R98" s="247"/>
      <c r="S98" s="56">
        <f>130/141*100</f>
        <v>92.198581560283685</v>
      </c>
      <c r="T98" s="247"/>
      <c r="U98" s="56"/>
      <c r="V98" s="247"/>
      <c r="W98" s="56">
        <f>Q98/K98*100</f>
        <v>100.12816404998397</v>
      </c>
      <c r="X98" s="243"/>
      <c r="Y98" s="56">
        <f>S98/M98*100</f>
        <v>221.47149065645851</v>
      </c>
      <c r="Z98" s="243"/>
      <c r="AA98" s="56"/>
      <c r="AB98" s="243"/>
      <c r="AC98" s="316">
        <f>S98</f>
        <v>92.198581560283685</v>
      </c>
      <c r="AD98" s="4"/>
      <c r="AE98" s="56">
        <f>AC98/H98*100</f>
        <v>126.5073841386988</v>
      </c>
      <c r="AF98" s="32" t="str">
        <f t="shared" si="96"/>
        <v>Sangat Tinggi</v>
      </c>
      <c r="AG98" s="404"/>
      <c r="AH98" s="111"/>
      <c r="AK98" s="119">
        <f>R98</f>
        <v>0</v>
      </c>
    </row>
    <row r="99" spans="1:37" ht="63" customHeight="1" x14ac:dyDescent="0.2">
      <c r="A99" s="60"/>
      <c r="B99" s="25"/>
      <c r="C99" s="20"/>
      <c r="D99" s="14" t="s">
        <v>255</v>
      </c>
      <c r="E99" s="56">
        <v>9.1</v>
      </c>
      <c r="F99" s="18" t="s">
        <v>27</v>
      </c>
      <c r="G99" s="49"/>
      <c r="H99" s="56">
        <v>45.5</v>
      </c>
      <c r="I99" s="18" t="s">
        <v>27</v>
      </c>
      <c r="J99" s="49"/>
      <c r="K99" s="56">
        <v>10.5</v>
      </c>
      <c r="L99" s="246"/>
      <c r="M99" s="56">
        <v>23</v>
      </c>
      <c r="N99" s="246"/>
      <c r="O99" s="56"/>
      <c r="P99" s="246"/>
      <c r="Q99" s="56">
        <v>10.5</v>
      </c>
      <c r="R99" s="194"/>
      <c r="S99" s="56">
        <f>4054/4866*100</f>
        <v>83.3127825729552</v>
      </c>
      <c r="T99" s="194"/>
      <c r="U99" s="56"/>
      <c r="V99" s="194"/>
      <c r="W99" s="56">
        <f>Q99/K99*100</f>
        <v>100</v>
      </c>
      <c r="X99" s="238"/>
      <c r="Y99" s="56">
        <f>S99/M99*100</f>
        <v>362.22948944763129</v>
      </c>
      <c r="Z99" s="238"/>
      <c r="AA99" s="56"/>
      <c r="AB99" s="238"/>
      <c r="AC99" s="316">
        <f>S99</f>
        <v>83.3127825729552</v>
      </c>
      <c r="AD99" s="5"/>
      <c r="AE99" s="56">
        <f>AC99/H99*100</f>
        <v>183.1050166438576</v>
      </c>
      <c r="AF99" s="32" t="str">
        <f t="shared" si="96"/>
        <v>Sangat Tinggi</v>
      </c>
      <c r="AG99" s="77"/>
      <c r="AH99" s="111"/>
      <c r="AK99" s="119">
        <f>R99</f>
        <v>0</v>
      </c>
    </row>
    <row r="100" spans="1:37" ht="90" x14ac:dyDescent="0.2">
      <c r="A100" s="60"/>
      <c r="B100" s="25"/>
      <c r="C100" s="94" t="s">
        <v>552</v>
      </c>
      <c r="D100" s="14" t="s">
        <v>553</v>
      </c>
      <c r="E100" s="18"/>
      <c r="F100" s="18"/>
      <c r="G100" s="183"/>
      <c r="H100" s="18">
        <v>100</v>
      </c>
      <c r="I100" s="18" t="s">
        <v>27</v>
      </c>
      <c r="J100" s="183">
        <v>100000000</v>
      </c>
      <c r="K100" s="18"/>
      <c r="L100" s="244"/>
      <c r="M100" s="18">
        <v>99.87</v>
      </c>
      <c r="N100" s="244">
        <v>79580000</v>
      </c>
      <c r="O100" s="18"/>
      <c r="P100" s="244"/>
      <c r="Q100" s="171"/>
      <c r="R100" s="195"/>
      <c r="S100" s="56">
        <f>45096/45156*100</f>
        <v>99.867127292054221</v>
      </c>
      <c r="T100" s="195">
        <v>72527500</v>
      </c>
      <c r="U100" s="56"/>
      <c r="V100" s="195"/>
      <c r="W100" s="56"/>
      <c r="X100" s="237"/>
      <c r="Y100" s="56">
        <f>S100/M100*100</f>
        <v>99.99712355267269</v>
      </c>
      <c r="Z100" s="237">
        <f>T100/N100*100</f>
        <v>91.137848705704954</v>
      </c>
      <c r="AA100" s="56"/>
      <c r="AB100" s="237"/>
      <c r="AC100" s="316">
        <f>Q100+S100</f>
        <v>99.867127292054221</v>
      </c>
      <c r="AD100" s="193">
        <f>R100+T100</f>
        <v>72527500</v>
      </c>
      <c r="AE100" s="56">
        <f>AC100/H100*100</f>
        <v>99.867127292054221</v>
      </c>
      <c r="AF100" s="32" t="str">
        <f t="shared" ref="AF100" si="98">IF(AE100&gt;=91,"Sangat Tinggi",IF(AE100&gt;=76,"Tinggi",IF(AE100&gt;=66,"Sedang",IF(AE100&gt;=51,"Rendah",IF(AE100&lt;=50,"Sangat Rendah")))))</f>
        <v>Sangat Tinggi</v>
      </c>
      <c r="AG100" s="354">
        <f t="shared" ref="AG100" si="99">AD100/J100*100</f>
        <v>72.527500000000003</v>
      </c>
      <c r="AH100" s="410" t="s">
        <v>288</v>
      </c>
      <c r="AK100" s="119">
        <f>R100</f>
        <v>0</v>
      </c>
    </row>
    <row r="101" spans="1:37" ht="167.25" customHeight="1" x14ac:dyDescent="0.2">
      <c r="A101" s="60"/>
      <c r="B101" s="25"/>
      <c r="C101" s="94" t="s">
        <v>633</v>
      </c>
      <c r="D101" s="14" t="s">
        <v>130</v>
      </c>
      <c r="E101" s="18"/>
      <c r="F101" s="18"/>
      <c r="G101" s="183"/>
      <c r="H101" s="56">
        <f>133/162*100</f>
        <v>82.098765432098759</v>
      </c>
      <c r="I101" s="18" t="s">
        <v>27</v>
      </c>
      <c r="J101" s="183">
        <v>410291200</v>
      </c>
      <c r="K101" s="18"/>
      <c r="L101" s="244"/>
      <c r="M101" s="18"/>
      <c r="N101" s="244"/>
      <c r="O101" s="56">
        <f>129/162*100</f>
        <v>79.629629629629633</v>
      </c>
      <c r="P101" s="244">
        <v>175262200</v>
      </c>
      <c r="Q101" s="171"/>
      <c r="R101" s="195"/>
      <c r="S101" s="56"/>
      <c r="T101" s="195"/>
      <c r="U101" s="56">
        <f>129/162*100</f>
        <v>79.629629629629633</v>
      </c>
      <c r="V101" s="195">
        <v>125192500</v>
      </c>
      <c r="W101" s="56"/>
      <c r="X101" s="237"/>
      <c r="Y101" s="56"/>
      <c r="Z101" s="237"/>
      <c r="AA101" s="56">
        <f>U101/O101*100</f>
        <v>100</v>
      </c>
      <c r="AB101" s="237">
        <f>V101/P101*100</f>
        <v>71.431546562807029</v>
      </c>
      <c r="AC101" s="316">
        <f>U101</f>
        <v>79.629629629629633</v>
      </c>
      <c r="AD101" s="193">
        <f t="shared" ref="AD101:AD102" si="100">V101</f>
        <v>125192500</v>
      </c>
      <c r="AE101" s="56">
        <f t="shared" ref="AE101:AE102" si="101">AC101/H101*100</f>
        <v>96.992481203007529</v>
      </c>
      <c r="AF101" s="32" t="str">
        <f t="shared" ref="AF101:AF102" si="102">IF(AE101&gt;=91,"Sangat Tinggi",IF(AE101&gt;=76,"Tinggi",IF(AE101&gt;=66,"Sedang",IF(AE101&gt;=51,"Rendah",IF(AE101&lt;=50,"Sangat Rendah")))))</f>
        <v>Sangat Tinggi</v>
      </c>
      <c r="AG101" s="354">
        <f t="shared" ref="AG101:AG102" si="103">AD101/J101*100</f>
        <v>30.51308436544581</v>
      </c>
      <c r="AH101" s="411"/>
      <c r="AK101" s="119"/>
    </row>
    <row r="102" spans="1:37" ht="96.75" customHeight="1" x14ac:dyDescent="0.2">
      <c r="A102" s="60"/>
      <c r="B102" s="25"/>
      <c r="C102" s="94" t="s">
        <v>634</v>
      </c>
      <c r="D102" s="14" t="s">
        <v>635</v>
      </c>
      <c r="E102" s="18"/>
      <c r="F102" s="18"/>
      <c r="G102" s="183"/>
      <c r="H102" s="56">
        <f>531/2200*100</f>
        <v>24.136363636363637</v>
      </c>
      <c r="I102" s="18" t="s">
        <v>27</v>
      </c>
      <c r="J102" s="183">
        <v>350000000</v>
      </c>
      <c r="K102" s="18"/>
      <c r="L102" s="244"/>
      <c r="M102" s="18"/>
      <c r="N102" s="244"/>
      <c r="O102" s="56">
        <f>431/2090*100</f>
        <v>20.62200956937799</v>
      </c>
      <c r="P102" s="244">
        <v>100000000</v>
      </c>
      <c r="Q102" s="171"/>
      <c r="R102" s="195"/>
      <c r="S102" s="56"/>
      <c r="T102" s="195"/>
      <c r="U102" s="56">
        <v>22.4</v>
      </c>
      <c r="V102" s="195">
        <v>85919000</v>
      </c>
      <c r="W102" s="56"/>
      <c r="X102" s="237"/>
      <c r="Y102" s="56"/>
      <c r="Z102" s="237"/>
      <c r="AA102" s="56">
        <f>U102/O102*100</f>
        <v>108.62180974477957</v>
      </c>
      <c r="AB102" s="237">
        <f>V102/P102*100</f>
        <v>85.918999999999997</v>
      </c>
      <c r="AC102" s="316">
        <f>U102</f>
        <v>22.4</v>
      </c>
      <c r="AD102" s="193">
        <f t="shared" si="100"/>
        <v>85919000</v>
      </c>
      <c r="AE102" s="56">
        <f t="shared" si="101"/>
        <v>92.806026365348387</v>
      </c>
      <c r="AF102" s="32" t="str">
        <f t="shared" si="102"/>
        <v>Sangat Tinggi</v>
      </c>
      <c r="AG102" s="354">
        <f t="shared" si="103"/>
        <v>24.548285714285715</v>
      </c>
      <c r="AH102" s="412"/>
      <c r="AK102" s="119"/>
    </row>
    <row r="103" spans="1:37" ht="100.5" customHeight="1" x14ac:dyDescent="0.2">
      <c r="A103" s="66">
        <v>9</v>
      </c>
      <c r="B103" s="61" t="s">
        <v>110</v>
      </c>
      <c r="C103" s="14"/>
      <c r="D103" s="62" t="s">
        <v>337</v>
      </c>
      <c r="E103" s="366">
        <v>21.1</v>
      </c>
      <c r="F103" s="219" t="s">
        <v>238</v>
      </c>
      <c r="G103" s="222"/>
      <c r="H103" s="365">
        <v>28</v>
      </c>
      <c r="I103" s="219" t="s">
        <v>238</v>
      </c>
      <c r="J103" s="222">
        <f>SUM(J104:J105)</f>
        <v>5554540000</v>
      </c>
      <c r="K103" s="365">
        <v>23</v>
      </c>
      <c r="L103" s="222">
        <f>SUM(L104:L105)</f>
        <v>1401608000</v>
      </c>
      <c r="M103" s="365">
        <v>24</v>
      </c>
      <c r="N103" s="222">
        <f>SUM(N104:N105)</f>
        <v>800159500</v>
      </c>
      <c r="O103" s="365">
        <v>25</v>
      </c>
      <c r="P103" s="222">
        <f>SUM(P104:P107)</f>
        <v>996306975</v>
      </c>
      <c r="Q103" s="249">
        <f>SUM(Q104:Q105)</f>
        <v>29.52</v>
      </c>
      <c r="R103" s="222">
        <f>SUM(R104:R105)</f>
        <v>1081364980</v>
      </c>
      <c r="S103" s="249">
        <f>SUM(S104:S105)</f>
        <v>20.5</v>
      </c>
      <c r="T103" s="222">
        <f>SUM(T104:T105)</f>
        <v>581685700</v>
      </c>
      <c r="U103" s="249">
        <v>20.149999999999999</v>
      </c>
      <c r="V103" s="222">
        <f>SUM(V104:V107)</f>
        <v>876665056</v>
      </c>
      <c r="W103" s="234">
        <f t="shared" ref="W103:AB103" si="104">Q103/K103*100</f>
        <v>128.34782608695653</v>
      </c>
      <c r="X103" s="240">
        <f t="shared" si="104"/>
        <v>77.151741428416514</v>
      </c>
      <c r="Y103" s="234">
        <f t="shared" si="104"/>
        <v>85.416666666666657</v>
      </c>
      <c r="Z103" s="240">
        <f t="shared" si="104"/>
        <v>72.6962186913984</v>
      </c>
      <c r="AA103" s="234">
        <f>U103/O103*100</f>
        <v>80.599999999999994</v>
      </c>
      <c r="AB103" s="240">
        <f t="shared" si="104"/>
        <v>87.991460262536052</v>
      </c>
      <c r="AC103" s="318">
        <f>U103</f>
        <v>20.149999999999999</v>
      </c>
      <c r="AD103" s="309">
        <f>R103+T103+V103</f>
        <v>2539715736</v>
      </c>
      <c r="AE103" s="234">
        <f>AC103/H103*100</f>
        <v>71.964285714285708</v>
      </c>
      <c r="AF103" s="219" t="str">
        <f>IF(AE103&gt;=91,"Sangat Tinggi",IF(AE103&gt;=76,"Tinggi",IF(AE103&gt;=66,"Sedang",IF(AE103&gt;=51,"Rendah",IF(AE103&lt;=50,"Sangat Rendah")))))</f>
        <v>Sedang</v>
      </c>
      <c r="AG103" s="234">
        <f>AD103/J103*100</f>
        <v>45.723241456538254</v>
      </c>
      <c r="AH103" s="410" t="s">
        <v>295</v>
      </c>
      <c r="AK103" s="119">
        <f>R103</f>
        <v>1081364980</v>
      </c>
    </row>
    <row r="104" spans="1:37" ht="135" x14ac:dyDescent="0.2">
      <c r="A104" s="60"/>
      <c r="B104" s="25"/>
      <c r="C104" s="14" t="s">
        <v>111</v>
      </c>
      <c r="D104" s="14" t="s">
        <v>239</v>
      </c>
      <c r="E104" s="120">
        <v>19.72</v>
      </c>
      <c r="F104" s="32" t="s">
        <v>238</v>
      </c>
      <c r="G104" s="9"/>
      <c r="H104" s="409">
        <v>26.6</v>
      </c>
      <c r="I104" s="32" t="s">
        <v>238</v>
      </c>
      <c r="J104" s="9">
        <v>1947865000</v>
      </c>
      <c r="K104" s="409">
        <v>23.9</v>
      </c>
      <c r="L104" s="21">
        <v>479023000</v>
      </c>
      <c r="M104" s="409">
        <v>24.42</v>
      </c>
      <c r="N104" s="21">
        <v>402409000</v>
      </c>
      <c r="O104" s="98"/>
      <c r="P104" s="21"/>
      <c r="Q104" s="120">
        <v>27.56</v>
      </c>
      <c r="R104" s="23">
        <v>277351230</v>
      </c>
      <c r="S104" s="56">
        <v>18.350000000000001</v>
      </c>
      <c r="T104" s="24">
        <v>219400000</v>
      </c>
      <c r="U104" s="56"/>
      <c r="V104" s="24"/>
      <c r="W104" s="56">
        <f t="shared" ref="W104:Z105" si="105">Q104/K104*100</f>
        <v>115.31380753138076</v>
      </c>
      <c r="X104" s="235">
        <f t="shared" si="105"/>
        <v>57.899355563302798</v>
      </c>
      <c r="Y104" s="56">
        <f t="shared" si="105"/>
        <v>75.143325143325143</v>
      </c>
      <c r="Z104" s="235">
        <f t="shared" si="105"/>
        <v>54.521643402607801</v>
      </c>
      <c r="AA104" s="56"/>
      <c r="AB104" s="235"/>
      <c r="AC104" s="316">
        <f>AVERAGE(Q104,S104)</f>
        <v>22.954999999999998</v>
      </c>
      <c r="AD104" s="193">
        <f>R104+T104</f>
        <v>496751230</v>
      </c>
      <c r="AE104" s="56">
        <f>AC104/H104*100</f>
        <v>86.296992481202992</v>
      </c>
      <c r="AF104" s="32" t="str">
        <f t="shared" ref="AF104" si="106">IF(AE104&gt;=91,"Sangat Tinggi",IF(AE104&gt;=76,"Tinggi",IF(AE104&gt;=66,"Sedang",IF(AE104&gt;=51,"Rendah",IF(AE104&lt;=50,"Sangat Rendah")))))</f>
        <v>Tinggi</v>
      </c>
      <c r="AG104" s="354">
        <f t="shared" ref="AG104" si="107">AD104/J104*100</f>
        <v>25.502343848264637</v>
      </c>
      <c r="AH104" s="111"/>
      <c r="AK104" s="119">
        <f>R104</f>
        <v>277351230</v>
      </c>
    </row>
    <row r="105" spans="1:37" ht="75" x14ac:dyDescent="0.2">
      <c r="A105" s="60"/>
      <c r="B105" s="25"/>
      <c r="C105" s="14" t="s">
        <v>112</v>
      </c>
      <c r="D105" s="14" t="s">
        <v>240</v>
      </c>
      <c r="E105" s="121">
        <v>1.39</v>
      </c>
      <c r="F105" s="32" t="s">
        <v>238</v>
      </c>
      <c r="G105" s="9"/>
      <c r="H105" s="409">
        <v>1.47</v>
      </c>
      <c r="I105" s="32" t="s">
        <v>238</v>
      </c>
      <c r="J105" s="9">
        <v>3606675000</v>
      </c>
      <c r="K105" s="409">
        <v>1.4</v>
      </c>
      <c r="L105" s="21">
        <v>922585000</v>
      </c>
      <c r="M105" s="409">
        <v>1.42</v>
      </c>
      <c r="N105" s="21">
        <v>397750500</v>
      </c>
      <c r="O105" s="98"/>
      <c r="P105" s="21"/>
      <c r="Q105" s="121">
        <v>1.96</v>
      </c>
      <c r="R105" s="23">
        <v>804013750</v>
      </c>
      <c r="S105" s="56">
        <v>2.15</v>
      </c>
      <c r="T105" s="23">
        <v>362285700</v>
      </c>
      <c r="U105" s="56"/>
      <c r="V105" s="23"/>
      <c r="W105" s="89">
        <f t="shared" si="105"/>
        <v>140</v>
      </c>
      <c r="X105" s="235">
        <f t="shared" si="105"/>
        <v>87.147932168851654</v>
      </c>
      <c r="Y105" s="56">
        <f t="shared" si="105"/>
        <v>151.40845070422534</v>
      </c>
      <c r="Z105" s="235">
        <f t="shared" si="105"/>
        <v>91.083656714447883</v>
      </c>
      <c r="AA105" s="56"/>
      <c r="AB105" s="235"/>
      <c r="AC105" s="316">
        <f>AVERAGE(Q105,S105)</f>
        <v>2.0549999999999997</v>
      </c>
      <c r="AD105" s="193">
        <f>R105+T105</f>
        <v>1166299450</v>
      </c>
      <c r="AE105" s="56">
        <f>AC105/H105*100</f>
        <v>139.79591836734693</v>
      </c>
      <c r="AF105" s="32" t="str">
        <f t="shared" ref="AF105:AF107" si="108">IF(AE105&gt;=91,"Sangat Tinggi",IF(AE105&gt;=76,"Tinggi",IF(AE105&gt;=66,"Sedang",IF(AE105&gt;=51,"Rendah",IF(AE105&lt;=50,"Sangat Rendah")))))</f>
        <v>Sangat Tinggi</v>
      </c>
      <c r="AG105" s="354">
        <f t="shared" ref="AG105:AG106" si="109">AD105/J105*100</f>
        <v>32.337248296561242</v>
      </c>
      <c r="AH105" s="111"/>
      <c r="AK105" s="119">
        <f>R105</f>
        <v>804013750</v>
      </c>
    </row>
    <row r="106" spans="1:37" ht="60" x14ac:dyDescent="0.2">
      <c r="A106" s="60"/>
      <c r="B106" s="25"/>
      <c r="C106" s="94" t="s">
        <v>636</v>
      </c>
      <c r="D106" s="14" t="s">
        <v>637</v>
      </c>
      <c r="E106" s="121"/>
      <c r="F106" s="32"/>
      <c r="G106" s="183"/>
      <c r="H106" s="159">
        <v>100</v>
      </c>
      <c r="I106" s="35" t="s">
        <v>27</v>
      </c>
      <c r="J106" s="183">
        <v>2824598275</v>
      </c>
      <c r="K106" s="98"/>
      <c r="L106" s="244"/>
      <c r="M106" s="98"/>
      <c r="N106" s="244"/>
      <c r="O106" s="367">
        <v>100</v>
      </c>
      <c r="P106" s="244">
        <v>996306975</v>
      </c>
      <c r="Q106" s="121"/>
      <c r="R106" s="195"/>
      <c r="S106" s="56"/>
      <c r="T106" s="195"/>
      <c r="U106" s="89">
        <v>100</v>
      </c>
      <c r="V106" s="195">
        <v>876665056</v>
      </c>
      <c r="W106" s="56"/>
      <c r="X106" s="237"/>
      <c r="Y106" s="56"/>
      <c r="Z106" s="237"/>
      <c r="AA106" s="89">
        <f>U106/O106*100</f>
        <v>100</v>
      </c>
      <c r="AB106" s="237">
        <f>V106/P106*100</f>
        <v>87.991460262536052</v>
      </c>
      <c r="AC106" s="315">
        <f>U106</f>
        <v>100</v>
      </c>
      <c r="AD106" s="193">
        <f>V106</f>
        <v>876665056</v>
      </c>
      <c r="AE106" s="89">
        <f t="shared" ref="AE106:AE107" si="110">AC106/H106*100</f>
        <v>100</v>
      </c>
      <c r="AF106" s="32" t="str">
        <f t="shared" si="108"/>
        <v>Sangat Tinggi</v>
      </c>
      <c r="AG106" s="354">
        <f t="shared" si="109"/>
        <v>31.036804906354337</v>
      </c>
      <c r="AH106" s="111"/>
      <c r="AK106" s="119"/>
    </row>
    <row r="107" spans="1:37" ht="75" x14ac:dyDescent="0.2">
      <c r="A107" s="60"/>
      <c r="B107" s="25"/>
      <c r="C107" s="20"/>
      <c r="D107" s="14" t="s">
        <v>638</v>
      </c>
      <c r="E107" s="121"/>
      <c r="F107" s="32"/>
      <c r="G107" s="49"/>
      <c r="H107" s="159">
        <v>100</v>
      </c>
      <c r="I107" s="35" t="s">
        <v>27</v>
      </c>
      <c r="J107" s="49"/>
      <c r="K107" s="98"/>
      <c r="L107" s="246"/>
      <c r="M107" s="98"/>
      <c r="N107" s="246"/>
      <c r="O107" s="367">
        <v>100</v>
      </c>
      <c r="P107" s="246"/>
      <c r="Q107" s="121"/>
      <c r="R107" s="194"/>
      <c r="S107" s="56"/>
      <c r="T107" s="194"/>
      <c r="U107" s="56">
        <v>97.18</v>
      </c>
      <c r="V107" s="194"/>
      <c r="W107" s="56"/>
      <c r="X107" s="238"/>
      <c r="Y107" s="56"/>
      <c r="Z107" s="238"/>
      <c r="AA107" s="56">
        <f>U107/O107*100</f>
        <v>97.18</v>
      </c>
      <c r="AB107" s="238"/>
      <c r="AC107" s="316">
        <f>U107</f>
        <v>97.18</v>
      </c>
      <c r="AD107" s="274"/>
      <c r="AE107" s="89">
        <f t="shared" si="110"/>
        <v>97.18</v>
      </c>
      <c r="AF107" s="32" t="str">
        <f t="shared" si="108"/>
        <v>Sangat Tinggi</v>
      </c>
      <c r="AG107" s="77"/>
      <c r="AH107" s="112"/>
      <c r="AK107" s="119"/>
    </row>
    <row r="108" spans="1:37" ht="100.5" customHeight="1" x14ac:dyDescent="0.2">
      <c r="A108" s="66">
        <v>10</v>
      </c>
      <c r="B108" s="61" t="s">
        <v>113</v>
      </c>
      <c r="C108" s="14"/>
      <c r="D108" s="62" t="s">
        <v>338</v>
      </c>
      <c r="E108" s="234">
        <v>3</v>
      </c>
      <c r="F108" s="228" t="s">
        <v>27</v>
      </c>
      <c r="G108" s="222"/>
      <c r="H108" s="234">
        <v>7</v>
      </c>
      <c r="I108" s="228" t="s">
        <v>27</v>
      </c>
      <c r="J108" s="222">
        <f>SUM(J109:J114)</f>
        <v>10667478304</v>
      </c>
      <c r="K108" s="234">
        <v>4.8</v>
      </c>
      <c r="L108" s="222">
        <f>SUM(L109:L110)</f>
        <v>126168000</v>
      </c>
      <c r="M108" s="234">
        <v>5</v>
      </c>
      <c r="N108" s="222">
        <f>SUM(N109:N110)</f>
        <v>23500000</v>
      </c>
      <c r="O108" s="234">
        <v>5.5</v>
      </c>
      <c r="P108" s="222">
        <f>SUM(P109:P114)</f>
        <v>4701171193</v>
      </c>
      <c r="Q108" s="318">
        <v>151.54</v>
      </c>
      <c r="R108" s="222">
        <f>SUM(R109:R110)</f>
        <v>117681500</v>
      </c>
      <c r="S108" s="234">
        <v>8.51</v>
      </c>
      <c r="T108" s="222">
        <f>SUM(T109:T110)</f>
        <v>17480000</v>
      </c>
      <c r="U108" s="234">
        <v>12.43</v>
      </c>
      <c r="V108" s="222">
        <f>SUM(V109:V114)</f>
        <v>4342156004</v>
      </c>
      <c r="W108" s="254">
        <f t="shared" ref="W108:AB108" si="111">Q108/K108*100</f>
        <v>3157.0833333333335</v>
      </c>
      <c r="X108" s="240">
        <f t="shared" si="111"/>
        <v>93.273651005009199</v>
      </c>
      <c r="Y108" s="254">
        <f t="shared" si="111"/>
        <v>170.2</v>
      </c>
      <c r="Z108" s="240">
        <f t="shared" si="111"/>
        <v>74.382978723404264</v>
      </c>
      <c r="AA108" s="254">
        <f>U108/O108*100</f>
        <v>225.99999999999997</v>
      </c>
      <c r="AB108" s="240">
        <f t="shared" si="111"/>
        <v>92.363281951217374</v>
      </c>
      <c r="AC108" s="318">
        <f>U108</f>
        <v>12.43</v>
      </c>
      <c r="AD108" s="309">
        <f>R108+T108+V108</f>
        <v>4477317504</v>
      </c>
      <c r="AE108" s="234">
        <f>AC108/H108*100</f>
        <v>177.57142857142856</v>
      </c>
      <c r="AF108" s="219" t="str">
        <f>IF(AE108&gt;=91,"Sangat Tinggi",IF(AE108&gt;=76,"Tinggi",IF(AE108&gt;=66,"Sedang",IF(AE108&gt;=51,"Rendah",IF(AE108&lt;=50,"Sangat Rendah")))))</f>
        <v>Sangat Tinggi</v>
      </c>
      <c r="AG108" s="234">
        <f>AD108/J108*100</f>
        <v>41.971657934576101</v>
      </c>
      <c r="AH108" s="410" t="s">
        <v>296</v>
      </c>
      <c r="AK108" s="119">
        <f>R108</f>
        <v>117681500</v>
      </c>
    </row>
    <row r="109" spans="1:37" ht="60" x14ac:dyDescent="0.2">
      <c r="A109" s="60"/>
      <c r="B109" s="25"/>
      <c r="C109" s="14" t="s">
        <v>63</v>
      </c>
      <c r="D109" s="14" t="s">
        <v>547</v>
      </c>
      <c r="E109" s="97" t="s">
        <v>561</v>
      </c>
      <c r="F109" s="12" t="s">
        <v>241</v>
      </c>
      <c r="G109" s="9"/>
      <c r="H109" s="97" t="s">
        <v>242</v>
      </c>
      <c r="I109" s="12" t="s">
        <v>241</v>
      </c>
      <c r="J109" s="9">
        <v>620565000</v>
      </c>
      <c r="K109" s="97" t="s">
        <v>531</v>
      </c>
      <c r="L109" s="21">
        <v>124113000</v>
      </c>
      <c r="M109" s="97" t="s">
        <v>521</v>
      </c>
      <c r="N109" s="21">
        <v>5000000</v>
      </c>
      <c r="O109" s="97"/>
      <c r="P109" s="21"/>
      <c r="Q109" s="120" t="s">
        <v>560</v>
      </c>
      <c r="R109" s="23">
        <v>115626500</v>
      </c>
      <c r="S109" s="97" t="s">
        <v>566</v>
      </c>
      <c r="T109" s="23">
        <v>5000000</v>
      </c>
      <c r="U109" s="97"/>
      <c r="V109" s="23"/>
      <c r="W109" s="172">
        <f t="shared" ref="W109:Z110" si="112">Q109/K109*100</f>
        <v>255.02413793103446</v>
      </c>
      <c r="X109" s="235">
        <f t="shared" si="112"/>
        <v>93.162279535584503</v>
      </c>
      <c r="Y109" s="172">
        <f t="shared" si="112"/>
        <v>275.97833333333335</v>
      </c>
      <c r="Z109" s="235">
        <f t="shared" si="112"/>
        <v>100</v>
      </c>
      <c r="AA109" s="172"/>
      <c r="AB109" s="235"/>
      <c r="AC109" s="159" t="str">
        <f>S109</f>
        <v>1.655.870.000.000</v>
      </c>
      <c r="AD109" s="193">
        <f>R109+T109</f>
        <v>120626500</v>
      </c>
      <c r="AE109" s="56">
        <f>AC109/H109*100</f>
        <v>215.04805194805195</v>
      </c>
      <c r="AF109" s="32" t="str">
        <f t="shared" ref="AF109" si="113">IF(AE109&gt;=91,"Sangat Tinggi",IF(AE109&gt;=76,"Tinggi",IF(AE109&gt;=66,"Sedang",IF(AE109&gt;=51,"Rendah",IF(AE109&lt;=50,"Sangat Rendah")))))</f>
        <v>Sangat Tinggi</v>
      </c>
      <c r="AG109" s="354">
        <f t="shared" ref="AG109" si="114">AD109/J109*100</f>
        <v>19.438173277577693</v>
      </c>
      <c r="AH109" s="111"/>
      <c r="AJ109" s="157"/>
      <c r="AK109" s="119">
        <f>R109</f>
        <v>115626500</v>
      </c>
    </row>
    <row r="110" spans="1:37" ht="186" customHeight="1" x14ac:dyDescent="0.2">
      <c r="A110" s="60"/>
      <c r="B110" s="25"/>
      <c r="C110" s="14" t="s">
        <v>114</v>
      </c>
      <c r="D110" s="14" t="s">
        <v>292</v>
      </c>
      <c r="E110" s="89">
        <v>20</v>
      </c>
      <c r="F110" s="18" t="s">
        <v>27</v>
      </c>
      <c r="G110" s="9"/>
      <c r="H110" s="89">
        <v>100</v>
      </c>
      <c r="I110" s="18" t="s">
        <v>27</v>
      </c>
      <c r="J110" s="9">
        <v>2102055000</v>
      </c>
      <c r="K110" s="89">
        <v>55</v>
      </c>
      <c r="L110" s="21">
        <v>2055000</v>
      </c>
      <c r="M110" s="89">
        <v>75</v>
      </c>
      <c r="N110" s="21">
        <v>18500000</v>
      </c>
      <c r="O110" s="89"/>
      <c r="P110" s="21"/>
      <c r="Q110" s="56">
        <v>60</v>
      </c>
      <c r="R110" s="23">
        <v>2055000</v>
      </c>
      <c r="S110" s="89">
        <v>130</v>
      </c>
      <c r="T110" s="23">
        <v>12480000</v>
      </c>
      <c r="U110" s="89"/>
      <c r="V110" s="23"/>
      <c r="W110" s="172">
        <f t="shared" si="112"/>
        <v>109.09090909090908</v>
      </c>
      <c r="X110" s="235">
        <f t="shared" si="112"/>
        <v>100</v>
      </c>
      <c r="Y110" s="172">
        <f t="shared" si="112"/>
        <v>173.33333333333334</v>
      </c>
      <c r="Z110" s="235">
        <f t="shared" si="112"/>
        <v>67.459459459459453</v>
      </c>
      <c r="AA110" s="172"/>
      <c r="AB110" s="235"/>
      <c r="AC110" s="369">
        <f>S110</f>
        <v>130</v>
      </c>
      <c r="AD110" s="193">
        <f>R110+T110</f>
        <v>14535000</v>
      </c>
      <c r="AE110" s="56">
        <f>AC110/H110*100</f>
        <v>130</v>
      </c>
      <c r="AF110" s="32" t="str">
        <f t="shared" ref="AF110:AF114" si="115">IF(AE110&gt;=91,"Sangat Tinggi",IF(AE110&gt;=76,"Tinggi",IF(AE110&gt;=66,"Sedang",IF(AE110&gt;=51,"Rendah",IF(AE110&lt;=50,"Sangat Rendah")))))</f>
        <v>Sangat Tinggi</v>
      </c>
      <c r="AG110" s="354">
        <f t="shared" ref="AG110:AG114" si="116">AD110/J110*100</f>
        <v>0.69146620806781933</v>
      </c>
      <c r="AH110" s="111"/>
      <c r="AK110" s="119">
        <f>R110</f>
        <v>2055000</v>
      </c>
    </row>
    <row r="111" spans="1:37" ht="120" x14ac:dyDescent="0.2">
      <c r="A111" s="60"/>
      <c r="B111" s="25"/>
      <c r="C111" s="94" t="s">
        <v>639</v>
      </c>
      <c r="D111" s="14" t="s">
        <v>640</v>
      </c>
      <c r="E111" s="89"/>
      <c r="F111" s="18"/>
      <c r="G111" s="183"/>
      <c r="H111" s="370">
        <v>100</v>
      </c>
      <c r="I111" s="345" t="s">
        <v>27</v>
      </c>
      <c r="J111" s="183">
        <v>7113191922</v>
      </c>
      <c r="K111" s="89"/>
      <c r="L111" s="244"/>
      <c r="M111" s="89"/>
      <c r="N111" s="244"/>
      <c r="O111" s="89">
        <v>100</v>
      </c>
      <c r="P111" s="244">
        <v>4331163952</v>
      </c>
      <c r="Q111" s="56"/>
      <c r="R111" s="195"/>
      <c r="S111" s="89"/>
      <c r="T111" s="195"/>
      <c r="U111" s="89">
        <v>100</v>
      </c>
      <c r="V111" s="195">
        <v>4074111563</v>
      </c>
      <c r="W111" s="172"/>
      <c r="X111" s="237"/>
      <c r="Y111" s="172"/>
      <c r="Z111" s="237"/>
      <c r="AA111" s="265">
        <f>U111/O111*100</f>
        <v>100</v>
      </c>
      <c r="AB111" s="237">
        <f>V111/P111*100</f>
        <v>94.065050599589952</v>
      </c>
      <c r="AC111" s="369">
        <f>U111</f>
        <v>100</v>
      </c>
      <c r="AD111" s="193">
        <f>V111</f>
        <v>4074111563</v>
      </c>
      <c r="AE111" s="89">
        <f t="shared" ref="AE111:AE114" si="117">AC111/H111*100</f>
        <v>100</v>
      </c>
      <c r="AF111" s="32" t="str">
        <f t="shared" si="115"/>
        <v>Sangat Tinggi</v>
      </c>
      <c r="AG111" s="354">
        <f t="shared" si="116"/>
        <v>57.275434258977384</v>
      </c>
      <c r="AH111" s="111"/>
      <c r="AK111" s="119"/>
    </row>
    <row r="112" spans="1:37" ht="45" x14ac:dyDescent="0.2">
      <c r="A112" s="60"/>
      <c r="B112" s="25"/>
      <c r="C112" s="20"/>
      <c r="D112" s="14" t="s">
        <v>165</v>
      </c>
      <c r="E112" s="89"/>
      <c r="F112" s="18"/>
      <c r="G112" s="49"/>
      <c r="H112" s="370">
        <v>100</v>
      </c>
      <c r="I112" s="345" t="s">
        <v>30</v>
      </c>
      <c r="J112" s="49"/>
      <c r="K112" s="89"/>
      <c r="L112" s="246"/>
      <c r="M112" s="89"/>
      <c r="N112" s="246"/>
      <c r="O112" s="89">
        <v>85</v>
      </c>
      <c r="P112" s="246"/>
      <c r="Q112" s="56"/>
      <c r="R112" s="194"/>
      <c r="S112" s="89"/>
      <c r="T112" s="194"/>
      <c r="U112" s="56">
        <v>88.242500000000007</v>
      </c>
      <c r="V112" s="194"/>
      <c r="W112" s="172"/>
      <c r="X112" s="238"/>
      <c r="Y112" s="172"/>
      <c r="Z112" s="238"/>
      <c r="AA112" s="172">
        <f>U112/O112*100</f>
        <v>103.81470588235295</v>
      </c>
      <c r="AB112" s="238"/>
      <c r="AC112" s="319">
        <f>U112</f>
        <v>88.242500000000007</v>
      </c>
      <c r="AD112" s="274"/>
      <c r="AE112" s="56">
        <f t="shared" si="117"/>
        <v>88.242500000000007</v>
      </c>
      <c r="AF112" s="32" t="str">
        <f t="shared" si="115"/>
        <v>Tinggi</v>
      </c>
      <c r="AG112" s="77"/>
      <c r="AH112" s="111"/>
      <c r="AK112" s="119"/>
    </row>
    <row r="113" spans="1:37" ht="105" x14ac:dyDescent="0.2">
      <c r="A113" s="60"/>
      <c r="B113" s="25"/>
      <c r="C113" s="14" t="s">
        <v>641</v>
      </c>
      <c r="D113" s="14" t="s">
        <v>642</v>
      </c>
      <c r="E113" s="89"/>
      <c r="F113" s="18"/>
      <c r="G113" s="9"/>
      <c r="H113" s="370">
        <v>100</v>
      </c>
      <c r="I113" s="345" t="s">
        <v>27</v>
      </c>
      <c r="J113" s="9">
        <v>101562882</v>
      </c>
      <c r="K113" s="89"/>
      <c r="L113" s="21"/>
      <c r="M113" s="89"/>
      <c r="N113" s="21"/>
      <c r="O113" s="89">
        <v>100</v>
      </c>
      <c r="P113" s="21">
        <v>34834241</v>
      </c>
      <c r="Q113" s="56"/>
      <c r="R113" s="23"/>
      <c r="S113" s="89"/>
      <c r="T113" s="23"/>
      <c r="U113" s="89">
        <v>100</v>
      </c>
      <c r="V113" s="23">
        <v>34834241</v>
      </c>
      <c r="W113" s="172"/>
      <c r="X113" s="235"/>
      <c r="Y113" s="172"/>
      <c r="Z113" s="235"/>
      <c r="AA113" s="265">
        <f>U113/O113*100</f>
        <v>100</v>
      </c>
      <c r="AB113" s="339">
        <f>V113/P113*100</f>
        <v>100</v>
      </c>
      <c r="AC113" s="369">
        <f>U113</f>
        <v>100</v>
      </c>
      <c r="AD113" s="193">
        <f>V113</f>
        <v>34834241</v>
      </c>
      <c r="AE113" s="89">
        <f t="shared" si="117"/>
        <v>100</v>
      </c>
      <c r="AF113" s="32" t="str">
        <f t="shared" si="115"/>
        <v>Sangat Tinggi</v>
      </c>
      <c r="AG113" s="354">
        <f>AD113/J113*100</f>
        <v>34.298200596552583</v>
      </c>
      <c r="AH113" s="111"/>
      <c r="AK113" s="119"/>
    </row>
    <row r="114" spans="1:37" ht="90" x14ac:dyDescent="0.2">
      <c r="A114" s="60"/>
      <c r="B114" s="25"/>
      <c r="C114" s="14" t="s">
        <v>643</v>
      </c>
      <c r="D114" s="14" t="s">
        <v>644</v>
      </c>
      <c r="E114" s="89"/>
      <c r="F114" s="18"/>
      <c r="G114" s="9"/>
      <c r="H114" s="370">
        <v>100</v>
      </c>
      <c r="I114" s="48" t="s">
        <v>27</v>
      </c>
      <c r="J114" s="9">
        <v>730103500</v>
      </c>
      <c r="K114" s="89"/>
      <c r="L114" s="21"/>
      <c r="M114" s="89"/>
      <c r="N114" s="21"/>
      <c r="O114" s="89">
        <v>100</v>
      </c>
      <c r="P114" s="21">
        <v>335173000</v>
      </c>
      <c r="Q114" s="56"/>
      <c r="R114" s="23"/>
      <c r="S114" s="89"/>
      <c r="T114" s="23"/>
      <c r="U114" s="89">
        <v>100</v>
      </c>
      <c r="V114" s="23">
        <v>233210200</v>
      </c>
      <c r="W114" s="172"/>
      <c r="X114" s="235"/>
      <c r="Y114" s="172"/>
      <c r="Z114" s="235"/>
      <c r="AA114" s="265">
        <f>U114/O114*100</f>
        <v>100</v>
      </c>
      <c r="AB114" s="235">
        <f>V114/P114*100</f>
        <v>69.579053205359614</v>
      </c>
      <c r="AC114" s="369">
        <f>U114</f>
        <v>100</v>
      </c>
      <c r="AD114" s="193">
        <f>V114</f>
        <v>233210200</v>
      </c>
      <c r="AE114" s="89">
        <f t="shared" si="117"/>
        <v>100</v>
      </c>
      <c r="AF114" s="32" t="str">
        <f t="shared" si="115"/>
        <v>Sangat Tinggi</v>
      </c>
      <c r="AG114" s="354">
        <f t="shared" si="116"/>
        <v>31.942073966225337</v>
      </c>
      <c r="AH114" s="112"/>
      <c r="AK114" s="119"/>
    </row>
    <row r="115" spans="1:37" ht="110.25" x14ac:dyDescent="0.2">
      <c r="A115" s="66">
        <v>11</v>
      </c>
      <c r="B115" s="61" t="s">
        <v>65</v>
      </c>
      <c r="C115" s="14"/>
      <c r="D115" s="62" t="s">
        <v>339</v>
      </c>
      <c r="E115" s="255" t="s">
        <v>244</v>
      </c>
      <c r="F115" s="227" t="s">
        <v>3</v>
      </c>
      <c r="G115" s="222"/>
      <c r="H115" s="255" t="s">
        <v>245</v>
      </c>
      <c r="I115" s="228" t="s">
        <v>3</v>
      </c>
      <c r="J115" s="222">
        <f>SUM(J116:J123)</f>
        <v>43832813014</v>
      </c>
      <c r="K115" s="326" t="s">
        <v>532</v>
      </c>
      <c r="L115" s="248">
        <f>SUM(L116:L123)</f>
        <v>7562290000</v>
      </c>
      <c r="M115" s="326" t="s">
        <v>522</v>
      </c>
      <c r="N115" s="248">
        <f>SUM(N116:N123)</f>
        <v>6213270400</v>
      </c>
      <c r="O115" s="326" t="s">
        <v>753</v>
      </c>
      <c r="P115" s="248">
        <f>SUM(P116:P127)</f>
        <v>8137757207</v>
      </c>
      <c r="Q115" s="256" t="s">
        <v>513</v>
      </c>
      <c r="R115" s="248">
        <f>SUM(R116:R123)</f>
        <v>7484712067</v>
      </c>
      <c r="S115" s="325" t="s">
        <v>559</v>
      </c>
      <c r="T115" s="248">
        <f>SUM(T116:T123)</f>
        <v>5727907302</v>
      </c>
      <c r="U115" s="325" t="s">
        <v>803</v>
      </c>
      <c r="V115" s="248">
        <f>SUM(V116:V127)</f>
        <v>6556200221</v>
      </c>
      <c r="W115" s="254">
        <f t="shared" ref="W115:AB115" si="118">Q115/K115*100</f>
        <v>112.6315664886566</v>
      </c>
      <c r="X115" s="240">
        <f t="shared" si="118"/>
        <v>98.974147606082283</v>
      </c>
      <c r="Y115" s="254">
        <f t="shared" si="118"/>
        <v>136.53171756147066</v>
      </c>
      <c r="Z115" s="240">
        <f t="shared" si="118"/>
        <v>92.188283033682225</v>
      </c>
      <c r="AA115" s="254">
        <f>U115/O115*100</f>
        <v>107.72691059944879</v>
      </c>
      <c r="AB115" s="240">
        <f t="shared" si="118"/>
        <v>80.565198177213205</v>
      </c>
      <c r="AC115" s="324" t="str">
        <f>U115</f>
        <v>7.204.500.000</v>
      </c>
      <c r="AD115" s="309">
        <f>R115+T115+V115</f>
        <v>19768819590</v>
      </c>
      <c r="AE115" s="234">
        <f>AC115/H115*100</f>
        <v>79.398928783971428</v>
      </c>
      <c r="AF115" s="219" t="str">
        <f>IF(AE115&gt;=91,"Sangat Tinggi",IF(AE115&gt;=76,"Tinggi",IF(AE115&gt;=66,"Sedang",IF(AE115&gt;=51,"Rendah",IF(AE115&lt;=50,"Sangat Rendah")))))</f>
        <v>Tinggi</v>
      </c>
      <c r="AG115" s="234">
        <f>AD115/J115*100</f>
        <v>45.100504007547791</v>
      </c>
      <c r="AH115" s="410" t="s">
        <v>297</v>
      </c>
      <c r="AJ115" s="152"/>
      <c r="AK115" s="119">
        <f>R115</f>
        <v>7484712067</v>
      </c>
    </row>
    <row r="116" spans="1:37" ht="60" x14ac:dyDescent="0.2">
      <c r="A116" s="60"/>
      <c r="B116" s="25"/>
      <c r="C116" s="14" t="s">
        <v>68</v>
      </c>
      <c r="D116" s="14" t="s">
        <v>246</v>
      </c>
      <c r="E116" s="97" t="s">
        <v>248</v>
      </c>
      <c r="F116" s="7" t="s">
        <v>247</v>
      </c>
      <c r="G116" s="9"/>
      <c r="H116" s="11">
        <v>310526</v>
      </c>
      <c r="I116" s="7" t="s">
        <v>247</v>
      </c>
      <c r="J116" s="9">
        <v>14150415000</v>
      </c>
      <c r="K116" s="11">
        <v>255470</v>
      </c>
      <c r="L116" s="21">
        <v>4775026000</v>
      </c>
      <c r="M116" s="11">
        <v>268244</v>
      </c>
      <c r="N116" s="21">
        <v>4423926400</v>
      </c>
      <c r="O116" s="11"/>
      <c r="P116" s="21"/>
      <c r="Q116" s="192">
        <v>338867</v>
      </c>
      <c r="R116" s="23">
        <v>4711804567</v>
      </c>
      <c r="S116" s="160">
        <v>267029</v>
      </c>
      <c r="T116" s="23">
        <v>4273925169</v>
      </c>
      <c r="U116" s="160"/>
      <c r="V116" s="23"/>
      <c r="W116" s="172">
        <f t="shared" ref="W116:Z117" si="119">Q116/K116*100</f>
        <v>132.64453751908246</v>
      </c>
      <c r="X116" s="235">
        <f t="shared" si="119"/>
        <v>98.675998141161955</v>
      </c>
      <c r="Y116" s="172">
        <f t="shared" si="119"/>
        <v>99.547054174557488</v>
      </c>
      <c r="Z116" s="235">
        <f t="shared" si="119"/>
        <v>96.609319020316434</v>
      </c>
      <c r="AA116" s="172"/>
      <c r="AB116" s="235"/>
      <c r="AC116" s="381">
        <f>S116</f>
        <v>267029</v>
      </c>
      <c r="AD116" s="193">
        <f>R116+T116</f>
        <v>8985729736</v>
      </c>
      <c r="AE116" s="56">
        <f>AC116/H116*100</f>
        <v>85.992477280485375</v>
      </c>
      <c r="AF116" s="32" t="str">
        <f t="shared" ref="AF116" si="120">IF(AE116&gt;=91,"Sangat Tinggi",IF(AE116&gt;=76,"Tinggi",IF(AE116&gt;=66,"Sedang",IF(AE116&gt;=51,"Rendah",IF(AE116&lt;=50,"Sangat Rendah")))))</f>
        <v>Tinggi</v>
      </c>
      <c r="AG116" s="354">
        <f>AD116/J116*100</f>
        <v>63.501527948120248</v>
      </c>
      <c r="AH116" s="111"/>
      <c r="AK116" s="119">
        <f>R116</f>
        <v>4711804567</v>
      </c>
    </row>
    <row r="117" spans="1:37" ht="75" x14ac:dyDescent="0.2">
      <c r="A117" s="60"/>
      <c r="B117" s="25"/>
      <c r="C117" s="14" t="s">
        <v>67</v>
      </c>
      <c r="D117" s="14" t="s">
        <v>246</v>
      </c>
      <c r="E117" s="97" t="s">
        <v>248</v>
      </c>
      <c r="F117" s="7" t="s">
        <v>247</v>
      </c>
      <c r="G117" s="9"/>
      <c r="H117" s="11">
        <v>310526</v>
      </c>
      <c r="I117" s="7" t="s">
        <v>247</v>
      </c>
      <c r="J117" s="9">
        <v>3617170000</v>
      </c>
      <c r="K117" s="11">
        <v>255470</v>
      </c>
      <c r="L117" s="21">
        <v>227170000</v>
      </c>
      <c r="M117" s="11">
        <v>268244</v>
      </c>
      <c r="N117" s="21">
        <v>332780000</v>
      </c>
      <c r="O117" s="11"/>
      <c r="P117" s="21"/>
      <c r="Q117" s="192">
        <v>338867</v>
      </c>
      <c r="R117" s="23">
        <v>224516000</v>
      </c>
      <c r="S117" s="160">
        <v>267029</v>
      </c>
      <c r="T117" s="23">
        <v>242632250</v>
      </c>
      <c r="U117" s="160"/>
      <c r="V117" s="23"/>
      <c r="W117" s="172">
        <f t="shared" si="119"/>
        <v>132.64453751908246</v>
      </c>
      <c r="X117" s="235">
        <f t="shared" si="119"/>
        <v>98.831711933794082</v>
      </c>
      <c r="Y117" s="172">
        <f t="shared" si="119"/>
        <v>99.547054174557488</v>
      </c>
      <c r="Z117" s="235">
        <f t="shared" si="119"/>
        <v>72.910706773243589</v>
      </c>
      <c r="AA117" s="172"/>
      <c r="AB117" s="235"/>
      <c r="AC117" s="381">
        <f>S117</f>
        <v>267029</v>
      </c>
      <c r="AD117" s="193">
        <f>R117+T117</f>
        <v>467148250</v>
      </c>
      <c r="AE117" s="56">
        <f t="shared" ref="AE117:AE122" si="121">AC117/H117*100</f>
        <v>85.992477280485375</v>
      </c>
      <c r="AF117" s="32" t="str">
        <f t="shared" ref="AF117:AF122" si="122">IF(AE117&gt;=91,"Sangat Tinggi",IF(AE117&gt;=76,"Tinggi",IF(AE117&gt;=66,"Sedang",IF(AE117&gt;=51,"Rendah",IF(AE117&lt;=50,"Sangat Rendah")))))</f>
        <v>Tinggi</v>
      </c>
      <c r="AG117" s="354">
        <f t="shared" ref="AG117:AG121" si="123">AD117/J117*100</f>
        <v>12.914744123168113</v>
      </c>
      <c r="AH117" s="111"/>
      <c r="AK117" s="119">
        <f>R117</f>
        <v>224516000</v>
      </c>
    </row>
    <row r="118" spans="1:37" ht="60" x14ac:dyDescent="0.2">
      <c r="A118" s="60"/>
      <c r="B118" s="25"/>
      <c r="C118" s="212" t="s">
        <v>66</v>
      </c>
      <c r="D118" s="212" t="s">
        <v>249</v>
      </c>
      <c r="E118" s="18">
        <v>1</v>
      </c>
      <c r="F118" s="12" t="s">
        <v>250</v>
      </c>
      <c r="G118" s="9"/>
      <c r="H118" s="18">
        <v>2.7</v>
      </c>
      <c r="I118" s="12" t="s">
        <v>250</v>
      </c>
      <c r="J118" s="9">
        <v>4816595000</v>
      </c>
      <c r="K118" s="18">
        <v>1.5</v>
      </c>
      <c r="L118" s="21">
        <v>102995000</v>
      </c>
      <c r="M118" s="18"/>
      <c r="N118" s="21"/>
      <c r="O118" s="18"/>
      <c r="P118" s="21"/>
      <c r="Q118" s="18">
        <v>1.5</v>
      </c>
      <c r="R118" s="23">
        <v>101765000</v>
      </c>
      <c r="S118" s="18"/>
      <c r="T118" s="23"/>
      <c r="U118" s="18"/>
      <c r="V118" s="23"/>
      <c r="W118" s="172">
        <f>Q118/K118*100</f>
        <v>100</v>
      </c>
      <c r="X118" s="235">
        <f>R118/L118*100</f>
        <v>98.805767270255842</v>
      </c>
      <c r="Y118" s="172"/>
      <c r="Z118" s="235"/>
      <c r="AA118" s="172"/>
      <c r="AB118" s="235"/>
      <c r="AC118" s="380">
        <f>Q118</f>
        <v>1.5</v>
      </c>
      <c r="AD118" s="193">
        <f>R118+T118</f>
        <v>101765000</v>
      </c>
      <c r="AE118" s="56">
        <f>AC118/H118*100</f>
        <v>55.55555555555555</v>
      </c>
      <c r="AF118" s="32" t="str">
        <f t="shared" si="122"/>
        <v>Rendah</v>
      </c>
      <c r="AG118" s="354">
        <f t="shared" si="123"/>
        <v>2.112799602208614</v>
      </c>
      <c r="AH118" s="111"/>
      <c r="AK118" s="119">
        <f>R118</f>
        <v>101765000</v>
      </c>
    </row>
    <row r="119" spans="1:37" ht="75" x14ac:dyDescent="0.2">
      <c r="A119" s="60"/>
      <c r="B119" s="25"/>
      <c r="C119" s="14" t="s">
        <v>645</v>
      </c>
      <c r="D119" s="14" t="s">
        <v>646</v>
      </c>
      <c r="E119" s="18"/>
      <c r="F119" s="18"/>
      <c r="G119" s="9"/>
      <c r="H119" s="159">
        <v>316878</v>
      </c>
      <c r="I119" s="371" t="s">
        <v>647</v>
      </c>
      <c r="J119" s="9">
        <v>7140375200</v>
      </c>
      <c r="K119" s="18"/>
      <c r="L119" s="21"/>
      <c r="M119" s="18"/>
      <c r="N119" s="21"/>
      <c r="O119" s="55">
        <v>281656</v>
      </c>
      <c r="P119" s="21">
        <v>3195901000</v>
      </c>
      <c r="Q119" s="171"/>
      <c r="R119" s="23"/>
      <c r="S119" s="171"/>
      <c r="T119" s="23"/>
      <c r="U119" s="192">
        <v>269004</v>
      </c>
      <c r="V119" s="23">
        <v>3124825608</v>
      </c>
      <c r="W119" s="172"/>
      <c r="X119" s="235"/>
      <c r="Y119" s="172"/>
      <c r="Z119" s="235"/>
      <c r="AA119" s="172">
        <f t="shared" ref="AA119:AB121" si="124">U119/O119*100</f>
        <v>95.50799556906297</v>
      </c>
      <c r="AB119" s="235">
        <f t="shared" si="124"/>
        <v>97.776045252966227</v>
      </c>
      <c r="AC119" s="362">
        <f>U119</f>
        <v>269004</v>
      </c>
      <c r="AD119" s="193">
        <f>V119</f>
        <v>3124825608</v>
      </c>
      <c r="AE119" s="56">
        <f>AC119/H119*100</f>
        <v>84.891977354060558</v>
      </c>
      <c r="AF119" s="32" t="str">
        <f t="shared" si="122"/>
        <v>Tinggi</v>
      </c>
      <c r="AG119" s="354">
        <f t="shared" si="123"/>
        <v>43.762764847427064</v>
      </c>
      <c r="AH119" s="411"/>
      <c r="AK119" s="119"/>
    </row>
    <row r="120" spans="1:37" ht="75" x14ac:dyDescent="0.2">
      <c r="A120" s="60"/>
      <c r="B120" s="25"/>
      <c r="C120" s="14" t="s">
        <v>648</v>
      </c>
      <c r="D120" s="14" t="s">
        <v>646</v>
      </c>
      <c r="E120" s="18"/>
      <c r="F120" s="18"/>
      <c r="G120" s="9"/>
      <c r="H120" s="159">
        <v>316878</v>
      </c>
      <c r="I120" s="371" t="s">
        <v>647</v>
      </c>
      <c r="J120" s="9">
        <v>4283351414</v>
      </c>
      <c r="K120" s="18"/>
      <c r="L120" s="21"/>
      <c r="M120" s="18"/>
      <c r="N120" s="21"/>
      <c r="O120" s="55">
        <v>281656</v>
      </c>
      <c r="P120" s="21">
        <v>1667032707</v>
      </c>
      <c r="Q120" s="171"/>
      <c r="R120" s="23"/>
      <c r="S120" s="171"/>
      <c r="T120" s="23"/>
      <c r="U120" s="192">
        <v>269004</v>
      </c>
      <c r="V120" s="23">
        <v>585914700</v>
      </c>
      <c r="W120" s="172"/>
      <c r="X120" s="235"/>
      <c r="Y120" s="172"/>
      <c r="Z120" s="235"/>
      <c r="AA120" s="172">
        <f t="shared" si="124"/>
        <v>95.50799556906297</v>
      </c>
      <c r="AB120" s="235">
        <f t="shared" si="124"/>
        <v>35.147162832480646</v>
      </c>
      <c r="AC120" s="362">
        <f>U120</f>
        <v>269004</v>
      </c>
      <c r="AD120" s="193">
        <f t="shared" ref="AD120:AD121" si="125">V120</f>
        <v>585914700</v>
      </c>
      <c r="AE120" s="56">
        <f t="shared" si="121"/>
        <v>84.891977354060558</v>
      </c>
      <c r="AF120" s="32" t="str">
        <f t="shared" si="122"/>
        <v>Tinggi</v>
      </c>
      <c r="AG120" s="354">
        <f t="shared" si="123"/>
        <v>13.678884671590477</v>
      </c>
      <c r="AH120" s="411"/>
      <c r="AK120" s="119"/>
    </row>
    <row r="121" spans="1:37" ht="105" x14ac:dyDescent="0.2">
      <c r="A121" s="60"/>
      <c r="B121" s="25"/>
      <c r="C121" s="94" t="s">
        <v>649</v>
      </c>
      <c r="D121" s="14" t="s">
        <v>650</v>
      </c>
      <c r="E121" s="18"/>
      <c r="F121" s="18"/>
      <c r="G121" s="183"/>
      <c r="H121" s="355">
        <f>32/32*100</f>
        <v>100</v>
      </c>
      <c r="I121" s="371" t="s">
        <v>27</v>
      </c>
      <c r="J121" s="183">
        <v>1897536400</v>
      </c>
      <c r="K121" s="18"/>
      <c r="L121" s="244"/>
      <c r="M121" s="18"/>
      <c r="N121" s="244"/>
      <c r="O121" s="56">
        <v>62.5</v>
      </c>
      <c r="P121" s="244">
        <v>129375000</v>
      </c>
      <c r="Q121" s="171"/>
      <c r="R121" s="195"/>
      <c r="S121" s="171"/>
      <c r="T121" s="195"/>
      <c r="U121" s="171">
        <v>31.25</v>
      </c>
      <c r="V121" s="195">
        <v>30167500</v>
      </c>
      <c r="W121" s="172"/>
      <c r="X121" s="237"/>
      <c r="Y121" s="172"/>
      <c r="Z121" s="237"/>
      <c r="AA121" s="265">
        <f t="shared" si="124"/>
        <v>50</v>
      </c>
      <c r="AB121" s="237">
        <f t="shared" si="124"/>
        <v>23.317874396135267</v>
      </c>
      <c r="AC121" s="316">
        <f>U121</f>
        <v>31.25</v>
      </c>
      <c r="AD121" s="193">
        <f t="shared" si="125"/>
        <v>30167500</v>
      </c>
      <c r="AE121" s="56">
        <f>AC121/H121*100</f>
        <v>31.25</v>
      </c>
      <c r="AF121" s="32" t="str">
        <f t="shared" si="122"/>
        <v>Sangat Rendah</v>
      </c>
      <c r="AG121" s="354">
        <f t="shared" si="123"/>
        <v>1.5898245746432056</v>
      </c>
      <c r="AH121" s="411"/>
      <c r="AK121" s="119"/>
    </row>
    <row r="122" spans="1:37" ht="135" x14ac:dyDescent="0.2">
      <c r="A122" s="60"/>
      <c r="B122" s="25"/>
      <c r="C122" s="20"/>
      <c r="D122" s="14" t="s">
        <v>802</v>
      </c>
      <c r="E122" s="18"/>
      <c r="F122" s="18"/>
      <c r="G122" s="49"/>
      <c r="H122" s="142">
        <f>12/17*100</f>
        <v>70.588235294117652</v>
      </c>
      <c r="I122" s="371" t="s">
        <v>27</v>
      </c>
      <c r="J122" s="49"/>
      <c r="K122" s="18"/>
      <c r="L122" s="246"/>
      <c r="M122" s="18"/>
      <c r="N122" s="246"/>
      <c r="O122" s="18">
        <v>29.41</v>
      </c>
      <c r="P122" s="246"/>
      <c r="Q122" s="171"/>
      <c r="R122" s="194"/>
      <c r="S122" s="171"/>
      <c r="T122" s="194"/>
      <c r="U122" s="18">
        <v>29.41</v>
      </c>
      <c r="V122" s="194"/>
      <c r="W122" s="172"/>
      <c r="X122" s="238"/>
      <c r="Y122" s="172"/>
      <c r="Z122" s="238"/>
      <c r="AA122" s="265">
        <f>U122/O122*100</f>
        <v>100</v>
      </c>
      <c r="AB122" s="238"/>
      <c r="AC122" s="316">
        <f>U122</f>
        <v>29.41</v>
      </c>
      <c r="AD122" s="274"/>
      <c r="AE122" s="89">
        <f t="shared" si="121"/>
        <v>41.664166666666667</v>
      </c>
      <c r="AF122" s="32" t="str">
        <f t="shared" si="122"/>
        <v>Sangat Rendah</v>
      </c>
      <c r="AG122" s="77"/>
      <c r="AH122" s="411"/>
      <c r="AK122" s="119"/>
    </row>
    <row r="123" spans="1:37" ht="90" x14ac:dyDescent="0.2">
      <c r="A123" s="60"/>
      <c r="B123" s="25"/>
      <c r="C123" s="14" t="s">
        <v>251</v>
      </c>
      <c r="D123" s="14" t="s">
        <v>252</v>
      </c>
      <c r="E123" s="18">
        <v>34.78</v>
      </c>
      <c r="F123" s="18" t="s">
        <v>27</v>
      </c>
      <c r="G123" s="9"/>
      <c r="H123" s="56">
        <v>84.1</v>
      </c>
      <c r="I123" s="18" t="s">
        <v>27</v>
      </c>
      <c r="J123" s="9">
        <v>7927370000</v>
      </c>
      <c r="K123" s="18">
        <v>42.26</v>
      </c>
      <c r="L123" s="21">
        <v>2457099000</v>
      </c>
      <c r="M123" s="18">
        <v>52.28</v>
      </c>
      <c r="N123" s="21">
        <v>1456564000</v>
      </c>
      <c r="O123" s="18"/>
      <c r="P123" s="21"/>
      <c r="Q123" s="171">
        <v>45.6</v>
      </c>
      <c r="R123" s="23">
        <v>2446626500</v>
      </c>
      <c r="S123" s="171">
        <v>36.36363636363636</v>
      </c>
      <c r="T123" s="23">
        <v>1211349883</v>
      </c>
      <c r="U123" s="171"/>
      <c r="V123" s="23"/>
      <c r="W123" s="172">
        <f>Q123/K123*100</f>
        <v>107.9034548035968</v>
      </c>
      <c r="X123" s="235">
        <f>R123/L123*100</f>
        <v>99.573785997226821</v>
      </c>
      <c r="Y123" s="172">
        <f>S123/M123*100</f>
        <v>69.555540098768859</v>
      </c>
      <c r="Z123" s="235">
        <f>T123/N123*100</f>
        <v>83.164892376854013</v>
      </c>
      <c r="AA123" s="172"/>
      <c r="AB123" s="235"/>
      <c r="AC123" s="316">
        <f>Q123+S123</f>
        <v>81.963636363636368</v>
      </c>
      <c r="AD123" s="193">
        <f>R123+T123</f>
        <v>3657976383</v>
      </c>
      <c r="AE123" s="56">
        <f>AC123/H123*100</f>
        <v>97.459734082801873</v>
      </c>
      <c r="AF123" s="32" t="str">
        <f t="shared" ref="AF123" si="126">IF(AE123&gt;=91,"Sangat Tinggi",IF(AE123&gt;=76,"Tinggi",IF(AE123&gt;=66,"Sedang",IF(AE123&gt;=51,"Rendah",IF(AE123&lt;=50,"Sangat Rendah")))))</f>
        <v>Sangat Tinggi</v>
      </c>
      <c r="AG123" s="354">
        <f t="shared" ref="AG123" si="127">AD123/J123*100</f>
        <v>46.143631279983147</v>
      </c>
      <c r="AH123" s="410" t="s">
        <v>279</v>
      </c>
      <c r="AK123" s="119">
        <f>R123</f>
        <v>2446626500</v>
      </c>
    </row>
    <row r="124" spans="1:37" ht="75.75" customHeight="1" x14ac:dyDescent="0.2">
      <c r="A124" s="60"/>
      <c r="B124" s="25"/>
      <c r="C124" s="14" t="s">
        <v>754</v>
      </c>
      <c r="D124" s="14" t="s">
        <v>755</v>
      </c>
      <c r="E124" s="18"/>
      <c r="F124" s="18"/>
      <c r="G124" s="9"/>
      <c r="H124" s="92">
        <f>9/9*100</f>
        <v>100</v>
      </c>
      <c r="I124" s="371" t="s">
        <v>27</v>
      </c>
      <c r="J124" s="9">
        <v>1408606500</v>
      </c>
      <c r="K124" s="18"/>
      <c r="L124" s="21"/>
      <c r="M124" s="18"/>
      <c r="N124" s="21"/>
      <c r="O124" s="56">
        <v>66.666666666666657</v>
      </c>
      <c r="P124" s="21">
        <v>1077520500</v>
      </c>
      <c r="Q124" s="171"/>
      <c r="R124" s="23"/>
      <c r="S124" s="171"/>
      <c r="T124" s="23"/>
      <c r="U124" s="172">
        <v>66.666666666666657</v>
      </c>
      <c r="V124" s="24">
        <v>824937263</v>
      </c>
      <c r="W124" s="172"/>
      <c r="X124" s="339"/>
      <c r="Y124" s="172"/>
      <c r="Z124" s="235"/>
      <c r="AA124" s="265">
        <f t="shared" ref="AA124:AB127" si="128">U124/O124*100</f>
        <v>100</v>
      </c>
      <c r="AB124" s="235">
        <f t="shared" si="128"/>
        <v>76.558846258609464</v>
      </c>
      <c r="AC124" s="316">
        <f>U124</f>
        <v>66.666666666666657</v>
      </c>
      <c r="AD124" s="193">
        <f>V124</f>
        <v>824937263</v>
      </c>
      <c r="AE124" s="56">
        <f t="shared" ref="AE124:AE127" si="129">AC124/H124*100</f>
        <v>66.666666666666657</v>
      </c>
      <c r="AF124" s="32" t="str">
        <f t="shared" ref="AF124:AF127" si="130">IF(AE124&gt;=91,"Sangat Tinggi",IF(AE124&gt;=76,"Tinggi",IF(AE124&gt;=66,"Sedang",IF(AE124&gt;=51,"Rendah",IF(AE124&lt;=50,"Sangat Rendah")))))</f>
        <v>Sedang</v>
      </c>
      <c r="AG124" s="354">
        <f t="shared" ref="AG124:AG127" si="131">AD124/J124*100</f>
        <v>58.56406760866146</v>
      </c>
      <c r="AH124" s="411"/>
      <c r="AK124" s="119"/>
    </row>
    <row r="125" spans="1:37" ht="90" x14ac:dyDescent="0.2">
      <c r="A125" s="60"/>
      <c r="B125" s="25"/>
      <c r="C125" s="14" t="s">
        <v>756</v>
      </c>
      <c r="D125" s="14" t="s">
        <v>757</v>
      </c>
      <c r="E125" s="18"/>
      <c r="F125" s="18"/>
      <c r="G125" s="9"/>
      <c r="H125" s="89">
        <v>100</v>
      </c>
      <c r="I125" s="35" t="s">
        <v>27</v>
      </c>
      <c r="J125" s="9">
        <v>262100000</v>
      </c>
      <c r="K125" s="18"/>
      <c r="L125" s="21"/>
      <c r="M125" s="18"/>
      <c r="N125" s="21"/>
      <c r="O125" s="18">
        <v>100</v>
      </c>
      <c r="P125" s="21">
        <v>131050000</v>
      </c>
      <c r="Q125" s="171"/>
      <c r="R125" s="23"/>
      <c r="S125" s="171"/>
      <c r="T125" s="23"/>
      <c r="U125" s="192">
        <v>0</v>
      </c>
      <c r="V125" s="23">
        <v>127150000</v>
      </c>
      <c r="W125" s="172"/>
      <c r="X125" s="235"/>
      <c r="Y125" s="172"/>
      <c r="Z125" s="235"/>
      <c r="AA125" s="265">
        <f t="shared" si="128"/>
        <v>0</v>
      </c>
      <c r="AB125" s="235">
        <f t="shared" si="128"/>
        <v>97.0240366272415</v>
      </c>
      <c r="AC125" s="316">
        <f>U125</f>
        <v>0</v>
      </c>
      <c r="AD125" s="193">
        <f t="shared" ref="AD125:AD127" si="132">V125</f>
        <v>127150000</v>
      </c>
      <c r="AE125" s="56">
        <f t="shared" si="129"/>
        <v>0</v>
      </c>
      <c r="AF125" s="32" t="str">
        <f t="shared" si="130"/>
        <v>Sangat Rendah</v>
      </c>
      <c r="AG125" s="354">
        <f t="shared" si="131"/>
        <v>48.51201831362075</v>
      </c>
      <c r="AH125" s="411"/>
      <c r="AK125" s="119"/>
    </row>
    <row r="126" spans="1:37" ht="90" x14ac:dyDescent="0.2">
      <c r="A126" s="60"/>
      <c r="B126" s="25"/>
      <c r="C126" s="14" t="s">
        <v>758</v>
      </c>
      <c r="D126" s="14" t="s">
        <v>759</v>
      </c>
      <c r="E126" s="18"/>
      <c r="F126" s="18"/>
      <c r="G126" s="9"/>
      <c r="H126" s="32">
        <v>100</v>
      </c>
      <c r="I126" s="35" t="s">
        <v>27</v>
      </c>
      <c r="J126" s="9">
        <v>2934250000</v>
      </c>
      <c r="K126" s="18"/>
      <c r="L126" s="21"/>
      <c r="M126" s="18"/>
      <c r="N126" s="21"/>
      <c r="O126" s="18">
        <v>100</v>
      </c>
      <c r="P126" s="21">
        <v>1256125000</v>
      </c>
      <c r="Q126" s="171"/>
      <c r="R126" s="23"/>
      <c r="S126" s="171"/>
      <c r="T126" s="23"/>
      <c r="U126" s="192">
        <v>100</v>
      </c>
      <c r="V126" s="23">
        <v>1212639500</v>
      </c>
      <c r="W126" s="172"/>
      <c r="X126" s="235"/>
      <c r="Y126" s="172"/>
      <c r="Z126" s="235"/>
      <c r="AA126" s="265">
        <f t="shared" si="128"/>
        <v>100</v>
      </c>
      <c r="AB126" s="235">
        <f t="shared" si="128"/>
        <v>96.538123196337949</v>
      </c>
      <c r="AC126" s="315">
        <f>U126</f>
        <v>100</v>
      </c>
      <c r="AD126" s="193">
        <f t="shared" si="132"/>
        <v>1212639500</v>
      </c>
      <c r="AE126" s="89">
        <f t="shared" si="129"/>
        <v>100</v>
      </c>
      <c r="AF126" s="32" t="str">
        <f t="shared" si="130"/>
        <v>Sangat Tinggi</v>
      </c>
      <c r="AG126" s="354">
        <f t="shared" si="131"/>
        <v>41.327068245718671</v>
      </c>
      <c r="AH126" s="411"/>
      <c r="AK126" s="119"/>
    </row>
    <row r="127" spans="1:37" ht="47.25" customHeight="1" x14ac:dyDescent="0.2">
      <c r="A127" s="60"/>
      <c r="B127" s="25"/>
      <c r="C127" s="14" t="s">
        <v>760</v>
      </c>
      <c r="D127" s="14" t="s">
        <v>761</v>
      </c>
      <c r="E127" s="18"/>
      <c r="F127" s="18"/>
      <c r="G127" s="9"/>
      <c r="H127" s="32">
        <v>1</v>
      </c>
      <c r="I127" s="371" t="s">
        <v>762</v>
      </c>
      <c r="J127" s="9">
        <v>1361506000</v>
      </c>
      <c r="K127" s="18"/>
      <c r="L127" s="21"/>
      <c r="M127" s="18"/>
      <c r="N127" s="21"/>
      <c r="O127" s="18">
        <v>1</v>
      </c>
      <c r="P127" s="21">
        <v>680753000</v>
      </c>
      <c r="Q127" s="171"/>
      <c r="R127" s="23"/>
      <c r="S127" s="171"/>
      <c r="T127" s="23"/>
      <c r="U127" s="192">
        <v>1</v>
      </c>
      <c r="V127" s="23">
        <v>650565650</v>
      </c>
      <c r="W127" s="172"/>
      <c r="X127" s="235"/>
      <c r="Y127" s="172"/>
      <c r="Z127" s="235"/>
      <c r="AA127" s="265">
        <f t="shared" si="128"/>
        <v>100</v>
      </c>
      <c r="AB127" s="235">
        <f t="shared" si="128"/>
        <v>95.565594275750527</v>
      </c>
      <c r="AC127" s="315">
        <f>U127</f>
        <v>1</v>
      </c>
      <c r="AD127" s="193">
        <f t="shared" si="132"/>
        <v>650565650</v>
      </c>
      <c r="AE127" s="89">
        <f t="shared" si="129"/>
        <v>100</v>
      </c>
      <c r="AF127" s="32" t="str">
        <f t="shared" si="130"/>
        <v>Sangat Tinggi</v>
      </c>
      <c r="AG127" s="354">
        <f t="shared" si="131"/>
        <v>47.782797137875264</v>
      </c>
      <c r="AH127" s="412"/>
      <c r="AK127" s="119"/>
    </row>
    <row r="128" spans="1:37" s="96" customFormat="1" ht="15" x14ac:dyDescent="0.2">
      <c r="A128" s="414" t="s">
        <v>5</v>
      </c>
      <c r="B128" s="415"/>
      <c r="C128" s="415"/>
      <c r="D128" s="415"/>
      <c r="E128" s="415"/>
      <c r="F128" s="415"/>
      <c r="G128" s="415"/>
      <c r="H128" s="415"/>
      <c r="I128" s="415"/>
      <c r="J128" s="415"/>
      <c r="K128" s="415"/>
      <c r="L128" s="415"/>
      <c r="M128" s="415"/>
      <c r="N128" s="415"/>
      <c r="O128" s="415"/>
      <c r="P128" s="415"/>
      <c r="Q128" s="415"/>
      <c r="R128" s="415"/>
      <c r="S128" s="415"/>
      <c r="T128" s="415"/>
      <c r="U128" s="415"/>
      <c r="V128" s="416"/>
      <c r="W128" s="110">
        <f>AVERAGE(W21:W127)</f>
        <v>163.32342764739457</v>
      </c>
      <c r="X128" s="110"/>
      <c r="Y128" s="110">
        <f>AVERAGE(Y21:Y127)</f>
        <v>149.20916840226931</v>
      </c>
      <c r="Z128" s="95"/>
      <c r="AA128" s="110">
        <f>AVERAGE(AA21:AA127)</f>
        <v>99.583900605482299</v>
      </c>
      <c r="AB128" s="95"/>
      <c r="AC128" s="95"/>
      <c r="AD128" s="95"/>
      <c r="AE128" s="95"/>
      <c r="AF128" s="95"/>
      <c r="AG128" s="95"/>
      <c r="AH128" s="111"/>
    </row>
    <row r="129" spans="1:34" s="96" customFormat="1" ht="15" x14ac:dyDescent="0.2">
      <c r="A129" s="414" t="s">
        <v>6</v>
      </c>
      <c r="B129" s="415"/>
      <c r="C129" s="415"/>
      <c r="D129" s="415"/>
      <c r="E129" s="415"/>
      <c r="F129" s="415"/>
      <c r="G129" s="415"/>
      <c r="H129" s="415"/>
      <c r="I129" s="415"/>
      <c r="J129" s="415"/>
      <c r="K129" s="415"/>
      <c r="L129" s="415"/>
      <c r="M129" s="415"/>
      <c r="N129" s="415"/>
      <c r="O129" s="415"/>
      <c r="P129" s="415"/>
      <c r="Q129" s="415"/>
      <c r="R129" s="415"/>
      <c r="S129" s="415"/>
      <c r="T129" s="415"/>
      <c r="U129" s="415"/>
      <c r="V129" s="416"/>
      <c r="W129" s="156" t="str">
        <f>IF(W128&gt;=91,"Sangat Tinggi",IF(W128&gt;=76,"Tinggi",IF(W128&gt;=66,"Sedang",IF(W128&gt;=51,"Rendah",IF(W128&lt;=50,"Sangat Rendah")))))</f>
        <v>Sangat Tinggi</v>
      </c>
      <c r="X129" s="95"/>
      <c r="Y129" s="156" t="str">
        <f>IF(Y128&gt;=91,"Sangat Tinggi",IF(Y128&gt;=76,"Tinggi",IF(Y128&gt;=66,"Sedang",IF(Y128&gt;=51,"Rendah",IF(Y128&lt;=50,"Sangat Rendah")))))</f>
        <v>Sangat Tinggi</v>
      </c>
      <c r="Z129" s="95"/>
      <c r="AA129" s="156" t="str">
        <f>IF(AA128&gt;=91,"Sangat Tinggi",IF(AA128&gt;=76,"Tinggi",IF(AA128&gt;=66,"Sedang",IF(AA128&gt;=51,"Rendah",IF(AA128&lt;=50,"Sangat Rendah")))))</f>
        <v>Sangat Tinggi</v>
      </c>
      <c r="AB129" s="95"/>
      <c r="AC129" s="95"/>
      <c r="AD129" s="95"/>
      <c r="AE129" s="95"/>
      <c r="AF129" s="95"/>
      <c r="AG129" s="95"/>
      <c r="AH129" s="111"/>
    </row>
    <row r="130" spans="1:34" s="96" customFormat="1" ht="15" x14ac:dyDescent="0.2">
      <c r="A130" s="459" t="s">
        <v>850</v>
      </c>
      <c r="B130" s="459"/>
      <c r="C130" s="459"/>
      <c r="D130" s="459"/>
      <c r="E130" s="459"/>
      <c r="F130" s="459"/>
      <c r="G130" s="459"/>
      <c r="H130" s="459"/>
      <c r="I130" s="459"/>
      <c r="J130" s="459"/>
      <c r="K130" s="459"/>
      <c r="L130" s="459"/>
      <c r="M130" s="459"/>
      <c r="N130" s="459"/>
      <c r="O130" s="459"/>
      <c r="P130" s="459"/>
      <c r="Q130" s="459"/>
      <c r="R130" s="459"/>
      <c r="S130" s="459"/>
      <c r="T130" s="459"/>
      <c r="U130" s="459"/>
      <c r="V130" s="459"/>
      <c r="W130" s="459"/>
      <c r="X130" s="459"/>
      <c r="Y130" s="459"/>
      <c r="Z130" s="459"/>
      <c r="AA130" s="459"/>
      <c r="AB130" s="459"/>
      <c r="AC130" s="459"/>
      <c r="AD130" s="459"/>
      <c r="AE130" s="459"/>
      <c r="AF130" s="459"/>
      <c r="AG130" s="459"/>
      <c r="AH130" s="111"/>
    </row>
    <row r="131" spans="1:34" s="96" customFormat="1" ht="15" x14ac:dyDescent="0.2">
      <c r="A131" s="459" t="s">
        <v>8</v>
      </c>
      <c r="B131" s="459"/>
      <c r="C131" s="459"/>
      <c r="D131" s="459"/>
      <c r="E131" s="459"/>
      <c r="F131" s="459"/>
      <c r="G131" s="459"/>
      <c r="H131" s="459"/>
      <c r="I131" s="459"/>
      <c r="J131" s="459"/>
      <c r="K131" s="459"/>
      <c r="L131" s="459"/>
      <c r="M131" s="459"/>
      <c r="N131" s="459"/>
      <c r="O131" s="459"/>
      <c r="P131" s="459"/>
      <c r="Q131" s="459"/>
      <c r="R131" s="459"/>
      <c r="S131" s="459"/>
      <c r="T131" s="459"/>
      <c r="U131" s="459"/>
      <c r="V131" s="459"/>
      <c r="W131" s="459"/>
      <c r="X131" s="459"/>
      <c r="Y131" s="459"/>
      <c r="Z131" s="459"/>
      <c r="AA131" s="459"/>
      <c r="AB131" s="459"/>
      <c r="AC131" s="459"/>
      <c r="AD131" s="459"/>
      <c r="AE131" s="459"/>
      <c r="AF131" s="459"/>
      <c r="AG131" s="459"/>
      <c r="AH131" s="111"/>
    </row>
    <row r="132" spans="1:34" s="96" customFormat="1" ht="15" x14ac:dyDescent="0.2">
      <c r="A132" s="459" t="s">
        <v>851</v>
      </c>
      <c r="B132" s="459"/>
      <c r="C132" s="459"/>
      <c r="D132" s="459"/>
      <c r="E132" s="459"/>
      <c r="F132" s="459"/>
      <c r="G132" s="459"/>
      <c r="H132" s="459"/>
      <c r="I132" s="459"/>
      <c r="J132" s="459"/>
      <c r="K132" s="459"/>
      <c r="L132" s="459"/>
      <c r="M132" s="459"/>
      <c r="N132" s="459"/>
      <c r="O132" s="459"/>
      <c r="P132" s="459"/>
      <c r="Q132" s="459"/>
      <c r="R132" s="459"/>
      <c r="S132" s="459"/>
      <c r="T132" s="459"/>
      <c r="U132" s="459"/>
      <c r="V132" s="459"/>
      <c r="W132" s="459"/>
      <c r="X132" s="459"/>
      <c r="Y132" s="459"/>
      <c r="Z132" s="459"/>
      <c r="AA132" s="459"/>
      <c r="AB132" s="459"/>
      <c r="AC132" s="459"/>
      <c r="AD132" s="459"/>
      <c r="AE132" s="459"/>
      <c r="AF132" s="459"/>
      <c r="AG132" s="459"/>
      <c r="AH132" s="111"/>
    </row>
    <row r="133" spans="1:34" s="96" customFormat="1" ht="15" x14ac:dyDescent="0.2">
      <c r="A133" s="459" t="s">
        <v>10</v>
      </c>
      <c r="B133" s="459"/>
      <c r="C133" s="459"/>
      <c r="D133" s="459"/>
      <c r="E133" s="459"/>
      <c r="F133" s="459"/>
      <c r="G133" s="459"/>
      <c r="H133" s="459"/>
      <c r="I133" s="459"/>
      <c r="J133" s="459"/>
      <c r="K133" s="459"/>
      <c r="L133" s="459"/>
      <c r="M133" s="459"/>
      <c r="N133" s="459"/>
      <c r="O133" s="459"/>
      <c r="P133" s="459"/>
      <c r="Q133" s="459"/>
      <c r="R133" s="459"/>
      <c r="S133" s="459"/>
      <c r="T133" s="459"/>
      <c r="U133" s="459"/>
      <c r="V133" s="459"/>
      <c r="W133" s="459"/>
      <c r="X133" s="459"/>
      <c r="Y133" s="459"/>
      <c r="Z133" s="459"/>
      <c r="AA133" s="459"/>
      <c r="AB133" s="459"/>
      <c r="AC133" s="459"/>
      <c r="AD133" s="459"/>
      <c r="AE133" s="459"/>
      <c r="AF133" s="459"/>
      <c r="AG133" s="459"/>
      <c r="AH133" s="112"/>
    </row>
    <row r="134" spans="1:34" ht="15" x14ac:dyDescent="0.2">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row>
    <row r="136" spans="1:34" ht="51" x14ac:dyDescent="0.2">
      <c r="A136" s="153" t="s">
        <v>492</v>
      </c>
      <c r="B136" s="153" t="s">
        <v>493</v>
      </c>
      <c r="C136" s="153" t="s">
        <v>494</v>
      </c>
    </row>
    <row r="137" spans="1:34" ht="25.5" x14ac:dyDescent="0.2">
      <c r="A137" s="154" t="s">
        <v>495</v>
      </c>
      <c r="B137" s="154" t="s">
        <v>496</v>
      </c>
      <c r="C137" s="154" t="s">
        <v>497</v>
      </c>
    </row>
    <row r="138" spans="1:34" ht="25.5" x14ac:dyDescent="0.2">
      <c r="A138" s="154" t="s">
        <v>498</v>
      </c>
      <c r="B138" s="154" t="s">
        <v>499</v>
      </c>
      <c r="C138" s="154" t="s">
        <v>500</v>
      </c>
    </row>
    <row r="139" spans="1:34" ht="25.5" x14ac:dyDescent="0.2">
      <c r="A139" s="154" t="s">
        <v>501</v>
      </c>
      <c r="B139" s="154" t="s">
        <v>502</v>
      </c>
      <c r="C139" s="154" t="s">
        <v>264</v>
      </c>
    </row>
    <row r="140" spans="1:34" ht="25.5" x14ac:dyDescent="0.2">
      <c r="A140" s="154" t="s">
        <v>503</v>
      </c>
      <c r="B140" s="154" t="s">
        <v>504</v>
      </c>
      <c r="C140" s="154" t="s">
        <v>505</v>
      </c>
    </row>
    <row r="141" spans="1:34" ht="25.5" x14ac:dyDescent="0.2">
      <c r="A141" s="154" t="s">
        <v>506</v>
      </c>
      <c r="B141" s="155" t="s">
        <v>507</v>
      </c>
      <c r="C141" s="154" t="s">
        <v>508</v>
      </c>
    </row>
  </sheetData>
  <mergeCells count="89">
    <mergeCell ref="A1:AH1"/>
    <mergeCell ref="A2:AH2"/>
    <mergeCell ref="A3:AH3"/>
    <mergeCell ref="Q12:V13"/>
    <mergeCell ref="W12:AB13"/>
    <mergeCell ref="A6:AG6"/>
    <mergeCell ref="A4:AG4"/>
    <mergeCell ref="A5:AG5"/>
    <mergeCell ref="A7:AG7"/>
    <mergeCell ref="A8:AG8"/>
    <mergeCell ref="A130:AG130"/>
    <mergeCell ref="A133:AG133"/>
    <mergeCell ref="A128:V128"/>
    <mergeCell ref="A129:V129"/>
    <mergeCell ref="A131:AG131"/>
    <mergeCell ref="A132:AG132"/>
    <mergeCell ref="P18:P20"/>
    <mergeCell ref="K15:L15"/>
    <mergeCell ref="AF16:AF17"/>
    <mergeCell ref="AH12:AH13"/>
    <mergeCell ref="E18:F20"/>
    <mergeCell ref="G18:G20"/>
    <mergeCell ref="H18:I20"/>
    <mergeCell ref="J18:J20"/>
    <mergeCell ref="K18:K20"/>
    <mergeCell ref="L18:L20"/>
    <mergeCell ref="M18:M20"/>
    <mergeCell ref="N18:N20"/>
    <mergeCell ref="Q18:Q20"/>
    <mergeCell ref="AE15:AG15"/>
    <mergeCell ref="W15:X15"/>
    <mergeCell ref="AC16:AC17"/>
    <mergeCell ref="B18:B20"/>
    <mergeCell ref="C18:C20"/>
    <mergeCell ref="A15:A17"/>
    <mergeCell ref="B15:B17"/>
    <mergeCell ref="O18:O20"/>
    <mergeCell ref="A18:A20"/>
    <mergeCell ref="D18:D20"/>
    <mergeCell ref="C15:C17"/>
    <mergeCell ref="D15:D17"/>
    <mergeCell ref="E15:G15"/>
    <mergeCell ref="G16:G17"/>
    <mergeCell ref="H16:I17"/>
    <mergeCell ref="H15:J15"/>
    <mergeCell ref="K16:K17"/>
    <mergeCell ref="E16:F17"/>
    <mergeCell ref="N16:N17"/>
    <mergeCell ref="AD16:AD17"/>
    <mergeCell ref="AC15:AD15"/>
    <mergeCell ref="A9:AG9"/>
    <mergeCell ref="A11:AG11"/>
    <mergeCell ref="A12:A14"/>
    <mergeCell ref="B12:B14"/>
    <mergeCell ref="C12:C14"/>
    <mergeCell ref="D12:D14"/>
    <mergeCell ref="E12:G14"/>
    <mergeCell ref="H12:J14"/>
    <mergeCell ref="AC12:AD14"/>
    <mergeCell ref="AE12:AG14"/>
    <mergeCell ref="M14:N14"/>
    <mergeCell ref="Y14:Z14"/>
    <mergeCell ref="Y15:Z15"/>
    <mergeCell ref="O15:P15"/>
    <mergeCell ref="R16:R17"/>
    <mergeCell ref="S16:S17"/>
    <mergeCell ref="AA15:AB15"/>
    <mergeCell ref="U15:V15"/>
    <mergeCell ref="U16:U17"/>
    <mergeCell ref="V16:V17"/>
    <mergeCell ref="Q15:R15"/>
    <mergeCell ref="T16:T17"/>
    <mergeCell ref="Q16:Q17"/>
    <mergeCell ref="S15:T15"/>
    <mergeCell ref="AA14:AB14"/>
    <mergeCell ref="A10:AG10"/>
    <mergeCell ref="Q14:R14"/>
    <mergeCell ref="W14:X14"/>
    <mergeCell ref="O14:P14"/>
    <mergeCell ref="K14:L14"/>
    <mergeCell ref="K12:P13"/>
    <mergeCell ref="U14:V14"/>
    <mergeCell ref="S14:T14"/>
    <mergeCell ref="M15:N15"/>
    <mergeCell ref="O16:O17"/>
    <mergeCell ref="P16:P17"/>
    <mergeCell ref="J16:J17"/>
    <mergeCell ref="M16:M17"/>
    <mergeCell ref="L16:L17"/>
  </mergeCells>
  <printOptions horizontalCentered="1"/>
  <pageMargins left="0.23622047244094491" right="0.23622047244094491" top="3.937007874015748E-2" bottom="3.937007874015748E-2" header="0" footer="0"/>
  <pageSetup paperSize="256" scale="34" orientation="landscape" horizontalDpi="4294967293" r:id="rId1"/>
  <rowBreaks count="6" manualBreakCount="6">
    <brk id="33" max="33" man="1"/>
    <brk id="49" max="33" man="1"/>
    <brk id="72" max="33" man="1"/>
    <brk id="88" max="33" man="1"/>
    <brk id="105" max="33" man="1"/>
    <brk id="121" max="3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K66"/>
  <sheetViews>
    <sheetView showRuler="0" view="pageBreakPreview" topLeftCell="A49" zoomScale="70" zoomScaleNormal="40" zoomScaleSheetLayoutView="70" zoomScalePageLayoutView="55" workbookViewId="0">
      <selection activeCell="AA44" sqref="AA44"/>
    </sheetView>
  </sheetViews>
  <sheetFormatPr defaultColWidth="9.140625" defaultRowHeight="14.25" x14ac:dyDescent="0.2"/>
  <cols>
    <col min="1" max="1" width="6.42578125" style="2" customWidth="1"/>
    <col min="2" max="2" width="18" style="2" customWidth="1"/>
    <col min="3" max="3" width="14.85546875" style="2" customWidth="1"/>
    <col min="4" max="4" width="15" style="2" customWidth="1"/>
    <col min="5" max="6" width="8" style="2" customWidth="1"/>
    <col min="7" max="7" width="20.7109375" style="2" bestFit="1" customWidth="1"/>
    <col min="8" max="8" width="9.7109375" style="2" customWidth="1"/>
    <col min="9" max="9" width="7.7109375" style="2" customWidth="1"/>
    <col min="10" max="10" width="19.140625" style="2" customWidth="1"/>
    <col min="11" max="11" width="9" style="2" customWidth="1"/>
    <col min="12" max="12" width="19.28515625" style="2" customWidth="1"/>
    <col min="13" max="13" width="9" style="2" customWidth="1"/>
    <col min="14" max="14" width="19.28515625" style="2" customWidth="1"/>
    <col min="15" max="15" width="9" style="2" customWidth="1"/>
    <col min="16" max="16" width="19.28515625" style="2" customWidth="1"/>
    <col min="17" max="17" width="7.7109375" style="2" customWidth="1"/>
    <col min="18" max="18" width="19.140625" style="2" customWidth="1"/>
    <col min="19" max="19" width="7.7109375" style="2" customWidth="1"/>
    <col min="20" max="20" width="18.28515625" style="2" customWidth="1"/>
    <col min="21" max="21" width="9.28515625" style="2" bestFit="1" customWidth="1"/>
    <col min="22" max="22" width="23.28515625" style="2" bestFit="1" customWidth="1"/>
    <col min="23" max="23" width="11.140625" style="2" customWidth="1"/>
    <col min="24" max="24" width="10" style="2" customWidth="1"/>
    <col min="25" max="25" width="8.85546875" style="2" customWidth="1"/>
    <col min="26" max="26" width="10.85546875" style="2" customWidth="1"/>
    <col min="27" max="27" width="11" style="2" bestFit="1" customWidth="1"/>
    <col min="28" max="28" width="10.85546875" style="2" customWidth="1"/>
    <col min="29" max="29" width="7.7109375" style="2" customWidth="1"/>
    <col min="30" max="30" width="18.42578125" style="2" customWidth="1"/>
    <col min="31" max="31" width="8.5703125" style="2" customWidth="1"/>
    <col min="32" max="32" width="11.5703125" style="2" customWidth="1"/>
    <col min="33" max="33" width="15.140625" style="2" customWidth="1"/>
    <col min="34" max="34" width="17.85546875" style="2" customWidth="1"/>
    <col min="35" max="36" width="9.140625" style="2"/>
    <col min="37" max="37" width="19.5703125" style="2" customWidth="1"/>
    <col min="38" max="16384" width="9.140625" style="2"/>
  </cols>
  <sheetData>
    <row r="1" spans="1:37" ht="23.25" x14ac:dyDescent="0.35">
      <c r="A1" s="460" t="s">
        <v>23</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row>
    <row r="2" spans="1:37" ht="23.25" x14ac:dyDescent="0.35">
      <c r="A2" s="460" t="s">
        <v>24</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row>
    <row r="3" spans="1:37" ht="23.25" x14ac:dyDescent="0.2">
      <c r="A3" s="461" t="s">
        <v>565</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row>
    <row r="4" spans="1:37" ht="18" x14ac:dyDescent="0.2">
      <c r="A4" s="439" t="s">
        <v>11</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row>
    <row r="5" spans="1:37" ht="18" customHeight="1" x14ac:dyDescent="0.2">
      <c r="A5" s="439" t="s">
        <v>256</v>
      </c>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row>
    <row r="6" spans="1:37" ht="15" x14ac:dyDescent="0.2">
      <c r="A6" s="440"/>
      <c r="B6" s="440"/>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row>
    <row r="7" spans="1:37" s="118" customFormat="1" ht="68.25" customHeight="1" x14ac:dyDescent="0.2">
      <c r="A7" s="417" t="s">
        <v>0</v>
      </c>
      <c r="B7" s="417" t="s">
        <v>257</v>
      </c>
      <c r="C7" s="452" t="s">
        <v>1</v>
      </c>
      <c r="D7" s="452" t="s">
        <v>299</v>
      </c>
      <c r="E7" s="441" t="s">
        <v>20</v>
      </c>
      <c r="F7" s="442"/>
      <c r="G7" s="443"/>
      <c r="H7" s="441" t="s">
        <v>19</v>
      </c>
      <c r="I7" s="442"/>
      <c r="J7" s="443"/>
      <c r="K7" s="420" t="s">
        <v>536</v>
      </c>
      <c r="L7" s="421"/>
      <c r="M7" s="421"/>
      <c r="N7" s="421"/>
      <c r="O7" s="421"/>
      <c r="P7" s="422"/>
      <c r="Q7" s="420" t="s">
        <v>537</v>
      </c>
      <c r="R7" s="421"/>
      <c r="S7" s="421"/>
      <c r="T7" s="421"/>
      <c r="U7" s="421"/>
      <c r="V7" s="422"/>
      <c r="W7" s="420" t="s">
        <v>538</v>
      </c>
      <c r="X7" s="421"/>
      <c r="Y7" s="421"/>
      <c r="Z7" s="421"/>
      <c r="AA7" s="421"/>
      <c r="AB7" s="422"/>
      <c r="AC7" s="420" t="s">
        <v>18</v>
      </c>
      <c r="AD7" s="422"/>
      <c r="AE7" s="420" t="s">
        <v>4</v>
      </c>
      <c r="AF7" s="421"/>
      <c r="AG7" s="422"/>
      <c r="AH7" s="462" t="s">
        <v>278</v>
      </c>
    </row>
    <row r="8" spans="1:37" s="118" customFormat="1" ht="18" customHeight="1" x14ac:dyDescent="0.2">
      <c r="A8" s="417"/>
      <c r="B8" s="417"/>
      <c r="C8" s="452"/>
      <c r="D8" s="452"/>
      <c r="E8" s="444"/>
      <c r="F8" s="445"/>
      <c r="G8" s="446"/>
      <c r="H8" s="444"/>
      <c r="I8" s="445"/>
      <c r="J8" s="446"/>
      <c r="K8" s="436"/>
      <c r="L8" s="437"/>
      <c r="M8" s="437"/>
      <c r="N8" s="437"/>
      <c r="O8" s="437"/>
      <c r="P8" s="438"/>
      <c r="Q8" s="436"/>
      <c r="R8" s="437"/>
      <c r="S8" s="437"/>
      <c r="T8" s="437"/>
      <c r="U8" s="437"/>
      <c r="V8" s="438"/>
      <c r="W8" s="423"/>
      <c r="X8" s="424"/>
      <c r="Y8" s="424"/>
      <c r="Z8" s="424"/>
      <c r="AA8" s="424"/>
      <c r="AB8" s="425"/>
      <c r="AC8" s="423"/>
      <c r="AD8" s="425"/>
      <c r="AE8" s="423"/>
      <c r="AF8" s="424"/>
      <c r="AG8" s="425"/>
      <c r="AH8" s="463"/>
    </row>
    <row r="9" spans="1:37" s="118" customFormat="1" ht="15.75" customHeight="1" x14ac:dyDescent="0.2">
      <c r="A9" s="417"/>
      <c r="B9" s="417"/>
      <c r="C9" s="452"/>
      <c r="D9" s="452"/>
      <c r="E9" s="447"/>
      <c r="F9" s="448"/>
      <c r="G9" s="449"/>
      <c r="H9" s="447"/>
      <c r="I9" s="448"/>
      <c r="J9" s="449"/>
      <c r="K9" s="453" t="s">
        <v>534</v>
      </c>
      <c r="L9" s="454"/>
      <c r="M9" s="453" t="s">
        <v>535</v>
      </c>
      <c r="N9" s="454"/>
      <c r="O9" s="453" t="s">
        <v>564</v>
      </c>
      <c r="P9" s="454"/>
      <c r="Q9" s="453" t="s">
        <v>534</v>
      </c>
      <c r="R9" s="454"/>
      <c r="S9" s="453" t="s">
        <v>535</v>
      </c>
      <c r="T9" s="454"/>
      <c r="U9" s="453" t="s">
        <v>564</v>
      </c>
      <c r="V9" s="454"/>
      <c r="W9" s="450" t="s">
        <v>534</v>
      </c>
      <c r="X9" s="451"/>
      <c r="Y9" s="450" t="s">
        <v>535</v>
      </c>
      <c r="Z9" s="451"/>
      <c r="AA9" s="450" t="s">
        <v>564</v>
      </c>
      <c r="AB9" s="451"/>
      <c r="AC9" s="436"/>
      <c r="AD9" s="438"/>
      <c r="AE9" s="436"/>
      <c r="AF9" s="437"/>
      <c r="AG9" s="438"/>
      <c r="AH9" s="113"/>
    </row>
    <row r="10" spans="1:37" s="96" customFormat="1" ht="15.75" x14ac:dyDescent="0.25">
      <c r="A10" s="426">
        <v>1</v>
      </c>
      <c r="B10" s="426">
        <v>2</v>
      </c>
      <c r="C10" s="426">
        <v>3</v>
      </c>
      <c r="D10" s="426">
        <v>4</v>
      </c>
      <c r="E10" s="433">
        <v>5</v>
      </c>
      <c r="F10" s="434"/>
      <c r="G10" s="435"/>
      <c r="H10" s="433">
        <v>6</v>
      </c>
      <c r="I10" s="434"/>
      <c r="J10" s="435"/>
      <c r="K10" s="418">
        <v>7</v>
      </c>
      <c r="L10" s="419"/>
      <c r="M10" s="418">
        <v>8</v>
      </c>
      <c r="N10" s="419"/>
      <c r="O10" s="418">
        <v>8</v>
      </c>
      <c r="P10" s="419"/>
      <c r="Q10" s="418">
        <v>12</v>
      </c>
      <c r="R10" s="419"/>
      <c r="S10" s="418">
        <v>13</v>
      </c>
      <c r="T10" s="419"/>
      <c r="U10" s="418">
        <v>13</v>
      </c>
      <c r="V10" s="419"/>
      <c r="W10" s="455">
        <v>17</v>
      </c>
      <c r="X10" s="457"/>
      <c r="Y10" s="455">
        <v>18</v>
      </c>
      <c r="Z10" s="457"/>
      <c r="AA10" s="455">
        <v>18</v>
      </c>
      <c r="AB10" s="457"/>
      <c r="AC10" s="455">
        <v>22</v>
      </c>
      <c r="AD10" s="457"/>
      <c r="AE10" s="455">
        <v>23</v>
      </c>
      <c r="AF10" s="456"/>
      <c r="AG10" s="457"/>
      <c r="AH10" s="114"/>
    </row>
    <row r="11" spans="1:37" s="96" customFormat="1" ht="87" customHeight="1" x14ac:dyDescent="0.2">
      <c r="A11" s="428"/>
      <c r="B11" s="428"/>
      <c r="C11" s="428"/>
      <c r="D11" s="428"/>
      <c r="E11" s="429" t="s">
        <v>2</v>
      </c>
      <c r="F11" s="430"/>
      <c r="G11" s="427" t="s">
        <v>3</v>
      </c>
      <c r="H11" s="429" t="s">
        <v>2</v>
      </c>
      <c r="I11" s="430"/>
      <c r="J11" s="427" t="s">
        <v>3</v>
      </c>
      <c r="K11" s="429" t="s">
        <v>2</v>
      </c>
      <c r="L11" s="426" t="s">
        <v>3</v>
      </c>
      <c r="M11" s="429" t="s">
        <v>2</v>
      </c>
      <c r="N11" s="426" t="s">
        <v>3</v>
      </c>
      <c r="O11" s="429" t="s">
        <v>2</v>
      </c>
      <c r="P11" s="426" t="s">
        <v>3</v>
      </c>
      <c r="Q11" s="429" t="s">
        <v>2</v>
      </c>
      <c r="R11" s="426" t="s">
        <v>3</v>
      </c>
      <c r="S11" s="429" t="s">
        <v>2</v>
      </c>
      <c r="T11" s="426" t="s">
        <v>3</v>
      </c>
      <c r="U11" s="429" t="s">
        <v>2</v>
      </c>
      <c r="V11" s="426" t="s">
        <v>3</v>
      </c>
      <c r="W11" s="406" t="s">
        <v>12</v>
      </c>
      <c r="X11" s="99" t="s">
        <v>13</v>
      </c>
      <c r="Y11" s="406" t="s">
        <v>14</v>
      </c>
      <c r="Z11" s="99" t="s">
        <v>15</v>
      </c>
      <c r="AA11" s="406" t="s">
        <v>14</v>
      </c>
      <c r="AB11" s="99" t="s">
        <v>15</v>
      </c>
      <c r="AC11" s="429" t="s">
        <v>2</v>
      </c>
      <c r="AD11" s="430" t="s">
        <v>3</v>
      </c>
      <c r="AE11" s="406" t="s">
        <v>17</v>
      </c>
      <c r="AF11" s="464" t="s">
        <v>21</v>
      </c>
      <c r="AG11" s="99" t="s">
        <v>16</v>
      </c>
      <c r="AH11" s="115"/>
      <c r="AK11" s="119"/>
    </row>
    <row r="12" spans="1:37" s="96" customFormat="1" ht="15.75" x14ac:dyDescent="0.2">
      <c r="A12" s="427"/>
      <c r="B12" s="427"/>
      <c r="C12" s="427"/>
      <c r="D12" s="427"/>
      <c r="E12" s="431"/>
      <c r="F12" s="432"/>
      <c r="G12" s="458"/>
      <c r="H12" s="431"/>
      <c r="I12" s="432"/>
      <c r="J12" s="458"/>
      <c r="K12" s="431"/>
      <c r="L12" s="427"/>
      <c r="M12" s="431"/>
      <c r="N12" s="427"/>
      <c r="O12" s="431"/>
      <c r="P12" s="427"/>
      <c r="Q12" s="431"/>
      <c r="R12" s="427"/>
      <c r="S12" s="431"/>
      <c r="T12" s="427"/>
      <c r="U12" s="431"/>
      <c r="V12" s="427"/>
      <c r="W12" s="405" t="s">
        <v>2</v>
      </c>
      <c r="X12" s="176" t="s">
        <v>3</v>
      </c>
      <c r="Y12" s="407" t="s">
        <v>2</v>
      </c>
      <c r="Z12" s="176" t="s">
        <v>3</v>
      </c>
      <c r="AA12" s="407" t="s">
        <v>2</v>
      </c>
      <c r="AB12" s="327" t="s">
        <v>3</v>
      </c>
      <c r="AC12" s="431"/>
      <c r="AD12" s="432"/>
      <c r="AE12" s="405" t="s">
        <v>2</v>
      </c>
      <c r="AF12" s="465"/>
      <c r="AG12" s="176" t="s">
        <v>3</v>
      </c>
      <c r="AH12" s="115"/>
    </row>
    <row r="13" spans="1:37" ht="15" hidden="1" customHeight="1" x14ac:dyDescent="0.2">
      <c r="A13" s="475"/>
      <c r="B13" s="466" t="s">
        <v>32</v>
      </c>
      <c r="C13" s="469" t="s">
        <v>33</v>
      </c>
      <c r="D13" s="466" t="s">
        <v>34</v>
      </c>
      <c r="E13" s="478" t="s">
        <v>35</v>
      </c>
      <c r="F13" s="479"/>
      <c r="G13" s="475"/>
      <c r="H13" s="478" t="s">
        <v>36</v>
      </c>
      <c r="I13" s="479"/>
      <c r="J13" s="469" t="s">
        <v>37</v>
      </c>
      <c r="K13" s="472" t="s">
        <v>38</v>
      </c>
      <c r="L13" s="469" t="s">
        <v>39</v>
      </c>
      <c r="M13" s="472" t="s">
        <v>38</v>
      </c>
      <c r="N13" s="469" t="s">
        <v>39</v>
      </c>
      <c r="O13" s="472" t="s">
        <v>38</v>
      </c>
      <c r="P13" s="469" t="s">
        <v>39</v>
      </c>
      <c r="Q13" s="472" t="s">
        <v>40</v>
      </c>
      <c r="R13" s="3"/>
      <c r="S13" s="3"/>
      <c r="T13" s="3"/>
      <c r="U13" s="3"/>
      <c r="V13" s="3"/>
      <c r="W13" s="3"/>
      <c r="X13" s="3"/>
      <c r="Y13" s="3"/>
      <c r="Z13" s="3"/>
      <c r="AA13" s="3"/>
      <c r="AB13" s="3"/>
      <c r="AC13" s="3"/>
      <c r="AD13" s="3"/>
      <c r="AE13" s="3"/>
      <c r="AF13" s="3"/>
      <c r="AG13" s="3"/>
      <c r="AH13" s="111"/>
    </row>
    <row r="14" spans="1:37" ht="15" hidden="1" customHeight="1" x14ac:dyDescent="0.2">
      <c r="A14" s="476"/>
      <c r="B14" s="467"/>
      <c r="C14" s="470"/>
      <c r="D14" s="467"/>
      <c r="E14" s="480"/>
      <c r="F14" s="481"/>
      <c r="G14" s="476"/>
      <c r="H14" s="480"/>
      <c r="I14" s="481"/>
      <c r="J14" s="470"/>
      <c r="K14" s="473"/>
      <c r="L14" s="470"/>
      <c r="M14" s="473"/>
      <c r="N14" s="470"/>
      <c r="O14" s="473"/>
      <c r="P14" s="470"/>
      <c r="Q14" s="473"/>
      <c r="R14" s="4"/>
      <c r="S14" s="4"/>
      <c r="T14" s="4"/>
      <c r="U14" s="4"/>
      <c r="V14" s="4"/>
      <c r="W14" s="4"/>
      <c r="X14" s="4"/>
      <c r="Y14" s="4"/>
      <c r="Z14" s="4"/>
      <c r="AA14" s="4"/>
      <c r="AB14" s="4"/>
      <c r="AC14" s="4"/>
      <c r="AD14" s="4"/>
      <c r="AE14" s="4"/>
      <c r="AF14" s="4"/>
      <c r="AG14" s="4"/>
      <c r="AH14" s="111"/>
    </row>
    <row r="15" spans="1:37" ht="15" hidden="1" customHeight="1" x14ac:dyDescent="0.2">
      <c r="A15" s="477"/>
      <c r="B15" s="468"/>
      <c r="C15" s="471"/>
      <c r="D15" s="468"/>
      <c r="E15" s="482"/>
      <c r="F15" s="483"/>
      <c r="G15" s="477"/>
      <c r="H15" s="482"/>
      <c r="I15" s="483"/>
      <c r="J15" s="471"/>
      <c r="K15" s="474"/>
      <c r="L15" s="471"/>
      <c r="M15" s="474"/>
      <c r="N15" s="471"/>
      <c r="O15" s="474"/>
      <c r="P15" s="471"/>
      <c r="Q15" s="474"/>
      <c r="R15" s="5"/>
      <c r="S15" s="5"/>
      <c r="T15" s="5"/>
      <c r="U15" s="5"/>
      <c r="V15" s="5"/>
      <c r="W15" s="5"/>
      <c r="X15" s="5"/>
      <c r="Y15" s="5"/>
      <c r="Z15" s="5"/>
      <c r="AA15" s="5"/>
      <c r="AB15" s="5"/>
      <c r="AC15" s="5"/>
      <c r="AD15" s="5"/>
      <c r="AE15" s="5"/>
      <c r="AF15" s="5"/>
      <c r="AG15" s="5"/>
      <c r="AH15" s="111"/>
    </row>
    <row r="16" spans="1:37" ht="117.75" customHeight="1" x14ac:dyDescent="0.2">
      <c r="A16" s="106" t="s">
        <v>300</v>
      </c>
      <c r="B16" s="107" t="s">
        <v>301</v>
      </c>
      <c r="C16" s="102"/>
      <c r="D16" s="103" t="s">
        <v>302</v>
      </c>
      <c r="E16" s="213">
        <v>67.489999999999995</v>
      </c>
      <c r="F16" s="214" t="s">
        <v>27</v>
      </c>
      <c r="G16" s="257"/>
      <c r="H16" s="213">
        <v>50.9</v>
      </c>
      <c r="I16" s="214" t="s">
        <v>27</v>
      </c>
      <c r="J16" s="217">
        <f>J17+J28+J32</f>
        <v>848816942630</v>
      </c>
      <c r="K16" s="213">
        <v>49.64</v>
      </c>
      <c r="L16" s="217">
        <f>L17+L28+L32</f>
        <v>173996161326</v>
      </c>
      <c r="M16" s="213">
        <v>51</v>
      </c>
      <c r="N16" s="217">
        <f>N17+N28+N32</f>
        <v>100187165973</v>
      </c>
      <c r="O16" s="213">
        <v>50.38</v>
      </c>
      <c r="P16" s="217">
        <f>P17+P28+P32</f>
        <v>190302398655</v>
      </c>
      <c r="Q16" s="213">
        <f>AVERAGE(Q17,Q28,Q32,Q40,Q44)</f>
        <v>45.083913606594756</v>
      </c>
      <c r="R16" s="217">
        <f>R17+R28+R32</f>
        <v>168360552027</v>
      </c>
      <c r="S16" s="213">
        <f>AVERAGE(S17,S28,S32,S40,S44)</f>
        <v>52.428745919283685</v>
      </c>
      <c r="T16" s="217">
        <f>T17+T28+T32</f>
        <v>89812179672</v>
      </c>
      <c r="U16" s="213">
        <f>AVERAGE(U17,U28,U32,U40,U44)</f>
        <v>58.06542600437492</v>
      </c>
      <c r="V16" s="375">
        <f>V17+V28+V32</f>
        <v>161204743825</v>
      </c>
      <c r="W16" s="260">
        <f t="shared" ref="W16:AB17" si="0">Q16/K16*100</f>
        <v>90.821743768321426</v>
      </c>
      <c r="X16" s="261">
        <f t="shared" si="0"/>
        <v>96.761072625940812</v>
      </c>
      <c r="Y16" s="260">
        <f t="shared" si="0"/>
        <v>102.80146258683077</v>
      </c>
      <c r="Z16" s="261">
        <f t="shared" si="0"/>
        <v>89.644395866236977</v>
      </c>
      <c r="AA16" s="260">
        <f t="shared" si="0"/>
        <v>115.25491465735394</v>
      </c>
      <c r="AB16" s="261">
        <f t="shared" si="0"/>
        <v>84.709780309836631</v>
      </c>
      <c r="AC16" s="213">
        <f>U16</f>
        <v>58.06542600437492</v>
      </c>
      <c r="AD16" s="307">
        <f>R16+T16+V16</f>
        <v>419377475524</v>
      </c>
      <c r="AE16" s="218">
        <f>AC16/H16*100</f>
        <v>114.07745776890947</v>
      </c>
      <c r="AF16" s="402" t="str">
        <f>IF(AE16&gt;=91,"Sangat Tinggi",IF(AE16&gt;=76,"Tinggi",IF(AE16&gt;=66,"Sedang",IF(AE16&gt;=51,"Rendah",IF(AE16&lt;=50,"Sangat Rendah")))))</f>
        <v>Sangat Tinggi</v>
      </c>
      <c r="AG16" s="239">
        <f>AD16/J16*100</f>
        <v>49.407293193817296</v>
      </c>
      <c r="AH16" s="116"/>
      <c r="AK16" s="119">
        <f>R16</f>
        <v>168360552027</v>
      </c>
    </row>
    <row r="17" spans="1:37" ht="110.25" x14ac:dyDescent="0.2">
      <c r="A17" s="66">
        <v>12</v>
      </c>
      <c r="B17" s="61" t="s">
        <v>115</v>
      </c>
      <c r="C17" s="14"/>
      <c r="D17" s="62" t="s">
        <v>340</v>
      </c>
      <c r="E17" s="258">
        <v>74.5</v>
      </c>
      <c r="F17" s="220" t="s">
        <v>27</v>
      </c>
      <c r="G17" s="259">
        <f>SUM(G18:G19)</f>
        <v>99920372400</v>
      </c>
      <c r="H17" s="258">
        <v>67</v>
      </c>
      <c r="I17" s="220" t="s">
        <v>27</v>
      </c>
      <c r="J17" s="259">
        <f>SUM(J18:J20)</f>
        <v>356956153375</v>
      </c>
      <c r="K17" s="258">
        <v>62.45</v>
      </c>
      <c r="L17" s="259">
        <f>SUM(L18:L20)</f>
        <v>107064248475</v>
      </c>
      <c r="M17" s="258">
        <v>63.6</v>
      </c>
      <c r="N17" s="259">
        <f>SUM(N18:N20)</f>
        <v>52296956000</v>
      </c>
      <c r="O17" s="258">
        <v>64.75</v>
      </c>
      <c r="P17" s="259">
        <f>SUM(P18:P27)</f>
        <v>70046544706</v>
      </c>
      <c r="Q17" s="258">
        <f>550.27/859.36*100</f>
        <v>64.032535840625584</v>
      </c>
      <c r="R17" s="259">
        <f>SUM(R18:R20)</f>
        <v>103385830159</v>
      </c>
      <c r="S17" s="258">
        <f>567.55/859.36*100</f>
        <v>66.043334574567112</v>
      </c>
      <c r="T17" s="259">
        <f>SUM(T18:T20)</f>
        <v>47804313554</v>
      </c>
      <c r="U17" s="258">
        <v>68.368320610687022</v>
      </c>
      <c r="V17" s="259">
        <f>SUM(V18:V27)</f>
        <v>54565633765</v>
      </c>
      <c r="W17" s="254">
        <f t="shared" si="0"/>
        <v>102.53408461269109</v>
      </c>
      <c r="X17" s="240">
        <f t="shared" si="0"/>
        <v>96.564288856089135</v>
      </c>
      <c r="Y17" s="254">
        <f t="shared" si="0"/>
        <v>103.84172102919358</v>
      </c>
      <c r="Z17" s="240">
        <f t="shared" si="0"/>
        <v>91.409361481765785</v>
      </c>
      <c r="AA17" s="254">
        <f t="shared" si="0"/>
        <v>105.58813993928497</v>
      </c>
      <c r="AB17" s="240">
        <f t="shared" si="0"/>
        <v>77.899108362908379</v>
      </c>
      <c r="AC17" s="223">
        <f>U17</f>
        <v>68.368320610687022</v>
      </c>
      <c r="AD17" s="308">
        <f>R17+T17+V17</f>
        <v>205755777478</v>
      </c>
      <c r="AE17" s="234">
        <f>AC17/H17*100</f>
        <v>102.04226956818958</v>
      </c>
      <c r="AF17" s="219" t="str">
        <f>IF(AE17&gt;=91,"Sangat Tinggi",IF(AE17&gt;=76,"Tinggi",IF(AE17&gt;=66,"Sedang",IF(AE17&gt;=51,"Rendah",IF(AE17&lt;=50,"Sangat Rendah")))))</f>
        <v>Sangat Tinggi</v>
      </c>
      <c r="AG17" s="403">
        <f>AD17/J17*100</f>
        <v>57.641751103767483</v>
      </c>
      <c r="AH17" s="410" t="s">
        <v>303</v>
      </c>
      <c r="AK17" s="119">
        <f>R17</f>
        <v>103385830159</v>
      </c>
    </row>
    <row r="18" spans="1:37" ht="60" x14ac:dyDescent="0.2">
      <c r="A18" s="17"/>
      <c r="B18" s="25"/>
      <c r="C18" s="14" t="s">
        <v>47</v>
      </c>
      <c r="D18" s="14" t="s">
        <v>304</v>
      </c>
      <c r="E18" s="73">
        <v>635.92999999999995</v>
      </c>
      <c r="F18" s="35" t="s">
        <v>305</v>
      </c>
      <c r="G18" s="23">
        <v>64616569000</v>
      </c>
      <c r="H18" s="74">
        <v>0.8</v>
      </c>
      <c r="I18" s="35" t="s">
        <v>305</v>
      </c>
      <c r="J18" s="24">
        <v>75299098000</v>
      </c>
      <c r="K18" s="56">
        <v>536.70000000000005</v>
      </c>
      <c r="L18" s="9">
        <v>62066173000</v>
      </c>
      <c r="M18" s="56">
        <v>0.3</v>
      </c>
      <c r="N18" s="9">
        <v>11109331000</v>
      </c>
      <c r="O18" s="56"/>
      <c r="P18" s="9"/>
      <c r="Q18" s="75">
        <v>550.27</v>
      </c>
      <c r="R18" s="23">
        <v>60182399926</v>
      </c>
      <c r="S18" s="74">
        <v>0.35</v>
      </c>
      <c r="T18" s="23">
        <v>10992841505</v>
      </c>
      <c r="U18" s="74"/>
      <c r="V18" s="23"/>
      <c r="W18" s="172">
        <f>Q18/K18*100</f>
        <v>102.52841438419973</v>
      </c>
      <c r="X18" s="235">
        <f>R18/L18*100</f>
        <v>96.964895718638871</v>
      </c>
      <c r="Y18" s="172">
        <f>S18/M18*100</f>
        <v>116.66666666666667</v>
      </c>
      <c r="Z18" s="235">
        <f>T18/N18*100</f>
        <v>98.951426553048066</v>
      </c>
      <c r="AA18" s="172"/>
      <c r="AB18" s="235"/>
      <c r="AC18" s="74">
        <f>S18</f>
        <v>0.35</v>
      </c>
      <c r="AD18" s="274">
        <f>R18+T18</f>
        <v>71175241431</v>
      </c>
      <c r="AE18" s="56">
        <f t="shared" ref="AE18" si="1">AC18/H18*100</f>
        <v>43.749999999999993</v>
      </c>
      <c r="AF18" s="32" t="str">
        <f t="shared" ref="AF18" si="2">IF(AE18&gt;=91,"Sangat Tinggi",IF(AE18&gt;=76,"Tinggi",IF(AE18&gt;=66,"Sedang",IF(AE18&gt;=51,"Rendah",IF(AE18&lt;=50,"Sangat Rendah")))))</f>
        <v>Sangat Rendah</v>
      </c>
      <c r="AG18" s="56">
        <f t="shared" ref="AG18" si="3">AD18/J18*100</f>
        <v>94.523365248013988</v>
      </c>
      <c r="AH18" s="111"/>
      <c r="AK18" s="119">
        <f>R18</f>
        <v>60182399926</v>
      </c>
    </row>
    <row r="19" spans="1:37" ht="60" x14ac:dyDescent="0.2">
      <c r="A19" s="60"/>
      <c r="B19" s="60"/>
      <c r="C19" s="212" t="s">
        <v>48</v>
      </c>
      <c r="D19" s="212" t="s">
        <v>304</v>
      </c>
      <c r="E19" s="73">
        <v>635.92999999999995</v>
      </c>
      <c r="F19" s="18" t="s">
        <v>305</v>
      </c>
      <c r="G19" s="23">
        <v>35303803400</v>
      </c>
      <c r="H19" s="56">
        <v>536.70000000000005</v>
      </c>
      <c r="I19" s="18" t="s">
        <v>305</v>
      </c>
      <c r="J19" s="11">
        <v>44998075475</v>
      </c>
      <c r="K19" s="56">
        <v>536.70000000000005</v>
      </c>
      <c r="L19" s="9">
        <v>44998075475</v>
      </c>
      <c r="M19" s="56"/>
      <c r="N19" s="9"/>
      <c r="O19" s="56"/>
      <c r="P19" s="9"/>
      <c r="Q19" s="75">
        <v>550.27</v>
      </c>
      <c r="R19" s="23">
        <v>43203430233</v>
      </c>
      <c r="S19" s="73"/>
      <c r="T19" s="23"/>
      <c r="U19" s="73"/>
      <c r="V19" s="23"/>
      <c r="W19" s="172">
        <f>Q19/K19*100</f>
        <v>102.52841438419973</v>
      </c>
      <c r="X19" s="235">
        <f>R19/L19*100</f>
        <v>96.011728894945591</v>
      </c>
      <c r="Y19" s="172"/>
      <c r="Z19" s="235"/>
      <c r="AA19" s="172"/>
      <c r="AB19" s="235"/>
      <c r="AC19" s="74">
        <f>Q19</f>
        <v>550.27</v>
      </c>
      <c r="AD19" s="274">
        <f>R19+T19</f>
        <v>43203430233</v>
      </c>
      <c r="AE19" s="56">
        <f t="shared" ref="AE19:AE20" si="4">AC19/H19*100</f>
        <v>102.52841438419973</v>
      </c>
      <c r="AF19" s="32" t="str">
        <f t="shared" ref="AF19:AF20" si="5">IF(AE19&gt;=91,"Sangat Tinggi",IF(AE19&gt;=76,"Tinggi",IF(AE19&gt;=66,"Sedang",IF(AE19&gt;=51,"Rendah",IF(AE19&lt;=50,"Sangat Rendah")))))</f>
        <v>Sangat Tinggi</v>
      </c>
      <c r="AG19" s="56">
        <f t="shared" ref="AG19:AG20" si="6">AD19/J19*100</f>
        <v>96.011728894945591</v>
      </c>
      <c r="AH19" s="111"/>
      <c r="AK19" s="119">
        <f>R19</f>
        <v>43203430233</v>
      </c>
    </row>
    <row r="20" spans="1:37" ht="60" x14ac:dyDescent="0.2">
      <c r="A20" s="17"/>
      <c r="B20" s="25"/>
      <c r="C20" s="14" t="s">
        <v>306</v>
      </c>
      <c r="D20" s="14" t="s">
        <v>304</v>
      </c>
      <c r="E20" s="73">
        <v>0</v>
      </c>
      <c r="F20" s="35" t="s">
        <v>305</v>
      </c>
      <c r="G20" s="79"/>
      <c r="H20" s="74">
        <v>575.77</v>
      </c>
      <c r="I20" s="35" t="s">
        <v>305</v>
      </c>
      <c r="J20" s="24">
        <v>236658979900</v>
      </c>
      <c r="K20" s="56"/>
      <c r="L20" s="9"/>
      <c r="M20" s="56">
        <v>546.58000000000004</v>
      </c>
      <c r="N20" s="9">
        <v>41187625000</v>
      </c>
      <c r="O20" s="56"/>
      <c r="P20" s="9"/>
      <c r="Q20" s="56"/>
      <c r="R20" s="23"/>
      <c r="S20" s="56">
        <v>570.19999999999993</v>
      </c>
      <c r="T20" s="23">
        <v>36811472049</v>
      </c>
      <c r="U20" s="56"/>
      <c r="V20" s="23"/>
      <c r="W20" s="172"/>
      <c r="X20" s="235"/>
      <c r="Y20" s="172">
        <f>S20/M20*100</f>
        <v>104.32141680998205</v>
      </c>
      <c r="Z20" s="235">
        <f>T20/N20*100</f>
        <v>89.375078191568463</v>
      </c>
      <c r="AA20" s="172"/>
      <c r="AB20" s="235"/>
      <c r="AC20" s="74">
        <f>S20</f>
        <v>570.19999999999993</v>
      </c>
      <c r="AD20" s="274">
        <f>R20+T20</f>
        <v>36811472049</v>
      </c>
      <c r="AE20" s="56">
        <f t="shared" si="4"/>
        <v>99.032599822845924</v>
      </c>
      <c r="AF20" s="32" t="str">
        <f t="shared" si="5"/>
        <v>Sangat Tinggi</v>
      </c>
      <c r="AG20" s="56">
        <f t="shared" si="6"/>
        <v>15.55464832331934</v>
      </c>
      <c r="AH20" s="111"/>
      <c r="AK20" s="119">
        <f>R20</f>
        <v>0</v>
      </c>
    </row>
    <row r="21" spans="1:37" ht="60" x14ac:dyDescent="0.2">
      <c r="A21" s="17"/>
      <c r="B21" s="25"/>
      <c r="C21" s="94" t="s">
        <v>651</v>
      </c>
      <c r="D21" s="14" t="s">
        <v>652</v>
      </c>
      <c r="E21" s="73"/>
      <c r="F21" s="35"/>
      <c r="G21" s="266"/>
      <c r="H21" s="372">
        <v>68.78</v>
      </c>
      <c r="I21" s="35" t="s">
        <v>27</v>
      </c>
      <c r="J21" s="206">
        <v>61164144975</v>
      </c>
      <c r="K21" s="56"/>
      <c r="L21" s="183"/>
      <c r="M21" s="56"/>
      <c r="N21" s="183"/>
      <c r="O21" s="373">
        <v>67.83</v>
      </c>
      <c r="P21" s="183">
        <v>68261612400</v>
      </c>
      <c r="Q21" s="56"/>
      <c r="R21" s="195"/>
      <c r="S21" s="56"/>
      <c r="T21" s="195"/>
      <c r="U21" s="374">
        <v>68.37</v>
      </c>
      <c r="V21" s="195">
        <v>52960423559</v>
      </c>
      <c r="W21" s="172"/>
      <c r="X21" s="237"/>
      <c r="Y21" s="172"/>
      <c r="Z21" s="237"/>
      <c r="AA21" s="172">
        <f>U21/O21*100</f>
        <v>100.79610791685096</v>
      </c>
      <c r="AB21" s="237">
        <f>V21/P21*100</f>
        <v>77.584489579094679</v>
      </c>
      <c r="AC21" s="74">
        <f>U21</f>
        <v>68.37</v>
      </c>
      <c r="AD21" s="311">
        <f>V21</f>
        <v>52960423559</v>
      </c>
      <c r="AE21" s="56">
        <f t="shared" ref="AE21" si="7">AC21/H21*100</f>
        <v>99.403896481535341</v>
      </c>
      <c r="AF21" s="32" t="str">
        <f t="shared" ref="AF21" si="8">IF(AE21&gt;=91,"Sangat Tinggi",IF(AE21&gt;=76,"Tinggi",IF(AE21&gt;=66,"Sedang",IF(AE21&gt;=51,"Rendah",IF(AE21&lt;=50,"Sangat Rendah")))))</f>
        <v>Sangat Tinggi</v>
      </c>
      <c r="AG21" s="56">
        <f t="shared" ref="AG21" si="9">AD21/J21*100</f>
        <v>86.587368433985048</v>
      </c>
      <c r="AH21" s="111"/>
      <c r="AK21" s="119"/>
    </row>
    <row r="22" spans="1:37" ht="105" x14ac:dyDescent="0.2">
      <c r="A22" s="60"/>
      <c r="B22" s="60"/>
      <c r="C22" s="94" t="s">
        <v>307</v>
      </c>
      <c r="D22" s="14" t="s">
        <v>308</v>
      </c>
      <c r="E22" s="74">
        <v>93.33</v>
      </c>
      <c r="F22" s="35" t="s">
        <v>27</v>
      </c>
      <c r="G22" s="193"/>
      <c r="H22" s="56">
        <v>95.45</v>
      </c>
      <c r="I22" s="35" t="s">
        <v>27</v>
      </c>
      <c r="J22" s="193">
        <v>2285200000</v>
      </c>
      <c r="K22" s="56">
        <v>92.86</v>
      </c>
      <c r="L22" s="193">
        <v>864544000</v>
      </c>
      <c r="M22" s="56">
        <v>94.29</v>
      </c>
      <c r="N22" s="193">
        <v>1033158000</v>
      </c>
      <c r="O22" s="56"/>
      <c r="P22" s="193"/>
      <c r="Q22" s="74">
        <f>13/14*100</f>
        <v>92.857142857142861</v>
      </c>
      <c r="R22" s="195">
        <v>853169000</v>
      </c>
      <c r="S22" s="74">
        <f>17/17*100</f>
        <v>100</v>
      </c>
      <c r="T22" s="195">
        <v>987980100</v>
      </c>
      <c r="U22" s="74"/>
      <c r="V22" s="195"/>
      <c r="W22" s="172">
        <f>Q22/K22*100</f>
        <v>99.996923171594716</v>
      </c>
      <c r="X22" s="237">
        <f>R22/L22*100</f>
        <v>98.684277491949516</v>
      </c>
      <c r="Y22" s="172">
        <f>S22/M22*100</f>
        <v>106.05578534309046</v>
      </c>
      <c r="Z22" s="237">
        <f>T22/N22*100</f>
        <v>95.627203196413319</v>
      </c>
      <c r="AA22" s="172"/>
      <c r="AB22" s="237"/>
      <c r="AC22" s="92">
        <f>S22</f>
        <v>100</v>
      </c>
      <c r="AD22" s="193">
        <f>R22+T22</f>
        <v>1841149100</v>
      </c>
      <c r="AE22" s="56">
        <f>AC22/H22*100</f>
        <v>104.76689366160292</v>
      </c>
      <c r="AF22" s="32" t="str">
        <f t="shared" ref="AF22:AF27" si="10">IF(AE22&gt;=91,"Sangat Tinggi",IF(AE22&gt;=76,"Tinggi",IF(AE22&gt;=66,"Sedang",IF(AE22&gt;=51,"Rendah",IF(AE22&lt;=50,"Sangat Rendah")))))</f>
        <v>Sangat Tinggi</v>
      </c>
      <c r="AG22" s="354">
        <f>AD22/J22*100</f>
        <v>80.568401015228432</v>
      </c>
      <c r="AH22" s="410" t="s">
        <v>312</v>
      </c>
      <c r="AK22" s="119">
        <f>R22</f>
        <v>853169000</v>
      </c>
    </row>
    <row r="23" spans="1:37" ht="60" x14ac:dyDescent="0.2">
      <c r="A23" s="60"/>
      <c r="B23" s="60"/>
      <c r="C23" s="20"/>
      <c r="D23" s="14" t="s">
        <v>309</v>
      </c>
      <c r="E23" s="74">
        <v>85.42</v>
      </c>
      <c r="F23" s="35" t="s">
        <v>27</v>
      </c>
      <c r="G23" s="194"/>
      <c r="H23" s="56">
        <v>56.95</v>
      </c>
      <c r="I23" s="35" t="s">
        <v>27</v>
      </c>
      <c r="J23" s="194"/>
      <c r="K23" s="56">
        <v>88.27</v>
      </c>
      <c r="L23" s="194"/>
      <c r="M23" s="56">
        <v>89.69</v>
      </c>
      <c r="N23" s="194"/>
      <c r="O23" s="56"/>
      <c r="P23" s="194"/>
      <c r="Q23" s="74">
        <f>1396/1391*100</f>
        <v>100.35945363048167</v>
      </c>
      <c r="R23" s="194"/>
      <c r="S23" s="74">
        <f>1811/1391*100</f>
        <v>130.19410496046012</v>
      </c>
      <c r="T23" s="194"/>
      <c r="U23" s="74"/>
      <c r="V23" s="194"/>
      <c r="W23" s="172">
        <f>Q23/K23*100</f>
        <v>113.69599369036104</v>
      </c>
      <c r="X23" s="238"/>
      <c r="Y23" s="172">
        <f>S23/M23*100</f>
        <v>145.16011256601641</v>
      </c>
      <c r="Z23" s="238"/>
      <c r="AA23" s="172"/>
      <c r="AB23" s="238"/>
      <c r="AC23" s="74">
        <f>S23</f>
        <v>130.19410496046012</v>
      </c>
      <c r="AD23" s="5"/>
      <c r="AE23" s="56">
        <f>AC23/H23*100</f>
        <v>228.61124663820917</v>
      </c>
      <c r="AF23" s="32" t="str">
        <f t="shared" si="10"/>
        <v>Sangat Tinggi</v>
      </c>
      <c r="AG23" s="77"/>
      <c r="AH23" s="111"/>
      <c r="AK23" s="119">
        <f>R23</f>
        <v>0</v>
      </c>
    </row>
    <row r="24" spans="1:37" ht="120" x14ac:dyDescent="0.2">
      <c r="A24" s="60"/>
      <c r="B24" s="60"/>
      <c r="C24" s="94" t="s">
        <v>310</v>
      </c>
      <c r="D24" s="14" t="s">
        <v>311</v>
      </c>
      <c r="E24" s="74">
        <v>54.79</v>
      </c>
      <c r="F24" s="35" t="s">
        <v>27</v>
      </c>
      <c r="G24" s="8"/>
      <c r="H24" s="56">
        <v>68.489999999999995</v>
      </c>
      <c r="I24" s="35" t="s">
        <v>27</v>
      </c>
      <c r="J24" s="11">
        <v>1468959700</v>
      </c>
      <c r="K24" s="56">
        <v>57.53</v>
      </c>
      <c r="L24" s="11">
        <v>362979700</v>
      </c>
      <c r="M24" s="56">
        <v>60.27</v>
      </c>
      <c r="N24" s="11">
        <v>523090000</v>
      </c>
      <c r="O24" s="56"/>
      <c r="P24" s="11"/>
      <c r="Q24" s="74">
        <f>167/180*100</f>
        <v>92.777777777777786</v>
      </c>
      <c r="R24" s="23">
        <v>362248334</v>
      </c>
      <c r="S24" s="74">
        <f>180/180*100</f>
        <v>100</v>
      </c>
      <c r="T24" s="23">
        <v>452399400</v>
      </c>
      <c r="U24" s="74"/>
      <c r="V24" s="23"/>
      <c r="W24" s="172">
        <f>Q24/K24*100</f>
        <v>161.26851690905229</v>
      </c>
      <c r="X24" s="235">
        <f>R24/L24*100</f>
        <v>99.798510495215027</v>
      </c>
      <c r="Y24" s="172">
        <f>S24/M24*100</f>
        <v>165.92002654720423</v>
      </c>
      <c r="Z24" s="235">
        <f>T24/N24*100</f>
        <v>86.485958439274313</v>
      </c>
      <c r="AA24" s="172"/>
      <c r="AB24" s="235"/>
      <c r="AC24" s="92">
        <f>S24</f>
        <v>100</v>
      </c>
      <c r="AD24" s="193">
        <f>R24+T24</f>
        <v>814647734</v>
      </c>
      <c r="AE24" s="56">
        <f>AC24/H24*100</f>
        <v>146.00671630895022</v>
      </c>
      <c r="AF24" s="32" t="str">
        <f t="shared" si="10"/>
        <v>Sangat Tinggi</v>
      </c>
      <c r="AG24" s="56">
        <f>AD24/J24*100</f>
        <v>55.457459724729006</v>
      </c>
      <c r="AH24" s="111"/>
      <c r="AK24" s="119">
        <f>R24</f>
        <v>362248334</v>
      </c>
    </row>
    <row r="25" spans="1:37" ht="105" x14ac:dyDescent="0.2">
      <c r="A25" s="60"/>
      <c r="B25" s="60"/>
      <c r="C25" s="94" t="s">
        <v>653</v>
      </c>
      <c r="D25" s="14" t="s">
        <v>654</v>
      </c>
      <c r="E25" s="74"/>
      <c r="F25" s="35"/>
      <c r="G25" s="3"/>
      <c r="H25" s="92">
        <v>0</v>
      </c>
      <c r="I25" s="35" t="s">
        <v>27</v>
      </c>
      <c r="J25" s="193">
        <v>4244152612</v>
      </c>
      <c r="K25" s="56"/>
      <c r="L25" s="193"/>
      <c r="M25" s="56"/>
      <c r="N25" s="193"/>
      <c r="O25" s="89">
        <v>0</v>
      </c>
      <c r="P25" s="193">
        <v>1424382306</v>
      </c>
      <c r="Q25" s="74"/>
      <c r="R25" s="195"/>
      <c r="S25" s="74"/>
      <c r="T25" s="23"/>
      <c r="U25" s="92">
        <v>0</v>
      </c>
      <c r="V25" s="195">
        <v>1272121706</v>
      </c>
      <c r="W25" s="172"/>
      <c r="X25" s="237"/>
      <c r="Y25" s="172"/>
      <c r="Z25" s="237"/>
      <c r="AA25" s="265">
        <v>100</v>
      </c>
      <c r="AB25" s="237">
        <f>V25/P25*100</f>
        <v>89.31041200395255</v>
      </c>
      <c r="AC25" s="92">
        <f>U25</f>
        <v>0</v>
      </c>
      <c r="AD25" s="193">
        <f>V25</f>
        <v>1272121706</v>
      </c>
      <c r="AE25" s="89">
        <v>100</v>
      </c>
      <c r="AF25" s="32" t="str">
        <f t="shared" si="10"/>
        <v>Sangat Tinggi</v>
      </c>
      <c r="AG25" s="354">
        <f t="shared" ref="AG25:AG27" si="11">AD25/J25*100</f>
        <v>29.973514675301221</v>
      </c>
      <c r="AH25" s="111"/>
      <c r="AK25" s="119"/>
    </row>
    <row r="26" spans="1:37" ht="75" x14ac:dyDescent="0.2">
      <c r="A26" s="60"/>
      <c r="B26" s="60"/>
      <c r="C26" s="20"/>
      <c r="D26" s="14" t="s">
        <v>655</v>
      </c>
      <c r="E26" s="74"/>
      <c r="F26" s="35"/>
      <c r="G26" s="5"/>
      <c r="H26" s="92">
        <v>100</v>
      </c>
      <c r="I26" s="35" t="s">
        <v>27</v>
      </c>
      <c r="J26" s="274"/>
      <c r="K26" s="56"/>
      <c r="L26" s="274"/>
      <c r="M26" s="56"/>
      <c r="N26" s="274"/>
      <c r="O26" s="89">
        <v>85</v>
      </c>
      <c r="P26" s="274"/>
      <c r="Q26" s="74"/>
      <c r="R26" s="194"/>
      <c r="S26" s="74"/>
      <c r="T26" s="23"/>
      <c r="U26" s="92">
        <v>100</v>
      </c>
      <c r="V26" s="194"/>
      <c r="W26" s="172"/>
      <c r="X26" s="238"/>
      <c r="Y26" s="172"/>
      <c r="Z26" s="238"/>
      <c r="AA26" s="172">
        <f>U26/O26*100</f>
        <v>117.64705882352942</v>
      </c>
      <c r="AB26" s="238"/>
      <c r="AC26" s="92">
        <f>U26</f>
        <v>100</v>
      </c>
      <c r="AD26" s="274"/>
      <c r="AE26" s="89">
        <f t="shared" ref="AE26:AE27" si="12">AC26/H26*100</f>
        <v>100</v>
      </c>
      <c r="AF26" s="32" t="str">
        <f t="shared" si="10"/>
        <v>Sangat Tinggi</v>
      </c>
      <c r="AG26" s="77"/>
      <c r="AH26" s="111"/>
      <c r="AK26" s="119"/>
    </row>
    <row r="27" spans="1:37" ht="90" x14ac:dyDescent="0.2">
      <c r="A27" s="60"/>
      <c r="B27" s="60"/>
      <c r="C27" s="94" t="s">
        <v>656</v>
      </c>
      <c r="D27" s="14" t="s">
        <v>657</v>
      </c>
      <c r="E27" s="74"/>
      <c r="F27" s="35"/>
      <c r="G27" s="8"/>
      <c r="H27" s="32">
        <v>100</v>
      </c>
      <c r="I27" s="376" t="s">
        <v>27</v>
      </c>
      <c r="J27" s="11">
        <v>927317300</v>
      </c>
      <c r="K27" s="56"/>
      <c r="L27" s="11"/>
      <c r="M27" s="56"/>
      <c r="N27" s="11"/>
      <c r="O27" s="89">
        <v>85</v>
      </c>
      <c r="P27" s="11">
        <v>360550000</v>
      </c>
      <c r="Q27" s="74"/>
      <c r="R27" s="23"/>
      <c r="S27" s="74"/>
      <c r="T27" s="23"/>
      <c r="U27" s="92">
        <v>85</v>
      </c>
      <c r="V27" s="23">
        <v>333088500</v>
      </c>
      <c r="W27" s="172"/>
      <c r="X27" s="235"/>
      <c r="Y27" s="172"/>
      <c r="Z27" s="235"/>
      <c r="AA27" s="265">
        <f>U27/O27*100</f>
        <v>100</v>
      </c>
      <c r="AB27" s="235">
        <f>V27/P27*100</f>
        <v>92.383441963666627</v>
      </c>
      <c r="AC27" s="92">
        <f>U27</f>
        <v>85</v>
      </c>
      <c r="AD27" s="193">
        <f>V27</f>
        <v>333088500</v>
      </c>
      <c r="AE27" s="56">
        <f t="shared" si="12"/>
        <v>85</v>
      </c>
      <c r="AF27" s="32" t="str">
        <f t="shared" si="10"/>
        <v>Tinggi</v>
      </c>
      <c r="AG27" s="56">
        <f t="shared" si="11"/>
        <v>35.919582218513554</v>
      </c>
      <c r="AH27" s="111"/>
      <c r="AK27" s="119"/>
    </row>
    <row r="28" spans="1:37" ht="94.5" x14ac:dyDescent="0.2">
      <c r="A28" s="60"/>
      <c r="B28" s="60"/>
      <c r="C28" s="14"/>
      <c r="D28" s="62" t="s">
        <v>341</v>
      </c>
      <c r="E28" s="258">
        <v>85</v>
      </c>
      <c r="F28" s="220" t="s">
        <v>27</v>
      </c>
      <c r="G28" s="259">
        <f>SUM(G29:G30)</f>
        <v>27076430000</v>
      </c>
      <c r="H28" s="258">
        <v>71.430000000000007</v>
      </c>
      <c r="I28" s="220" t="s">
        <v>27</v>
      </c>
      <c r="J28" s="259">
        <f>SUM(J29:J30)</f>
        <v>163185085000</v>
      </c>
      <c r="K28" s="258">
        <v>62.68</v>
      </c>
      <c r="L28" s="259">
        <f>SUM(L29:L30)</f>
        <v>39963572000</v>
      </c>
      <c r="M28" s="258">
        <v>65.599999999999994</v>
      </c>
      <c r="N28" s="259">
        <f>SUM(N29:N30)</f>
        <v>18300465000</v>
      </c>
      <c r="O28" s="258">
        <v>67.350080470226018</v>
      </c>
      <c r="P28" s="259">
        <f>SUM(P29:P31)</f>
        <v>38043171474</v>
      </c>
      <c r="Q28" s="258">
        <f>Q29</f>
        <v>61.90150838282441</v>
      </c>
      <c r="R28" s="259">
        <f>SUM(R29:R30)</f>
        <v>38696421727</v>
      </c>
      <c r="S28" s="258">
        <f>S29</f>
        <v>65.60151363851368</v>
      </c>
      <c r="T28" s="259">
        <f>SUM(T29:T30)</f>
        <v>16849280847</v>
      </c>
      <c r="U28" s="258">
        <v>68.492142744520947</v>
      </c>
      <c r="V28" s="259">
        <f>SUM(V29:V31)</f>
        <v>34507732366</v>
      </c>
      <c r="W28" s="254">
        <f t="shared" ref="W28:Z30" si="13">Q28/K28*100</f>
        <v>98.757990400166577</v>
      </c>
      <c r="X28" s="240">
        <f t="shared" si="13"/>
        <v>96.829236703365751</v>
      </c>
      <c r="Y28" s="254">
        <f t="shared" si="13"/>
        <v>100.00230737578306</v>
      </c>
      <c r="Z28" s="240">
        <f t="shared" si="13"/>
        <v>92.070233444887876</v>
      </c>
      <c r="AA28" s="254">
        <f>U28/O28*100</f>
        <v>101.69571033370897</v>
      </c>
      <c r="AB28" s="240">
        <f>V28/P28*100</f>
        <v>90.706770831616296</v>
      </c>
      <c r="AC28" s="223">
        <f>U28</f>
        <v>68.492142744520947</v>
      </c>
      <c r="AD28" s="292">
        <f>R28+T28+V28</f>
        <v>90053434940</v>
      </c>
      <c r="AE28" s="234">
        <f t="shared" ref="AE28:AE33" si="14">AC28/H28*100</f>
        <v>95.887082100687309</v>
      </c>
      <c r="AF28" s="219" t="str">
        <f>IF(AE28&gt;=91,"Sangat Tinggi",IF(AE28&gt;=76,"Tinggi",IF(AE28&gt;=66,"Sedang",IF(AE28&gt;=51,"Rendah",IF(AE28&lt;=50,"Sangat Rendah")))))</f>
        <v>Sangat Tinggi</v>
      </c>
      <c r="AG28" s="403">
        <f>AD28/J28*100</f>
        <v>55.184844215388928</v>
      </c>
      <c r="AH28" s="410" t="s">
        <v>303</v>
      </c>
      <c r="AK28" s="119">
        <f>R28</f>
        <v>38696421727</v>
      </c>
    </row>
    <row r="29" spans="1:37" ht="135" x14ac:dyDescent="0.2">
      <c r="A29" s="15"/>
      <c r="B29" s="15"/>
      <c r="C29" s="14" t="s">
        <v>45</v>
      </c>
      <c r="D29" s="14" t="s">
        <v>313</v>
      </c>
      <c r="E29" s="75">
        <v>85</v>
      </c>
      <c r="F29" s="35" t="s">
        <v>27</v>
      </c>
      <c r="G29" s="23">
        <v>22021826000</v>
      </c>
      <c r="H29" s="75">
        <v>71.430000000000007</v>
      </c>
      <c r="I29" s="35" t="s">
        <v>27</v>
      </c>
      <c r="J29" s="55">
        <v>143848835000</v>
      </c>
      <c r="K29" s="75">
        <v>62.68</v>
      </c>
      <c r="L29" s="24">
        <v>35888505000</v>
      </c>
      <c r="M29" s="75">
        <v>65.599999999999994</v>
      </c>
      <c r="N29" s="24">
        <v>14508765000</v>
      </c>
      <c r="O29" s="75"/>
      <c r="P29" s="24"/>
      <c r="Q29" s="74">
        <f>11778/19027*100</f>
        <v>61.90150838282441</v>
      </c>
      <c r="R29" s="23">
        <v>34786381729</v>
      </c>
      <c r="S29" s="56">
        <f>12482/19027*100</f>
        <v>65.60151363851368</v>
      </c>
      <c r="T29" s="9">
        <v>13213809361</v>
      </c>
      <c r="U29" s="56"/>
      <c r="V29" s="9"/>
      <c r="W29" s="172">
        <f t="shared" si="13"/>
        <v>98.757990400166577</v>
      </c>
      <c r="X29" s="235">
        <f t="shared" si="13"/>
        <v>96.929035436276877</v>
      </c>
      <c r="Y29" s="172">
        <f t="shared" si="13"/>
        <v>100.00230737578306</v>
      </c>
      <c r="Z29" s="235">
        <f t="shared" si="13"/>
        <v>91.074666665288191</v>
      </c>
      <c r="AA29" s="172"/>
      <c r="AB29" s="235"/>
      <c r="AC29" s="74">
        <f>S29</f>
        <v>65.60151363851368</v>
      </c>
      <c r="AD29" s="274">
        <f>R29+T29</f>
        <v>48000191090</v>
      </c>
      <c r="AE29" s="56">
        <f t="shared" si="14"/>
        <v>91.840282288273372</v>
      </c>
      <c r="AF29" s="32" t="str">
        <f t="shared" ref="AF29" si="15">IF(AE29&gt;=91,"Sangat Tinggi",IF(AE29&gt;=76,"Tinggi",IF(AE29&gt;=66,"Sedang",IF(AE29&gt;=51,"Rendah",IF(AE29&lt;=50,"Sangat Rendah")))))</f>
        <v>Sangat Tinggi</v>
      </c>
      <c r="AG29" s="56">
        <f t="shared" ref="AG29" si="16">AD29/J29*100</f>
        <v>33.368494843910277</v>
      </c>
      <c r="AH29" s="111"/>
      <c r="AK29" s="119">
        <f>R29</f>
        <v>34786381729</v>
      </c>
    </row>
    <row r="30" spans="1:37" ht="135" x14ac:dyDescent="0.2">
      <c r="A30" s="17"/>
      <c r="B30" s="61"/>
      <c r="C30" s="14" t="s">
        <v>46</v>
      </c>
      <c r="D30" s="14" t="s">
        <v>562</v>
      </c>
      <c r="E30" s="75">
        <v>30</v>
      </c>
      <c r="F30" s="35" t="s">
        <v>27</v>
      </c>
      <c r="G30" s="23">
        <v>5054604000</v>
      </c>
      <c r="H30" s="75">
        <v>69.78</v>
      </c>
      <c r="I30" s="35" t="s">
        <v>27</v>
      </c>
      <c r="J30" s="10">
        <v>19336250000</v>
      </c>
      <c r="K30" s="75">
        <v>49.71</v>
      </c>
      <c r="L30" s="10">
        <v>4075067000</v>
      </c>
      <c r="M30" s="75">
        <v>55.44</v>
      </c>
      <c r="N30" s="10">
        <v>3791700000</v>
      </c>
      <c r="O30" s="75"/>
      <c r="P30" s="10"/>
      <c r="Q30" s="75">
        <v>47.21</v>
      </c>
      <c r="R30" s="23">
        <v>3910039998</v>
      </c>
      <c r="S30" s="75">
        <v>55.44</v>
      </c>
      <c r="T30" s="9">
        <v>3635471486</v>
      </c>
      <c r="U30" s="75"/>
      <c r="V30" s="9"/>
      <c r="W30" s="172">
        <f t="shared" si="13"/>
        <v>94.970830818748738</v>
      </c>
      <c r="X30" s="235">
        <f t="shared" si="13"/>
        <v>95.950324203258504</v>
      </c>
      <c r="Y30" s="172">
        <f t="shared" si="13"/>
        <v>100</v>
      </c>
      <c r="Z30" s="235">
        <f t="shared" si="13"/>
        <v>95.879723765065805</v>
      </c>
      <c r="AA30" s="172"/>
      <c r="AB30" s="235"/>
      <c r="AC30" s="74">
        <f>S30</f>
        <v>55.44</v>
      </c>
      <c r="AD30" s="274">
        <f>R30+T30</f>
        <v>7545511484</v>
      </c>
      <c r="AE30" s="56">
        <f t="shared" si="14"/>
        <v>79.449699054170239</v>
      </c>
      <c r="AF30" s="32" t="str">
        <f t="shared" ref="AF30:AF31" si="17">IF(AE30&gt;=91,"Sangat Tinggi",IF(AE30&gt;=76,"Tinggi",IF(AE30&gt;=66,"Sedang",IF(AE30&gt;=51,"Rendah",IF(AE30&lt;=50,"Sangat Rendah")))))</f>
        <v>Tinggi</v>
      </c>
      <c r="AG30" s="56">
        <f t="shared" ref="AG30:AG31" si="18">AD30/J30*100</f>
        <v>39.022620642575475</v>
      </c>
      <c r="AH30" s="111"/>
      <c r="AK30" s="119">
        <f>R30</f>
        <v>3910039998</v>
      </c>
    </row>
    <row r="31" spans="1:37" ht="75" x14ac:dyDescent="0.2">
      <c r="A31" s="17"/>
      <c r="B31" s="61"/>
      <c r="C31" s="14" t="s">
        <v>658</v>
      </c>
      <c r="D31" s="14" t="s">
        <v>659</v>
      </c>
      <c r="E31" s="75"/>
      <c r="F31" s="35"/>
      <c r="G31" s="23"/>
      <c r="H31" s="377" t="s">
        <v>804</v>
      </c>
      <c r="I31" s="35" t="s">
        <v>27</v>
      </c>
      <c r="J31" s="10">
        <v>70417536277</v>
      </c>
      <c r="K31" s="75"/>
      <c r="L31" s="10"/>
      <c r="M31" s="75"/>
      <c r="N31" s="10"/>
      <c r="O31" s="75">
        <v>63.164881008817673</v>
      </c>
      <c r="P31" s="10">
        <v>38043171474</v>
      </c>
      <c r="Q31" s="75"/>
      <c r="R31" s="23"/>
      <c r="S31" s="75"/>
      <c r="T31" s="9"/>
      <c r="U31" s="75">
        <v>63.411473008001806</v>
      </c>
      <c r="V31" s="9">
        <v>34507732366</v>
      </c>
      <c r="W31" s="172"/>
      <c r="X31" s="235"/>
      <c r="Y31" s="172"/>
      <c r="Z31" s="235"/>
      <c r="AA31" s="172">
        <f>U31/O31*100</f>
        <v>100.39039414821301</v>
      </c>
      <c r="AB31" s="235">
        <f>V31/P31*100</f>
        <v>90.706770831616296</v>
      </c>
      <c r="AC31" s="74">
        <f>U31</f>
        <v>63.411473008001806</v>
      </c>
      <c r="AD31" s="274">
        <f>V31</f>
        <v>34507732366</v>
      </c>
      <c r="AE31" s="56">
        <f t="shared" si="14"/>
        <v>92.910583161907411</v>
      </c>
      <c r="AF31" s="32" t="str">
        <f t="shared" si="17"/>
        <v>Sangat Tinggi</v>
      </c>
      <c r="AG31" s="56">
        <f t="shared" si="18"/>
        <v>49.00445853467189</v>
      </c>
      <c r="AH31" s="111"/>
      <c r="AK31" s="119"/>
    </row>
    <row r="32" spans="1:37" ht="94.5" x14ac:dyDescent="0.2">
      <c r="A32" s="17"/>
      <c r="B32" s="60"/>
      <c r="C32" s="14"/>
      <c r="D32" s="62" t="s">
        <v>342</v>
      </c>
      <c r="E32" s="258">
        <v>14</v>
      </c>
      <c r="F32" s="220" t="s">
        <v>27</v>
      </c>
      <c r="G32" s="259">
        <f>SUM(G33:G36)</f>
        <v>21823166100</v>
      </c>
      <c r="H32" s="262">
        <v>100</v>
      </c>
      <c r="I32" s="220" t="s">
        <v>27</v>
      </c>
      <c r="J32" s="259">
        <f>SUM(J33:J36)</f>
        <v>328675704255</v>
      </c>
      <c r="K32" s="258">
        <v>24</v>
      </c>
      <c r="L32" s="259">
        <f>SUM(L33:L36)</f>
        <v>26968340851</v>
      </c>
      <c r="M32" s="258">
        <v>48</v>
      </c>
      <c r="N32" s="259">
        <f>SUM(N33:N36)</f>
        <v>29589744973</v>
      </c>
      <c r="O32" s="258">
        <v>67</v>
      </c>
      <c r="P32" s="259">
        <f>SUM(P33:P39)</f>
        <v>82212682475</v>
      </c>
      <c r="Q32" s="258">
        <f>5/21*100</f>
        <v>23.809523809523807</v>
      </c>
      <c r="R32" s="259">
        <f>SUM(R33:R36)</f>
        <v>26278300141</v>
      </c>
      <c r="S32" s="258">
        <f>11/21*100</f>
        <v>52.380952380952387</v>
      </c>
      <c r="T32" s="259">
        <f>SUM(T33:T36)</f>
        <v>25158585271</v>
      </c>
      <c r="U32" s="258">
        <f>14/21*100</f>
        <v>66.666666666666657</v>
      </c>
      <c r="V32" s="259">
        <f>SUM(V33:V39)</f>
        <v>72131377694</v>
      </c>
      <c r="W32" s="254">
        <f t="shared" ref="W32:Z34" si="19">Q32/K32*100</f>
        <v>99.206349206349202</v>
      </c>
      <c r="X32" s="240">
        <f t="shared" si="19"/>
        <v>97.441293426939112</v>
      </c>
      <c r="Y32" s="254">
        <f t="shared" si="19"/>
        <v>109.12698412698414</v>
      </c>
      <c r="Z32" s="240">
        <f t="shared" si="19"/>
        <v>85.024677617048283</v>
      </c>
      <c r="AA32" s="254">
        <f>U32/O32*100</f>
        <v>99.502487562189046</v>
      </c>
      <c r="AB32" s="240">
        <f>V32/P32*100</f>
        <v>87.737530904595388</v>
      </c>
      <c r="AC32" s="223">
        <f>U32</f>
        <v>66.666666666666657</v>
      </c>
      <c r="AD32" s="292">
        <f>R32+T32+V32</f>
        <v>123568263106</v>
      </c>
      <c r="AE32" s="234">
        <f t="shared" si="14"/>
        <v>66.666666666666657</v>
      </c>
      <c r="AF32" s="219" t="str">
        <f>IF(AE32&gt;=91,"Sangat Tinggi",IF(AE32&gt;=76,"Tinggi",IF(AE32&gt;=66,"Sedang",IF(AE32&gt;=51,"Rendah",IF(AE32&lt;=50,"Sangat Rendah")))))</f>
        <v>Sedang</v>
      </c>
      <c r="AG32" s="403">
        <f>AD32/J32*100</f>
        <v>37.595800817127241</v>
      </c>
      <c r="AH32" s="111"/>
      <c r="AK32" s="119">
        <f>R32</f>
        <v>26278300141</v>
      </c>
    </row>
    <row r="33" spans="1:37" ht="90" x14ac:dyDescent="0.2">
      <c r="A33" s="17"/>
      <c r="B33" s="25"/>
      <c r="C33" s="14" t="s">
        <v>49</v>
      </c>
      <c r="D33" s="14" t="s">
        <v>314</v>
      </c>
      <c r="E33" s="32">
        <v>3</v>
      </c>
      <c r="F33" s="35" t="s">
        <v>230</v>
      </c>
      <c r="G33" s="23">
        <v>10214698000</v>
      </c>
      <c r="H33" s="32">
        <v>21</v>
      </c>
      <c r="I33" s="35" t="s">
        <v>230</v>
      </c>
      <c r="J33" s="9">
        <v>284258975000</v>
      </c>
      <c r="K33" s="32">
        <v>5</v>
      </c>
      <c r="L33" s="10">
        <v>17593000000</v>
      </c>
      <c r="M33" s="32">
        <v>5</v>
      </c>
      <c r="N33" s="10">
        <v>20470034975</v>
      </c>
      <c r="O33" s="32"/>
      <c r="P33" s="10"/>
      <c r="Q33" s="32">
        <v>5</v>
      </c>
      <c r="R33" s="23">
        <v>17172543911</v>
      </c>
      <c r="S33" s="32">
        <v>6</v>
      </c>
      <c r="T33" s="9">
        <v>16777231845</v>
      </c>
      <c r="U33" s="32"/>
      <c r="V33" s="9"/>
      <c r="W33" s="172">
        <f t="shared" si="19"/>
        <v>100</v>
      </c>
      <c r="X33" s="235">
        <f t="shared" si="19"/>
        <v>97.610094418234524</v>
      </c>
      <c r="Y33" s="172">
        <f t="shared" si="19"/>
        <v>120</v>
      </c>
      <c r="Z33" s="235">
        <f t="shared" si="19"/>
        <v>81.959956910137137</v>
      </c>
      <c r="AA33" s="172"/>
      <c r="AB33" s="235"/>
      <c r="AC33" s="92">
        <f>Q33+S33</f>
        <v>11</v>
      </c>
      <c r="AD33" s="11">
        <f>R33+T33</f>
        <v>33949775756</v>
      </c>
      <c r="AE33" s="56">
        <f t="shared" si="14"/>
        <v>52.380952380952387</v>
      </c>
      <c r="AF33" s="32" t="str">
        <f t="shared" ref="AF33" si="20">IF(AE33&gt;=91,"Sangat Tinggi",IF(AE33&gt;=76,"Tinggi",IF(AE33&gt;=66,"Sedang",IF(AE33&gt;=51,"Rendah",IF(AE33&lt;=50,"Sangat Rendah")))))</f>
        <v>Rendah</v>
      </c>
      <c r="AG33" s="56">
        <f t="shared" ref="AG33" si="21">AD33/J33*100</f>
        <v>11.9432555316855</v>
      </c>
      <c r="AH33" s="111"/>
      <c r="AK33" s="119">
        <f>R33</f>
        <v>17172543911</v>
      </c>
    </row>
    <row r="34" spans="1:37" ht="75" x14ac:dyDescent="0.2">
      <c r="A34" s="17"/>
      <c r="B34" s="25"/>
      <c r="C34" s="94" t="s">
        <v>315</v>
      </c>
      <c r="D34" s="14" t="s">
        <v>316</v>
      </c>
      <c r="E34" s="32">
        <v>59</v>
      </c>
      <c r="F34" s="35" t="s">
        <v>27</v>
      </c>
      <c r="G34" s="195">
        <v>11579574000</v>
      </c>
      <c r="H34" s="32">
        <v>73</v>
      </c>
      <c r="I34" s="35" t="s">
        <v>27</v>
      </c>
      <c r="J34" s="183">
        <v>44041923005</v>
      </c>
      <c r="K34" s="74">
        <v>59</v>
      </c>
      <c r="L34" s="180">
        <v>9300534601</v>
      </c>
      <c r="M34" s="74">
        <v>63</v>
      </c>
      <c r="N34" s="180">
        <v>9119709998</v>
      </c>
      <c r="O34" s="74"/>
      <c r="P34" s="180"/>
      <c r="Q34" s="75">
        <v>24.62</v>
      </c>
      <c r="R34" s="195">
        <v>9061009230</v>
      </c>
      <c r="S34" s="74">
        <v>50.675871391329537</v>
      </c>
      <c r="T34" s="183">
        <v>8381353426</v>
      </c>
      <c r="U34" s="74"/>
      <c r="V34" s="183"/>
      <c r="W34" s="172">
        <f t="shared" si="19"/>
        <v>41.728813559322035</v>
      </c>
      <c r="X34" s="237">
        <f t="shared" si="19"/>
        <v>97.424606420213252</v>
      </c>
      <c r="Y34" s="172">
        <f t="shared" si="19"/>
        <v>80.437891097348469</v>
      </c>
      <c r="Z34" s="237">
        <f t="shared" si="19"/>
        <v>91.903727507103554</v>
      </c>
      <c r="AA34" s="172"/>
      <c r="AB34" s="237"/>
      <c r="AC34" s="74">
        <f>S34</f>
        <v>50.675871391329537</v>
      </c>
      <c r="AD34" s="193">
        <f>R34+T34</f>
        <v>17442362656</v>
      </c>
      <c r="AE34" s="56">
        <f t="shared" ref="AE34:AE39" si="22">AC34/H34*100</f>
        <v>69.419001905930884</v>
      </c>
      <c r="AF34" s="32" t="str">
        <f t="shared" ref="AF34:AF39" si="23">IF(AE34&gt;=91,"Sangat Tinggi",IF(AE34&gt;=76,"Tinggi",IF(AE34&gt;=66,"Sedang",IF(AE34&gt;=51,"Rendah",IF(AE34&lt;=50,"Sangat Rendah")))))</f>
        <v>Sedang</v>
      </c>
      <c r="AG34" s="354">
        <f t="shared" ref="AG34:AG39" si="24">AD34/J34*100</f>
        <v>39.603998794557178</v>
      </c>
      <c r="AH34" s="111"/>
      <c r="AK34" s="119">
        <f>R34</f>
        <v>9061009230</v>
      </c>
    </row>
    <row r="35" spans="1:37" ht="75" x14ac:dyDescent="0.2">
      <c r="A35" s="60"/>
      <c r="B35" s="60"/>
      <c r="C35" s="20"/>
      <c r="D35" s="14" t="s">
        <v>317</v>
      </c>
      <c r="E35" s="32">
        <v>79.680000000000007</v>
      </c>
      <c r="F35" s="35" t="s">
        <v>27</v>
      </c>
      <c r="G35" s="194"/>
      <c r="H35" s="32">
        <v>7.43</v>
      </c>
      <c r="I35" s="35" t="s">
        <v>27</v>
      </c>
      <c r="J35" s="49"/>
      <c r="K35" s="74">
        <v>6.98</v>
      </c>
      <c r="L35" s="182"/>
      <c r="M35" s="74">
        <v>7.1</v>
      </c>
      <c r="N35" s="182"/>
      <c r="O35" s="74"/>
      <c r="P35" s="182"/>
      <c r="Q35" s="75">
        <v>9.2200000000000006</v>
      </c>
      <c r="R35" s="194"/>
      <c r="S35" s="32">
        <v>6.98</v>
      </c>
      <c r="T35" s="49"/>
      <c r="U35" s="32"/>
      <c r="V35" s="49"/>
      <c r="W35" s="172">
        <f>Q35/K35*100</f>
        <v>132.09169054441261</v>
      </c>
      <c r="X35" s="238"/>
      <c r="Y35" s="172">
        <f>S35/M35*100</f>
        <v>98.309859154929597</v>
      </c>
      <c r="Z35" s="238"/>
      <c r="AA35" s="172"/>
      <c r="AB35" s="238"/>
      <c r="AC35" s="74">
        <f>S35</f>
        <v>6.98</v>
      </c>
      <c r="AD35" s="5"/>
      <c r="AE35" s="56">
        <f t="shared" si="22"/>
        <v>93.943472409152093</v>
      </c>
      <c r="AF35" s="32" t="str">
        <f t="shared" si="23"/>
        <v>Sangat Tinggi</v>
      </c>
      <c r="AG35" s="77"/>
      <c r="AH35" s="111"/>
      <c r="AK35" s="119">
        <f>R35</f>
        <v>0</v>
      </c>
    </row>
    <row r="36" spans="1:37" ht="75" x14ac:dyDescent="0.2">
      <c r="A36" s="17"/>
      <c r="B36" s="25"/>
      <c r="C36" s="14" t="s">
        <v>318</v>
      </c>
      <c r="D36" s="14" t="s">
        <v>319</v>
      </c>
      <c r="E36" s="32">
        <v>1.0900000000000001</v>
      </c>
      <c r="F36" s="35" t="s">
        <v>27</v>
      </c>
      <c r="G36" s="23">
        <v>28894100</v>
      </c>
      <c r="H36" s="32">
        <v>9.07</v>
      </c>
      <c r="I36" s="35" t="s">
        <v>27</v>
      </c>
      <c r="J36" s="9">
        <v>374806250</v>
      </c>
      <c r="K36" s="32">
        <v>1.81</v>
      </c>
      <c r="L36" s="10">
        <v>74806250</v>
      </c>
      <c r="M36" s="32"/>
      <c r="N36" s="10"/>
      <c r="O36" s="32"/>
      <c r="P36" s="10"/>
      <c r="Q36" s="75">
        <v>1.81</v>
      </c>
      <c r="R36" s="23">
        <v>44747000</v>
      </c>
      <c r="S36" s="32"/>
      <c r="T36" s="9"/>
      <c r="U36" s="32"/>
      <c r="V36" s="9"/>
      <c r="W36" s="172">
        <f>Q36/K36*100</f>
        <v>100</v>
      </c>
      <c r="X36" s="235">
        <f>R36/L36*100</f>
        <v>59.817194418915534</v>
      </c>
      <c r="Y36" s="172"/>
      <c r="Z36" s="235"/>
      <c r="AA36" s="172"/>
      <c r="AB36" s="235"/>
      <c r="AC36" s="74">
        <f>Q36</f>
        <v>1.81</v>
      </c>
      <c r="AD36" s="193">
        <f>R36+T36</f>
        <v>44747000</v>
      </c>
      <c r="AE36" s="56">
        <f t="shared" si="22"/>
        <v>19.955898566703418</v>
      </c>
      <c r="AF36" s="32" t="str">
        <f t="shared" si="23"/>
        <v>Sangat Rendah</v>
      </c>
      <c r="AG36" s="56">
        <f t="shared" si="24"/>
        <v>11.938701662525638</v>
      </c>
      <c r="AH36" s="111"/>
      <c r="AK36" s="119">
        <f>R36</f>
        <v>44747000</v>
      </c>
    </row>
    <row r="37" spans="1:37" ht="105" x14ac:dyDescent="0.2">
      <c r="A37" s="17"/>
      <c r="B37" s="25"/>
      <c r="C37" s="14" t="s">
        <v>588</v>
      </c>
      <c r="D37" s="14" t="s">
        <v>589</v>
      </c>
      <c r="E37" s="32"/>
      <c r="F37" s="35"/>
      <c r="G37" s="23"/>
      <c r="H37" s="379">
        <v>73</v>
      </c>
      <c r="I37" s="378" t="s">
        <v>27</v>
      </c>
      <c r="J37" s="9">
        <v>4446711050</v>
      </c>
      <c r="K37" s="32"/>
      <c r="L37" s="10"/>
      <c r="M37" s="32"/>
      <c r="N37" s="10"/>
      <c r="O37" s="32">
        <v>66</v>
      </c>
      <c r="P37" s="10">
        <v>3279219000</v>
      </c>
      <c r="Q37" s="75"/>
      <c r="R37" s="23"/>
      <c r="S37" s="32"/>
      <c r="T37" s="9"/>
      <c r="U37" s="32">
        <v>76</v>
      </c>
      <c r="V37" s="9">
        <v>3023915420</v>
      </c>
      <c r="W37" s="172"/>
      <c r="X37" s="235"/>
      <c r="Y37" s="172"/>
      <c r="Z37" s="235"/>
      <c r="AA37" s="172">
        <f t="shared" ref="AA37:AB40" si="25">U37/O37*100</f>
        <v>115.15151515151516</v>
      </c>
      <c r="AB37" s="235">
        <f t="shared" si="25"/>
        <v>92.214500464897284</v>
      </c>
      <c r="AC37" s="92">
        <f>U37</f>
        <v>76</v>
      </c>
      <c r="AD37" s="193">
        <f>V37</f>
        <v>3023915420</v>
      </c>
      <c r="AE37" s="56">
        <f>AC37/H37*100</f>
        <v>104.10958904109589</v>
      </c>
      <c r="AF37" s="32" t="str">
        <f t="shared" si="23"/>
        <v>Sangat Tinggi</v>
      </c>
      <c r="AG37" s="56">
        <f t="shared" si="24"/>
        <v>68.003416142814132</v>
      </c>
      <c r="AH37" s="111"/>
      <c r="AK37" s="119"/>
    </row>
    <row r="38" spans="1:37" ht="75" x14ac:dyDescent="0.2">
      <c r="A38" s="17"/>
      <c r="B38" s="25"/>
      <c r="C38" s="14" t="s">
        <v>660</v>
      </c>
      <c r="D38" s="14" t="s">
        <v>661</v>
      </c>
      <c r="E38" s="32"/>
      <c r="F38" s="35"/>
      <c r="G38" s="23"/>
      <c r="H38" s="379">
        <v>100</v>
      </c>
      <c r="I38" s="378" t="s">
        <v>27</v>
      </c>
      <c r="J38" s="9">
        <v>97111240475</v>
      </c>
      <c r="K38" s="32"/>
      <c r="L38" s="10"/>
      <c r="M38" s="32"/>
      <c r="N38" s="10"/>
      <c r="O38" s="74">
        <v>66.666666666666657</v>
      </c>
      <c r="P38" s="10">
        <v>78636583475</v>
      </c>
      <c r="Q38" s="75"/>
      <c r="R38" s="23"/>
      <c r="S38" s="32"/>
      <c r="T38" s="9"/>
      <c r="U38" s="74">
        <v>85.714285714285708</v>
      </c>
      <c r="V38" s="9">
        <v>68969629724</v>
      </c>
      <c r="W38" s="172"/>
      <c r="X38" s="235"/>
      <c r="Y38" s="172"/>
      <c r="Z38" s="235"/>
      <c r="AA38" s="172">
        <f t="shared" si="25"/>
        <v>128.57142857142858</v>
      </c>
      <c r="AB38" s="235">
        <f t="shared" si="25"/>
        <v>87.706798383384367</v>
      </c>
      <c r="AC38" s="74">
        <f>U38</f>
        <v>85.714285714285708</v>
      </c>
      <c r="AD38" s="193">
        <f t="shared" ref="AD38:AD39" si="26">V38</f>
        <v>68969629724</v>
      </c>
      <c r="AE38" s="56">
        <f t="shared" si="22"/>
        <v>85.714285714285708</v>
      </c>
      <c r="AF38" s="32" t="str">
        <f t="shared" si="23"/>
        <v>Tinggi</v>
      </c>
      <c r="AG38" s="56">
        <f>AD38/J38*100</f>
        <v>71.02126323034183</v>
      </c>
      <c r="AH38" s="111"/>
      <c r="AK38" s="119"/>
    </row>
    <row r="39" spans="1:37" ht="90" x14ac:dyDescent="0.2">
      <c r="A39" s="17"/>
      <c r="B39" s="25"/>
      <c r="C39" s="14" t="s">
        <v>662</v>
      </c>
      <c r="D39" s="14" t="s">
        <v>663</v>
      </c>
      <c r="E39" s="32"/>
      <c r="F39" s="35"/>
      <c r="G39" s="23"/>
      <c r="H39" s="379">
        <v>100</v>
      </c>
      <c r="I39" s="378" t="s">
        <v>27</v>
      </c>
      <c r="J39" s="9">
        <v>890640000</v>
      </c>
      <c r="K39" s="32"/>
      <c r="L39" s="10"/>
      <c r="M39" s="32"/>
      <c r="N39" s="10"/>
      <c r="O39" s="32">
        <v>34</v>
      </c>
      <c r="P39" s="10">
        <v>296880000</v>
      </c>
      <c r="Q39" s="75"/>
      <c r="R39" s="23"/>
      <c r="S39" s="32"/>
      <c r="T39" s="9"/>
      <c r="U39" s="32">
        <v>34</v>
      </c>
      <c r="V39" s="9">
        <v>137832550</v>
      </c>
      <c r="W39" s="172"/>
      <c r="X39" s="235"/>
      <c r="Y39" s="172"/>
      <c r="Z39" s="235"/>
      <c r="AA39" s="265">
        <f t="shared" si="25"/>
        <v>100</v>
      </c>
      <c r="AB39" s="235">
        <f t="shared" si="25"/>
        <v>46.427024386957697</v>
      </c>
      <c r="AC39" s="92">
        <f>U39</f>
        <v>34</v>
      </c>
      <c r="AD39" s="193">
        <f t="shared" si="26"/>
        <v>137832550</v>
      </c>
      <c r="AE39" s="56">
        <f t="shared" si="22"/>
        <v>34</v>
      </c>
      <c r="AF39" s="32" t="str">
        <f t="shared" si="23"/>
        <v>Sangat Rendah</v>
      </c>
      <c r="AG39" s="56">
        <f t="shared" si="24"/>
        <v>15.475674795652564</v>
      </c>
      <c r="AH39" s="111"/>
      <c r="AK39" s="119"/>
    </row>
    <row r="40" spans="1:37" ht="66.75" customHeight="1" x14ac:dyDescent="0.25">
      <c r="A40" s="60"/>
      <c r="B40" s="60"/>
      <c r="C40" s="14"/>
      <c r="D40" s="62" t="s">
        <v>343</v>
      </c>
      <c r="E40" s="258">
        <v>24.83</v>
      </c>
      <c r="F40" s="220" t="s">
        <v>27</v>
      </c>
      <c r="G40" s="221"/>
      <c r="H40" s="258">
        <v>24.87</v>
      </c>
      <c r="I40" s="220" t="s">
        <v>27</v>
      </c>
      <c r="J40" s="222">
        <f>SUM(J41:J42)</f>
        <v>72136255000</v>
      </c>
      <c r="K40" s="258">
        <v>24.84</v>
      </c>
      <c r="L40" s="222">
        <f>SUM(L41:L42)</f>
        <v>19475120000</v>
      </c>
      <c r="M40" s="258">
        <f>M41</f>
        <v>24.85</v>
      </c>
      <c r="N40" s="222">
        <f>SUM(N41:N42)</f>
        <v>5835830000</v>
      </c>
      <c r="O40" s="258">
        <v>24.86</v>
      </c>
      <c r="P40" s="222">
        <f>SUM(P41:P43)</f>
        <v>4527299000</v>
      </c>
      <c r="Q40" s="258">
        <v>24.835999999999999</v>
      </c>
      <c r="R40" s="222">
        <f>SUM(R41:R42)</f>
        <v>18435277940</v>
      </c>
      <c r="S40" s="258">
        <f>S41</f>
        <v>24.877929002385294</v>
      </c>
      <c r="T40" s="222">
        <f>SUM(T41:T42)</f>
        <v>5461836664</v>
      </c>
      <c r="U40" s="258">
        <v>28.45</v>
      </c>
      <c r="V40" s="222">
        <f>SUM(V41:V43)</f>
        <v>3307644976</v>
      </c>
      <c r="W40" s="254">
        <f t="shared" ref="W40:Z42" si="27">Q40/K40*100</f>
        <v>99.983896940418674</v>
      </c>
      <c r="X40" s="240">
        <f t="shared" si="27"/>
        <v>94.66066417049035</v>
      </c>
      <c r="Y40" s="254">
        <f t="shared" si="27"/>
        <v>100.11239035165107</v>
      </c>
      <c r="Z40" s="240">
        <f t="shared" si="27"/>
        <v>93.591428537157526</v>
      </c>
      <c r="AA40" s="254">
        <f>U40/O40*100</f>
        <v>114.44086886564762</v>
      </c>
      <c r="AB40" s="240">
        <f>V40/P40*100</f>
        <v>73.060007214014348</v>
      </c>
      <c r="AC40" s="223">
        <f>U40</f>
        <v>28.45</v>
      </c>
      <c r="AD40" s="292">
        <f>R40+T40+V40</f>
        <v>27204759580</v>
      </c>
      <c r="AE40" s="234">
        <f t="shared" ref="AE40:AE51" si="28">AC40/H40*100</f>
        <v>114.39485323683152</v>
      </c>
      <c r="AF40" s="219" t="str">
        <f>IF(AE40&gt;=91,"Sangat Tinggi",IF(AE40&gt;=76,"Tinggi",IF(AE40&gt;=66,"Sedang",IF(AE40&gt;=51,"Rendah",IF(AE40&lt;=50,"Sangat Rendah")))))</f>
        <v>Sangat Tinggi</v>
      </c>
      <c r="AG40" s="403">
        <f>AD40/J40*100</f>
        <v>37.713019035989596</v>
      </c>
      <c r="AH40" s="466" t="s">
        <v>326</v>
      </c>
      <c r="AK40" s="119">
        <f>R40</f>
        <v>18435277940</v>
      </c>
    </row>
    <row r="41" spans="1:37" ht="105" x14ac:dyDescent="0.2">
      <c r="A41" s="60"/>
      <c r="B41" s="60"/>
      <c r="C41" s="14" t="s">
        <v>323</v>
      </c>
      <c r="D41" s="14" t="s">
        <v>320</v>
      </c>
      <c r="E41" s="75">
        <v>24.83</v>
      </c>
      <c r="F41" s="35" t="s">
        <v>27</v>
      </c>
      <c r="G41" s="8"/>
      <c r="H41" s="75">
        <v>24.87</v>
      </c>
      <c r="I41" s="35" t="s">
        <v>27</v>
      </c>
      <c r="J41" s="9">
        <v>17619755000</v>
      </c>
      <c r="K41" s="75">
        <v>24.84</v>
      </c>
      <c r="L41" s="10">
        <v>4635450000</v>
      </c>
      <c r="M41" s="75">
        <v>24.85</v>
      </c>
      <c r="N41" s="10">
        <v>2545330000</v>
      </c>
      <c r="O41" s="75"/>
      <c r="P41" s="10"/>
      <c r="Q41" s="75">
        <v>24.84</v>
      </c>
      <c r="R41" s="10">
        <v>4548259000</v>
      </c>
      <c r="S41" s="75">
        <f>106.383/427.62*100</f>
        <v>24.877929002385294</v>
      </c>
      <c r="T41" s="10">
        <v>2406911989</v>
      </c>
      <c r="U41" s="75"/>
      <c r="V41" s="10"/>
      <c r="W41" s="172">
        <f t="shared" si="27"/>
        <v>100</v>
      </c>
      <c r="X41" s="235">
        <f t="shared" si="27"/>
        <v>98.119039143988175</v>
      </c>
      <c r="Y41" s="172">
        <f t="shared" si="27"/>
        <v>100.11239035165107</v>
      </c>
      <c r="Z41" s="235">
        <f t="shared" si="27"/>
        <v>94.561883488584968</v>
      </c>
      <c r="AA41" s="172"/>
      <c r="AB41" s="235"/>
      <c r="AC41" s="74">
        <f>S41</f>
        <v>24.877929002385294</v>
      </c>
      <c r="AD41" s="11">
        <f>R41+T41</f>
        <v>6955170989</v>
      </c>
      <c r="AE41" s="56">
        <f t="shared" si="28"/>
        <v>100.03188179487452</v>
      </c>
      <c r="AF41" s="32" t="str">
        <f t="shared" ref="AF41" si="29">IF(AE41&gt;=91,"Sangat Tinggi",IF(AE41&gt;=76,"Tinggi",IF(AE41&gt;=66,"Sedang",IF(AE41&gt;=51,"Rendah",IF(AE41&lt;=50,"Sangat Rendah")))))</f>
        <v>Sangat Tinggi</v>
      </c>
      <c r="AG41" s="56">
        <f t="shared" ref="AG41" si="30">AD41/J41*100</f>
        <v>39.473709986319335</v>
      </c>
      <c r="AH41" s="467"/>
      <c r="AK41" s="119">
        <f>R41</f>
        <v>4548259000</v>
      </c>
    </row>
    <row r="42" spans="1:37" ht="90" x14ac:dyDescent="0.2">
      <c r="A42" s="60"/>
      <c r="B42" s="60"/>
      <c r="C42" s="14" t="s">
        <v>321</v>
      </c>
      <c r="D42" s="14" t="s">
        <v>322</v>
      </c>
      <c r="E42" s="75">
        <v>8</v>
      </c>
      <c r="F42" s="35" t="s">
        <v>27</v>
      </c>
      <c r="G42" s="8"/>
      <c r="H42" s="75">
        <v>60</v>
      </c>
      <c r="I42" s="35" t="s">
        <v>27</v>
      </c>
      <c r="J42" s="9">
        <v>54516500000</v>
      </c>
      <c r="K42" s="75">
        <v>12</v>
      </c>
      <c r="L42" s="10">
        <v>14839670000</v>
      </c>
      <c r="M42" s="75">
        <v>53</v>
      </c>
      <c r="N42" s="10">
        <v>3290500000</v>
      </c>
      <c r="O42" s="75"/>
      <c r="P42" s="10"/>
      <c r="Q42" s="75">
        <v>11.95</v>
      </c>
      <c r="R42" s="10">
        <v>13887018940</v>
      </c>
      <c r="S42" s="75">
        <f>21/31*100</f>
        <v>67.741935483870961</v>
      </c>
      <c r="T42" s="10">
        <v>3054924675</v>
      </c>
      <c r="U42" s="75"/>
      <c r="V42" s="10"/>
      <c r="W42" s="172">
        <f t="shared" si="27"/>
        <v>99.583333333333329</v>
      </c>
      <c r="X42" s="235">
        <f t="shared" si="27"/>
        <v>93.580375709163349</v>
      </c>
      <c r="Y42" s="172">
        <f t="shared" si="27"/>
        <v>127.81497261107728</v>
      </c>
      <c r="Z42" s="235">
        <f t="shared" si="27"/>
        <v>92.840743807931929</v>
      </c>
      <c r="AA42" s="172"/>
      <c r="AB42" s="235"/>
      <c r="AC42" s="74">
        <f>S42</f>
        <v>67.741935483870961</v>
      </c>
      <c r="AD42" s="11">
        <f>R42+T42</f>
        <v>16941943615</v>
      </c>
      <c r="AE42" s="56">
        <f t="shared" si="28"/>
        <v>112.9032258064516</v>
      </c>
      <c r="AF42" s="32" t="str">
        <f t="shared" ref="AF42:AF43" si="31">IF(AE42&gt;=91,"Sangat Tinggi",IF(AE42&gt;=76,"Tinggi",IF(AE42&gt;=66,"Sedang",IF(AE42&gt;=51,"Rendah",IF(AE42&lt;=50,"Sangat Rendah")))))</f>
        <v>Sangat Tinggi</v>
      </c>
      <c r="AG42" s="56">
        <f t="shared" ref="AG42:AG43" si="32">AD42/J42*100</f>
        <v>31.076726523162712</v>
      </c>
      <c r="AH42" s="111"/>
      <c r="AK42" s="119">
        <f>R42</f>
        <v>13887018940</v>
      </c>
    </row>
    <row r="43" spans="1:37" ht="75" x14ac:dyDescent="0.2">
      <c r="A43" s="60"/>
      <c r="B43" s="60"/>
      <c r="C43" s="14" t="s">
        <v>675</v>
      </c>
      <c r="D43" s="14" t="s">
        <v>676</v>
      </c>
      <c r="E43" s="75"/>
      <c r="F43" s="35"/>
      <c r="G43" s="8"/>
      <c r="H43" s="74">
        <v>53.5</v>
      </c>
      <c r="I43" s="35" t="s">
        <v>30</v>
      </c>
      <c r="J43" s="9">
        <v>4629084900</v>
      </c>
      <c r="K43" s="75"/>
      <c r="L43" s="10"/>
      <c r="M43" s="75"/>
      <c r="N43" s="10"/>
      <c r="O43" s="75">
        <v>50.67</v>
      </c>
      <c r="P43" s="10">
        <v>4527299000</v>
      </c>
      <c r="Q43" s="75"/>
      <c r="R43" s="10"/>
      <c r="S43" s="75"/>
      <c r="T43" s="10"/>
      <c r="U43" s="75">
        <v>49.38</v>
      </c>
      <c r="V43" s="10">
        <v>3307644976</v>
      </c>
      <c r="W43" s="172"/>
      <c r="X43" s="235"/>
      <c r="Y43" s="172"/>
      <c r="Z43" s="235"/>
      <c r="AA43" s="172">
        <f>U43/O43*100</f>
        <v>97.454114860864422</v>
      </c>
      <c r="AB43" s="235">
        <f>V43/P43*100</f>
        <v>73.060007214014348</v>
      </c>
      <c r="AC43" s="74">
        <f>U43</f>
        <v>49.38</v>
      </c>
      <c r="AD43" s="11">
        <f>V43</f>
        <v>3307644976</v>
      </c>
      <c r="AE43" s="56">
        <f t="shared" si="28"/>
        <v>92.299065420560751</v>
      </c>
      <c r="AF43" s="32" t="str">
        <f t="shared" si="31"/>
        <v>Sangat Tinggi</v>
      </c>
      <c r="AG43" s="56">
        <f t="shared" si="32"/>
        <v>71.453538819303148</v>
      </c>
      <c r="AH43" s="111"/>
      <c r="AK43" s="119"/>
    </row>
    <row r="44" spans="1:37" ht="164.25" customHeight="1" x14ac:dyDescent="0.25">
      <c r="A44" s="15"/>
      <c r="B44" s="60"/>
      <c r="C44" s="14"/>
      <c r="D44" s="62" t="s">
        <v>344</v>
      </c>
      <c r="E44" s="258">
        <v>40.659999999999997</v>
      </c>
      <c r="F44" s="220" t="s">
        <v>27</v>
      </c>
      <c r="G44" s="221"/>
      <c r="H44" s="258">
        <v>82.32</v>
      </c>
      <c r="I44" s="220" t="s">
        <v>27</v>
      </c>
      <c r="J44" s="222">
        <f>J45</f>
        <v>75333630000</v>
      </c>
      <c r="K44" s="258">
        <f>K45</f>
        <v>53.05</v>
      </c>
      <c r="L44" s="222">
        <f>L45</f>
        <v>9529106000</v>
      </c>
      <c r="M44" s="258">
        <f>M45</f>
        <v>59.98</v>
      </c>
      <c r="N44" s="222">
        <f>N45</f>
        <v>6481625000</v>
      </c>
      <c r="O44" s="258">
        <v>67.430000000000007</v>
      </c>
      <c r="P44" s="222">
        <f>SUM(P45:P51)</f>
        <v>16071345000</v>
      </c>
      <c r="Q44" s="258">
        <f>Q45</f>
        <v>50.84</v>
      </c>
      <c r="R44" s="222">
        <f>R45</f>
        <v>9342807596</v>
      </c>
      <c r="S44" s="258">
        <f>S45</f>
        <v>53.24</v>
      </c>
      <c r="T44" s="222">
        <f>T45</f>
        <v>6354775772</v>
      </c>
      <c r="U44" s="258">
        <v>58.35</v>
      </c>
      <c r="V44" s="222">
        <f>SUM(V45:V51)</f>
        <v>11885418835</v>
      </c>
      <c r="W44" s="254">
        <f t="shared" ref="W44:Z46" si="33">Q44/K44*100</f>
        <v>95.834118755890685</v>
      </c>
      <c r="X44" s="240">
        <f t="shared" si="33"/>
        <v>98.044954017722119</v>
      </c>
      <c r="Y44" s="254">
        <f t="shared" si="33"/>
        <v>88.762920973657899</v>
      </c>
      <c r="Z44" s="240">
        <f t="shared" si="33"/>
        <v>98.042940960021596</v>
      </c>
      <c r="AA44" s="254">
        <f>U44/O44*100</f>
        <v>86.534183597805125</v>
      </c>
      <c r="AB44" s="240">
        <f>V44/P44*100</f>
        <v>73.954101756884697</v>
      </c>
      <c r="AC44" s="223">
        <f>U44</f>
        <v>58.35</v>
      </c>
      <c r="AD44" s="292">
        <f>V44+R44+T44</f>
        <v>27583002203</v>
      </c>
      <c r="AE44" s="234">
        <f t="shared" si="28"/>
        <v>70.881924198250729</v>
      </c>
      <c r="AF44" s="219" t="str">
        <f>IF(AE44&gt;=91,"Sangat Tinggi",IF(AE44&gt;=76,"Tinggi",IF(AE44&gt;=66,"Sedang",IF(AE44&gt;=51,"Rendah",IF(AE44&lt;=50,"Sangat Rendah")))))</f>
        <v>Sedang</v>
      </c>
      <c r="AG44" s="403">
        <f>AD44/J44*100</f>
        <v>36.614460504558188</v>
      </c>
      <c r="AH44" s="111"/>
      <c r="AK44" s="119">
        <f>R44</f>
        <v>9342807596</v>
      </c>
    </row>
    <row r="45" spans="1:37" ht="105" customHeight="1" x14ac:dyDescent="0.2">
      <c r="A45" s="60"/>
      <c r="B45" s="60"/>
      <c r="C45" s="14" t="s">
        <v>182</v>
      </c>
      <c r="D45" s="14" t="s">
        <v>183</v>
      </c>
      <c r="E45" s="32">
        <v>40.659999999999997</v>
      </c>
      <c r="F45" s="32" t="s">
        <v>27</v>
      </c>
      <c r="G45" s="8"/>
      <c r="H45" s="18">
        <v>82.32</v>
      </c>
      <c r="I45" s="32" t="s">
        <v>27</v>
      </c>
      <c r="J45" s="9">
        <v>75333630000</v>
      </c>
      <c r="K45" s="32">
        <v>53.05</v>
      </c>
      <c r="L45" s="10">
        <v>9529106000</v>
      </c>
      <c r="M45" s="32">
        <v>59.98</v>
      </c>
      <c r="N45" s="10">
        <v>6481625000</v>
      </c>
      <c r="O45" s="32"/>
      <c r="P45" s="10"/>
      <c r="Q45" s="32">
        <v>50.84</v>
      </c>
      <c r="R45" s="59">
        <v>9342807596</v>
      </c>
      <c r="S45" s="74">
        <v>53.24</v>
      </c>
      <c r="T45" s="59">
        <v>6354775772</v>
      </c>
      <c r="U45" s="74"/>
      <c r="V45" s="59"/>
      <c r="W45" s="172">
        <f t="shared" si="33"/>
        <v>95.834118755890685</v>
      </c>
      <c r="X45" s="235">
        <f t="shared" si="33"/>
        <v>98.044954017722119</v>
      </c>
      <c r="Y45" s="172">
        <f t="shared" si="33"/>
        <v>88.762920973657899</v>
      </c>
      <c r="Z45" s="235">
        <f t="shared" si="33"/>
        <v>98.042940960021596</v>
      </c>
      <c r="AA45" s="172"/>
      <c r="AB45" s="235"/>
      <c r="AC45" s="74">
        <f>S45</f>
        <v>53.24</v>
      </c>
      <c r="AD45" s="11">
        <f>R45+T45</f>
        <v>15697583368</v>
      </c>
      <c r="AE45" s="56">
        <f t="shared" si="28"/>
        <v>64.674441205053455</v>
      </c>
      <c r="AF45" s="32" t="str">
        <f t="shared" ref="AF45" si="34">IF(AE45&gt;=91,"Sangat Tinggi",IF(AE45&gt;=76,"Tinggi",IF(AE45&gt;=66,"Sedang",IF(AE45&gt;=51,"Rendah",IF(AE45&lt;=50,"Sangat Rendah")))))</f>
        <v>Rendah</v>
      </c>
      <c r="AG45" s="56">
        <f t="shared" ref="AG45" si="35">AD45/J45*100</f>
        <v>20.837417987159252</v>
      </c>
      <c r="AH45" s="466" t="s">
        <v>326</v>
      </c>
      <c r="AK45" s="119">
        <f>R45</f>
        <v>9342807596</v>
      </c>
    </row>
    <row r="46" spans="1:37" ht="60" x14ac:dyDescent="0.2">
      <c r="A46" s="16"/>
      <c r="B46" s="60"/>
      <c r="C46" s="14" t="s">
        <v>324</v>
      </c>
      <c r="D46" s="14" t="s">
        <v>325</v>
      </c>
      <c r="E46" s="75">
        <v>18.78</v>
      </c>
      <c r="F46" s="35" t="s">
        <v>27</v>
      </c>
      <c r="G46" s="8"/>
      <c r="H46" s="75">
        <v>44.01</v>
      </c>
      <c r="I46" s="35" t="s">
        <v>27</v>
      </c>
      <c r="J46" s="9">
        <v>34814402500</v>
      </c>
      <c r="K46" s="75">
        <v>23.97</v>
      </c>
      <c r="L46" s="10">
        <v>7357100000</v>
      </c>
      <c r="M46" s="75">
        <v>28.98</v>
      </c>
      <c r="N46" s="10">
        <v>6496030000</v>
      </c>
      <c r="O46" s="75"/>
      <c r="P46" s="10"/>
      <c r="Q46" s="75">
        <f>6959/19975*100</f>
        <v>34.838548185231538</v>
      </c>
      <c r="R46" s="10">
        <v>7211519710</v>
      </c>
      <c r="S46" s="75">
        <f>7910/19975*100</f>
        <v>39.599499374217771</v>
      </c>
      <c r="T46" s="10">
        <v>6409375999</v>
      </c>
      <c r="U46" s="75"/>
      <c r="V46" s="10"/>
      <c r="W46" s="172">
        <f t="shared" si="33"/>
        <v>145.34229530759924</v>
      </c>
      <c r="X46" s="235">
        <f t="shared" si="33"/>
        <v>98.021227249867465</v>
      </c>
      <c r="Y46" s="172">
        <f t="shared" si="33"/>
        <v>136.64423524574801</v>
      </c>
      <c r="Z46" s="235">
        <f t="shared" si="33"/>
        <v>98.666046785498224</v>
      </c>
      <c r="AA46" s="172"/>
      <c r="AB46" s="235"/>
      <c r="AC46" s="74">
        <f>S46</f>
        <v>39.599499374217771</v>
      </c>
      <c r="AD46" s="11">
        <f>R46+T46</f>
        <v>13620895709</v>
      </c>
      <c r="AE46" s="56">
        <f t="shared" si="28"/>
        <v>89.978412574909726</v>
      </c>
      <c r="AF46" s="32" t="str">
        <f t="shared" ref="AF46:AF47" si="36">IF(AE46&gt;=91,"Sangat Tinggi",IF(AE46&gt;=76,"Tinggi",IF(AE46&gt;=66,"Sedang",IF(AE46&gt;=51,"Rendah",IF(AE46&lt;=50,"Sangat Rendah")))))</f>
        <v>Tinggi</v>
      </c>
      <c r="AG46" s="56">
        <f t="shared" ref="AG46:AG47" si="37">AD46/J46*100</f>
        <v>39.124312729480273</v>
      </c>
      <c r="AH46" s="467"/>
      <c r="AK46" s="119">
        <f>R46</f>
        <v>7211519710</v>
      </c>
    </row>
    <row r="47" spans="1:37" ht="135" x14ac:dyDescent="0.2">
      <c r="A47" s="16"/>
      <c r="B47" s="60"/>
      <c r="C47" s="94" t="s">
        <v>667</v>
      </c>
      <c r="D47" s="14" t="s">
        <v>668</v>
      </c>
      <c r="E47" s="75"/>
      <c r="F47" s="35"/>
      <c r="G47" s="3"/>
      <c r="H47" s="92">
        <v>100</v>
      </c>
      <c r="I47" s="35" t="s">
        <v>27</v>
      </c>
      <c r="J47" s="183">
        <v>278750000</v>
      </c>
      <c r="K47" s="75"/>
      <c r="L47" s="180"/>
      <c r="M47" s="75"/>
      <c r="N47" s="180"/>
      <c r="O47" s="341">
        <v>100</v>
      </c>
      <c r="P47" s="180">
        <v>78750000</v>
      </c>
      <c r="Q47" s="75"/>
      <c r="R47" s="180"/>
      <c r="S47" s="75"/>
      <c r="T47" s="180"/>
      <c r="U47" s="340">
        <v>100</v>
      </c>
      <c r="V47" s="180">
        <v>72183000</v>
      </c>
      <c r="W47" s="172"/>
      <c r="X47" s="237"/>
      <c r="Y47" s="172"/>
      <c r="Z47" s="237"/>
      <c r="AA47" s="265">
        <f>U47/O47*100</f>
        <v>100</v>
      </c>
      <c r="AB47" s="237">
        <f>V47/P47*100</f>
        <v>91.660952380952381</v>
      </c>
      <c r="AC47" s="92">
        <f>U47</f>
        <v>100</v>
      </c>
      <c r="AD47" s="193">
        <f>V47</f>
        <v>72183000</v>
      </c>
      <c r="AE47" s="89">
        <f t="shared" si="28"/>
        <v>100</v>
      </c>
      <c r="AF47" s="32" t="str">
        <f t="shared" si="36"/>
        <v>Sangat Tinggi</v>
      </c>
      <c r="AG47" s="354">
        <f t="shared" si="37"/>
        <v>25.895246636771301</v>
      </c>
      <c r="AH47" s="111"/>
      <c r="AK47" s="119"/>
    </row>
    <row r="48" spans="1:37" ht="165" x14ac:dyDescent="0.2">
      <c r="A48" s="16"/>
      <c r="B48" s="60"/>
      <c r="C48" s="20"/>
      <c r="D48" s="14" t="s">
        <v>669</v>
      </c>
      <c r="E48" s="75"/>
      <c r="F48" s="35"/>
      <c r="G48" s="5"/>
      <c r="H48" s="92">
        <v>100</v>
      </c>
      <c r="I48" s="35" t="s">
        <v>27</v>
      </c>
      <c r="J48" s="49"/>
      <c r="K48" s="75"/>
      <c r="L48" s="182"/>
      <c r="M48" s="75"/>
      <c r="N48" s="182"/>
      <c r="O48" s="341">
        <v>100</v>
      </c>
      <c r="P48" s="182"/>
      <c r="Q48" s="75"/>
      <c r="R48" s="182"/>
      <c r="S48" s="75"/>
      <c r="T48" s="182"/>
      <c r="U48" s="340">
        <v>100</v>
      </c>
      <c r="V48" s="182"/>
      <c r="W48" s="172"/>
      <c r="X48" s="238"/>
      <c r="Y48" s="172"/>
      <c r="Z48" s="238"/>
      <c r="AA48" s="265">
        <f>U48/O48*100</f>
        <v>100</v>
      </c>
      <c r="AB48" s="238"/>
      <c r="AC48" s="92">
        <f>U48</f>
        <v>100</v>
      </c>
      <c r="AD48" s="274"/>
      <c r="AE48" s="89">
        <f t="shared" si="28"/>
        <v>100</v>
      </c>
      <c r="AF48" s="32" t="str">
        <f t="shared" ref="AF48:AF51" si="38">IF(AE48&gt;=91,"Sangat Tinggi",IF(AE48&gt;=76,"Tinggi",IF(AE48&gt;=66,"Sedang",IF(AE48&gt;=51,"Rendah",IF(AE48&lt;=50,"Sangat Rendah")))))</f>
        <v>Sangat Tinggi</v>
      </c>
      <c r="AG48" s="77"/>
      <c r="AH48" s="111"/>
      <c r="AK48" s="119"/>
    </row>
    <row r="49" spans="1:37" ht="75" x14ac:dyDescent="0.2">
      <c r="A49" s="16"/>
      <c r="B49" s="60"/>
      <c r="C49" s="14" t="s">
        <v>670</v>
      </c>
      <c r="D49" s="14" t="s">
        <v>671</v>
      </c>
      <c r="E49" s="75"/>
      <c r="F49" s="35"/>
      <c r="G49" s="8"/>
      <c r="H49" s="74">
        <v>59.49</v>
      </c>
      <c r="I49" s="35" t="s">
        <v>27</v>
      </c>
      <c r="J49" s="9">
        <v>7003016000</v>
      </c>
      <c r="K49" s="75"/>
      <c r="L49" s="10"/>
      <c r="M49" s="75"/>
      <c r="N49" s="10"/>
      <c r="O49" s="75">
        <v>39.24050632911392</v>
      </c>
      <c r="P49" s="10">
        <v>5464664000</v>
      </c>
      <c r="Q49" s="75"/>
      <c r="R49" s="10"/>
      <c r="S49" s="75"/>
      <c r="T49" s="10"/>
      <c r="U49" s="75">
        <v>39.240506329113927</v>
      </c>
      <c r="V49" s="10">
        <v>3756133900</v>
      </c>
      <c r="W49" s="172"/>
      <c r="X49" s="235"/>
      <c r="Y49" s="172"/>
      <c r="Z49" s="235"/>
      <c r="AA49" s="265">
        <f>U49/O49*100</f>
        <v>100.00000000000003</v>
      </c>
      <c r="AB49" s="235">
        <f>V49/P49*100</f>
        <v>68.734946924458669</v>
      </c>
      <c r="AC49" s="74">
        <f>U49</f>
        <v>39.240506329113927</v>
      </c>
      <c r="AD49" s="11">
        <f>V49</f>
        <v>3756133900</v>
      </c>
      <c r="AE49" s="56">
        <f t="shared" si="28"/>
        <v>65.961516774439275</v>
      </c>
      <c r="AF49" s="32" t="str">
        <f t="shared" si="38"/>
        <v>Rendah</v>
      </c>
      <c r="AG49" s="56">
        <f t="shared" ref="AG49:AG51" si="39">AD49/J49*100</f>
        <v>53.635946283715477</v>
      </c>
      <c r="AH49" s="111"/>
      <c r="AK49" s="119"/>
    </row>
    <row r="50" spans="1:37" ht="90" x14ac:dyDescent="0.2">
      <c r="A50" s="16"/>
      <c r="B50" s="60"/>
      <c r="C50" s="14" t="s">
        <v>672</v>
      </c>
      <c r="D50" s="14" t="s">
        <v>673</v>
      </c>
      <c r="E50" s="75"/>
      <c r="F50" s="35"/>
      <c r="G50" s="8"/>
      <c r="H50" s="74">
        <v>65.384615384615387</v>
      </c>
      <c r="I50" s="35" t="s">
        <v>27</v>
      </c>
      <c r="J50" s="9">
        <v>36032206000</v>
      </c>
      <c r="K50" s="75"/>
      <c r="L50" s="10"/>
      <c r="M50" s="75"/>
      <c r="N50" s="10"/>
      <c r="O50" s="75">
        <v>53.846153846153847</v>
      </c>
      <c r="P50" s="10">
        <v>10423287000</v>
      </c>
      <c r="Q50" s="75"/>
      <c r="R50" s="10"/>
      <c r="S50" s="75"/>
      <c r="T50" s="10"/>
      <c r="U50" s="75">
        <v>53.846153846153847</v>
      </c>
      <c r="V50" s="10">
        <v>7966180935</v>
      </c>
      <c r="W50" s="172"/>
      <c r="X50" s="235"/>
      <c r="Y50" s="172"/>
      <c r="Z50" s="235"/>
      <c r="AA50" s="265">
        <f>U50/O50*100</f>
        <v>100</v>
      </c>
      <c r="AB50" s="235">
        <f>V50/P50*100</f>
        <v>76.426763793417564</v>
      </c>
      <c r="AC50" s="74">
        <f>U50</f>
        <v>53.846153846153847</v>
      </c>
      <c r="AD50" s="11">
        <f t="shared" ref="AD50:AD51" si="40">V50</f>
        <v>7966180935</v>
      </c>
      <c r="AE50" s="56">
        <f t="shared" si="28"/>
        <v>82.35294117647058</v>
      </c>
      <c r="AF50" s="32" t="str">
        <f t="shared" si="38"/>
        <v>Tinggi</v>
      </c>
      <c r="AG50" s="56">
        <f>AD50/J50*100</f>
        <v>22.10850186358282</v>
      </c>
      <c r="AH50" s="111"/>
      <c r="AK50" s="119"/>
    </row>
    <row r="51" spans="1:37" ht="60" x14ac:dyDescent="0.2">
      <c r="A51" s="16"/>
      <c r="B51" s="60"/>
      <c r="C51" s="14" t="s">
        <v>674</v>
      </c>
      <c r="D51" s="14" t="s">
        <v>673</v>
      </c>
      <c r="E51" s="75"/>
      <c r="F51" s="35"/>
      <c r="G51" s="8"/>
      <c r="H51" s="74">
        <v>65.384615384615387</v>
      </c>
      <c r="I51" s="35" t="s">
        <v>27</v>
      </c>
      <c r="J51" s="9">
        <v>282432000</v>
      </c>
      <c r="K51" s="75"/>
      <c r="L51" s="10"/>
      <c r="M51" s="75"/>
      <c r="N51" s="10"/>
      <c r="O51" s="75">
        <v>53.846153846153847</v>
      </c>
      <c r="P51" s="10">
        <v>104644000</v>
      </c>
      <c r="Q51" s="75"/>
      <c r="R51" s="10"/>
      <c r="S51" s="75"/>
      <c r="T51" s="10"/>
      <c r="U51" s="75">
        <v>53.846153846153847</v>
      </c>
      <c r="V51" s="10">
        <v>90921000</v>
      </c>
      <c r="W51" s="172"/>
      <c r="X51" s="235"/>
      <c r="Y51" s="172"/>
      <c r="Z51" s="235"/>
      <c r="AA51" s="265">
        <f>U51/O51*100</f>
        <v>100</v>
      </c>
      <c r="AB51" s="235">
        <f>V51/P51*100</f>
        <v>86.886013531592837</v>
      </c>
      <c r="AC51" s="74">
        <f>U51</f>
        <v>53.846153846153847</v>
      </c>
      <c r="AD51" s="11">
        <f t="shared" si="40"/>
        <v>90921000</v>
      </c>
      <c r="AE51" s="56">
        <f t="shared" si="28"/>
        <v>82.35294117647058</v>
      </c>
      <c r="AF51" s="32" t="str">
        <f t="shared" si="38"/>
        <v>Tinggi</v>
      </c>
      <c r="AG51" s="56">
        <f t="shared" si="39"/>
        <v>32.192173691366413</v>
      </c>
      <c r="AH51" s="112"/>
      <c r="AK51" s="119"/>
    </row>
    <row r="52" spans="1:37" ht="15" x14ac:dyDescent="0.2">
      <c r="A52" s="414" t="s">
        <v>5</v>
      </c>
      <c r="B52" s="415"/>
      <c r="C52" s="415"/>
      <c r="D52" s="415"/>
      <c r="E52" s="415"/>
      <c r="F52" s="415"/>
      <c r="G52" s="415"/>
      <c r="H52" s="415"/>
      <c r="I52" s="415"/>
      <c r="J52" s="415"/>
      <c r="K52" s="415"/>
      <c r="L52" s="415"/>
      <c r="M52" s="415"/>
      <c r="N52" s="415"/>
      <c r="O52" s="415"/>
      <c r="P52" s="415"/>
      <c r="Q52" s="415"/>
      <c r="R52" s="415"/>
      <c r="S52" s="415"/>
      <c r="T52" s="415"/>
      <c r="U52" s="415"/>
      <c r="V52" s="416"/>
      <c r="W52" s="110">
        <f>AVERAGE(W16:W51)</f>
        <v>103.59359614012943</v>
      </c>
      <c r="X52" s="110"/>
      <c r="Y52" s="110">
        <f>AVERAGE(Y16:Y51)</f>
        <v>109.74281855936279</v>
      </c>
      <c r="Z52" s="95"/>
      <c r="AA52" s="110">
        <f>AVERAGE(AA16:AA51)</f>
        <v>104.15134622141957</v>
      </c>
      <c r="AB52" s="95"/>
      <c r="AC52" s="95"/>
      <c r="AD52" s="95"/>
      <c r="AE52" s="95"/>
      <c r="AF52" s="95"/>
      <c r="AG52" s="95"/>
      <c r="AH52" s="111"/>
    </row>
    <row r="53" spans="1:37" ht="15" x14ac:dyDescent="0.2">
      <c r="A53" s="414" t="s">
        <v>6</v>
      </c>
      <c r="B53" s="415"/>
      <c r="C53" s="415"/>
      <c r="D53" s="415"/>
      <c r="E53" s="415"/>
      <c r="F53" s="415"/>
      <c r="G53" s="415"/>
      <c r="H53" s="415"/>
      <c r="I53" s="415"/>
      <c r="J53" s="415"/>
      <c r="K53" s="415"/>
      <c r="L53" s="415"/>
      <c r="M53" s="415"/>
      <c r="N53" s="415"/>
      <c r="O53" s="415"/>
      <c r="P53" s="415"/>
      <c r="Q53" s="415"/>
      <c r="R53" s="415"/>
      <c r="S53" s="415"/>
      <c r="T53" s="415"/>
      <c r="U53" s="415"/>
      <c r="V53" s="416"/>
      <c r="W53" s="156" t="str">
        <f>IF(W52&gt;=91,"Sangat Tinggi",IF(W52&gt;=76,"Tinggi",IF(W52&gt;=66,"Sedang",IF(W52&gt;=51,"Rendah",IF(W52&lt;=50,"Sangat Rendah")))))</f>
        <v>Sangat Tinggi</v>
      </c>
      <c r="X53" s="95"/>
      <c r="Y53" s="156" t="str">
        <f>IF(Y52&gt;=91,"Sangat Tinggi",IF(Y52&gt;=76,"Tinggi",IF(Y52&gt;=66,"Sedang",IF(Y52&gt;=51,"Rendah",IF(Y52&lt;=50,"Sangat Rendah")))))</f>
        <v>Sangat Tinggi</v>
      </c>
      <c r="Z53" s="95"/>
      <c r="AA53" s="156" t="str">
        <f>IF(AA52&gt;=91,"Sangat Tinggi",IF(AA52&gt;=76,"Tinggi",IF(AA52&gt;=66,"Sedang",IF(AA52&gt;=51,"Rendah",IF(AA52&lt;=50,"Sangat Rendah")))))</f>
        <v>Sangat Tinggi</v>
      </c>
      <c r="AB53" s="95"/>
      <c r="AC53" s="95"/>
      <c r="AD53" s="95"/>
      <c r="AE53" s="95"/>
      <c r="AF53" s="95"/>
      <c r="AG53" s="95"/>
      <c r="AH53" s="111"/>
    </row>
    <row r="54" spans="1:37" ht="15" x14ac:dyDescent="0.2">
      <c r="A54" s="459" t="s">
        <v>7</v>
      </c>
      <c r="B54" s="459"/>
      <c r="C54" s="459"/>
      <c r="D54" s="459"/>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111"/>
    </row>
    <row r="55" spans="1:37" ht="15" x14ac:dyDescent="0.2">
      <c r="A55" s="459" t="s">
        <v>8</v>
      </c>
      <c r="B55" s="459"/>
      <c r="C55" s="459"/>
      <c r="D55" s="459"/>
      <c r="E55" s="459"/>
      <c r="F55" s="459"/>
      <c r="G55" s="459"/>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111"/>
    </row>
    <row r="56" spans="1:37" ht="15" x14ac:dyDescent="0.2">
      <c r="A56" s="459" t="s">
        <v>9</v>
      </c>
      <c r="B56" s="459"/>
      <c r="C56" s="459"/>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111"/>
    </row>
    <row r="57" spans="1:37" ht="15" x14ac:dyDescent="0.2">
      <c r="A57" s="459" t="s">
        <v>10</v>
      </c>
      <c r="B57" s="459"/>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112"/>
    </row>
    <row r="58" spans="1:37" ht="15" x14ac:dyDescent="0.2">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row>
    <row r="61" spans="1:37" ht="51" x14ac:dyDescent="0.2">
      <c r="A61" s="153" t="s">
        <v>492</v>
      </c>
      <c r="B61" s="153" t="s">
        <v>493</v>
      </c>
      <c r="C61" s="153" t="s">
        <v>494</v>
      </c>
    </row>
    <row r="62" spans="1:37" ht="25.5" x14ac:dyDescent="0.2">
      <c r="A62" s="154" t="s">
        <v>495</v>
      </c>
      <c r="B62" s="154" t="s">
        <v>496</v>
      </c>
      <c r="C62" s="154" t="s">
        <v>497</v>
      </c>
    </row>
    <row r="63" spans="1:37" ht="25.5" x14ac:dyDescent="0.2">
      <c r="A63" s="154" t="s">
        <v>498</v>
      </c>
      <c r="B63" s="154" t="s">
        <v>499</v>
      </c>
      <c r="C63" s="154" t="s">
        <v>500</v>
      </c>
    </row>
    <row r="64" spans="1:37" ht="25.5" x14ac:dyDescent="0.2">
      <c r="A64" s="154" t="s">
        <v>501</v>
      </c>
      <c r="B64" s="154" t="s">
        <v>502</v>
      </c>
      <c r="C64" s="154" t="s">
        <v>264</v>
      </c>
    </row>
    <row r="65" spans="1:3" ht="25.5" x14ac:dyDescent="0.2">
      <c r="A65" s="154" t="s">
        <v>503</v>
      </c>
      <c r="B65" s="154" t="s">
        <v>504</v>
      </c>
      <c r="C65" s="154" t="s">
        <v>505</v>
      </c>
    </row>
    <row r="66" spans="1:3" ht="25.5" x14ac:dyDescent="0.2">
      <c r="A66" s="154" t="s">
        <v>506</v>
      </c>
      <c r="B66" s="155" t="s">
        <v>507</v>
      </c>
      <c r="C66" s="154" t="s">
        <v>508</v>
      </c>
    </row>
  </sheetData>
  <mergeCells count="86">
    <mergeCell ref="AH40:AH41"/>
    <mergeCell ref="AH45:AH46"/>
    <mergeCell ref="A52:V52"/>
    <mergeCell ref="A53:V53"/>
    <mergeCell ref="K7:P8"/>
    <mergeCell ref="Q7:V8"/>
    <mergeCell ref="W7:AB8"/>
    <mergeCell ref="U9:V9"/>
    <mergeCell ref="U10:V10"/>
    <mergeCell ref="O9:P9"/>
    <mergeCell ref="O10:P10"/>
    <mergeCell ref="V11:V12"/>
    <mergeCell ref="AA9:AB9"/>
    <mergeCell ref="AA10:AB10"/>
    <mergeCell ref="R11:R12"/>
    <mergeCell ref="S11:S12"/>
    <mergeCell ref="A1:AH1"/>
    <mergeCell ref="A2:AH2"/>
    <mergeCell ref="A3:AH3"/>
    <mergeCell ref="K9:L9"/>
    <mergeCell ref="K10:L10"/>
    <mergeCell ref="AE10:AG10"/>
    <mergeCell ref="M10:N10"/>
    <mergeCell ref="Q10:R10"/>
    <mergeCell ref="S10:T10"/>
    <mergeCell ref="W10:X10"/>
    <mergeCell ref="D10:D12"/>
    <mergeCell ref="E10:G10"/>
    <mergeCell ref="Y10:Z10"/>
    <mergeCell ref="AC10:AD10"/>
    <mergeCell ref="AF11:AF12"/>
    <mergeCell ref="AH7:AH8"/>
    <mergeCell ref="A55:AG55"/>
    <mergeCell ref="G13:G15"/>
    <mergeCell ref="H13:I15"/>
    <mergeCell ref="J13:J15"/>
    <mergeCell ref="M13:M15"/>
    <mergeCell ref="N13:N15"/>
    <mergeCell ref="A13:A15"/>
    <mergeCell ref="B13:B15"/>
    <mergeCell ref="C13:C15"/>
    <mergeCell ref="D13:D15"/>
    <mergeCell ref="E13:F15"/>
    <mergeCell ref="K13:K15"/>
    <mergeCell ref="L13:L15"/>
    <mergeCell ref="O13:O15"/>
    <mergeCell ref="P13:P15"/>
    <mergeCell ref="Q13:Q15"/>
    <mergeCell ref="A54:AG54"/>
    <mergeCell ref="T11:T12"/>
    <mergeCell ref="AC11:AC12"/>
    <mergeCell ref="AD11:AD12"/>
    <mergeCell ref="O11:O12"/>
    <mergeCell ref="P11:P12"/>
    <mergeCell ref="U11:U12"/>
    <mergeCell ref="L11:L12"/>
    <mergeCell ref="M11:M12"/>
    <mergeCell ref="N11:N12"/>
    <mergeCell ref="Q11:Q12"/>
    <mergeCell ref="A4:AG4"/>
    <mergeCell ref="A5:AG5"/>
    <mergeCell ref="A6:AG6"/>
    <mergeCell ref="A7:A9"/>
    <mergeCell ref="B7:B9"/>
    <mergeCell ref="C7:C9"/>
    <mergeCell ref="D7:D9"/>
    <mergeCell ref="E7:G9"/>
    <mergeCell ref="AC7:AD9"/>
    <mergeCell ref="AE7:AG9"/>
    <mergeCell ref="H7:J9"/>
    <mergeCell ref="A56:AG56"/>
    <mergeCell ref="A57:AG57"/>
    <mergeCell ref="Y9:Z9"/>
    <mergeCell ref="W9:X9"/>
    <mergeCell ref="M9:N9"/>
    <mergeCell ref="Q9:R9"/>
    <mergeCell ref="S9:T9"/>
    <mergeCell ref="H10:J10"/>
    <mergeCell ref="E11:F12"/>
    <mergeCell ref="G11:G12"/>
    <mergeCell ref="H11:I12"/>
    <mergeCell ref="J11:J12"/>
    <mergeCell ref="A10:A12"/>
    <mergeCell ref="B10:B12"/>
    <mergeCell ref="C10:C12"/>
    <mergeCell ref="K11:K12"/>
  </mergeCells>
  <printOptions horizontalCentered="1"/>
  <pageMargins left="0.23622047244094491" right="0.23622047244094491" top="3.937007874015748E-2" bottom="3.937007874015748E-2" header="0" footer="0"/>
  <pageSetup paperSize="256" scale="36" orientation="landscape" horizontalDpi="4294967293" r:id="rId1"/>
  <rowBreaks count="2" manualBreakCount="2">
    <brk id="29" max="33" man="1"/>
    <brk id="44" max="3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K68"/>
  <sheetViews>
    <sheetView showRuler="0" view="pageBreakPreview" topLeftCell="A46" zoomScale="70" zoomScaleNormal="40" zoomScaleSheetLayoutView="70" zoomScalePageLayoutView="55" workbookViewId="0">
      <selection activeCell="AA40" sqref="AA40"/>
    </sheetView>
  </sheetViews>
  <sheetFormatPr defaultColWidth="9.140625" defaultRowHeight="14.25" x14ac:dyDescent="0.2"/>
  <cols>
    <col min="1" max="1" width="6.42578125" style="2" customWidth="1"/>
    <col min="2" max="2" width="18" style="2" customWidth="1"/>
    <col min="3" max="3" width="14.85546875" style="2" customWidth="1"/>
    <col min="4" max="4" width="15" style="2" customWidth="1"/>
    <col min="5" max="5" width="8" style="2" customWidth="1"/>
    <col min="6" max="6" width="9" style="2" customWidth="1"/>
    <col min="7" max="7" width="20.7109375" style="2" bestFit="1" customWidth="1"/>
    <col min="8" max="8" width="9.7109375" style="2" customWidth="1"/>
    <col min="9" max="9" width="8.85546875" style="2" customWidth="1"/>
    <col min="10" max="10" width="19.140625" style="2" customWidth="1"/>
    <col min="11" max="11" width="9" style="2" customWidth="1"/>
    <col min="12" max="12" width="19.28515625" style="2" customWidth="1"/>
    <col min="13" max="13" width="9" style="2" customWidth="1"/>
    <col min="14" max="14" width="19.28515625" style="2" customWidth="1"/>
    <col min="15" max="15" width="9" style="2" customWidth="1"/>
    <col min="16" max="16" width="19.28515625" style="2" customWidth="1"/>
    <col min="17" max="17" width="7.7109375" style="2" customWidth="1"/>
    <col min="18" max="18" width="18.28515625" style="2" customWidth="1"/>
    <col min="19" max="19" width="7.7109375" style="2" customWidth="1"/>
    <col min="20" max="20" width="17.7109375" style="2" customWidth="1"/>
    <col min="21" max="21" width="9.5703125" style="2" bestFit="1" customWidth="1"/>
    <col min="22" max="22" width="17.7109375" style="2" customWidth="1"/>
    <col min="23" max="23" width="11.140625" style="2" customWidth="1"/>
    <col min="24" max="24" width="10.7109375" style="2" customWidth="1"/>
    <col min="25" max="25" width="8.42578125" style="2" customWidth="1"/>
    <col min="26" max="26" width="10.5703125" style="2" customWidth="1"/>
    <col min="27" max="27" width="8.42578125" style="2" customWidth="1"/>
    <col min="28" max="28" width="10.5703125" style="2" customWidth="1"/>
    <col min="29" max="29" width="8.7109375" style="2" customWidth="1"/>
    <col min="30" max="30" width="16.85546875" style="2" customWidth="1"/>
    <col min="31" max="31" width="8.5703125" style="2" customWidth="1"/>
    <col min="32" max="32" width="11.5703125" style="2" customWidth="1"/>
    <col min="33" max="33" width="15.140625" style="2" customWidth="1"/>
    <col min="34" max="34" width="17.85546875" style="2" customWidth="1"/>
    <col min="35" max="36" width="9.140625" style="2"/>
    <col min="37" max="37" width="18.5703125" style="2" customWidth="1"/>
    <col min="38" max="16384" width="9.140625" style="2"/>
  </cols>
  <sheetData>
    <row r="1" spans="1:37" ht="23.25" x14ac:dyDescent="0.35">
      <c r="A1" s="460" t="s">
        <v>23</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row>
    <row r="2" spans="1:37" ht="23.25" x14ac:dyDescent="0.35">
      <c r="A2" s="460" t="s">
        <v>24</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row>
    <row r="3" spans="1:37" ht="23.25" x14ac:dyDescent="0.2">
      <c r="A3" s="461" t="s">
        <v>565</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row>
    <row r="4" spans="1:37" ht="18" x14ac:dyDescent="0.2">
      <c r="A4" s="439" t="s">
        <v>11</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row>
    <row r="5" spans="1:37" ht="18" customHeight="1" x14ac:dyDescent="0.2">
      <c r="A5" s="439" t="s">
        <v>361</v>
      </c>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row>
    <row r="6" spans="1:37" ht="18" customHeight="1" x14ac:dyDescent="0.2">
      <c r="A6" s="439" t="s">
        <v>362</v>
      </c>
      <c r="B6" s="439"/>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row>
    <row r="7" spans="1:37" ht="18" customHeight="1" x14ac:dyDescent="0.2">
      <c r="A7" s="439" t="s">
        <v>363</v>
      </c>
      <c r="B7" s="439"/>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row>
    <row r="8" spans="1:37" ht="15" x14ac:dyDescent="0.2">
      <c r="A8" s="440"/>
      <c r="B8" s="440"/>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row>
    <row r="9" spans="1:37" s="118" customFormat="1" ht="68.25" customHeight="1" x14ac:dyDescent="0.2">
      <c r="A9" s="417" t="s">
        <v>0</v>
      </c>
      <c r="B9" s="417" t="s">
        <v>257</v>
      </c>
      <c r="C9" s="452" t="s">
        <v>1</v>
      </c>
      <c r="D9" s="452" t="s">
        <v>299</v>
      </c>
      <c r="E9" s="441" t="s">
        <v>20</v>
      </c>
      <c r="F9" s="442"/>
      <c r="G9" s="443"/>
      <c r="H9" s="441" t="s">
        <v>19</v>
      </c>
      <c r="I9" s="442"/>
      <c r="J9" s="443"/>
      <c r="K9" s="420" t="s">
        <v>536</v>
      </c>
      <c r="L9" s="421"/>
      <c r="M9" s="421"/>
      <c r="N9" s="421"/>
      <c r="O9" s="421"/>
      <c r="P9" s="422"/>
      <c r="Q9" s="420" t="s">
        <v>537</v>
      </c>
      <c r="R9" s="421"/>
      <c r="S9" s="421"/>
      <c r="T9" s="421"/>
      <c r="U9" s="421"/>
      <c r="V9" s="422"/>
      <c r="W9" s="420" t="s">
        <v>538</v>
      </c>
      <c r="X9" s="421"/>
      <c r="Y9" s="421"/>
      <c r="Z9" s="421"/>
      <c r="AA9" s="421"/>
      <c r="AB9" s="422"/>
      <c r="AC9" s="420" t="s">
        <v>18</v>
      </c>
      <c r="AD9" s="422"/>
      <c r="AE9" s="420" t="s">
        <v>4</v>
      </c>
      <c r="AF9" s="421"/>
      <c r="AG9" s="422"/>
      <c r="AH9" s="462" t="s">
        <v>278</v>
      </c>
    </row>
    <row r="10" spans="1:37" s="118" customFormat="1" ht="18" customHeight="1" x14ac:dyDescent="0.2">
      <c r="A10" s="417"/>
      <c r="B10" s="417"/>
      <c r="C10" s="452"/>
      <c r="D10" s="452"/>
      <c r="E10" s="444"/>
      <c r="F10" s="445"/>
      <c r="G10" s="446"/>
      <c r="H10" s="444"/>
      <c r="I10" s="445"/>
      <c r="J10" s="446"/>
      <c r="K10" s="436"/>
      <c r="L10" s="437"/>
      <c r="M10" s="437"/>
      <c r="N10" s="437"/>
      <c r="O10" s="437"/>
      <c r="P10" s="438"/>
      <c r="Q10" s="436"/>
      <c r="R10" s="437"/>
      <c r="S10" s="437"/>
      <c r="T10" s="437"/>
      <c r="U10" s="437"/>
      <c r="V10" s="438"/>
      <c r="W10" s="423"/>
      <c r="X10" s="424"/>
      <c r="Y10" s="424"/>
      <c r="Z10" s="424"/>
      <c r="AA10" s="424"/>
      <c r="AB10" s="425"/>
      <c r="AC10" s="423"/>
      <c r="AD10" s="425"/>
      <c r="AE10" s="423"/>
      <c r="AF10" s="424"/>
      <c r="AG10" s="425"/>
      <c r="AH10" s="463"/>
    </row>
    <row r="11" spans="1:37" s="118" customFormat="1" ht="15.75" customHeight="1" x14ac:dyDescent="0.2">
      <c r="A11" s="417"/>
      <c r="B11" s="417"/>
      <c r="C11" s="452"/>
      <c r="D11" s="452"/>
      <c r="E11" s="447"/>
      <c r="F11" s="448"/>
      <c r="G11" s="449"/>
      <c r="H11" s="447"/>
      <c r="I11" s="448"/>
      <c r="J11" s="449"/>
      <c r="K11" s="453" t="s">
        <v>534</v>
      </c>
      <c r="L11" s="454"/>
      <c r="M11" s="453" t="s">
        <v>535</v>
      </c>
      <c r="N11" s="454"/>
      <c r="O11" s="453" t="s">
        <v>564</v>
      </c>
      <c r="P11" s="454"/>
      <c r="Q11" s="453" t="s">
        <v>534</v>
      </c>
      <c r="R11" s="454"/>
      <c r="S11" s="453" t="s">
        <v>535</v>
      </c>
      <c r="T11" s="454"/>
      <c r="U11" s="453" t="s">
        <v>564</v>
      </c>
      <c r="V11" s="454"/>
      <c r="W11" s="450" t="s">
        <v>534</v>
      </c>
      <c r="X11" s="451"/>
      <c r="Y11" s="450" t="s">
        <v>535</v>
      </c>
      <c r="Z11" s="451"/>
      <c r="AA11" s="450" t="s">
        <v>564</v>
      </c>
      <c r="AB11" s="451"/>
      <c r="AC11" s="436"/>
      <c r="AD11" s="438"/>
      <c r="AE11" s="436"/>
      <c r="AF11" s="437"/>
      <c r="AG11" s="438"/>
      <c r="AH11" s="113"/>
    </row>
    <row r="12" spans="1:37" s="96" customFormat="1" ht="15.75" x14ac:dyDescent="0.25">
      <c r="A12" s="426">
        <v>1</v>
      </c>
      <c r="B12" s="426">
        <v>2</v>
      </c>
      <c r="C12" s="426">
        <v>3</v>
      </c>
      <c r="D12" s="426">
        <v>4</v>
      </c>
      <c r="E12" s="433">
        <v>5</v>
      </c>
      <c r="F12" s="434"/>
      <c r="G12" s="435"/>
      <c r="H12" s="433">
        <v>6</v>
      </c>
      <c r="I12" s="434"/>
      <c r="J12" s="435"/>
      <c r="K12" s="418">
        <v>7</v>
      </c>
      <c r="L12" s="419"/>
      <c r="M12" s="418">
        <v>8</v>
      </c>
      <c r="N12" s="419"/>
      <c r="O12" s="418">
        <v>8</v>
      </c>
      <c r="P12" s="419"/>
      <c r="Q12" s="418">
        <v>12</v>
      </c>
      <c r="R12" s="419"/>
      <c r="S12" s="418">
        <v>13</v>
      </c>
      <c r="T12" s="419"/>
      <c r="U12" s="418">
        <v>13</v>
      </c>
      <c r="V12" s="419"/>
      <c r="W12" s="455">
        <v>17</v>
      </c>
      <c r="X12" s="457"/>
      <c r="Y12" s="455">
        <v>18</v>
      </c>
      <c r="Z12" s="457"/>
      <c r="AA12" s="455">
        <v>18</v>
      </c>
      <c r="AB12" s="457"/>
      <c r="AC12" s="455">
        <v>22</v>
      </c>
      <c r="AD12" s="457"/>
      <c r="AE12" s="455">
        <v>23</v>
      </c>
      <c r="AF12" s="456"/>
      <c r="AG12" s="457"/>
      <c r="AH12" s="114"/>
    </row>
    <row r="13" spans="1:37" s="96" customFormat="1" ht="87" customHeight="1" x14ac:dyDescent="0.2">
      <c r="A13" s="428"/>
      <c r="B13" s="428"/>
      <c r="C13" s="428"/>
      <c r="D13" s="428"/>
      <c r="E13" s="429" t="s">
        <v>2</v>
      </c>
      <c r="F13" s="430"/>
      <c r="G13" s="427" t="s">
        <v>3</v>
      </c>
      <c r="H13" s="429" t="s">
        <v>2</v>
      </c>
      <c r="I13" s="430"/>
      <c r="J13" s="427" t="s">
        <v>3</v>
      </c>
      <c r="K13" s="429" t="s">
        <v>2</v>
      </c>
      <c r="L13" s="426" t="s">
        <v>3</v>
      </c>
      <c r="M13" s="429" t="s">
        <v>2</v>
      </c>
      <c r="N13" s="426" t="s">
        <v>3</v>
      </c>
      <c r="O13" s="429" t="s">
        <v>2</v>
      </c>
      <c r="P13" s="426" t="s">
        <v>3</v>
      </c>
      <c r="Q13" s="429" t="s">
        <v>2</v>
      </c>
      <c r="R13" s="426" t="s">
        <v>3</v>
      </c>
      <c r="S13" s="429" t="s">
        <v>2</v>
      </c>
      <c r="T13" s="426" t="s">
        <v>3</v>
      </c>
      <c r="U13" s="429" t="s">
        <v>2</v>
      </c>
      <c r="V13" s="426" t="s">
        <v>3</v>
      </c>
      <c r="W13" s="406" t="s">
        <v>12</v>
      </c>
      <c r="X13" s="99" t="s">
        <v>13</v>
      </c>
      <c r="Y13" s="406" t="s">
        <v>14</v>
      </c>
      <c r="Z13" s="99" t="s">
        <v>15</v>
      </c>
      <c r="AA13" s="406" t="s">
        <v>14</v>
      </c>
      <c r="AB13" s="99" t="s">
        <v>15</v>
      </c>
      <c r="AC13" s="429" t="s">
        <v>2</v>
      </c>
      <c r="AD13" s="426" t="s">
        <v>3</v>
      </c>
      <c r="AE13" s="406" t="s">
        <v>17</v>
      </c>
      <c r="AF13" s="464" t="s">
        <v>21</v>
      </c>
      <c r="AG13" s="99" t="s">
        <v>16</v>
      </c>
      <c r="AH13" s="115"/>
    </row>
    <row r="14" spans="1:37" s="96" customFormat="1" ht="15.75" x14ac:dyDescent="0.2">
      <c r="A14" s="427"/>
      <c r="B14" s="427"/>
      <c r="C14" s="427"/>
      <c r="D14" s="427"/>
      <c r="E14" s="431"/>
      <c r="F14" s="432"/>
      <c r="G14" s="458"/>
      <c r="H14" s="431"/>
      <c r="I14" s="432"/>
      <c r="J14" s="458"/>
      <c r="K14" s="431"/>
      <c r="L14" s="427"/>
      <c r="M14" s="431"/>
      <c r="N14" s="427"/>
      <c r="O14" s="431"/>
      <c r="P14" s="427"/>
      <c r="Q14" s="431"/>
      <c r="R14" s="427"/>
      <c r="S14" s="431"/>
      <c r="T14" s="427"/>
      <c r="U14" s="431"/>
      <c r="V14" s="427"/>
      <c r="W14" s="405" t="s">
        <v>2</v>
      </c>
      <c r="X14" s="176" t="s">
        <v>3</v>
      </c>
      <c r="Y14" s="407" t="s">
        <v>2</v>
      </c>
      <c r="Z14" s="176" t="s">
        <v>3</v>
      </c>
      <c r="AA14" s="407" t="s">
        <v>2</v>
      </c>
      <c r="AB14" s="327" t="s">
        <v>3</v>
      </c>
      <c r="AC14" s="431"/>
      <c r="AD14" s="427"/>
      <c r="AE14" s="405" t="s">
        <v>2</v>
      </c>
      <c r="AF14" s="465"/>
      <c r="AG14" s="176" t="s">
        <v>3</v>
      </c>
      <c r="AH14" s="115"/>
    </row>
    <row r="15" spans="1:37" ht="144.75" customHeight="1" x14ac:dyDescent="0.25">
      <c r="A15" s="106" t="s">
        <v>327</v>
      </c>
      <c r="B15" s="107" t="s">
        <v>328</v>
      </c>
      <c r="C15" s="102"/>
      <c r="D15" s="103" t="s">
        <v>329</v>
      </c>
      <c r="E15" s="213">
        <v>0.62</v>
      </c>
      <c r="F15" s="214" t="s">
        <v>25</v>
      </c>
      <c r="G15" s="215"/>
      <c r="H15" s="213">
        <v>0.71</v>
      </c>
      <c r="I15" s="214" t="s">
        <v>25</v>
      </c>
      <c r="J15" s="217">
        <f>J16</f>
        <v>3799115272</v>
      </c>
      <c r="K15" s="216">
        <v>0.64</v>
      </c>
      <c r="L15" s="217">
        <v>240440500</v>
      </c>
      <c r="M15" s="216">
        <f>M16</f>
        <v>0.65</v>
      </c>
      <c r="N15" s="217">
        <f>N16</f>
        <v>28131000</v>
      </c>
      <c r="O15" s="216">
        <v>0.67</v>
      </c>
      <c r="P15" s="217">
        <f>P16</f>
        <v>6595708774</v>
      </c>
      <c r="Q15" s="213">
        <v>0.65</v>
      </c>
      <c r="R15" s="217">
        <f>R16</f>
        <v>181272400</v>
      </c>
      <c r="S15" s="213">
        <v>0.67</v>
      </c>
      <c r="T15" s="217">
        <f>T16</f>
        <v>6364000</v>
      </c>
      <c r="U15" s="213">
        <v>0.7</v>
      </c>
      <c r="V15" s="217">
        <f>V16</f>
        <v>687682250</v>
      </c>
      <c r="W15" s="260">
        <f t="shared" ref="W15:AB16" si="0">Q15/K15*100</f>
        <v>101.5625</v>
      </c>
      <c r="X15" s="261">
        <f t="shared" si="0"/>
        <v>75.391791316354769</v>
      </c>
      <c r="Y15" s="260">
        <f t="shared" si="0"/>
        <v>103.07692307692309</v>
      </c>
      <c r="Z15" s="261">
        <f t="shared" si="0"/>
        <v>22.622729373289253</v>
      </c>
      <c r="AA15" s="260">
        <f>U15/O15*100</f>
        <v>104.4776119402985</v>
      </c>
      <c r="AB15" s="261">
        <f t="shared" si="0"/>
        <v>10.426207001601009</v>
      </c>
      <c r="AC15" s="213">
        <f>U15</f>
        <v>0.7</v>
      </c>
      <c r="AD15" s="307">
        <f>R15+T15+V15</f>
        <v>875318650</v>
      </c>
      <c r="AE15" s="239">
        <f>AC15/H15*100</f>
        <v>98.591549295774655</v>
      </c>
      <c r="AF15" s="402" t="str">
        <f>IF(AE15&gt;=91,"Sangat Tinggi",IF(AE15&gt;=76,"Tinggi",IF(AE15&gt;=66,"Sedang",IF(AE15&gt;=51,"Rendah",IF(AE15&lt;=50,"Sangat Rendah")))))</f>
        <v>Sangat Tinggi</v>
      </c>
      <c r="AG15" s="239">
        <f>AD15/J15*100</f>
        <v>23.040065576615124</v>
      </c>
      <c r="AH15" s="126" t="s">
        <v>346</v>
      </c>
      <c r="AK15" s="119">
        <f>R15</f>
        <v>181272400</v>
      </c>
    </row>
    <row r="16" spans="1:37" ht="90.75" customHeight="1" x14ac:dyDescent="0.25">
      <c r="A16" s="66">
        <v>13</v>
      </c>
      <c r="B16" s="61" t="s">
        <v>116</v>
      </c>
      <c r="C16" s="14"/>
      <c r="D16" s="62" t="s">
        <v>345</v>
      </c>
      <c r="E16" s="219">
        <v>0.62</v>
      </c>
      <c r="F16" s="220" t="s">
        <v>25</v>
      </c>
      <c r="G16" s="221"/>
      <c r="H16" s="219">
        <v>0.71</v>
      </c>
      <c r="I16" s="220" t="s">
        <v>25</v>
      </c>
      <c r="J16" s="222">
        <f>SUM(J17:J21)</f>
        <v>3799115272</v>
      </c>
      <c r="K16" s="219">
        <v>0.64</v>
      </c>
      <c r="L16" s="222">
        <f>SUM(L17:L18)</f>
        <v>205615000</v>
      </c>
      <c r="M16" s="219">
        <v>0.65</v>
      </c>
      <c r="N16" s="222">
        <f>SUM(N17:N18)</f>
        <v>28131000</v>
      </c>
      <c r="O16" s="219">
        <v>0.67</v>
      </c>
      <c r="P16" s="222">
        <f>SUM(P17:P28)</f>
        <v>6595708774</v>
      </c>
      <c r="Q16" s="263">
        <v>0.65</v>
      </c>
      <c r="R16" s="222">
        <f>SUM(R17:R18)</f>
        <v>181272400</v>
      </c>
      <c r="S16" s="223">
        <v>0.67</v>
      </c>
      <c r="T16" s="222">
        <f>SUM(T17:T18)</f>
        <v>6364000</v>
      </c>
      <c r="U16" s="223">
        <v>0.7</v>
      </c>
      <c r="V16" s="222">
        <f>SUM(V17:V21)</f>
        <v>687682250</v>
      </c>
      <c r="W16" s="254">
        <f t="shared" si="0"/>
        <v>101.5625</v>
      </c>
      <c r="X16" s="240">
        <f t="shared" si="0"/>
        <v>88.161077742382616</v>
      </c>
      <c r="Y16" s="254">
        <f t="shared" si="0"/>
        <v>103.07692307692309</v>
      </c>
      <c r="Z16" s="240">
        <f t="shared" si="0"/>
        <v>22.622729373289253</v>
      </c>
      <c r="AA16" s="254">
        <f t="shared" si="0"/>
        <v>104.4776119402985</v>
      </c>
      <c r="AB16" s="240">
        <f t="shared" si="0"/>
        <v>10.426207001601009</v>
      </c>
      <c r="AC16" s="223">
        <f>U16</f>
        <v>0.7</v>
      </c>
      <c r="AD16" s="308">
        <f>R16+T16+V16</f>
        <v>875318650</v>
      </c>
      <c r="AE16" s="234">
        <f t="shared" ref="AE16" si="1">AC16/H16*100</f>
        <v>98.591549295774655</v>
      </c>
      <c r="AF16" s="219" t="str">
        <f t="shared" ref="AF16" si="2">IF(AE16&gt;=91,"Sangat Tinggi",IF(AE16&gt;=76,"Tinggi",IF(AE16&gt;=66,"Sedang",IF(AE16&gt;=51,"Rendah",IF(AE16&lt;=50,"Sangat Rendah")))))</f>
        <v>Sangat Tinggi</v>
      </c>
      <c r="AG16" s="234">
        <f>AD16/J16*100</f>
        <v>23.040065576615124</v>
      </c>
      <c r="AH16" s="111"/>
      <c r="AK16" s="119">
        <f>R16</f>
        <v>181272400</v>
      </c>
    </row>
    <row r="17" spans="1:37" ht="90" x14ac:dyDescent="0.2">
      <c r="A17" s="60"/>
      <c r="B17" s="60"/>
      <c r="C17" s="14" t="s">
        <v>117</v>
      </c>
      <c r="D17" s="14" t="s">
        <v>554</v>
      </c>
      <c r="E17" s="74">
        <v>70</v>
      </c>
      <c r="F17" s="35" t="s">
        <v>27</v>
      </c>
      <c r="G17" s="8"/>
      <c r="H17" s="74">
        <v>88.38</v>
      </c>
      <c r="I17" s="35" t="s">
        <v>27</v>
      </c>
      <c r="J17" s="9">
        <v>1006377500</v>
      </c>
      <c r="K17" s="32">
        <v>73.63</v>
      </c>
      <c r="L17" s="10">
        <v>166665000</v>
      </c>
      <c r="M17" s="32">
        <v>77.319999999999993</v>
      </c>
      <c r="N17" s="10">
        <v>28131000</v>
      </c>
      <c r="O17" s="32"/>
      <c r="P17" s="10"/>
      <c r="Q17" s="74">
        <f>1202/1627*100</f>
        <v>73.878303626306092</v>
      </c>
      <c r="R17" s="10">
        <v>153972400</v>
      </c>
      <c r="S17" s="74">
        <f>1258/1627*100</f>
        <v>77.320221266133998</v>
      </c>
      <c r="T17" s="10">
        <v>6364000</v>
      </c>
      <c r="U17" s="74"/>
      <c r="V17" s="10"/>
      <c r="W17" s="172">
        <f>Q17/K17*100</f>
        <v>100.33723159894893</v>
      </c>
      <c r="X17" s="235">
        <f>R17/L17*100</f>
        <v>92.38436384363844</v>
      </c>
      <c r="Y17" s="172">
        <f>S17/M17*100</f>
        <v>100.0002861693404</v>
      </c>
      <c r="Z17" s="235">
        <f>T17/N17*100</f>
        <v>22.622729373289253</v>
      </c>
      <c r="AA17" s="172"/>
      <c r="AB17" s="235"/>
      <c r="AC17" s="74">
        <f>S17</f>
        <v>77.320221266133998</v>
      </c>
      <c r="AD17" s="274">
        <f>R17+T17</f>
        <v>160336400</v>
      </c>
      <c r="AE17" s="56">
        <f t="shared" ref="AE17:AE21" si="3">AC17/H17*100</f>
        <v>87.486106886324961</v>
      </c>
      <c r="AF17" s="32" t="str">
        <f t="shared" ref="AF17:AF21" si="4">IF(AE17&gt;=91,"Sangat Tinggi",IF(AE17&gt;=76,"Tinggi",IF(AE17&gt;=66,"Sedang",IF(AE17&gt;=51,"Rendah",IF(AE17&lt;=50,"Sangat Rendah")))))</f>
        <v>Tinggi</v>
      </c>
      <c r="AG17" s="56">
        <f t="shared" ref="AG17:AG21" si="5">AD17/J17*100</f>
        <v>15.932033456630339</v>
      </c>
      <c r="AH17" s="111"/>
      <c r="AK17" s="119">
        <f>R17</f>
        <v>153972400</v>
      </c>
    </row>
    <row r="18" spans="1:37" ht="75" x14ac:dyDescent="0.2">
      <c r="A18" s="60"/>
      <c r="B18" s="60"/>
      <c r="C18" s="14" t="s">
        <v>60</v>
      </c>
      <c r="D18" s="14" t="s">
        <v>126</v>
      </c>
      <c r="E18" s="74">
        <v>4.16</v>
      </c>
      <c r="F18" s="35" t="s">
        <v>27</v>
      </c>
      <c r="G18" s="8"/>
      <c r="H18" s="74">
        <v>44.44</v>
      </c>
      <c r="I18" s="35" t="s">
        <v>27</v>
      </c>
      <c r="J18" s="9">
        <v>195825000</v>
      </c>
      <c r="K18" s="32">
        <v>13.88</v>
      </c>
      <c r="L18" s="10">
        <v>38950000</v>
      </c>
      <c r="M18" s="32">
        <v>21.52</v>
      </c>
      <c r="N18" s="10">
        <v>0</v>
      </c>
      <c r="O18" s="32"/>
      <c r="P18" s="10"/>
      <c r="Q18" s="74">
        <f>20/144*100</f>
        <v>13.888888888888889</v>
      </c>
      <c r="R18" s="10">
        <v>27300000</v>
      </c>
      <c r="S18" s="74">
        <f>31/144*100</f>
        <v>21.527777777777779</v>
      </c>
      <c r="T18" s="10">
        <v>0</v>
      </c>
      <c r="U18" s="74"/>
      <c r="V18" s="10"/>
      <c r="W18" s="172">
        <f>Q18/K18*100</f>
        <v>100.06404098623119</v>
      </c>
      <c r="X18" s="235">
        <f>R18/L18*100</f>
        <v>70.08985879332478</v>
      </c>
      <c r="Y18" s="172">
        <f>S18/M18*100</f>
        <v>100.03614209004543</v>
      </c>
      <c r="Z18" s="235"/>
      <c r="AA18" s="172"/>
      <c r="AB18" s="235"/>
      <c r="AC18" s="74">
        <f>S18</f>
        <v>21.527777777777779</v>
      </c>
      <c r="AD18" s="274">
        <f>R18+T18</f>
        <v>27300000</v>
      </c>
      <c r="AE18" s="56">
        <f t="shared" si="3"/>
        <v>48.442344234423445</v>
      </c>
      <c r="AF18" s="32" t="str">
        <f t="shared" si="4"/>
        <v>Sangat Rendah</v>
      </c>
      <c r="AG18" s="56">
        <f t="shared" si="5"/>
        <v>13.941018766756033</v>
      </c>
      <c r="AH18" s="111"/>
      <c r="AK18" s="119">
        <f>R18</f>
        <v>27300000</v>
      </c>
    </row>
    <row r="19" spans="1:37" ht="90" x14ac:dyDescent="0.2">
      <c r="A19" s="60"/>
      <c r="B19" s="60"/>
      <c r="C19" s="14" t="s">
        <v>805</v>
      </c>
      <c r="D19" s="14" t="s">
        <v>677</v>
      </c>
      <c r="E19" s="74"/>
      <c r="F19" s="35"/>
      <c r="G19" s="8"/>
      <c r="H19" s="74">
        <f>64/144*100</f>
        <v>44.444444444444443</v>
      </c>
      <c r="I19" s="35" t="s">
        <v>27</v>
      </c>
      <c r="J19" s="9">
        <v>54854872</v>
      </c>
      <c r="K19" s="32"/>
      <c r="L19" s="10"/>
      <c r="M19" s="32"/>
      <c r="N19" s="10"/>
      <c r="O19" s="74">
        <f>42/144*100</f>
        <v>29.166666666666668</v>
      </c>
      <c r="P19" s="10">
        <v>20239936</v>
      </c>
      <c r="Q19" s="74"/>
      <c r="R19" s="10"/>
      <c r="S19" s="74"/>
      <c r="T19" s="10"/>
      <c r="U19" s="74">
        <f>42/144*100</f>
        <v>29.166666666666668</v>
      </c>
      <c r="V19" s="10">
        <v>18433900</v>
      </c>
      <c r="W19" s="172"/>
      <c r="X19" s="235"/>
      <c r="Y19" s="172"/>
      <c r="Z19" s="235"/>
      <c r="AA19" s="265">
        <f t="shared" ref="AA19:AB21" si="6">U19/O19*100</f>
        <v>100</v>
      </c>
      <c r="AB19" s="235">
        <f t="shared" si="6"/>
        <v>91.076869017767649</v>
      </c>
      <c r="AC19" s="74">
        <f>U19</f>
        <v>29.166666666666668</v>
      </c>
      <c r="AD19" s="274">
        <f>V19</f>
        <v>18433900</v>
      </c>
      <c r="AE19" s="56">
        <f t="shared" si="3"/>
        <v>65.625</v>
      </c>
      <c r="AF19" s="32" t="str">
        <f t="shared" si="4"/>
        <v>Rendah</v>
      </c>
      <c r="AG19" s="56">
        <f t="shared" si="5"/>
        <v>33.604854642628645</v>
      </c>
      <c r="AH19" s="111"/>
      <c r="AK19" s="119"/>
    </row>
    <row r="20" spans="1:37" ht="91.5" customHeight="1" x14ac:dyDescent="0.2">
      <c r="A20" s="60"/>
      <c r="B20" s="60"/>
      <c r="C20" s="14" t="s">
        <v>678</v>
      </c>
      <c r="D20" s="14" t="s">
        <v>679</v>
      </c>
      <c r="E20" s="74"/>
      <c r="F20" s="35"/>
      <c r="G20" s="8"/>
      <c r="H20" s="74">
        <f>58/144*100</f>
        <v>40.277777777777779</v>
      </c>
      <c r="I20" s="35" t="s">
        <v>27</v>
      </c>
      <c r="J20" s="9">
        <v>270062300</v>
      </c>
      <c r="K20" s="32"/>
      <c r="L20" s="10"/>
      <c r="M20" s="32"/>
      <c r="N20" s="10"/>
      <c r="O20" s="32">
        <f>36/144*100</f>
        <v>25</v>
      </c>
      <c r="P20" s="10">
        <v>117582400</v>
      </c>
      <c r="Q20" s="74"/>
      <c r="R20" s="10"/>
      <c r="S20" s="74"/>
      <c r="T20" s="10"/>
      <c r="U20" s="32">
        <f>36/144*100</f>
        <v>25</v>
      </c>
      <c r="V20" s="10">
        <v>108790850</v>
      </c>
      <c r="W20" s="172"/>
      <c r="X20" s="235"/>
      <c r="Y20" s="172"/>
      <c r="Z20" s="235"/>
      <c r="AA20" s="265">
        <f t="shared" si="6"/>
        <v>100</v>
      </c>
      <c r="AB20" s="235">
        <f t="shared" si="6"/>
        <v>92.523073181020294</v>
      </c>
      <c r="AC20" s="92">
        <f>U20</f>
        <v>25</v>
      </c>
      <c r="AD20" s="274">
        <f t="shared" ref="AD20:AD21" si="7">V20</f>
        <v>108790850</v>
      </c>
      <c r="AE20" s="56">
        <f t="shared" si="3"/>
        <v>62.068965517241381</v>
      </c>
      <c r="AF20" s="32" t="str">
        <f t="shared" si="4"/>
        <v>Rendah</v>
      </c>
      <c r="AG20" s="56">
        <f t="shared" si="5"/>
        <v>40.28361233685709</v>
      </c>
      <c r="AH20" s="111"/>
      <c r="AK20" s="119"/>
    </row>
    <row r="21" spans="1:37" ht="135" x14ac:dyDescent="0.2">
      <c r="A21" s="60"/>
      <c r="B21" s="60"/>
      <c r="C21" s="14" t="s">
        <v>680</v>
      </c>
      <c r="D21" s="14" t="s">
        <v>681</v>
      </c>
      <c r="E21" s="74"/>
      <c r="F21" s="35"/>
      <c r="G21" s="8"/>
      <c r="H21" s="74">
        <f>65/144*100</f>
        <v>45.138888888888893</v>
      </c>
      <c r="I21" s="35" t="s">
        <v>27</v>
      </c>
      <c r="J21" s="9">
        <v>2271995600</v>
      </c>
      <c r="K21" s="32"/>
      <c r="L21" s="10"/>
      <c r="M21" s="32"/>
      <c r="N21" s="10"/>
      <c r="O21" s="74">
        <f>35/144*100</f>
        <v>24.305555555555554</v>
      </c>
      <c r="P21" s="10">
        <v>728892438</v>
      </c>
      <c r="Q21" s="74"/>
      <c r="R21" s="10"/>
      <c r="S21" s="74"/>
      <c r="T21" s="10"/>
      <c r="U21" s="74">
        <f>44/144*100</f>
        <v>30.555555555555557</v>
      </c>
      <c r="V21" s="10">
        <v>560457500</v>
      </c>
      <c r="W21" s="172"/>
      <c r="X21" s="235"/>
      <c r="Y21" s="172"/>
      <c r="Z21" s="235"/>
      <c r="AA21" s="172">
        <f t="shared" si="6"/>
        <v>125.71428571428574</v>
      </c>
      <c r="AB21" s="235">
        <f t="shared" si="6"/>
        <v>76.891660659538914</v>
      </c>
      <c r="AC21" s="74">
        <f>U21</f>
        <v>30.555555555555557</v>
      </c>
      <c r="AD21" s="274">
        <f t="shared" si="7"/>
        <v>560457500</v>
      </c>
      <c r="AE21" s="56">
        <f t="shared" si="3"/>
        <v>67.692307692307679</v>
      </c>
      <c r="AF21" s="32" t="str">
        <f t="shared" si="4"/>
        <v>Sedang</v>
      </c>
      <c r="AG21" s="56">
        <f t="shared" si="5"/>
        <v>24.668071540279392</v>
      </c>
      <c r="AH21" s="111"/>
      <c r="AK21" s="119"/>
    </row>
    <row r="22" spans="1:37" ht="165" x14ac:dyDescent="0.2">
      <c r="A22" s="60"/>
      <c r="B22" s="60"/>
      <c r="C22" s="14" t="s">
        <v>347</v>
      </c>
      <c r="D22" s="14" t="s">
        <v>348</v>
      </c>
      <c r="E22" s="74">
        <v>66.67</v>
      </c>
      <c r="F22" s="35" t="s">
        <v>27</v>
      </c>
      <c r="G22" s="8"/>
      <c r="H22" s="92">
        <v>100</v>
      </c>
      <c r="I22" s="35" t="s">
        <v>27</v>
      </c>
      <c r="J22" s="9">
        <v>2398405000</v>
      </c>
      <c r="K22" s="74">
        <v>77.78</v>
      </c>
      <c r="L22" s="10">
        <v>479656000</v>
      </c>
      <c r="M22" s="74">
        <v>88.89</v>
      </c>
      <c r="N22" s="10">
        <v>23325000</v>
      </c>
      <c r="O22" s="74"/>
      <c r="P22" s="10"/>
      <c r="Q22" s="74">
        <v>94.68</v>
      </c>
      <c r="R22" s="10">
        <v>447204300</v>
      </c>
      <c r="S22" s="74">
        <v>114.44</v>
      </c>
      <c r="T22" s="10">
        <v>22825000</v>
      </c>
      <c r="U22" s="74"/>
      <c r="V22" s="10"/>
      <c r="W22" s="172">
        <f t="shared" ref="W22:Z23" si="8">Q22/K22*100</f>
        <v>121.727950629982</v>
      </c>
      <c r="X22" s="235">
        <f t="shared" si="8"/>
        <v>93.234380472672086</v>
      </c>
      <c r="Y22" s="172">
        <f t="shared" si="8"/>
        <v>128.74339070761616</v>
      </c>
      <c r="Z22" s="235">
        <f t="shared" si="8"/>
        <v>97.856377277599137</v>
      </c>
      <c r="AA22" s="172"/>
      <c r="AB22" s="235"/>
      <c r="AC22" s="74">
        <f>S22</f>
        <v>114.44</v>
      </c>
      <c r="AD22" s="274">
        <f>R22+T22</f>
        <v>470029300</v>
      </c>
      <c r="AE22" s="56">
        <f t="shared" ref="AE22:AE28" si="9">AC22/H22*100</f>
        <v>114.44000000000001</v>
      </c>
      <c r="AF22" s="32" t="str">
        <f t="shared" ref="AF22:AF28" si="10">IF(AE22&gt;=91,"Sangat Tinggi",IF(AE22&gt;=76,"Tinggi",IF(AE22&gt;=66,"Sedang",IF(AE22&gt;=51,"Rendah",IF(AE22&lt;=50,"Sangat Rendah")))))</f>
        <v>Sangat Tinggi</v>
      </c>
      <c r="AG22" s="56">
        <f t="shared" ref="AG22:AG28" si="11">AD22/J22*100</f>
        <v>19.597578390638777</v>
      </c>
      <c r="AH22" s="410" t="s">
        <v>297</v>
      </c>
      <c r="AK22" s="119">
        <f>R22</f>
        <v>447204300</v>
      </c>
    </row>
    <row r="23" spans="1:37" ht="111" customHeight="1" x14ac:dyDescent="0.2">
      <c r="A23" s="60"/>
      <c r="B23" s="60"/>
      <c r="C23" s="14" t="s">
        <v>349</v>
      </c>
      <c r="D23" s="14" t="s">
        <v>350</v>
      </c>
      <c r="E23" s="74">
        <v>31.25</v>
      </c>
      <c r="F23" s="35" t="s">
        <v>27</v>
      </c>
      <c r="G23" s="8"/>
      <c r="H23" s="74">
        <v>71.88</v>
      </c>
      <c r="I23" s="35" t="s">
        <v>27</v>
      </c>
      <c r="J23" s="9">
        <v>4764078750</v>
      </c>
      <c r="K23" s="74">
        <v>31.25</v>
      </c>
      <c r="L23" s="10">
        <v>952296000</v>
      </c>
      <c r="M23" s="74">
        <v>43.75</v>
      </c>
      <c r="N23" s="10">
        <v>1080166000</v>
      </c>
      <c r="O23" s="74"/>
      <c r="P23" s="10"/>
      <c r="Q23" s="74">
        <v>33.07</v>
      </c>
      <c r="R23" s="10">
        <v>908390750</v>
      </c>
      <c r="S23" s="74">
        <v>18.75</v>
      </c>
      <c r="T23" s="10">
        <v>1025251640</v>
      </c>
      <c r="U23" s="74"/>
      <c r="V23" s="10"/>
      <c r="W23" s="172">
        <f t="shared" si="8"/>
        <v>105.82400000000001</v>
      </c>
      <c r="X23" s="235">
        <f t="shared" si="8"/>
        <v>95.389537496744708</v>
      </c>
      <c r="Y23" s="172">
        <f t="shared" si="8"/>
        <v>42.857142857142854</v>
      </c>
      <c r="Z23" s="235">
        <f t="shared" si="8"/>
        <v>94.916118448460693</v>
      </c>
      <c r="AA23" s="172"/>
      <c r="AB23" s="235"/>
      <c r="AC23" s="74">
        <f>S23</f>
        <v>18.75</v>
      </c>
      <c r="AD23" s="274">
        <f>R23+T23</f>
        <v>1933642390</v>
      </c>
      <c r="AE23" s="56">
        <f t="shared" si="9"/>
        <v>26.085141903171955</v>
      </c>
      <c r="AF23" s="32" t="str">
        <f t="shared" si="10"/>
        <v>Sangat Rendah</v>
      </c>
      <c r="AG23" s="56">
        <f t="shared" si="11"/>
        <v>40.587960264090931</v>
      </c>
      <c r="AH23" s="111"/>
      <c r="AK23" s="119">
        <f>R23</f>
        <v>908390750</v>
      </c>
    </row>
    <row r="24" spans="1:37" ht="98.25" customHeight="1" x14ac:dyDescent="0.2">
      <c r="A24" s="60"/>
      <c r="B24" s="60"/>
      <c r="C24" s="94" t="s">
        <v>682</v>
      </c>
      <c r="D24" s="14" t="s">
        <v>683</v>
      </c>
      <c r="E24" s="74"/>
      <c r="F24" s="35"/>
      <c r="G24" s="3"/>
      <c r="H24" s="142">
        <f>5622/69263*100</f>
        <v>8.116887804455482</v>
      </c>
      <c r="I24" s="371" t="s">
        <v>27</v>
      </c>
      <c r="J24" s="183">
        <v>2377630750</v>
      </c>
      <c r="K24" s="74"/>
      <c r="L24" s="180"/>
      <c r="M24" s="74"/>
      <c r="N24" s="180"/>
      <c r="O24" s="142">
        <f>4582/65897*100</f>
        <v>6.953275566414252</v>
      </c>
      <c r="P24" s="180">
        <v>826680750</v>
      </c>
      <c r="Q24" s="74"/>
      <c r="R24" s="180"/>
      <c r="S24" s="74"/>
      <c r="T24" s="180"/>
      <c r="U24" s="142">
        <v>6.82</v>
      </c>
      <c r="V24" s="180">
        <v>683662500</v>
      </c>
      <c r="W24" s="172"/>
      <c r="X24" s="237"/>
      <c r="Y24" s="172"/>
      <c r="Z24" s="237"/>
      <c r="AA24" s="172">
        <f>U24/O24*100</f>
        <v>98.083269314709739</v>
      </c>
      <c r="AB24" s="237">
        <f>V24/P24*100</f>
        <v>82.699699974869375</v>
      </c>
      <c r="AC24" s="74">
        <f>U24</f>
        <v>6.82</v>
      </c>
      <c r="AD24" s="193">
        <f>V24</f>
        <v>683662500</v>
      </c>
      <c r="AE24" s="56">
        <f t="shared" si="9"/>
        <v>84.022351476342934</v>
      </c>
      <c r="AF24" s="32" t="str">
        <f t="shared" si="10"/>
        <v>Tinggi</v>
      </c>
      <c r="AG24" s="354">
        <f t="shared" si="11"/>
        <v>28.753939189253842</v>
      </c>
      <c r="AH24" s="111"/>
      <c r="AK24" s="119"/>
    </row>
    <row r="25" spans="1:37" ht="60" x14ac:dyDescent="0.2">
      <c r="A25" s="60"/>
      <c r="B25" s="60"/>
      <c r="C25" s="20"/>
      <c r="D25" s="14" t="s">
        <v>806</v>
      </c>
      <c r="E25" s="74"/>
      <c r="F25" s="35"/>
      <c r="G25" s="5"/>
      <c r="H25" s="142">
        <v>67.739999999999995</v>
      </c>
      <c r="I25" s="371" t="s">
        <v>27</v>
      </c>
      <c r="J25" s="49"/>
      <c r="K25" s="74"/>
      <c r="L25" s="182"/>
      <c r="M25" s="74"/>
      <c r="N25" s="182"/>
      <c r="O25" s="142">
        <f>18/31*100</f>
        <v>58.064516129032263</v>
      </c>
      <c r="P25" s="182"/>
      <c r="Q25" s="74"/>
      <c r="R25" s="182"/>
      <c r="S25" s="74"/>
      <c r="T25" s="182"/>
      <c r="U25" s="142">
        <f>18/31*100</f>
        <v>58.064516129032263</v>
      </c>
      <c r="V25" s="182"/>
      <c r="W25" s="172"/>
      <c r="X25" s="238"/>
      <c r="Y25" s="172"/>
      <c r="Z25" s="238"/>
      <c r="AA25" s="172">
        <f>U25/O25*100</f>
        <v>100</v>
      </c>
      <c r="AB25" s="238"/>
      <c r="AC25" s="74">
        <f t="shared" ref="AC25:AC30" si="12">U25</f>
        <v>58.064516129032263</v>
      </c>
      <c r="AD25" s="274"/>
      <c r="AE25" s="56">
        <f t="shared" si="9"/>
        <v>85.716734763850411</v>
      </c>
      <c r="AF25" s="32" t="str">
        <f t="shared" si="10"/>
        <v>Tinggi</v>
      </c>
      <c r="AG25" s="77"/>
      <c r="AH25" s="111"/>
      <c r="AK25" s="119"/>
    </row>
    <row r="26" spans="1:37" ht="94.5" customHeight="1" x14ac:dyDescent="0.2">
      <c r="A26" s="60"/>
      <c r="B26" s="60"/>
      <c r="C26" s="94" t="s">
        <v>684</v>
      </c>
      <c r="D26" s="14" t="s">
        <v>685</v>
      </c>
      <c r="E26" s="74"/>
      <c r="F26" s="35"/>
      <c r="G26" s="3"/>
      <c r="H26" s="355">
        <f>12+6+12</f>
        <v>30</v>
      </c>
      <c r="I26" s="371" t="s">
        <v>687</v>
      </c>
      <c r="J26" s="183">
        <v>29036602659</v>
      </c>
      <c r="K26" s="74"/>
      <c r="L26" s="180"/>
      <c r="M26" s="74"/>
      <c r="N26" s="180"/>
      <c r="O26" s="92">
        <v>12</v>
      </c>
      <c r="P26" s="180">
        <v>4664813250</v>
      </c>
      <c r="Q26" s="74"/>
      <c r="R26" s="180"/>
      <c r="S26" s="74"/>
      <c r="T26" s="180"/>
      <c r="U26" s="92">
        <v>6</v>
      </c>
      <c r="V26" s="180">
        <v>4376512550</v>
      </c>
      <c r="W26" s="172"/>
      <c r="X26" s="237"/>
      <c r="Y26" s="172"/>
      <c r="Z26" s="237"/>
      <c r="AA26" s="265">
        <f>U26/O26*100</f>
        <v>50</v>
      </c>
      <c r="AB26" s="237">
        <f>V26/P26*100</f>
        <v>93.819673274165908</v>
      </c>
      <c r="AC26" s="92">
        <f t="shared" si="12"/>
        <v>6</v>
      </c>
      <c r="AD26" s="193">
        <f>V26</f>
        <v>4376512550</v>
      </c>
      <c r="AE26" s="56">
        <f t="shared" si="9"/>
        <v>20</v>
      </c>
      <c r="AF26" s="32" t="str">
        <f t="shared" si="10"/>
        <v>Sangat Rendah</v>
      </c>
      <c r="AG26" s="354">
        <f t="shared" si="11"/>
        <v>15.072398797465667</v>
      </c>
      <c r="AH26" s="111"/>
      <c r="AK26" s="119"/>
    </row>
    <row r="27" spans="1:37" ht="157.5" customHeight="1" x14ac:dyDescent="0.2">
      <c r="A27" s="60"/>
      <c r="B27" s="60"/>
      <c r="C27" s="20"/>
      <c r="D27" s="14" t="s">
        <v>686</v>
      </c>
      <c r="E27" s="74"/>
      <c r="F27" s="35"/>
      <c r="G27" s="5"/>
      <c r="H27" s="355">
        <f>7+8+9</f>
        <v>24</v>
      </c>
      <c r="I27" s="371" t="s">
        <v>687</v>
      </c>
      <c r="J27" s="49"/>
      <c r="K27" s="74"/>
      <c r="L27" s="182"/>
      <c r="M27" s="74"/>
      <c r="N27" s="182"/>
      <c r="O27" s="92">
        <v>7</v>
      </c>
      <c r="P27" s="182"/>
      <c r="Q27" s="74"/>
      <c r="R27" s="182"/>
      <c r="S27" s="74"/>
      <c r="T27" s="182"/>
      <c r="U27" s="92">
        <v>5</v>
      </c>
      <c r="V27" s="182"/>
      <c r="W27" s="172"/>
      <c r="X27" s="238"/>
      <c r="Y27" s="172"/>
      <c r="Z27" s="238"/>
      <c r="AA27" s="172">
        <f>U27/O27*100</f>
        <v>71.428571428571431</v>
      </c>
      <c r="AB27" s="238"/>
      <c r="AC27" s="92">
        <f t="shared" si="12"/>
        <v>5</v>
      </c>
      <c r="AD27" s="274"/>
      <c r="AE27" s="56">
        <f t="shared" si="9"/>
        <v>20.833333333333336</v>
      </c>
      <c r="AF27" s="32" t="str">
        <f t="shared" si="10"/>
        <v>Sangat Rendah</v>
      </c>
      <c r="AG27" s="77"/>
      <c r="AH27" s="111"/>
      <c r="AK27" s="119"/>
    </row>
    <row r="28" spans="1:37" ht="71.25" customHeight="1" x14ac:dyDescent="0.2">
      <c r="A28" s="60"/>
      <c r="B28" s="60"/>
      <c r="C28" s="14" t="s">
        <v>688</v>
      </c>
      <c r="D28" s="14" t="s">
        <v>689</v>
      </c>
      <c r="E28" s="74"/>
      <c r="F28" s="35"/>
      <c r="G28" s="8"/>
      <c r="H28" s="142">
        <f>397/409*100</f>
        <v>97.066014669926645</v>
      </c>
      <c r="I28" s="371" t="s">
        <v>27</v>
      </c>
      <c r="J28" s="9">
        <v>1037500000</v>
      </c>
      <c r="K28" s="74"/>
      <c r="L28" s="10"/>
      <c r="M28" s="74"/>
      <c r="N28" s="10"/>
      <c r="O28" s="142">
        <f>394/409*100</f>
        <v>96.332518337408317</v>
      </c>
      <c r="P28" s="10">
        <v>237500000</v>
      </c>
      <c r="Q28" s="74"/>
      <c r="R28" s="10"/>
      <c r="S28" s="74"/>
      <c r="T28" s="10"/>
      <c r="U28" s="74">
        <v>96.332518337408303</v>
      </c>
      <c r="V28" s="10">
        <v>237500000</v>
      </c>
      <c r="W28" s="172"/>
      <c r="X28" s="235"/>
      <c r="Y28" s="172"/>
      <c r="Z28" s="235"/>
      <c r="AA28" s="265">
        <f>U28/O28*100</f>
        <v>99.999999999999986</v>
      </c>
      <c r="AB28" s="235">
        <f>V28/P28*100</f>
        <v>100</v>
      </c>
      <c r="AC28" s="74">
        <f t="shared" si="12"/>
        <v>96.332518337408303</v>
      </c>
      <c r="AD28" s="274">
        <f>V28</f>
        <v>237500000</v>
      </c>
      <c r="AE28" s="56">
        <f t="shared" si="9"/>
        <v>99.244332493702771</v>
      </c>
      <c r="AF28" s="32" t="str">
        <f t="shared" si="10"/>
        <v>Sangat Tinggi</v>
      </c>
      <c r="AG28" s="56">
        <f t="shared" si="11"/>
        <v>22.891566265060241</v>
      </c>
      <c r="AH28" s="112"/>
      <c r="AK28" s="119"/>
    </row>
    <row r="29" spans="1:37" ht="144.75" customHeight="1" x14ac:dyDescent="0.25">
      <c r="A29" s="106"/>
      <c r="B29" s="107"/>
      <c r="C29" s="102"/>
      <c r="D29" s="103" t="s">
        <v>351</v>
      </c>
      <c r="E29" s="213">
        <v>89.96</v>
      </c>
      <c r="F29" s="214" t="s">
        <v>25</v>
      </c>
      <c r="G29" s="215"/>
      <c r="H29" s="213">
        <f>H30</f>
        <v>91.27</v>
      </c>
      <c r="I29" s="214" t="s">
        <v>25</v>
      </c>
      <c r="J29" s="257">
        <f>J30</f>
        <v>242712500</v>
      </c>
      <c r="K29" s="213">
        <v>90.27</v>
      </c>
      <c r="L29" s="257">
        <f>L30</f>
        <v>48542500</v>
      </c>
      <c r="M29" s="213">
        <f>M30</f>
        <v>90.58</v>
      </c>
      <c r="N29" s="257">
        <f>N30</f>
        <v>48542300</v>
      </c>
      <c r="O29" s="213">
        <v>90.81</v>
      </c>
      <c r="P29" s="257">
        <f>P30</f>
        <v>38795100</v>
      </c>
      <c r="Q29" s="213">
        <v>89.21</v>
      </c>
      <c r="R29" s="257">
        <f>R30</f>
        <v>40047500</v>
      </c>
      <c r="S29" s="213">
        <v>89.23</v>
      </c>
      <c r="T29" s="257">
        <f>T30</f>
        <v>29030300</v>
      </c>
      <c r="U29" s="213">
        <v>89.65</v>
      </c>
      <c r="V29" s="257">
        <f>V30</f>
        <v>35820550</v>
      </c>
      <c r="W29" s="260">
        <f t="shared" ref="W29:AB30" si="13">Q29/K29*100</f>
        <v>98.825744987260435</v>
      </c>
      <c r="X29" s="261">
        <f t="shared" si="13"/>
        <v>82.499871246845544</v>
      </c>
      <c r="Y29" s="260">
        <f t="shared" si="13"/>
        <v>98.50960476926474</v>
      </c>
      <c r="Z29" s="261">
        <f>T29/N29*100</f>
        <v>59.804129594188979</v>
      </c>
      <c r="AA29" s="260">
        <f>U29/O29*100</f>
        <v>98.722607642330146</v>
      </c>
      <c r="AB29" s="261">
        <f>V29/P29*100</f>
        <v>92.332665723248553</v>
      </c>
      <c r="AC29" s="213">
        <f>U29</f>
        <v>89.65</v>
      </c>
      <c r="AD29" s="307">
        <f>R29+T29+V29</f>
        <v>104898350</v>
      </c>
      <c r="AE29" s="239">
        <f>AC29/H29*100</f>
        <v>98.225046565136424</v>
      </c>
      <c r="AF29" s="402" t="str">
        <f>IF(AE29&gt;=91,"Sangat Tinggi",IF(AE29&gt;=76,"Tinggi",IF(AE29&gt;=66,"Sedang",IF(AE29&gt;=51,"Rendah",IF(AE29&lt;=50,"Sangat Rendah")))))</f>
        <v>Sangat Tinggi</v>
      </c>
      <c r="AG29" s="239">
        <f>AD29/J29*100</f>
        <v>43.219179069887218</v>
      </c>
      <c r="AH29" s="126" t="s">
        <v>282</v>
      </c>
    </row>
    <row r="30" spans="1:37" ht="102.75" customHeight="1" x14ac:dyDescent="0.25">
      <c r="A30" s="66">
        <v>14</v>
      </c>
      <c r="B30" s="61" t="s">
        <v>118</v>
      </c>
      <c r="C30" s="62"/>
      <c r="D30" s="62" t="s">
        <v>354</v>
      </c>
      <c r="E30" s="219">
        <v>89.96</v>
      </c>
      <c r="F30" s="220" t="s">
        <v>25</v>
      </c>
      <c r="G30" s="221"/>
      <c r="H30" s="219">
        <v>91.27</v>
      </c>
      <c r="I30" s="264" t="s">
        <v>25</v>
      </c>
      <c r="J30" s="222">
        <f>SUM(J31:J32)</f>
        <v>242712500</v>
      </c>
      <c r="K30" s="219">
        <v>90.27</v>
      </c>
      <c r="L30" s="222">
        <f>SUM(L31:L32)</f>
        <v>48542500</v>
      </c>
      <c r="M30" s="219">
        <v>90.58</v>
      </c>
      <c r="N30" s="222">
        <f>SUM(N31:N32)</f>
        <v>48542300</v>
      </c>
      <c r="O30" s="219">
        <v>90.81</v>
      </c>
      <c r="P30" s="222">
        <f>SUM(P31:P34)</f>
        <v>38795100</v>
      </c>
      <c r="Q30" s="223">
        <v>89.21</v>
      </c>
      <c r="R30" s="222">
        <f>SUM(R31:R32)</f>
        <v>40047500</v>
      </c>
      <c r="S30" s="223">
        <v>89.23</v>
      </c>
      <c r="T30" s="222">
        <f>SUM(T31:T32)</f>
        <v>29030300</v>
      </c>
      <c r="U30" s="223">
        <v>89.65</v>
      </c>
      <c r="V30" s="222">
        <f>SUM(V31:V34)</f>
        <v>35820550</v>
      </c>
      <c r="W30" s="254">
        <f t="shared" si="13"/>
        <v>98.825744987260435</v>
      </c>
      <c r="X30" s="240">
        <f t="shared" si="13"/>
        <v>82.499871246845544</v>
      </c>
      <c r="Y30" s="254">
        <f t="shared" si="13"/>
        <v>98.50960476926474</v>
      </c>
      <c r="Z30" s="240">
        <f t="shared" si="13"/>
        <v>59.804129594188979</v>
      </c>
      <c r="AA30" s="254">
        <f t="shared" si="13"/>
        <v>98.722607642330146</v>
      </c>
      <c r="AB30" s="240">
        <f t="shared" si="13"/>
        <v>92.332665723248553</v>
      </c>
      <c r="AC30" s="223">
        <f t="shared" si="12"/>
        <v>89.65</v>
      </c>
      <c r="AD30" s="308">
        <f>R30+T30+V30</f>
        <v>104898350</v>
      </c>
      <c r="AE30" s="234">
        <f t="shared" ref="AE30:AE31" si="14">AC30/H30*100</f>
        <v>98.225046565136424</v>
      </c>
      <c r="AF30" s="219" t="str">
        <f t="shared" ref="AF30:AF31" si="15">IF(AE30&gt;=91,"Sangat Tinggi",IF(AE30&gt;=76,"Tinggi",IF(AE30&gt;=66,"Sedang",IF(AE30&gt;=51,"Rendah",IF(AE30&lt;=50,"Sangat Rendah")))))</f>
        <v>Sangat Tinggi</v>
      </c>
      <c r="AG30" s="234">
        <f>AD30/J30*100</f>
        <v>43.219179069887218</v>
      </c>
      <c r="AH30" s="111"/>
      <c r="AK30" s="119">
        <f>R30</f>
        <v>40047500</v>
      </c>
    </row>
    <row r="31" spans="1:37" ht="110.25" customHeight="1" x14ac:dyDescent="0.2">
      <c r="A31" s="60"/>
      <c r="B31" s="60"/>
      <c r="C31" s="14" t="s">
        <v>80</v>
      </c>
      <c r="D31" s="14" t="s">
        <v>511</v>
      </c>
      <c r="E31" s="32">
        <v>36.840000000000003</v>
      </c>
      <c r="F31" s="35" t="s">
        <v>27</v>
      </c>
      <c r="G31" s="8"/>
      <c r="H31" s="32">
        <v>100</v>
      </c>
      <c r="I31" s="35" t="s">
        <v>27</v>
      </c>
      <c r="J31" s="9">
        <v>192487500</v>
      </c>
      <c r="K31" s="32">
        <v>36.840000000000003</v>
      </c>
      <c r="L31" s="10">
        <v>38497500</v>
      </c>
      <c r="M31" s="32">
        <v>52.63</v>
      </c>
      <c r="N31" s="10">
        <v>29999800</v>
      </c>
      <c r="O31" s="32"/>
      <c r="P31" s="10"/>
      <c r="Q31" s="74">
        <f>14/38*100</f>
        <v>36.84210526315789</v>
      </c>
      <c r="R31" s="10">
        <v>32397500</v>
      </c>
      <c r="S31" s="74">
        <f>20/38*100</f>
        <v>52.631578947368418</v>
      </c>
      <c r="T31" s="10">
        <v>19417800</v>
      </c>
      <c r="U31" s="74"/>
      <c r="V31" s="10"/>
      <c r="W31" s="172">
        <f t="shared" ref="W31:Z32" si="16">Q31/K31*100</f>
        <v>100.00571461226353</v>
      </c>
      <c r="X31" s="235">
        <f t="shared" si="16"/>
        <v>84.154815247743358</v>
      </c>
      <c r="Y31" s="172">
        <f t="shared" si="16"/>
        <v>100.00300009000269</v>
      </c>
      <c r="Z31" s="235">
        <f t="shared" si="16"/>
        <v>64.726431509543389</v>
      </c>
      <c r="AA31" s="172"/>
      <c r="AB31" s="235"/>
      <c r="AC31" s="74">
        <f>S31</f>
        <v>52.631578947368418</v>
      </c>
      <c r="AD31" s="274">
        <f>R31+T31</f>
        <v>51815300</v>
      </c>
      <c r="AE31" s="56">
        <f t="shared" si="14"/>
        <v>52.631578947368418</v>
      </c>
      <c r="AF31" s="32" t="str">
        <f t="shared" si="15"/>
        <v>Rendah</v>
      </c>
      <c r="AG31" s="56">
        <f t="shared" ref="AG31" si="17">AD31/J31*100</f>
        <v>26.918786934216509</v>
      </c>
      <c r="AH31" s="111"/>
      <c r="AK31" s="119">
        <f>R31</f>
        <v>32397500</v>
      </c>
    </row>
    <row r="32" spans="1:37" ht="120.75" customHeight="1" x14ac:dyDescent="0.2">
      <c r="A32" s="60"/>
      <c r="B32" s="60"/>
      <c r="C32" s="14" t="s">
        <v>81</v>
      </c>
      <c r="D32" s="14" t="s">
        <v>352</v>
      </c>
      <c r="E32" s="32">
        <v>8.11</v>
      </c>
      <c r="F32" s="35" t="s">
        <v>27</v>
      </c>
      <c r="G32" s="8"/>
      <c r="H32" s="74">
        <v>37.299999999999997</v>
      </c>
      <c r="I32" s="35" t="s">
        <v>27</v>
      </c>
      <c r="J32" s="9">
        <v>50225000</v>
      </c>
      <c r="K32" s="32">
        <v>8.11</v>
      </c>
      <c r="L32" s="10">
        <v>10045000</v>
      </c>
      <c r="M32" s="32">
        <v>12.43</v>
      </c>
      <c r="N32" s="10">
        <v>18542500</v>
      </c>
      <c r="O32" s="32"/>
      <c r="P32" s="10"/>
      <c r="Q32" s="74">
        <f>15/185*100</f>
        <v>8.1081081081081088</v>
      </c>
      <c r="R32" s="10">
        <v>7650000</v>
      </c>
      <c r="S32" s="74">
        <f>23/185*100</f>
        <v>12.432432432432433</v>
      </c>
      <c r="T32" s="10">
        <v>9612500</v>
      </c>
      <c r="U32" s="74"/>
      <c r="V32" s="10"/>
      <c r="W32" s="172">
        <f t="shared" si="16"/>
        <v>99.976672109841047</v>
      </c>
      <c r="X32" s="235">
        <f t="shared" si="16"/>
        <v>76.157292185166753</v>
      </c>
      <c r="Y32" s="172">
        <f t="shared" si="16"/>
        <v>100.01956904611772</v>
      </c>
      <c r="Z32" s="235">
        <f t="shared" si="16"/>
        <v>51.840366725091002</v>
      </c>
      <c r="AA32" s="172"/>
      <c r="AB32" s="235"/>
      <c r="AC32" s="74">
        <f>S32</f>
        <v>12.432432432432433</v>
      </c>
      <c r="AD32" s="274">
        <f>R32+T32</f>
        <v>17262500</v>
      </c>
      <c r="AE32" s="56">
        <f t="shared" ref="AE32:AE35" si="18">AC32/H32*100</f>
        <v>33.330918049416717</v>
      </c>
      <c r="AF32" s="32" t="str">
        <f t="shared" ref="AF32:AF35" si="19">IF(AE32&gt;=91,"Sangat Tinggi",IF(AE32&gt;=76,"Tinggi",IF(AE32&gt;=66,"Sedang",IF(AE32&gt;=51,"Rendah",IF(AE32&lt;=50,"Sangat Rendah")))))</f>
        <v>Sangat Rendah</v>
      </c>
      <c r="AG32" s="56">
        <f t="shared" ref="AG32:AG34" si="20">AD32/J32*100</f>
        <v>34.370333499253356</v>
      </c>
      <c r="AH32" s="111"/>
      <c r="AK32" s="119">
        <f>R32</f>
        <v>7650000</v>
      </c>
    </row>
    <row r="33" spans="1:37" ht="90.75" customHeight="1" x14ac:dyDescent="0.2">
      <c r="A33" s="60"/>
      <c r="B33" s="60"/>
      <c r="C33" s="14" t="s">
        <v>690</v>
      </c>
      <c r="D33" s="14" t="s">
        <v>807</v>
      </c>
      <c r="E33" s="32"/>
      <c r="F33" s="35"/>
      <c r="G33" s="8"/>
      <c r="H33" s="142">
        <f>3552/78685*100</f>
        <v>4.514202198640147</v>
      </c>
      <c r="I33" s="35" t="s">
        <v>27</v>
      </c>
      <c r="J33" s="9">
        <v>38497500</v>
      </c>
      <c r="K33" s="32"/>
      <c r="L33" s="10"/>
      <c r="M33" s="32"/>
      <c r="N33" s="10"/>
      <c r="O33" s="382">
        <f>2944/78685*100</f>
        <v>3.7415009213954376</v>
      </c>
      <c r="P33" s="10">
        <v>27452800</v>
      </c>
      <c r="Q33" s="74"/>
      <c r="R33" s="10"/>
      <c r="S33" s="74"/>
      <c r="T33" s="10"/>
      <c r="U33" s="382">
        <f>2944/78685*100</f>
        <v>3.7415009213954376</v>
      </c>
      <c r="V33" s="10">
        <v>25979000</v>
      </c>
      <c r="W33" s="172"/>
      <c r="X33" s="235"/>
      <c r="Y33" s="172"/>
      <c r="Z33" s="235"/>
      <c r="AA33" s="265">
        <f t="shared" ref="AA33:AB35" si="21">U33/O33*100</f>
        <v>100</v>
      </c>
      <c r="AB33" s="235">
        <f t="shared" si="21"/>
        <v>94.631512996852791</v>
      </c>
      <c r="AC33" s="74">
        <f>U33</f>
        <v>3.7415009213954376</v>
      </c>
      <c r="AD33" s="274">
        <f>V33</f>
        <v>25979000</v>
      </c>
      <c r="AE33" s="56">
        <f t="shared" si="18"/>
        <v>82.882882882882896</v>
      </c>
      <c r="AF33" s="32" t="str">
        <f t="shared" si="19"/>
        <v>Tinggi</v>
      </c>
      <c r="AG33" s="56">
        <f t="shared" si="20"/>
        <v>67.482304045717257</v>
      </c>
      <c r="AH33" s="111"/>
      <c r="AK33" s="119"/>
    </row>
    <row r="34" spans="1:37" ht="120.75" customHeight="1" x14ac:dyDescent="0.2">
      <c r="A34" s="60"/>
      <c r="B34" s="60"/>
      <c r="C34" s="14" t="s">
        <v>691</v>
      </c>
      <c r="D34" s="14" t="s">
        <v>692</v>
      </c>
      <c r="E34" s="32"/>
      <c r="F34" s="35"/>
      <c r="G34" s="8"/>
      <c r="H34" s="92">
        <v>100</v>
      </c>
      <c r="I34" s="35" t="s">
        <v>27</v>
      </c>
      <c r="J34" s="9">
        <v>10045000</v>
      </c>
      <c r="K34" s="32"/>
      <c r="L34" s="10"/>
      <c r="M34" s="32"/>
      <c r="N34" s="10"/>
      <c r="O34" s="32">
        <v>100</v>
      </c>
      <c r="P34" s="10">
        <v>11342300</v>
      </c>
      <c r="Q34" s="74"/>
      <c r="R34" s="10"/>
      <c r="S34" s="74"/>
      <c r="T34" s="10"/>
      <c r="U34" s="92">
        <v>100</v>
      </c>
      <c r="V34" s="10">
        <v>9841550</v>
      </c>
      <c r="W34" s="172"/>
      <c r="X34" s="235"/>
      <c r="Y34" s="172"/>
      <c r="Z34" s="235"/>
      <c r="AA34" s="89">
        <f t="shared" si="21"/>
        <v>100</v>
      </c>
      <c r="AB34" s="235">
        <f t="shared" si="21"/>
        <v>86.768556641950923</v>
      </c>
      <c r="AC34" s="92">
        <f>U34</f>
        <v>100</v>
      </c>
      <c r="AD34" s="274">
        <f>V34</f>
        <v>9841550</v>
      </c>
      <c r="AE34" s="89">
        <f t="shared" si="18"/>
        <v>100</v>
      </c>
      <c r="AF34" s="32" t="str">
        <f t="shared" si="19"/>
        <v>Sangat Tinggi</v>
      </c>
      <c r="AG34" s="56">
        <f t="shared" si="20"/>
        <v>97.974614235938276</v>
      </c>
      <c r="AH34" s="111"/>
      <c r="AK34" s="119"/>
    </row>
    <row r="35" spans="1:37" ht="78.75" x14ac:dyDescent="0.25">
      <c r="A35" s="60"/>
      <c r="B35" s="60"/>
      <c r="C35" s="62"/>
      <c r="D35" s="62" t="s">
        <v>355</v>
      </c>
      <c r="E35" s="219">
        <v>0.68</v>
      </c>
      <c r="F35" s="220" t="s">
        <v>27</v>
      </c>
      <c r="G35" s="221"/>
      <c r="H35" s="219">
        <v>7.43</v>
      </c>
      <c r="I35" s="220" t="s">
        <v>27</v>
      </c>
      <c r="J35" s="222">
        <f>SUM(J36:J37)</f>
        <v>583451500</v>
      </c>
      <c r="K35" s="219">
        <v>2.0299999999999998</v>
      </c>
      <c r="L35" s="222">
        <f>SUM(L36:L37)</f>
        <v>116690300</v>
      </c>
      <c r="M35" s="219">
        <v>3.38</v>
      </c>
      <c r="N35" s="222">
        <f>SUM(N36:N37)</f>
        <v>108690100</v>
      </c>
      <c r="O35" s="219">
        <v>4.7300000000000004</v>
      </c>
      <c r="P35" s="222">
        <f>SUM(P36:P39)</f>
        <v>122560900</v>
      </c>
      <c r="Q35" s="223">
        <f>3/148*100</f>
        <v>2.0270270270270272</v>
      </c>
      <c r="R35" s="222">
        <f>SUM(R36:R37)</f>
        <v>103080890</v>
      </c>
      <c r="S35" s="223">
        <f>5/148*100</f>
        <v>3.3783783783783785</v>
      </c>
      <c r="T35" s="222">
        <f>SUM(T36:T37)</f>
        <v>90358700</v>
      </c>
      <c r="U35" s="223">
        <v>4.7300000000000004</v>
      </c>
      <c r="V35" s="222">
        <f>SUM(V36:V39)</f>
        <v>112837100</v>
      </c>
      <c r="W35" s="254">
        <f t="shared" ref="W35:Z37" si="22">Q35/K35*100</f>
        <v>99.853548129410214</v>
      </c>
      <c r="X35" s="240">
        <f t="shared" si="22"/>
        <v>88.337153987949307</v>
      </c>
      <c r="Y35" s="254">
        <f t="shared" si="22"/>
        <v>99.952023028946115</v>
      </c>
      <c r="Z35" s="240">
        <f t="shared" si="22"/>
        <v>83.13425049751541</v>
      </c>
      <c r="AA35" s="383">
        <f t="shared" si="21"/>
        <v>100</v>
      </c>
      <c r="AB35" s="240">
        <f t="shared" si="21"/>
        <v>92.06614833931539</v>
      </c>
      <c r="AC35" s="223">
        <f>U35</f>
        <v>4.7300000000000004</v>
      </c>
      <c r="AD35" s="308">
        <f>R35+T35+V35</f>
        <v>306276690</v>
      </c>
      <c r="AE35" s="234">
        <f t="shared" si="18"/>
        <v>63.660834454912532</v>
      </c>
      <c r="AF35" s="219" t="str">
        <f t="shared" si="19"/>
        <v>Rendah</v>
      </c>
      <c r="AG35" s="234">
        <f>AD35/J35*100</f>
        <v>52.493941655818865</v>
      </c>
      <c r="AH35" s="111"/>
      <c r="AK35" s="119">
        <f>R35</f>
        <v>103080890</v>
      </c>
    </row>
    <row r="36" spans="1:37" ht="120" x14ac:dyDescent="0.2">
      <c r="A36" s="60"/>
      <c r="B36" s="60"/>
      <c r="C36" s="14" t="s">
        <v>83</v>
      </c>
      <c r="D36" s="14" t="s">
        <v>353</v>
      </c>
      <c r="E36" s="32">
        <v>27.78</v>
      </c>
      <c r="F36" s="35" t="s">
        <v>27</v>
      </c>
      <c r="G36" s="8"/>
      <c r="H36" s="32">
        <v>100</v>
      </c>
      <c r="I36" s="35" t="s">
        <v>27</v>
      </c>
      <c r="J36" s="9">
        <v>463621500</v>
      </c>
      <c r="K36" s="32">
        <v>27.78</v>
      </c>
      <c r="L36" s="10">
        <v>92724300</v>
      </c>
      <c r="M36" s="32">
        <v>55.56</v>
      </c>
      <c r="N36" s="10">
        <v>84724100</v>
      </c>
      <c r="O36" s="32"/>
      <c r="P36" s="10"/>
      <c r="Q36" s="32">
        <f>15/54*100</f>
        <v>27.777777777777779</v>
      </c>
      <c r="R36" s="10">
        <v>82294300</v>
      </c>
      <c r="S36" s="74">
        <f>30/54*100</f>
        <v>55.555555555555557</v>
      </c>
      <c r="T36" s="10">
        <v>75224100</v>
      </c>
      <c r="U36" s="74"/>
      <c r="V36" s="10"/>
      <c r="W36" s="172">
        <f t="shared" si="22"/>
        <v>99.992000639948813</v>
      </c>
      <c r="X36" s="235">
        <f t="shared" si="22"/>
        <v>88.751600173848715</v>
      </c>
      <c r="Y36" s="172">
        <f t="shared" si="22"/>
        <v>99.992000639948813</v>
      </c>
      <c r="Z36" s="235">
        <f t="shared" si="22"/>
        <v>88.787133767133554</v>
      </c>
      <c r="AA36" s="172"/>
      <c r="AB36" s="235"/>
      <c r="AC36" s="74">
        <f>S36</f>
        <v>55.555555555555557</v>
      </c>
      <c r="AD36" s="274">
        <f>R36+T36</f>
        <v>157518400</v>
      </c>
      <c r="AE36" s="56">
        <f t="shared" ref="AE36" si="23">AC36/H36*100</f>
        <v>55.555555555555557</v>
      </c>
      <c r="AF36" s="32" t="str">
        <f t="shared" ref="AF36" si="24">IF(AE36&gt;=91,"Sangat Tinggi",IF(AE36&gt;=76,"Tinggi",IF(AE36&gt;=66,"Sedang",IF(AE36&gt;=51,"Rendah",IF(AE36&lt;=50,"Sangat Rendah")))))</f>
        <v>Rendah</v>
      </c>
      <c r="AG36" s="56">
        <f t="shared" ref="AG36" si="25">AD36/J36*100</f>
        <v>33.975646081987136</v>
      </c>
      <c r="AH36" s="111"/>
      <c r="AK36" s="119">
        <f>R36</f>
        <v>82294300</v>
      </c>
    </row>
    <row r="37" spans="1:37" ht="90" x14ac:dyDescent="0.2">
      <c r="A37" s="60"/>
      <c r="B37" s="60"/>
      <c r="C37" s="14" t="s">
        <v>82</v>
      </c>
      <c r="D37" s="14" t="s">
        <v>512</v>
      </c>
      <c r="E37" s="32">
        <v>100</v>
      </c>
      <c r="F37" s="35" t="s">
        <v>27</v>
      </c>
      <c r="G37" s="8"/>
      <c r="H37" s="32">
        <v>100</v>
      </c>
      <c r="I37" s="35" t="s">
        <v>27</v>
      </c>
      <c r="J37" s="9">
        <v>119830000</v>
      </c>
      <c r="K37" s="32">
        <v>100</v>
      </c>
      <c r="L37" s="10">
        <v>23966000</v>
      </c>
      <c r="M37" s="32">
        <v>100</v>
      </c>
      <c r="N37" s="10">
        <v>23966000</v>
      </c>
      <c r="O37" s="32"/>
      <c r="P37" s="10"/>
      <c r="Q37" s="74">
        <v>100</v>
      </c>
      <c r="R37" s="10">
        <v>20786590</v>
      </c>
      <c r="S37" s="32">
        <v>100</v>
      </c>
      <c r="T37" s="10">
        <v>15134600</v>
      </c>
      <c r="U37" s="32"/>
      <c r="V37" s="10"/>
      <c r="W37" s="172">
        <f t="shared" si="22"/>
        <v>100</v>
      </c>
      <c r="X37" s="235">
        <f t="shared" si="22"/>
        <v>86.733664357840283</v>
      </c>
      <c r="Y37" s="265">
        <f t="shared" si="22"/>
        <v>100</v>
      </c>
      <c r="Z37" s="235">
        <f t="shared" si="22"/>
        <v>63.150296253025118</v>
      </c>
      <c r="AA37" s="265"/>
      <c r="AB37" s="235"/>
      <c r="AC37" s="92">
        <f>S37</f>
        <v>100</v>
      </c>
      <c r="AD37" s="274">
        <f>R37+T37</f>
        <v>35921190</v>
      </c>
      <c r="AE37" s="89">
        <f t="shared" ref="AE37:AE39" si="26">AC37/H37*100</f>
        <v>100</v>
      </c>
      <c r="AF37" s="32" t="str">
        <f t="shared" ref="AF37:AF39" si="27">IF(AE37&gt;=91,"Sangat Tinggi",IF(AE37&gt;=76,"Tinggi",IF(AE37&gt;=66,"Sedang",IF(AE37&gt;=51,"Rendah",IF(AE37&lt;=50,"Sangat Rendah")))))</f>
        <v>Sangat Tinggi</v>
      </c>
      <c r="AG37" s="56">
        <f t="shared" ref="AG37:AG39" si="28">AD37/J37*100</f>
        <v>29.97679212217308</v>
      </c>
      <c r="AH37" s="111"/>
      <c r="AK37" s="119">
        <f>R37</f>
        <v>20786590</v>
      </c>
    </row>
    <row r="38" spans="1:37" ht="60" x14ac:dyDescent="0.2">
      <c r="A38" s="60"/>
      <c r="B38" s="60"/>
      <c r="C38" s="14" t="s">
        <v>693</v>
      </c>
      <c r="D38" s="14" t="s">
        <v>694</v>
      </c>
      <c r="E38" s="32"/>
      <c r="F38" s="35"/>
      <c r="G38" s="8"/>
      <c r="H38" s="32">
        <v>100</v>
      </c>
      <c r="I38" s="371" t="s">
        <v>27</v>
      </c>
      <c r="J38" s="9">
        <v>97123500</v>
      </c>
      <c r="K38" s="32"/>
      <c r="L38" s="10"/>
      <c r="M38" s="32"/>
      <c r="N38" s="10"/>
      <c r="O38" s="32">
        <v>100</v>
      </c>
      <c r="P38" s="10">
        <v>97298500</v>
      </c>
      <c r="Q38" s="74"/>
      <c r="R38" s="10"/>
      <c r="S38" s="32"/>
      <c r="T38" s="10"/>
      <c r="U38" s="32">
        <v>100</v>
      </c>
      <c r="V38" s="10">
        <v>92566700</v>
      </c>
      <c r="W38" s="172"/>
      <c r="X38" s="235"/>
      <c r="Y38" s="265"/>
      <c r="Z38" s="235"/>
      <c r="AA38" s="265">
        <f>U38/O38*100</f>
        <v>100</v>
      </c>
      <c r="AB38" s="235">
        <f>V38/P38*100</f>
        <v>95.136821225404304</v>
      </c>
      <c r="AC38" s="92">
        <f>U38</f>
        <v>100</v>
      </c>
      <c r="AD38" s="274">
        <f>V38</f>
        <v>92566700</v>
      </c>
      <c r="AE38" s="89">
        <f t="shared" si="26"/>
        <v>100</v>
      </c>
      <c r="AF38" s="32" t="str">
        <f t="shared" si="27"/>
        <v>Sangat Tinggi</v>
      </c>
      <c r="AG38" s="56">
        <f t="shared" si="28"/>
        <v>95.308241568724355</v>
      </c>
      <c r="AH38" s="111"/>
      <c r="AK38" s="119"/>
    </row>
    <row r="39" spans="1:37" ht="105" x14ac:dyDescent="0.2">
      <c r="A39" s="60"/>
      <c r="B39" s="60"/>
      <c r="C39" s="14" t="s">
        <v>695</v>
      </c>
      <c r="D39" s="14" t="s">
        <v>808</v>
      </c>
      <c r="E39" s="32"/>
      <c r="F39" s="35"/>
      <c r="G39" s="8"/>
      <c r="H39" s="368">
        <v>100</v>
      </c>
      <c r="I39" s="48" t="s">
        <v>27</v>
      </c>
      <c r="J39" s="9">
        <v>23966000</v>
      </c>
      <c r="K39" s="32"/>
      <c r="L39" s="10"/>
      <c r="M39" s="32"/>
      <c r="N39" s="10"/>
      <c r="O39" s="32">
        <v>100</v>
      </c>
      <c r="P39" s="10">
        <v>25262400</v>
      </c>
      <c r="Q39" s="74"/>
      <c r="R39" s="10"/>
      <c r="S39" s="32"/>
      <c r="T39" s="10"/>
      <c r="U39" s="32">
        <v>100</v>
      </c>
      <c r="V39" s="10">
        <v>20270400</v>
      </c>
      <c r="W39" s="172"/>
      <c r="X39" s="235"/>
      <c r="Y39" s="265"/>
      <c r="Z39" s="235"/>
      <c r="AA39" s="265">
        <f>U39/O39*100</f>
        <v>100</v>
      </c>
      <c r="AB39" s="235">
        <f>V39/P39*100</f>
        <v>80.239407182215473</v>
      </c>
      <c r="AC39" s="92">
        <f>U39</f>
        <v>100</v>
      </c>
      <c r="AD39" s="274">
        <f>V39</f>
        <v>20270400</v>
      </c>
      <c r="AE39" s="89">
        <f t="shared" si="26"/>
        <v>100</v>
      </c>
      <c r="AF39" s="32" t="str">
        <f t="shared" si="27"/>
        <v>Sangat Tinggi</v>
      </c>
      <c r="AG39" s="56">
        <f t="shared" si="28"/>
        <v>84.579821413669364</v>
      </c>
      <c r="AH39" s="112"/>
      <c r="AK39" s="119"/>
    </row>
    <row r="40" spans="1:37" ht="114.75" customHeight="1" x14ac:dyDescent="0.25">
      <c r="A40" s="106"/>
      <c r="B40" s="107"/>
      <c r="C40" s="102"/>
      <c r="D40" s="103" t="s">
        <v>357</v>
      </c>
      <c r="E40" s="213">
        <v>54.94</v>
      </c>
      <c r="F40" s="214" t="s">
        <v>25</v>
      </c>
      <c r="G40" s="215"/>
      <c r="H40" s="213">
        <f>H41</f>
        <v>55.77</v>
      </c>
      <c r="I40" s="214" t="s">
        <v>25</v>
      </c>
      <c r="J40" s="217">
        <f>J41</f>
        <v>45141321000</v>
      </c>
      <c r="K40" s="213">
        <f>K41</f>
        <v>55.08</v>
      </c>
      <c r="L40" s="217">
        <f>L41</f>
        <v>8355577200</v>
      </c>
      <c r="M40" s="213">
        <f>M41</f>
        <v>55.27</v>
      </c>
      <c r="N40" s="217">
        <f>N41</f>
        <v>6527165200</v>
      </c>
      <c r="O40" s="213">
        <v>55.44</v>
      </c>
      <c r="P40" s="217">
        <f>P41</f>
        <v>2087555441</v>
      </c>
      <c r="Q40" s="213">
        <f>Q41</f>
        <v>56.23</v>
      </c>
      <c r="R40" s="217">
        <f>R41</f>
        <v>6634378081</v>
      </c>
      <c r="S40" s="213">
        <f>S41</f>
        <v>67.036050000000003</v>
      </c>
      <c r="T40" s="217">
        <f>T41</f>
        <v>5095416055</v>
      </c>
      <c r="U40" s="213">
        <v>67.930000000000007</v>
      </c>
      <c r="V40" s="217">
        <f>V41</f>
        <v>1256697950</v>
      </c>
      <c r="W40" s="260">
        <f t="shared" ref="W40:AB41" si="29">Q40/K40*100</f>
        <v>102.08787218591139</v>
      </c>
      <c r="X40" s="261">
        <f t="shared" si="29"/>
        <v>79.400595819999126</v>
      </c>
      <c r="Y40" s="260">
        <f t="shared" si="29"/>
        <v>121.28831192328569</v>
      </c>
      <c r="Z40" s="261">
        <f t="shared" si="29"/>
        <v>78.064763168549803</v>
      </c>
      <c r="AA40" s="260">
        <f>U40/O40*100</f>
        <v>122.52886002886005</v>
      </c>
      <c r="AB40" s="261">
        <f t="shared" si="29"/>
        <v>60.199500588976221</v>
      </c>
      <c r="AC40" s="213">
        <f>U40</f>
        <v>67.930000000000007</v>
      </c>
      <c r="AD40" s="307">
        <f>R40+T40+V40</f>
        <v>12986492086</v>
      </c>
      <c r="AE40" s="239">
        <f>AC40/H40*100</f>
        <v>121.80383718845258</v>
      </c>
      <c r="AF40" s="402" t="str">
        <f>IF(AE40&gt;=91,"Sangat Tinggi",IF(AE40&gt;=76,"Tinggi",IF(AE40&gt;=66,"Sedang",IF(AE40&gt;=51,"Rendah",IF(AE40&lt;=50,"Sangat Rendah")))))</f>
        <v>Sangat Tinggi</v>
      </c>
      <c r="AG40" s="239">
        <f>AD40/J40*100</f>
        <v>28.768524709323419</v>
      </c>
      <c r="AH40" s="126" t="s">
        <v>326</v>
      </c>
      <c r="AK40" s="119">
        <f t="shared" ref="AK40:AK47" si="30">R40</f>
        <v>6634378081</v>
      </c>
    </row>
    <row r="41" spans="1:37" ht="69" customHeight="1" x14ac:dyDescent="0.25">
      <c r="A41" s="66">
        <v>15</v>
      </c>
      <c r="B41" s="61" t="s">
        <v>84</v>
      </c>
      <c r="C41" s="14"/>
      <c r="D41" s="62" t="s">
        <v>356</v>
      </c>
      <c r="E41" s="219">
        <v>54.94</v>
      </c>
      <c r="F41" s="220" t="s">
        <v>25</v>
      </c>
      <c r="G41" s="221"/>
      <c r="H41" s="219">
        <v>55.77</v>
      </c>
      <c r="I41" s="220" t="s">
        <v>25</v>
      </c>
      <c r="J41" s="222">
        <f>SUM(J42:J47)</f>
        <v>45141321000</v>
      </c>
      <c r="K41" s="219">
        <v>55.08</v>
      </c>
      <c r="L41" s="222">
        <f>SUM(L42:L47)</f>
        <v>8355577200</v>
      </c>
      <c r="M41" s="219">
        <v>55.27</v>
      </c>
      <c r="N41" s="222">
        <f>SUM(N42:N47)</f>
        <v>6527165200</v>
      </c>
      <c r="O41" s="223">
        <v>55.44</v>
      </c>
      <c r="P41" s="222">
        <f>SUM(P42:P53)</f>
        <v>2087555441</v>
      </c>
      <c r="Q41" s="223">
        <f>(Q42*30%)+(Q43*30%)+(Q44*40%)</f>
        <v>56.23</v>
      </c>
      <c r="R41" s="222">
        <f>SUM(R42:R47)</f>
        <v>6634378081</v>
      </c>
      <c r="S41" s="223">
        <f>(S42*0.405)+(S43*0.376)+(S44*0.219)</f>
        <v>67.036050000000003</v>
      </c>
      <c r="T41" s="222">
        <f>SUM(T42:T47)</f>
        <v>5095416055</v>
      </c>
      <c r="U41" s="223">
        <v>67.930000000000007</v>
      </c>
      <c r="V41" s="222">
        <f>SUM(V42:V53)</f>
        <v>1256697950</v>
      </c>
      <c r="W41" s="234">
        <f t="shared" si="29"/>
        <v>102.08787218591139</v>
      </c>
      <c r="X41" s="240">
        <f t="shared" si="29"/>
        <v>79.400595819999126</v>
      </c>
      <c r="Y41" s="234">
        <f t="shared" si="29"/>
        <v>121.28831192328569</v>
      </c>
      <c r="Z41" s="240">
        <f t="shared" si="29"/>
        <v>78.064763168549803</v>
      </c>
      <c r="AA41" s="234">
        <f t="shared" si="29"/>
        <v>122.52886002886005</v>
      </c>
      <c r="AB41" s="240">
        <f t="shared" si="29"/>
        <v>60.199500588976221</v>
      </c>
      <c r="AC41" s="223">
        <f>U41</f>
        <v>67.930000000000007</v>
      </c>
      <c r="AD41" s="308">
        <f>R41+T41+V41</f>
        <v>12986492086</v>
      </c>
      <c r="AE41" s="234">
        <f t="shared" ref="AE41" si="31">AC41/H41*100</f>
        <v>121.80383718845258</v>
      </c>
      <c r="AF41" s="219" t="str">
        <f t="shared" ref="AF41:AF42" si="32">IF(AE41&gt;=91,"Sangat Tinggi",IF(AE41&gt;=76,"Tinggi",IF(AE41&gt;=66,"Sedang",IF(AE41&gt;=51,"Rendah",IF(AE41&lt;=50,"Sangat Rendah")))))</f>
        <v>Sangat Tinggi</v>
      </c>
      <c r="AG41" s="234">
        <f>AD41/J41*100</f>
        <v>28.768524709323419</v>
      </c>
      <c r="AH41" s="111"/>
      <c r="AK41" s="119">
        <f t="shared" si="30"/>
        <v>6634378081</v>
      </c>
    </row>
    <row r="42" spans="1:37" ht="111.75" customHeight="1" x14ac:dyDescent="0.2">
      <c r="A42" s="15"/>
      <c r="B42" s="26"/>
      <c r="C42" s="147" t="s">
        <v>58</v>
      </c>
      <c r="D42" s="1" t="s">
        <v>548</v>
      </c>
      <c r="E42" s="32">
        <v>85</v>
      </c>
      <c r="F42" s="35" t="s">
        <v>25</v>
      </c>
      <c r="G42" s="236"/>
      <c r="H42" s="32">
        <v>85</v>
      </c>
      <c r="I42" s="35" t="s">
        <v>25</v>
      </c>
      <c r="J42" s="193">
        <v>11017391000</v>
      </c>
      <c r="K42" s="32">
        <v>85</v>
      </c>
      <c r="L42" s="193">
        <v>1214019200</v>
      </c>
      <c r="M42" s="32">
        <v>85</v>
      </c>
      <c r="N42" s="193">
        <v>687140200</v>
      </c>
      <c r="O42" s="32"/>
      <c r="P42" s="193"/>
      <c r="Q42" s="142">
        <v>88.03</v>
      </c>
      <c r="R42" s="193">
        <v>659740000</v>
      </c>
      <c r="S42" s="74">
        <v>90.96</v>
      </c>
      <c r="T42" s="266">
        <v>293310364</v>
      </c>
      <c r="U42" s="74"/>
      <c r="V42" s="266"/>
      <c r="W42" s="56">
        <f>Q42/K42*100</f>
        <v>103.56470588235294</v>
      </c>
      <c r="X42" s="237">
        <f>R42/L42*100</f>
        <v>54.343456841539236</v>
      </c>
      <c r="Y42" s="56">
        <f>S42/M42*100</f>
        <v>107.01176470588234</v>
      </c>
      <c r="Z42" s="237">
        <f>T42/N42*100</f>
        <v>42.685665021490522</v>
      </c>
      <c r="AA42" s="56"/>
      <c r="AB42" s="237"/>
      <c r="AC42" s="74">
        <f t="shared" ref="AC42:AC47" si="33">S42</f>
        <v>90.96</v>
      </c>
      <c r="AD42" s="193">
        <f>R42+T42</f>
        <v>953050364</v>
      </c>
      <c r="AE42" s="56">
        <f>AC42/H42*100</f>
        <v>107.01176470588234</v>
      </c>
      <c r="AF42" s="32" t="str">
        <f t="shared" si="32"/>
        <v>Sangat Tinggi</v>
      </c>
      <c r="AG42" s="354">
        <f t="shared" ref="AG42" si="34">AD42/J42*100</f>
        <v>8.6504179074701071</v>
      </c>
      <c r="AH42" s="111"/>
      <c r="AK42" s="119">
        <f t="shared" si="30"/>
        <v>659740000</v>
      </c>
    </row>
    <row r="43" spans="1:37" ht="90" x14ac:dyDescent="0.2">
      <c r="A43" s="15"/>
      <c r="B43" s="26"/>
      <c r="C43" s="148"/>
      <c r="D43" s="67" t="s">
        <v>549</v>
      </c>
      <c r="E43" s="124">
        <v>51</v>
      </c>
      <c r="F43" s="35" t="s">
        <v>25</v>
      </c>
      <c r="G43" s="242"/>
      <c r="H43" s="124">
        <v>53</v>
      </c>
      <c r="I43" s="35" t="s">
        <v>25</v>
      </c>
      <c r="J43" s="181"/>
      <c r="K43" s="173">
        <v>51</v>
      </c>
      <c r="L43" s="181"/>
      <c r="M43" s="173">
        <v>51.5</v>
      </c>
      <c r="N43" s="181"/>
      <c r="O43" s="173"/>
      <c r="P43" s="181"/>
      <c r="Q43" s="142">
        <v>51.67</v>
      </c>
      <c r="R43" s="181"/>
      <c r="S43" s="173">
        <v>52.5</v>
      </c>
      <c r="T43" s="181"/>
      <c r="U43" s="173"/>
      <c r="V43" s="181"/>
      <c r="W43" s="56">
        <f>Q43/K43*100</f>
        <v>101.31372549019608</v>
      </c>
      <c r="X43" s="243"/>
      <c r="Y43" s="56">
        <f>S43/M43*100</f>
        <v>101.94174757281553</v>
      </c>
      <c r="Z43" s="243"/>
      <c r="AA43" s="56"/>
      <c r="AB43" s="243"/>
      <c r="AC43" s="74">
        <f t="shared" si="33"/>
        <v>52.5</v>
      </c>
      <c r="AD43" s="4"/>
      <c r="AE43" s="56">
        <f t="shared" ref="AE43" si="35">AC43/H43*100</f>
        <v>99.056603773584911</v>
      </c>
      <c r="AF43" s="32" t="str">
        <f t="shared" ref="AF43:AF45" si="36">IF(AE43&gt;=91,"Sangat Tinggi",IF(AE43&gt;=76,"Tinggi",IF(AE43&gt;=66,"Sedang",IF(AE43&gt;=51,"Rendah",IF(AE43&lt;=50,"Sangat Rendah")))))</f>
        <v>Sangat Tinggi</v>
      </c>
      <c r="AG43" s="404"/>
      <c r="AH43" s="111"/>
      <c r="AK43" s="119">
        <f t="shared" si="30"/>
        <v>0</v>
      </c>
    </row>
    <row r="44" spans="1:37" ht="90" x14ac:dyDescent="0.2">
      <c r="A44" s="15"/>
      <c r="B44" s="26"/>
      <c r="C44" s="67"/>
      <c r="D44" s="67" t="s">
        <v>550</v>
      </c>
      <c r="E44" s="124">
        <v>35.340000000000003</v>
      </c>
      <c r="F44" s="35" t="s">
        <v>25</v>
      </c>
      <c r="G44" s="29"/>
      <c r="H44" s="124">
        <v>35.93</v>
      </c>
      <c r="I44" s="35" t="s">
        <v>25</v>
      </c>
      <c r="J44" s="182"/>
      <c r="K44" s="177">
        <v>35.340000000000003</v>
      </c>
      <c r="L44" s="182"/>
      <c r="M44" s="124">
        <v>35.49</v>
      </c>
      <c r="N44" s="182"/>
      <c r="O44" s="329"/>
      <c r="P44" s="182"/>
      <c r="Q44" s="142">
        <v>35.799999999999997</v>
      </c>
      <c r="R44" s="182"/>
      <c r="S44" s="173">
        <v>47.75</v>
      </c>
      <c r="T44" s="182"/>
      <c r="U44" s="173"/>
      <c r="V44" s="182"/>
      <c r="W44" s="56">
        <f>Q44/K44*100</f>
        <v>101.30164119977361</v>
      </c>
      <c r="X44" s="238"/>
      <c r="Y44" s="56">
        <f>S44/M44*100</f>
        <v>134.54494223724993</v>
      </c>
      <c r="Z44" s="238"/>
      <c r="AA44" s="56"/>
      <c r="AB44" s="238"/>
      <c r="AC44" s="74">
        <f t="shared" si="33"/>
        <v>47.75</v>
      </c>
      <c r="AD44" s="5"/>
      <c r="AE44" s="56">
        <f t="shared" ref="AE44:AE50" si="37">AC44/H44*100</f>
        <v>132.89730030615087</v>
      </c>
      <c r="AF44" s="32" t="str">
        <f t="shared" si="36"/>
        <v>Sangat Tinggi</v>
      </c>
      <c r="AG44" s="77"/>
      <c r="AH44" s="111"/>
      <c r="AK44" s="119">
        <f t="shared" si="30"/>
        <v>0</v>
      </c>
    </row>
    <row r="45" spans="1:37" ht="105" x14ac:dyDescent="0.2">
      <c r="A45" s="15"/>
      <c r="B45" s="26"/>
      <c r="C45" s="67" t="s">
        <v>59</v>
      </c>
      <c r="D45" s="67" t="s">
        <v>358</v>
      </c>
      <c r="E45" s="127">
        <v>52</v>
      </c>
      <c r="F45" s="35" t="s">
        <v>27</v>
      </c>
      <c r="G45" s="236"/>
      <c r="H45" s="127">
        <v>44.06</v>
      </c>
      <c r="I45" s="35" t="s">
        <v>27</v>
      </c>
      <c r="J45" s="193">
        <v>34123930000</v>
      </c>
      <c r="K45" s="127">
        <v>52.53</v>
      </c>
      <c r="L45" s="193">
        <v>7141558000</v>
      </c>
      <c r="M45" s="127">
        <v>48.38</v>
      </c>
      <c r="N45" s="193">
        <v>5840025000</v>
      </c>
      <c r="O45" s="127"/>
      <c r="P45" s="193"/>
      <c r="Q45" s="142">
        <v>55.72</v>
      </c>
      <c r="R45" s="267">
        <v>5974638081</v>
      </c>
      <c r="S45" s="74">
        <f>14418/27452.42*100</f>
        <v>52.519959988955442</v>
      </c>
      <c r="T45" s="266">
        <v>4802105691</v>
      </c>
      <c r="U45" s="74"/>
      <c r="V45" s="266"/>
      <c r="W45" s="56">
        <f>(K45-(Q45-K45))/K45*100</f>
        <v>93.927279649723971</v>
      </c>
      <c r="X45" s="237">
        <f>R45/L45*100</f>
        <v>83.660149241944126</v>
      </c>
      <c r="Y45" s="56">
        <f>(M45-(S45-M45))/M45*100</f>
        <v>91.442827637545605</v>
      </c>
      <c r="Z45" s="237">
        <f>T45/N45*100</f>
        <v>82.227485173436747</v>
      </c>
      <c r="AA45" s="56"/>
      <c r="AB45" s="237"/>
      <c r="AC45" s="74">
        <f t="shared" si="33"/>
        <v>52.519959988955442</v>
      </c>
      <c r="AD45" s="193">
        <f>R45+T45</f>
        <v>10776743772</v>
      </c>
      <c r="AE45" s="56">
        <f t="shared" si="37"/>
        <v>119.20099861315352</v>
      </c>
      <c r="AF45" s="32" t="str">
        <f t="shared" si="36"/>
        <v>Sangat Tinggi</v>
      </c>
      <c r="AG45" s="354">
        <f t="shared" ref="AG45" si="38">AD45/J45*100</f>
        <v>31.581191767771177</v>
      </c>
      <c r="AH45" s="111"/>
      <c r="AK45" s="119">
        <f t="shared" si="30"/>
        <v>5974638081</v>
      </c>
    </row>
    <row r="46" spans="1:37" ht="90" x14ac:dyDescent="0.2">
      <c r="A46" s="15"/>
      <c r="B46" s="26"/>
      <c r="C46" s="67"/>
      <c r="D46" s="67" t="s">
        <v>359</v>
      </c>
      <c r="E46" s="127">
        <v>27</v>
      </c>
      <c r="F46" s="35" t="s">
        <v>27</v>
      </c>
      <c r="G46" s="242"/>
      <c r="H46" s="127">
        <v>27.94</v>
      </c>
      <c r="I46" s="35" t="s">
        <v>27</v>
      </c>
      <c r="J46" s="181"/>
      <c r="K46" s="127">
        <v>27.47</v>
      </c>
      <c r="L46" s="181"/>
      <c r="M46" s="127">
        <v>26.63</v>
      </c>
      <c r="N46" s="181"/>
      <c r="O46" s="127"/>
      <c r="P46" s="181"/>
      <c r="Q46" s="77">
        <v>35.26</v>
      </c>
      <c r="R46" s="181"/>
      <c r="S46" s="74">
        <f>7906/27452.42*100</f>
        <v>28.798918273871664</v>
      </c>
      <c r="T46" s="181"/>
      <c r="U46" s="74"/>
      <c r="V46" s="181"/>
      <c r="W46" s="56">
        <f>Q46/K46*100</f>
        <v>128.35820895522389</v>
      </c>
      <c r="X46" s="243"/>
      <c r="Y46" s="56">
        <f>S46/M46*100</f>
        <v>108.14464241033295</v>
      </c>
      <c r="Z46" s="243"/>
      <c r="AA46" s="56"/>
      <c r="AB46" s="243"/>
      <c r="AC46" s="74">
        <f t="shared" si="33"/>
        <v>28.798918273871664</v>
      </c>
      <c r="AD46" s="4"/>
      <c r="AE46" s="56">
        <f t="shared" si="37"/>
        <v>103.07415273397157</v>
      </c>
      <c r="AF46" s="32" t="str">
        <f t="shared" ref="AF46:AF48" si="39">IF(AE46&gt;=91,"Sangat Tinggi",IF(AE46&gt;=76,"Tinggi",IF(AE46&gt;=66,"Sedang",IF(AE46&gt;=51,"Rendah",IF(AE46&lt;=50,"Sangat Rendah")))))</f>
        <v>Sangat Tinggi</v>
      </c>
      <c r="AG46" s="404"/>
      <c r="AH46" s="111"/>
      <c r="AK46" s="119">
        <f t="shared" si="30"/>
        <v>0</v>
      </c>
    </row>
    <row r="47" spans="1:37" ht="75" x14ac:dyDescent="0.2">
      <c r="A47" s="15"/>
      <c r="B47" s="26"/>
      <c r="C47" s="67"/>
      <c r="D47" s="67" t="s">
        <v>360</v>
      </c>
      <c r="E47" s="127">
        <v>72</v>
      </c>
      <c r="F47" s="35" t="s">
        <v>27</v>
      </c>
      <c r="G47" s="29"/>
      <c r="H47" s="127">
        <v>100</v>
      </c>
      <c r="I47" s="35" t="s">
        <v>27</v>
      </c>
      <c r="J47" s="182"/>
      <c r="K47" s="77">
        <v>72.599999999999994</v>
      </c>
      <c r="L47" s="182"/>
      <c r="M47" s="77">
        <v>80.819999999999993</v>
      </c>
      <c r="N47" s="182"/>
      <c r="O47" s="77"/>
      <c r="P47" s="182"/>
      <c r="Q47" s="77">
        <v>73.290000000000006</v>
      </c>
      <c r="R47" s="182"/>
      <c r="S47" s="127">
        <v>80.819999999999993</v>
      </c>
      <c r="T47" s="182"/>
      <c r="U47" s="127"/>
      <c r="V47" s="182"/>
      <c r="W47" s="56">
        <f>Q47/K47*100</f>
        <v>100.95041322314052</v>
      </c>
      <c r="X47" s="238"/>
      <c r="Y47" s="56">
        <f>S47/M47*100</f>
        <v>100</v>
      </c>
      <c r="Z47" s="238"/>
      <c r="AA47" s="56"/>
      <c r="AB47" s="238"/>
      <c r="AC47" s="74">
        <f t="shared" si="33"/>
        <v>80.819999999999993</v>
      </c>
      <c r="AD47" s="5"/>
      <c r="AE47" s="56">
        <f t="shared" si="37"/>
        <v>80.819999999999993</v>
      </c>
      <c r="AF47" s="32" t="str">
        <f t="shared" si="39"/>
        <v>Tinggi</v>
      </c>
      <c r="AG47" s="77"/>
      <c r="AH47" s="111"/>
      <c r="AK47" s="119">
        <f t="shared" si="30"/>
        <v>0</v>
      </c>
    </row>
    <row r="48" spans="1:37" ht="120" x14ac:dyDescent="0.2">
      <c r="A48" s="15"/>
      <c r="B48" s="26"/>
      <c r="C48" s="148" t="s">
        <v>696</v>
      </c>
      <c r="D48" s="67" t="s">
        <v>697</v>
      </c>
      <c r="E48" s="127"/>
      <c r="F48" s="35"/>
      <c r="G48" s="242"/>
      <c r="H48" s="74">
        <v>57.69</v>
      </c>
      <c r="I48" s="35" t="s">
        <v>30</v>
      </c>
      <c r="J48" s="181">
        <v>1133598441</v>
      </c>
      <c r="K48" s="77"/>
      <c r="L48" s="181"/>
      <c r="M48" s="77"/>
      <c r="N48" s="181"/>
      <c r="O48" s="77">
        <v>56.67</v>
      </c>
      <c r="P48" s="181">
        <v>763126441</v>
      </c>
      <c r="Q48" s="77"/>
      <c r="R48" s="181"/>
      <c r="S48" s="127"/>
      <c r="T48" s="181"/>
      <c r="U48" s="77">
        <v>54.76</v>
      </c>
      <c r="V48" s="181">
        <v>569779700</v>
      </c>
      <c r="W48" s="56"/>
      <c r="X48" s="243"/>
      <c r="Y48" s="56"/>
      <c r="Z48" s="243"/>
      <c r="AA48" s="89">
        <f>U48/O48*100</f>
        <v>96.629610022939815</v>
      </c>
      <c r="AB48" s="243">
        <f>V48/P48*100</f>
        <v>74.663865565103649</v>
      </c>
      <c r="AC48" s="74">
        <f>U48</f>
        <v>54.76</v>
      </c>
      <c r="AD48" s="359">
        <f>V48</f>
        <v>569779700</v>
      </c>
      <c r="AE48" s="56">
        <f t="shared" si="37"/>
        <v>94.92113017854048</v>
      </c>
      <c r="AF48" s="32" t="str">
        <f t="shared" si="39"/>
        <v>Sangat Tinggi</v>
      </c>
      <c r="AG48" s="354">
        <f t="shared" ref="AG48" si="40">AD48/J48*100</f>
        <v>50.262921982970511</v>
      </c>
      <c r="AH48" s="111"/>
      <c r="AK48" s="119"/>
    </row>
    <row r="49" spans="1:37" ht="45" x14ac:dyDescent="0.2">
      <c r="A49" s="15"/>
      <c r="B49" s="26"/>
      <c r="C49" s="148"/>
      <c r="D49" s="67" t="s">
        <v>698</v>
      </c>
      <c r="E49" s="127"/>
      <c r="F49" s="35"/>
      <c r="G49" s="242"/>
      <c r="H49" s="74">
        <v>94</v>
      </c>
      <c r="I49" s="35" t="s">
        <v>30</v>
      </c>
      <c r="J49" s="181"/>
      <c r="K49" s="77"/>
      <c r="L49" s="181"/>
      <c r="M49" s="77"/>
      <c r="N49" s="181"/>
      <c r="O49" s="131">
        <v>94</v>
      </c>
      <c r="P49" s="181"/>
      <c r="Q49" s="77"/>
      <c r="R49" s="181"/>
      <c r="S49" s="127"/>
      <c r="T49" s="181"/>
      <c r="U49" s="77">
        <v>90.96</v>
      </c>
      <c r="V49" s="181"/>
      <c r="W49" s="56"/>
      <c r="X49" s="243"/>
      <c r="Y49" s="56"/>
      <c r="Z49" s="243"/>
      <c r="AA49" s="89">
        <f>U49/O49*100</f>
        <v>96.7659574468085</v>
      </c>
      <c r="AB49" s="243"/>
      <c r="AC49" s="74">
        <f>U49</f>
        <v>90.96</v>
      </c>
      <c r="AD49" s="4"/>
      <c r="AE49" s="56">
        <f t="shared" si="37"/>
        <v>96.7659574468085</v>
      </c>
      <c r="AF49" s="32" t="str">
        <f t="shared" ref="AF49:AF51" si="41">IF(AE49&gt;=91,"Sangat Tinggi",IF(AE49&gt;=76,"Tinggi",IF(AE49&gt;=66,"Sedang",IF(AE49&gt;=51,"Rendah",IF(AE49&lt;=50,"Sangat Rendah")))))</f>
        <v>Sangat Tinggi</v>
      </c>
      <c r="AG49" s="404"/>
      <c r="AH49" s="111"/>
      <c r="AK49" s="119"/>
    </row>
    <row r="50" spans="1:37" ht="135" x14ac:dyDescent="0.2">
      <c r="A50" s="15"/>
      <c r="B50" s="26"/>
      <c r="C50" s="67"/>
      <c r="D50" s="67" t="s">
        <v>699</v>
      </c>
      <c r="E50" s="127"/>
      <c r="F50" s="35"/>
      <c r="G50" s="29"/>
      <c r="H50" s="92">
        <v>100</v>
      </c>
      <c r="I50" s="35" t="s">
        <v>27</v>
      </c>
      <c r="J50" s="182"/>
      <c r="K50" s="77"/>
      <c r="L50" s="182"/>
      <c r="M50" s="77"/>
      <c r="N50" s="182"/>
      <c r="O50" s="131">
        <v>100</v>
      </c>
      <c r="P50" s="182"/>
      <c r="Q50" s="77"/>
      <c r="R50" s="182"/>
      <c r="S50" s="127"/>
      <c r="T50" s="182"/>
      <c r="U50" s="127">
        <v>100</v>
      </c>
      <c r="V50" s="182"/>
      <c r="W50" s="56"/>
      <c r="X50" s="238"/>
      <c r="Y50" s="56"/>
      <c r="Z50" s="238"/>
      <c r="AA50" s="89">
        <f>U50/O50*100</f>
        <v>100</v>
      </c>
      <c r="AB50" s="238"/>
      <c r="AC50" s="92">
        <f>U50</f>
        <v>100</v>
      </c>
      <c r="AD50" s="5"/>
      <c r="AE50" s="89">
        <f t="shared" si="37"/>
        <v>100</v>
      </c>
      <c r="AF50" s="32" t="str">
        <f t="shared" si="41"/>
        <v>Sangat Tinggi</v>
      </c>
      <c r="AG50" s="77"/>
      <c r="AH50" s="111"/>
      <c r="AK50" s="119"/>
    </row>
    <row r="51" spans="1:37" ht="135" x14ac:dyDescent="0.2">
      <c r="A51" s="15"/>
      <c r="B51" s="26"/>
      <c r="C51" s="67" t="s">
        <v>700</v>
      </c>
      <c r="D51" s="67" t="s">
        <v>676</v>
      </c>
      <c r="E51" s="127"/>
      <c r="F51" s="35"/>
      <c r="G51" s="29"/>
      <c r="H51" s="74">
        <v>53.5</v>
      </c>
      <c r="I51" s="35" t="s">
        <v>30</v>
      </c>
      <c r="J51" s="182">
        <v>4629084900</v>
      </c>
      <c r="K51" s="77"/>
      <c r="L51" s="182"/>
      <c r="M51" s="77"/>
      <c r="N51" s="182"/>
      <c r="O51" s="77">
        <v>50.67</v>
      </c>
      <c r="P51" s="182">
        <v>1090744000</v>
      </c>
      <c r="Q51" s="77"/>
      <c r="R51" s="182"/>
      <c r="S51" s="127"/>
      <c r="T51" s="182"/>
      <c r="U51" s="77">
        <v>49.38</v>
      </c>
      <c r="V51" s="182">
        <v>600493250</v>
      </c>
      <c r="W51" s="56"/>
      <c r="X51" s="238"/>
      <c r="Y51" s="56"/>
      <c r="Z51" s="238"/>
      <c r="AA51" s="56">
        <f>U51/O51*100</f>
        <v>97.454114860864422</v>
      </c>
      <c r="AB51" s="238">
        <f>V51/P51*100</f>
        <v>55.053546019964351</v>
      </c>
      <c r="AC51" s="74">
        <f>U51</f>
        <v>49.38</v>
      </c>
      <c r="AD51" s="360">
        <f>V51</f>
        <v>600493250</v>
      </c>
      <c r="AE51" s="56">
        <f t="shared" ref="AE51" si="42">AC51/H51*100</f>
        <v>92.299065420560751</v>
      </c>
      <c r="AF51" s="32" t="str">
        <f t="shared" si="41"/>
        <v>Sangat Tinggi</v>
      </c>
      <c r="AG51" s="56">
        <f t="shared" ref="AG51" si="43">AD51/J51*100</f>
        <v>12.972180527516356</v>
      </c>
      <c r="AH51" s="111"/>
      <c r="AK51" s="119"/>
    </row>
    <row r="52" spans="1:37" ht="75" x14ac:dyDescent="0.2">
      <c r="A52" s="15"/>
      <c r="B52" s="26"/>
      <c r="C52" s="67" t="s">
        <v>701</v>
      </c>
      <c r="D52" s="67" t="s">
        <v>676</v>
      </c>
      <c r="E52" s="127"/>
      <c r="F52" s="35"/>
      <c r="G52" s="29"/>
      <c r="H52" s="74">
        <v>53.5</v>
      </c>
      <c r="I52" s="35" t="s">
        <v>30</v>
      </c>
      <c r="J52" s="182">
        <v>1006049000</v>
      </c>
      <c r="K52" s="77"/>
      <c r="L52" s="182"/>
      <c r="M52" s="77"/>
      <c r="N52" s="182"/>
      <c r="O52" s="77">
        <v>50.67</v>
      </c>
      <c r="P52" s="182">
        <v>231360000</v>
      </c>
      <c r="Q52" s="77"/>
      <c r="R52" s="182"/>
      <c r="S52" s="127"/>
      <c r="T52" s="182"/>
      <c r="U52" s="77">
        <v>49.38</v>
      </c>
      <c r="V52" s="182">
        <v>84175000</v>
      </c>
      <c r="W52" s="56"/>
      <c r="X52" s="238"/>
      <c r="Y52" s="56"/>
      <c r="Z52" s="238"/>
      <c r="AA52" s="56">
        <f>U52/O52*100</f>
        <v>97.454114860864422</v>
      </c>
      <c r="AB52" s="238">
        <f>V52/P52*100</f>
        <v>36.382693637621024</v>
      </c>
      <c r="AC52" s="74">
        <f>U52</f>
        <v>49.38</v>
      </c>
      <c r="AD52" s="360">
        <f t="shared" ref="AD52:AD53" si="44">V52</f>
        <v>84175000</v>
      </c>
      <c r="AE52" s="56">
        <f t="shared" ref="AE52:AE53" si="45">AC52/H52*100</f>
        <v>92.299065420560751</v>
      </c>
      <c r="AF52" s="32" t="str">
        <f t="shared" ref="AF52:AF53" si="46">IF(AE52&gt;=91,"Sangat Tinggi",IF(AE52&gt;=76,"Tinggi",IF(AE52&gt;=66,"Sedang",IF(AE52&gt;=51,"Rendah",IF(AE52&lt;=50,"Sangat Rendah")))))</f>
        <v>Sangat Tinggi</v>
      </c>
      <c r="AG52" s="56">
        <f t="shared" ref="AG52:AG53" si="47">AD52/J52*100</f>
        <v>8.366888690312301</v>
      </c>
      <c r="AH52" s="111"/>
      <c r="AK52" s="119"/>
    </row>
    <row r="53" spans="1:37" ht="75" x14ac:dyDescent="0.2">
      <c r="A53" s="15"/>
      <c r="B53" s="26"/>
      <c r="C53" s="67" t="s">
        <v>702</v>
      </c>
      <c r="D53" s="67" t="s">
        <v>703</v>
      </c>
      <c r="E53" s="127"/>
      <c r="F53" s="35"/>
      <c r="G53" s="29"/>
      <c r="H53" s="92">
        <v>100</v>
      </c>
      <c r="I53" s="35" t="s">
        <v>27</v>
      </c>
      <c r="J53" s="182">
        <v>97625000</v>
      </c>
      <c r="K53" s="77"/>
      <c r="L53" s="182"/>
      <c r="M53" s="77"/>
      <c r="N53" s="182"/>
      <c r="O53" s="131">
        <v>100</v>
      </c>
      <c r="P53" s="182">
        <v>2325000</v>
      </c>
      <c r="Q53" s="77"/>
      <c r="R53" s="182"/>
      <c r="S53" s="127"/>
      <c r="T53" s="182"/>
      <c r="U53" s="131">
        <v>100</v>
      </c>
      <c r="V53" s="182">
        <v>2250000</v>
      </c>
      <c r="W53" s="56"/>
      <c r="X53" s="238"/>
      <c r="Y53" s="56"/>
      <c r="Z53" s="238"/>
      <c r="AA53" s="89">
        <f>U53/O53*100</f>
        <v>100</v>
      </c>
      <c r="AB53" s="238">
        <f>V53/P53*100</f>
        <v>96.774193548387103</v>
      </c>
      <c r="AC53" s="92">
        <f>U53</f>
        <v>100</v>
      </c>
      <c r="AD53" s="360">
        <f t="shared" si="44"/>
        <v>2250000</v>
      </c>
      <c r="AE53" s="89">
        <f t="shared" si="45"/>
        <v>100</v>
      </c>
      <c r="AF53" s="32" t="str">
        <f t="shared" si="46"/>
        <v>Sangat Tinggi</v>
      </c>
      <c r="AG53" s="56">
        <f t="shared" si="47"/>
        <v>2.3047375160051216</v>
      </c>
      <c r="AH53" s="111"/>
      <c r="AK53" s="119"/>
    </row>
    <row r="54" spans="1:37" ht="15" x14ac:dyDescent="0.2">
      <c r="A54" s="414" t="s">
        <v>5</v>
      </c>
      <c r="B54" s="415"/>
      <c r="C54" s="415"/>
      <c r="D54" s="415"/>
      <c r="E54" s="415"/>
      <c r="F54" s="415"/>
      <c r="G54" s="415"/>
      <c r="H54" s="415"/>
      <c r="I54" s="415"/>
      <c r="J54" s="415"/>
      <c r="K54" s="415"/>
      <c r="L54" s="415"/>
      <c r="M54" s="415"/>
      <c r="N54" s="415"/>
      <c r="O54" s="415"/>
      <c r="P54" s="415"/>
      <c r="Q54" s="415"/>
      <c r="R54" s="415"/>
      <c r="S54" s="415"/>
      <c r="T54" s="415"/>
      <c r="U54" s="415"/>
      <c r="V54" s="416"/>
      <c r="W54" s="110">
        <f>AVERAGE(W15:W53)</f>
        <v>102.9594936882562</v>
      </c>
      <c r="X54" s="110"/>
      <c r="Y54" s="110">
        <f>AVERAGE(Y15:Y53)</f>
        <v>102.8780551777111</v>
      </c>
      <c r="Z54" s="95"/>
      <c r="AA54" s="110">
        <f>AVERAGE(AA15:AA53)</f>
        <v>99.399523314880881</v>
      </c>
      <c r="AB54" s="95"/>
      <c r="AC54" s="95"/>
      <c r="AD54" s="95"/>
      <c r="AE54" s="95"/>
      <c r="AF54" s="95"/>
      <c r="AG54" s="95"/>
      <c r="AH54" s="111"/>
    </row>
    <row r="55" spans="1:37" ht="15" x14ac:dyDescent="0.2">
      <c r="A55" s="414" t="s">
        <v>6</v>
      </c>
      <c r="B55" s="415"/>
      <c r="C55" s="415"/>
      <c r="D55" s="415"/>
      <c r="E55" s="415"/>
      <c r="F55" s="415"/>
      <c r="G55" s="415"/>
      <c r="H55" s="415"/>
      <c r="I55" s="415"/>
      <c r="J55" s="415"/>
      <c r="K55" s="415"/>
      <c r="L55" s="415"/>
      <c r="M55" s="415"/>
      <c r="N55" s="415"/>
      <c r="O55" s="415"/>
      <c r="P55" s="415"/>
      <c r="Q55" s="415"/>
      <c r="R55" s="415"/>
      <c r="S55" s="415"/>
      <c r="T55" s="415"/>
      <c r="U55" s="415"/>
      <c r="V55" s="416"/>
      <c r="W55" s="156" t="str">
        <f>IF(W54&gt;=91,"Sangat Tinggi",IF(W54&gt;=76,"Tinggi",IF(W54&gt;=66,"Sedang",IF(W54&gt;=51,"Rendah",IF(W54&lt;=50,"Sangat Rendah")))))</f>
        <v>Sangat Tinggi</v>
      </c>
      <c r="X55" s="95"/>
      <c r="Y55" s="156" t="str">
        <f>IF(Y54&gt;=91,"Sangat Tinggi",IF(Y54&gt;=76,"Tinggi",IF(Y54&gt;=66,"Sedang",IF(Y54&gt;=51,"Rendah",IF(Y54&lt;=50,"Sangat Rendah")))))</f>
        <v>Sangat Tinggi</v>
      </c>
      <c r="Z55" s="95"/>
      <c r="AA55" s="156" t="str">
        <f>IF(AA54&gt;=91,"Sangat Tinggi",IF(AA54&gt;=76,"Tinggi",IF(AA54&gt;=66,"Sedang",IF(AA54&gt;=51,"Rendah",IF(AA54&lt;=50,"Sangat Rendah")))))</f>
        <v>Sangat Tinggi</v>
      </c>
      <c r="AB55" s="95"/>
      <c r="AC55" s="95"/>
      <c r="AD55" s="95"/>
      <c r="AE55" s="95"/>
      <c r="AF55" s="95"/>
      <c r="AG55" s="95"/>
      <c r="AH55" s="111"/>
    </row>
    <row r="56" spans="1:37" ht="15" x14ac:dyDescent="0.2">
      <c r="A56" s="459" t="s">
        <v>849</v>
      </c>
      <c r="B56" s="459"/>
      <c r="C56" s="459"/>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111"/>
    </row>
    <row r="57" spans="1:37" ht="15" x14ac:dyDescent="0.2">
      <c r="A57" s="459" t="s">
        <v>8</v>
      </c>
      <c r="B57" s="459"/>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111"/>
    </row>
    <row r="58" spans="1:37" ht="15" x14ac:dyDescent="0.2">
      <c r="A58" s="459" t="s">
        <v>9</v>
      </c>
      <c r="B58" s="459"/>
      <c r="C58" s="459"/>
      <c r="D58" s="459"/>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111"/>
    </row>
    <row r="59" spans="1:37" ht="15" x14ac:dyDescent="0.2">
      <c r="A59" s="459" t="s">
        <v>10</v>
      </c>
      <c r="B59" s="459"/>
      <c r="C59" s="459"/>
      <c r="D59" s="459"/>
      <c r="E59" s="459"/>
      <c r="F59" s="459"/>
      <c r="G59" s="459"/>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112"/>
    </row>
    <row r="60" spans="1:37" ht="15" x14ac:dyDescent="0.2">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row>
    <row r="63" spans="1:37" ht="51" x14ac:dyDescent="0.2">
      <c r="A63" s="153" t="s">
        <v>492</v>
      </c>
      <c r="B63" s="153" t="s">
        <v>493</v>
      </c>
      <c r="C63" s="153" t="s">
        <v>494</v>
      </c>
    </row>
    <row r="64" spans="1:37" ht="25.5" x14ac:dyDescent="0.2">
      <c r="A64" s="154" t="s">
        <v>495</v>
      </c>
      <c r="B64" s="154" t="s">
        <v>496</v>
      </c>
      <c r="C64" s="154" t="s">
        <v>497</v>
      </c>
    </row>
    <row r="65" spans="1:3" ht="25.5" x14ac:dyDescent="0.2">
      <c r="A65" s="154" t="s">
        <v>498</v>
      </c>
      <c r="B65" s="154" t="s">
        <v>499</v>
      </c>
      <c r="C65" s="154" t="s">
        <v>500</v>
      </c>
    </row>
    <row r="66" spans="1:3" ht="25.5" x14ac:dyDescent="0.2">
      <c r="A66" s="154" t="s">
        <v>501</v>
      </c>
      <c r="B66" s="154" t="s">
        <v>502</v>
      </c>
      <c r="C66" s="154" t="s">
        <v>264</v>
      </c>
    </row>
    <row r="67" spans="1:3" ht="25.5" x14ac:dyDescent="0.2">
      <c r="A67" s="154" t="s">
        <v>503</v>
      </c>
      <c r="B67" s="154" t="s">
        <v>504</v>
      </c>
      <c r="C67" s="154" t="s">
        <v>505</v>
      </c>
    </row>
    <row r="68" spans="1:3" ht="25.5" x14ac:dyDescent="0.2">
      <c r="A68" s="154" t="s">
        <v>506</v>
      </c>
      <c r="B68" s="155" t="s">
        <v>507</v>
      </c>
      <c r="C68" s="154" t="s">
        <v>508</v>
      </c>
    </row>
  </sheetData>
  <mergeCells count="71">
    <mergeCell ref="AF13:AF14"/>
    <mergeCell ref="AC13:AC14"/>
    <mergeCell ref="AD13:AD14"/>
    <mergeCell ref="M13:M14"/>
    <mergeCell ref="N13:N14"/>
    <mergeCell ref="Q13:Q14"/>
    <mergeCell ref="R13:R14"/>
    <mergeCell ref="O13:O14"/>
    <mergeCell ref="A1:AH1"/>
    <mergeCell ref="A2:AH2"/>
    <mergeCell ref="A3:AH3"/>
    <mergeCell ref="K11:L11"/>
    <mergeCell ref="K12:L12"/>
    <mergeCell ref="AH9:AH10"/>
    <mergeCell ref="M11:N11"/>
    <mergeCell ref="Q11:R11"/>
    <mergeCell ref="S11:T11"/>
    <mergeCell ref="A7:AG7"/>
    <mergeCell ref="A4:AG4"/>
    <mergeCell ref="A5:AG5"/>
    <mergeCell ref="A8:AG8"/>
    <mergeCell ref="A12:A14"/>
    <mergeCell ref="B12:B14"/>
    <mergeCell ref="C12:C14"/>
    <mergeCell ref="A6:AG6"/>
    <mergeCell ref="H9:J11"/>
    <mergeCell ref="AC9:AD11"/>
    <mergeCell ref="K9:P10"/>
    <mergeCell ref="Q9:V10"/>
    <mergeCell ref="W9:AB10"/>
    <mergeCell ref="U11:V11"/>
    <mergeCell ref="AE9:AG11"/>
    <mergeCell ref="A9:A11"/>
    <mergeCell ref="B9:B11"/>
    <mergeCell ref="C9:C11"/>
    <mergeCell ref="D12:D14"/>
    <mergeCell ref="E12:G12"/>
    <mergeCell ref="H12:J12"/>
    <mergeCell ref="E13:F14"/>
    <mergeCell ref="K13:K14"/>
    <mergeCell ref="L13:L14"/>
    <mergeCell ref="V13:V14"/>
    <mergeCell ref="Y12:Z12"/>
    <mergeCell ref="O12:P12"/>
    <mergeCell ref="AA12:AB12"/>
    <mergeCell ref="U12:V12"/>
    <mergeCell ref="S13:S14"/>
    <mergeCell ref="T13:T14"/>
    <mergeCell ref="U13:U14"/>
    <mergeCell ref="P13:P14"/>
    <mergeCell ref="A59:AG59"/>
    <mergeCell ref="G13:G14"/>
    <mergeCell ref="H13:I14"/>
    <mergeCell ref="J13:J14"/>
    <mergeCell ref="D9:D11"/>
    <mergeCell ref="E9:G11"/>
    <mergeCell ref="W11:X11"/>
    <mergeCell ref="Y11:Z11"/>
    <mergeCell ref="O11:P11"/>
    <mergeCell ref="AA11:AB11"/>
    <mergeCell ref="AC12:AD12"/>
    <mergeCell ref="AE12:AG12"/>
    <mergeCell ref="M12:N12"/>
    <mergeCell ref="Q12:R12"/>
    <mergeCell ref="S12:T12"/>
    <mergeCell ref="W12:X12"/>
    <mergeCell ref="A54:V54"/>
    <mergeCell ref="A55:V55"/>
    <mergeCell ref="A56:AG56"/>
    <mergeCell ref="A57:AG57"/>
    <mergeCell ref="A58:AG58"/>
  </mergeCells>
  <printOptions horizontalCentered="1"/>
  <pageMargins left="0.23622047244094491" right="0.23622047244094491" top="3.937007874015748E-2" bottom="3.937007874015748E-2" header="0" footer="0"/>
  <pageSetup paperSize="256" scale="36" orientation="landscape" horizontalDpi="4294967293" r:id="rId1"/>
  <rowBreaks count="1" manualBreakCount="1">
    <brk id="41" max="3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Q170"/>
  <sheetViews>
    <sheetView tabSelected="1" showRuler="0" view="pageBreakPreview" topLeftCell="B151" zoomScale="70" zoomScaleNormal="40" zoomScaleSheetLayoutView="70" zoomScalePageLayoutView="55" workbookViewId="0">
      <selection activeCell="AA153" sqref="AA153"/>
    </sheetView>
  </sheetViews>
  <sheetFormatPr defaultColWidth="9.140625" defaultRowHeight="14.25" x14ac:dyDescent="0.2"/>
  <cols>
    <col min="1" max="1" width="6.42578125" style="2" customWidth="1"/>
    <col min="2" max="2" width="18" style="2" customWidth="1"/>
    <col min="3" max="3" width="14.85546875" style="2" customWidth="1"/>
    <col min="4" max="4" width="15" style="2" customWidth="1"/>
    <col min="5" max="5" width="8.5703125" style="2" customWidth="1"/>
    <col min="6" max="6" width="9.42578125" style="2" customWidth="1"/>
    <col min="7" max="7" width="20.7109375" style="2" bestFit="1" customWidth="1"/>
    <col min="8" max="8" width="8.140625" style="2" customWidth="1"/>
    <col min="9" max="9" width="9.140625" style="2" customWidth="1"/>
    <col min="10" max="10" width="19.42578125" style="2" customWidth="1"/>
    <col min="11" max="11" width="9" style="2" customWidth="1"/>
    <col min="12" max="12" width="19.28515625" style="2" customWidth="1"/>
    <col min="13" max="13" width="9" style="2" customWidth="1"/>
    <col min="14" max="14" width="19.28515625" style="2" customWidth="1"/>
    <col min="15" max="15" width="9" style="2" customWidth="1"/>
    <col min="16" max="16" width="19.28515625" style="2" customWidth="1"/>
    <col min="17" max="17" width="8.5703125" style="2" customWidth="1"/>
    <col min="18" max="18" width="18.28515625" style="2" customWidth="1"/>
    <col min="19" max="19" width="8.7109375" style="2" customWidth="1"/>
    <col min="20" max="20" width="18.7109375" style="2" customWidth="1"/>
    <col min="21" max="21" width="8.7109375" style="2" customWidth="1"/>
    <col min="22" max="22" width="18.7109375" style="2" customWidth="1"/>
    <col min="23" max="23" width="8.7109375" style="2" customWidth="1"/>
    <col min="24" max="24" width="10.7109375" style="2" customWidth="1"/>
    <col min="25" max="25" width="11.140625" style="2" customWidth="1"/>
    <col min="26" max="26" width="10.7109375" style="2" customWidth="1"/>
    <col min="27" max="27" width="11.140625" style="2" customWidth="1"/>
    <col min="28" max="28" width="10.7109375" style="2" customWidth="1"/>
    <col min="29" max="29" width="8.140625" style="2" customWidth="1"/>
    <col min="30" max="30" width="19.140625" style="2" customWidth="1"/>
    <col min="31" max="31" width="8.5703125" style="2" customWidth="1"/>
    <col min="32" max="32" width="11.5703125" style="2" customWidth="1"/>
    <col min="33" max="33" width="15.140625" style="2" customWidth="1"/>
    <col min="34" max="34" width="17.85546875" style="2" customWidth="1"/>
    <col min="35" max="35" width="9.140625" style="2"/>
    <col min="36" max="36" width="16.85546875" style="2" bestFit="1" customWidth="1"/>
    <col min="37" max="37" width="18.5703125" style="2" customWidth="1"/>
    <col min="38" max="16384" width="9.140625" style="2"/>
  </cols>
  <sheetData>
    <row r="1" spans="1:37" ht="23.25" x14ac:dyDescent="0.35">
      <c r="A1" s="460" t="s">
        <v>23</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row>
    <row r="2" spans="1:37" ht="23.25" x14ac:dyDescent="0.35">
      <c r="A2" s="460" t="s">
        <v>24</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row>
    <row r="3" spans="1:37" ht="23.25" x14ac:dyDescent="0.2">
      <c r="A3" s="461" t="s">
        <v>565</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row>
    <row r="4" spans="1:37" ht="18" x14ac:dyDescent="0.2">
      <c r="A4" s="439" t="s">
        <v>11</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row>
    <row r="5" spans="1:37" ht="18" customHeight="1" x14ac:dyDescent="0.2">
      <c r="A5" s="439" t="s">
        <v>364</v>
      </c>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row>
    <row r="6" spans="1:37" ht="18" customHeight="1" x14ac:dyDescent="0.2">
      <c r="A6" s="439" t="s">
        <v>365</v>
      </c>
      <c r="B6" s="439"/>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row>
    <row r="7" spans="1:37" ht="18" customHeight="1" x14ac:dyDescent="0.2">
      <c r="A7" s="439" t="s">
        <v>366</v>
      </c>
      <c r="B7" s="439"/>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row>
    <row r="8" spans="1:37" ht="18" customHeight="1" x14ac:dyDescent="0.2">
      <c r="A8" s="439" t="s">
        <v>367</v>
      </c>
      <c r="B8" s="439"/>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39"/>
      <c r="AC8" s="439"/>
      <c r="AD8" s="439"/>
      <c r="AE8" s="439"/>
      <c r="AF8" s="439"/>
      <c r="AG8" s="439"/>
    </row>
    <row r="9" spans="1:37" ht="15" x14ac:dyDescent="0.2">
      <c r="A9" s="440"/>
      <c r="B9" s="440"/>
      <c r="C9" s="440"/>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row>
    <row r="10" spans="1:37" s="118" customFormat="1" ht="68.25" customHeight="1" x14ac:dyDescent="0.2">
      <c r="A10" s="417" t="s">
        <v>0</v>
      </c>
      <c r="B10" s="417" t="s">
        <v>257</v>
      </c>
      <c r="C10" s="452" t="s">
        <v>1</v>
      </c>
      <c r="D10" s="452" t="s">
        <v>299</v>
      </c>
      <c r="E10" s="441" t="s">
        <v>20</v>
      </c>
      <c r="F10" s="442"/>
      <c r="G10" s="443"/>
      <c r="H10" s="441" t="s">
        <v>19</v>
      </c>
      <c r="I10" s="442"/>
      <c r="J10" s="443"/>
      <c r="K10" s="420" t="s">
        <v>536</v>
      </c>
      <c r="L10" s="421"/>
      <c r="M10" s="421"/>
      <c r="N10" s="421"/>
      <c r="O10" s="421"/>
      <c r="P10" s="422"/>
      <c r="Q10" s="420" t="s">
        <v>537</v>
      </c>
      <c r="R10" s="421"/>
      <c r="S10" s="421"/>
      <c r="T10" s="421"/>
      <c r="U10" s="421"/>
      <c r="V10" s="422"/>
      <c r="W10" s="420" t="s">
        <v>538</v>
      </c>
      <c r="X10" s="421"/>
      <c r="Y10" s="421"/>
      <c r="Z10" s="421"/>
      <c r="AA10" s="421"/>
      <c r="AB10" s="422"/>
      <c r="AC10" s="420" t="s">
        <v>18</v>
      </c>
      <c r="AD10" s="422"/>
      <c r="AE10" s="420" t="s">
        <v>4</v>
      </c>
      <c r="AF10" s="421"/>
      <c r="AG10" s="422"/>
      <c r="AH10" s="462" t="s">
        <v>278</v>
      </c>
    </row>
    <row r="11" spans="1:37" s="118" customFormat="1" ht="18" customHeight="1" x14ac:dyDescent="0.2">
      <c r="A11" s="417"/>
      <c r="B11" s="417"/>
      <c r="C11" s="452"/>
      <c r="D11" s="452"/>
      <c r="E11" s="444"/>
      <c r="F11" s="445"/>
      <c r="G11" s="446"/>
      <c r="H11" s="444"/>
      <c r="I11" s="445"/>
      <c r="J11" s="446"/>
      <c r="K11" s="436"/>
      <c r="L11" s="437"/>
      <c r="M11" s="437"/>
      <c r="N11" s="437"/>
      <c r="O11" s="437"/>
      <c r="P11" s="438"/>
      <c r="Q11" s="436"/>
      <c r="R11" s="437"/>
      <c r="S11" s="437"/>
      <c r="T11" s="437"/>
      <c r="U11" s="437"/>
      <c r="V11" s="438"/>
      <c r="W11" s="423"/>
      <c r="X11" s="424"/>
      <c r="Y11" s="424"/>
      <c r="Z11" s="424"/>
      <c r="AA11" s="424"/>
      <c r="AB11" s="425"/>
      <c r="AC11" s="423"/>
      <c r="AD11" s="425"/>
      <c r="AE11" s="423"/>
      <c r="AF11" s="424"/>
      <c r="AG11" s="425"/>
      <c r="AH11" s="463"/>
    </row>
    <row r="12" spans="1:37" s="118" customFormat="1" ht="15.75" customHeight="1" x14ac:dyDescent="0.2">
      <c r="A12" s="417"/>
      <c r="B12" s="417"/>
      <c r="C12" s="452"/>
      <c r="D12" s="452"/>
      <c r="E12" s="447"/>
      <c r="F12" s="448"/>
      <c r="G12" s="449"/>
      <c r="H12" s="447"/>
      <c r="I12" s="448"/>
      <c r="J12" s="449"/>
      <c r="K12" s="453" t="s">
        <v>534</v>
      </c>
      <c r="L12" s="454"/>
      <c r="M12" s="453" t="s">
        <v>535</v>
      </c>
      <c r="N12" s="454"/>
      <c r="O12" s="453" t="s">
        <v>564</v>
      </c>
      <c r="P12" s="454"/>
      <c r="Q12" s="453" t="s">
        <v>534</v>
      </c>
      <c r="R12" s="454"/>
      <c r="S12" s="453" t="s">
        <v>535</v>
      </c>
      <c r="T12" s="454"/>
      <c r="U12" s="453" t="s">
        <v>564</v>
      </c>
      <c r="V12" s="454"/>
      <c r="W12" s="450" t="s">
        <v>534</v>
      </c>
      <c r="X12" s="451"/>
      <c r="Y12" s="450" t="s">
        <v>535</v>
      </c>
      <c r="Z12" s="451"/>
      <c r="AA12" s="450" t="s">
        <v>564</v>
      </c>
      <c r="AB12" s="451"/>
      <c r="AC12" s="436"/>
      <c r="AD12" s="438"/>
      <c r="AE12" s="436"/>
      <c r="AF12" s="437"/>
      <c r="AG12" s="438"/>
      <c r="AH12" s="113"/>
    </row>
    <row r="13" spans="1:37" s="96" customFormat="1" ht="15.75" x14ac:dyDescent="0.25">
      <c r="A13" s="426">
        <v>1</v>
      </c>
      <c r="B13" s="426">
        <v>2</v>
      </c>
      <c r="C13" s="426">
        <v>3</v>
      </c>
      <c r="D13" s="426">
        <v>4</v>
      </c>
      <c r="E13" s="433">
        <v>5</v>
      </c>
      <c r="F13" s="434"/>
      <c r="G13" s="435"/>
      <c r="H13" s="433">
        <v>6</v>
      </c>
      <c r="I13" s="434"/>
      <c r="J13" s="435"/>
      <c r="K13" s="418">
        <v>7</v>
      </c>
      <c r="L13" s="419"/>
      <c r="M13" s="418">
        <v>8</v>
      </c>
      <c r="N13" s="419"/>
      <c r="O13" s="418">
        <v>8</v>
      </c>
      <c r="P13" s="419"/>
      <c r="Q13" s="418">
        <v>12</v>
      </c>
      <c r="R13" s="419"/>
      <c r="S13" s="418">
        <v>13</v>
      </c>
      <c r="T13" s="419"/>
      <c r="U13" s="418">
        <v>13</v>
      </c>
      <c r="V13" s="419"/>
      <c r="W13" s="455">
        <v>17</v>
      </c>
      <c r="X13" s="457"/>
      <c r="Y13" s="455">
        <v>18</v>
      </c>
      <c r="Z13" s="457"/>
      <c r="AA13" s="455">
        <v>18</v>
      </c>
      <c r="AB13" s="457"/>
      <c r="AC13" s="455">
        <v>22</v>
      </c>
      <c r="AD13" s="457"/>
      <c r="AE13" s="455">
        <v>23</v>
      </c>
      <c r="AF13" s="456"/>
      <c r="AG13" s="457"/>
      <c r="AH13" s="114"/>
    </row>
    <row r="14" spans="1:37" s="96" customFormat="1" ht="87" customHeight="1" x14ac:dyDescent="0.2">
      <c r="A14" s="428"/>
      <c r="B14" s="428"/>
      <c r="C14" s="428"/>
      <c r="D14" s="428"/>
      <c r="E14" s="429" t="s">
        <v>2</v>
      </c>
      <c r="F14" s="430"/>
      <c r="G14" s="427" t="s">
        <v>3</v>
      </c>
      <c r="H14" s="429" t="s">
        <v>2</v>
      </c>
      <c r="I14" s="430"/>
      <c r="J14" s="427" t="s">
        <v>3</v>
      </c>
      <c r="K14" s="429" t="s">
        <v>2</v>
      </c>
      <c r="L14" s="426" t="s">
        <v>3</v>
      </c>
      <c r="M14" s="429" t="s">
        <v>2</v>
      </c>
      <c r="N14" s="426" t="s">
        <v>3</v>
      </c>
      <c r="O14" s="429" t="s">
        <v>2</v>
      </c>
      <c r="P14" s="426" t="s">
        <v>3</v>
      </c>
      <c r="Q14" s="429" t="s">
        <v>2</v>
      </c>
      <c r="R14" s="426" t="s">
        <v>3</v>
      </c>
      <c r="S14" s="429" t="s">
        <v>2</v>
      </c>
      <c r="T14" s="426" t="s">
        <v>3</v>
      </c>
      <c r="U14" s="429" t="s">
        <v>2</v>
      </c>
      <c r="V14" s="426" t="s">
        <v>3</v>
      </c>
      <c r="W14" s="406" t="s">
        <v>12</v>
      </c>
      <c r="X14" s="99" t="s">
        <v>13</v>
      </c>
      <c r="Y14" s="406" t="s">
        <v>14</v>
      </c>
      <c r="Z14" s="99" t="s">
        <v>15</v>
      </c>
      <c r="AA14" s="406" t="s">
        <v>14</v>
      </c>
      <c r="AB14" s="99" t="s">
        <v>15</v>
      </c>
      <c r="AC14" s="429" t="s">
        <v>2</v>
      </c>
      <c r="AD14" s="426" t="s">
        <v>3</v>
      </c>
      <c r="AE14" s="406" t="s">
        <v>17</v>
      </c>
      <c r="AF14" s="464" t="s">
        <v>21</v>
      </c>
      <c r="AG14" s="99" t="s">
        <v>16</v>
      </c>
      <c r="AH14" s="115"/>
    </row>
    <row r="15" spans="1:37" s="96" customFormat="1" ht="15.75" x14ac:dyDescent="0.2">
      <c r="A15" s="427"/>
      <c r="B15" s="427"/>
      <c r="C15" s="427"/>
      <c r="D15" s="427"/>
      <c r="E15" s="431"/>
      <c r="F15" s="432"/>
      <c r="G15" s="458"/>
      <c r="H15" s="431"/>
      <c r="I15" s="432"/>
      <c r="J15" s="458"/>
      <c r="K15" s="431"/>
      <c r="L15" s="427"/>
      <c r="M15" s="431"/>
      <c r="N15" s="427"/>
      <c r="O15" s="431"/>
      <c r="P15" s="427"/>
      <c r="Q15" s="431"/>
      <c r="R15" s="427"/>
      <c r="S15" s="431"/>
      <c r="T15" s="427"/>
      <c r="U15" s="431"/>
      <c r="V15" s="427"/>
      <c r="W15" s="405" t="s">
        <v>2</v>
      </c>
      <c r="X15" s="176" t="s">
        <v>3</v>
      </c>
      <c r="Y15" s="407" t="s">
        <v>2</v>
      </c>
      <c r="Z15" s="176" t="s">
        <v>3</v>
      </c>
      <c r="AA15" s="407" t="s">
        <v>2</v>
      </c>
      <c r="AB15" s="327" t="s">
        <v>3</v>
      </c>
      <c r="AC15" s="431"/>
      <c r="AD15" s="427"/>
      <c r="AE15" s="405" t="s">
        <v>2</v>
      </c>
      <c r="AF15" s="465"/>
      <c r="AG15" s="176" t="s">
        <v>3</v>
      </c>
      <c r="AH15" s="115"/>
    </row>
    <row r="16" spans="1:37" ht="181.5" customHeight="1" x14ac:dyDescent="0.2">
      <c r="A16" s="106" t="s">
        <v>368</v>
      </c>
      <c r="B16" s="107" t="s">
        <v>369</v>
      </c>
      <c r="C16" s="102"/>
      <c r="D16" s="103" t="s">
        <v>370</v>
      </c>
      <c r="E16" s="213">
        <v>62.93</v>
      </c>
      <c r="F16" s="214" t="s">
        <v>25</v>
      </c>
      <c r="G16" s="217"/>
      <c r="H16" s="213">
        <v>88</v>
      </c>
      <c r="I16" s="214" t="s">
        <v>25</v>
      </c>
      <c r="J16" s="217">
        <f>J17+J41+J86+J97+J119+J138+J149+J153</f>
        <v>1503655305928</v>
      </c>
      <c r="K16" s="213">
        <v>68</v>
      </c>
      <c r="L16" s="217">
        <f>L17+L41+L86+L97+L119+L138+L149+L153</f>
        <v>174728345316</v>
      </c>
      <c r="M16" s="213">
        <v>72</v>
      </c>
      <c r="N16" s="217">
        <f>N17+N41+N86+N97+N119+N138+N149+N153</f>
        <v>129170015909</v>
      </c>
      <c r="O16" s="213">
        <v>78</v>
      </c>
      <c r="P16" s="217">
        <f>P17+P41+P86+P97+P119+P138+P149+P153</f>
        <v>279519537899</v>
      </c>
      <c r="Q16" s="213">
        <v>64.66</v>
      </c>
      <c r="R16" s="217">
        <f>R17+R41+R86+R97+R119+R138+R149+R153</f>
        <v>151691003549</v>
      </c>
      <c r="S16" s="213">
        <v>66.22</v>
      </c>
      <c r="T16" s="217">
        <f>T17+T41+T86+T97+T119+T138+T149+T153</f>
        <v>107820515183</v>
      </c>
      <c r="U16" s="213">
        <v>66.81</v>
      </c>
      <c r="V16" s="217">
        <f>V17+V41+V86+V97+V119+V138+V149+V153</f>
        <v>138163465803</v>
      </c>
      <c r="W16" s="260">
        <f t="shared" ref="W16:AB16" si="0">Q16/K16*100</f>
        <v>95.088235294117638</v>
      </c>
      <c r="X16" s="261">
        <f t="shared" si="0"/>
        <v>86.815337989187455</v>
      </c>
      <c r="Y16" s="260">
        <f t="shared" si="0"/>
        <v>91.972222222222229</v>
      </c>
      <c r="Z16" s="261">
        <f t="shared" si="0"/>
        <v>83.471782847003226</v>
      </c>
      <c r="AA16" s="260">
        <f t="shared" si="0"/>
        <v>85.65384615384616</v>
      </c>
      <c r="AB16" s="261">
        <f t="shared" si="0"/>
        <v>49.428911782518476</v>
      </c>
      <c r="AC16" s="213">
        <f>U16</f>
        <v>66.81</v>
      </c>
      <c r="AD16" s="307">
        <f>R16+T16+V16</f>
        <v>397674984535</v>
      </c>
      <c r="AE16" s="239">
        <f>AC16/H16*100</f>
        <v>75.920454545454547</v>
      </c>
      <c r="AF16" s="402" t="str">
        <f>IF(AE16&gt;=91,"Sangat Tinggi",IF(AE16&gt;=76,"Tinggi",IF(AE16&gt;=66,"Sedang",IF(AE16&gt;=51,"Rendah",IF(AE16&lt;=50,"Sangat Rendah")))))</f>
        <v>Sedang</v>
      </c>
      <c r="AG16" s="239">
        <f>AD16/J16*100</f>
        <v>26.447217189152923</v>
      </c>
      <c r="AH16" s="126" t="s">
        <v>371</v>
      </c>
      <c r="AI16" s="146" t="s">
        <v>488</v>
      </c>
      <c r="AK16" s="119">
        <f>R16</f>
        <v>151691003549</v>
      </c>
    </row>
    <row r="17" spans="1:41" ht="120" x14ac:dyDescent="0.2">
      <c r="A17" s="65">
        <v>16</v>
      </c>
      <c r="B17" s="70" t="s">
        <v>62</v>
      </c>
      <c r="C17" s="63"/>
      <c r="D17" s="63" t="s">
        <v>476</v>
      </c>
      <c r="E17" s="268" t="s">
        <v>26</v>
      </c>
      <c r="F17" s="219" t="s">
        <v>122</v>
      </c>
      <c r="G17" s="269"/>
      <c r="H17" s="270" t="s">
        <v>516</v>
      </c>
      <c r="I17" s="219" t="s">
        <v>122</v>
      </c>
      <c r="J17" s="271">
        <f>SUM(J18:J40)</f>
        <v>79914483821</v>
      </c>
      <c r="K17" s="270" t="s">
        <v>533</v>
      </c>
      <c r="L17" s="271">
        <f>SUM(L18:L40)</f>
        <v>8938982685</v>
      </c>
      <c r="M17" s="270" t="s">
        <v>816</v>
      </c>
      <c r="N17" s="271">
        <f>SUM(N18:N40)</f>
        <v>6329110477</v>
      </c>
      <c r="O17" s="270" t="s">
        <v>817</v>
      </c>
      <c r="P17" s="271">
        <f>SUM(P18:P40)</f>
        <v>10610772848</v>
      </c>
      <c r="Q17" s="270" t="s">
        <v>515</v>
      </c>
      <c r="R17" s="271">
        <f>SUM(R18:R40)</f>
        <v>8036594511</v>
      </c>
      <c r="S17" s="270" t="s">
        <v>815</v>
      </c>
      <c r="T17" s="271">
        <f>SUM(T18:T40)</f>
        <v>3050345168</v>
      </c>
      <c r="U17" s="270" t="s">
        <v>814</v>
      </c>
      <c r="V17" s="271">
        <f>SUM(V18:V40)</f>
        <v>8814991888</v>
      </c>
      <c r="W17" s="234">
        <f>76.23/70.01*100</f>
        <v>108.8844450792744</v>
      </c>
      <c r="X17" s="240">
        <f>R17/L17*100</f>
        <v>89.905023806408678</v>
      </c>
      <c r="Y17" s="234">
        <f>77.03/80.01*100</f>
        <v>96.275465566804144</v>
      </c>
      <c r="Z17" s="240">
        <f>T17/N17*100</f>
        <v>48.195479903296999</v>
      </c>
      <c r="AA17" s="234">
        <f>80.02/80.1*100</f>
        <v>99.900124843945065</v>
      </c>
      <c r="AB17" s="240">
        <f>V17/P17*100</f>
        <v>83.07587029027313</v>
      </c>
      <c r="AC17" s="223" t="str">
        <f>U17</f>
        <v>A     (80,02)</v>
      </c>
      <c r="AD17" s="308">
        <f>R17+T17+V17</f>
        <v>19901931567</v>
      </c>
      <c r="AE17" s="234">
        <f>80.02/80.1*100</f>
        <v>99.900124843945065</v>
      </c>
      <c r="AF17" s="219" t="str">
        <f t="shared" ref="AF17:AF18" si="1">IF(AE17&gt;=91,"Sangat Tinggi",IF(AE17&gt;=76,"Tinggi",IF(AE17&gt;=66,"Sedang",IF(AE17&gt;=51,"Rendah",IF(AE17&lt;=50,"Sangat Rendah")))))</f>
        <v>Sangat Tinggi</v>
      </c>
      <c r="AG17" s="234">
        <f>AD17/J17*100</f>
        <v>24.904035683416566</v>
      </c>
      <c r="AH17" s="111"/>
      <c r="AI17" s="146" t="s">
        <v>489</v>
      </c>
      <c r="AK17" s="119">
        <f>R17</f>
        <v>8036594511</v>
      </c>
      <c r="AN17" s="88">
        <v>80.010000000000005</v>
      </c>
      <c r="AO17" s="88">
        <v>0</v>
      </c>
    </row>
    <row r="18" spans="1:41" ht="105" x14ac:dyDescent="0.2">
      <c r="A18" s="132"/>
      <c r="B18" s="71"/>
      <c r="C18" s="68" t="s">
        <v>119</v>
      </c>
      <c r="D18" s="1" t="s">
        <v>372</v>
      </c>
      <c r="E18" s="76">
        <v>10.66</v>
      </c>
      <c r="F18" s="32" t="s">
        <v>30</v>
      </c>
      <c r="G18" s="12"/>
      <c r="H18" s="76">
        <v>14.38</v>
      </c>
      <c r="I18" s="32" t="s">
        <v>30</v>
      </c>
      <c r="J18" s="11">
        <v>1278656300</v>
      </c>
      <c r="K18" s="56">
        <v>12.06</v>
      </c>
      <c r="L18" s="11">
        <v>309081100</v>
      </c>
      <c r="M18" s="56">
        <v>12.4</v>
      </c>
      <c r="N18" s="11">
        <v>231465600</v>
      </c>
      <c r="O18" s="56"/>
      <c r="P18" s="11"/>
      <c r="Q18" s="54">
        <v>11.49</v>
      </c>
      <c r="R18" s="81">
        <v>207946516</v>
      </c>
      <c r="S18" s="56">
        <v>11.59</v>
      </c>
      <c r="T18" s="81">
        <v>184817600</v>
      </c>
      <c r="U18" s="56"/>
      <c r="V18" s="81"/>
      <c r="W18" s="56">
        <f>Q18/K18*100</f>
        <v>95.273631840796014</v>
      </c>
      <c r="X18" s="235">
        <f>R18/L18*100</f>
        <v>67.278949117238156</v>
      </c>
      <c r="Y18" s="56">
        <f>S18/M18*100</f>
        <v>93.467741935483872</v>
      </c>
      <c r="Z18" s="235">
        <f>T18/N18*100</f>
        <v>79.846681321112072</v>
      </c>
      <c r="AA18" s="56"/>
      <c r="AB18" s="235"/>
      <c r="AC18" s="74">
        <f>S18</f>
        <v>11.59</v>
      </c>
      <c r="AD18" s="274">
        <f>R18+T18</f>
        <v>392764116</v>
      </c>
      <c r="AE18" s="56">
        <f t="shared" ref="AE18" si="2">AC18/H18*100</f>
        <v>80.598052851182189</v>
      </c>
      <c r="AF18" s="32" t="str">
        <f t="shared" si="1"/>
        <v>Tinggi</v>
      </c>
      <c r="AG18" s="56">
        <f t="shared" ref="AG18" si="3">AD18/J18*100</f>
        <v>30.716942152476783</v>
      </c>
      <c r="AH18" s="111"/>
      <c r="AK18" s="119">
        <f>R18</f>
        <v>207946516</v>
      </c>
    </row>
    <row r="19" spans="1:41" ht="105" x14ac:dyDescent="0.2">
      <c r="A19" s="132"/>
      <c r="B19" s="71"/>
      <c r="C19" s="133" t="s">
        <v>735</v>
      </c>
      <c r="D19" s="1" t="s">
        <v>809</v>
      </c>
      <c r="E19" s="76"/>
      <c r="F19" s="32"/>
      <c r="G19" s="236"/>
      <c r="H19" s="92">
        <v>100</v>
      </c>
      <c r="I19" s="35" t="s">
        <v>27</v>
      </c>
      <c r="J19" s="193">
        <v>1617404700</v>
      </c>
      <c r="K19" s="56"/>
      <c r="L19" s="193"/>
      <c r="M19" s="56"/>
      <c r="N19" s="193"/>
      <c r="O19" s="89">
        <v>100</v>
      </c>
      <c r="P19" s="193">
        <v>539135000</v>
      </c>
      <c r="Q19" s="54"/>
      <c r="R19" s="273"/>
      <c r="S19" s="56"/>
      <c r="T19" s="273"/>
      <c r="U19" s="56">
        <f>36/38*100</f>
        <v>94.73684210526315</v>
      </c>
      <c r="V19" s="273">
        <v>383792000</v>
      </c>
      <c r="W19" s="56"/>
      <c r="X19" s="237"/>
      <c r="Y19" s="56"/>
      <c r="Z19" s="237"/>
      <c r="AA19" s="56">
        <f>U19/O19*100</f>
        <v>94.73684210526315</v>
      </c>
      <c r="AB19" s="237">
        <f>V19/P19*100</f>
        <v>71.186623016498658</v>
      </c>
      <c r="AC19" s="74">
        <f>U19</f>
        <v>94.73684210526315</v>
      </c>
      <c r="AD19" s="311">
        <f>V19</f>
        <v>383792000</v>
      </c>
      <c r="AE19" s="56">
        <f t="shared" ref="AE19:AE20" si="4">AC19/H19*100</f>
        <v>94.73684210526315</v>
      </c>
      <c r="AF19" s="32" t="str">
        <f t="shared" ref="AF19:AF20" si="5">IF(AE19&gt;=91,"Sangat Tinggi",IF(AE19&gt;=76,"Tinggi",IF(AE19&gt;=66,"Sedang",IF(AE19&gt;=51,"Rendah",IF(AE19&lt;=50,"Sangat Rendah")))))</f>
        <v>Sangat Tinggi</v>
      </c>
      <c r="AG19" s="354">
        <f t="shared" ref="AG19" si="6">AD19/J19*100</f>
        <v>23.728878740119896</v>
      </c>
      <c r="AH19" s="111"/>
      <c r="AK19" s="119"/>
    </row>
    <row r="20" spans="1:41" ht="120" x14ac:dyDescent="0.2">
      <c r="A20" s="132"/>
      <c r="B20" s="71"/>
      <c r="C20" s="134"/>
      <c r="D20" s="1" t="s">
        <v>810</v>
      </c>
      <c r="E20" s="76"/>
      <c r="F20" s="32"/>
      <c r="G20" s="29"/>
      <c r="H20" s="92">
        <v>100</v>
      </c>
      <c r="I20" s="35" t="s">
        <v>27</v>
      </c>
      <c r="J20" s="274"/>
      <c r="K20" s="56"/>
      <c r="L20" s="274"/>
      <c r="M20" s="56"/>
      <c r="N20" s="274"/>
      <c r="O20" s="89">
        <v>100</v>
      </c>
      <c r="P20" s="274"/>
      <c r="Q20" s="54"/>
      <c r="R20" s="252"/>
      <c r="S20" s="56"/>
      <c r="T20" s="252"/>
      <c r="U20" s="89">
        <v>0</v>
      </c>
      <c r="V20" s="252"/>
      <c r="W20" s="56"/>
      <c r="X20" s="238"/>
      <c r="Y20" s="56"/>
      <c r="Z20" s="238"/>
      <c r="AA20" s="89">
        <f>U20/O20*100</f>
        <v>0</v>
      </c>
      <c r="AB20" s="238"/>
      <c r="AC20" s="74">
        <f>U20</f>
        <v>0</v>
      </c>
      <c r="AD20" s="311"/>
      <c r="AE20" s="56">
        <f t="shared" si="4"/>
        <v>0</v>
      </c>
      <c r="AF20" s="32" t="str">
        <f t="shared" si="5"/>
        <v>Sangat Rendah</v>
      </c>
      <c r="AG20" s="77"/>
      <c r="AH20" s="111"/>
      <c r="AK20" s="119"/>
    </row>
    <row r="21" spans="1:41" ht="90" x14ac:dyDescent="0.2">
      <c r="A21" s="132"/>
      <c r="B21" s="71"/>
      <c r="C21" s="133" t="s">
        <v>373</v>
      </c>
      <c r="D21" s="1" t="s">
        <v>374</v>
      </c>
      <c r="E21" s="168">
        <v>3.0356000000000001</v>
      </c>
      <c r="F21" s="32" t="s">
        <v>30</v>
      </c>
      <c r="G21" s="236"/>
      <c r="H21" s="76">
        <v>3.2639999999999998</v>
      </c>
      <c r="I21" s="32" t="s">
        <v>30</v>
      </c>
      <c r="J21" s="193">
        <v>3114475000</v>
      </c>
      <c r="K21" s="76">
        <v>3.1173000000000002</v>
      </c>
      <c r="L21" s="193">
        <v>1136503900</v>
      </c>
      <c r="M21" s="76">
        <v>3.1745999999999999</v>
      </c>
      <c r="N21" s="193">
        <v>1489473500</v>
      </c>
      <c r="O21" s="76"/>
      <c r="P21" s="193"/>
      <c r="Q21" s="76">
        <v>3.0356000000000001</v>
      </c>
      <c r="R21" s="273">
        <v>727287050</v>
      </c>
      <c r="S21" s="76">
        <v>0</v>
      </c>
      <c r="T21" s="273">
        <v>1176443845</v>
      </c>
      <c r="U21" s="76"/>
      <c r="V21" s="273"/>
      <c r="W21" s="56">
        <f>Q21/K21*100</f>
        <v>97.379142206396565</v>
      </c>
      <c r="X21" s="237">
        <f>R21/L21*100</f>
        <v>63.993361571394523</v>
      </c>
      <c r="Y21" s="56">
        <f>S21/M21*100</f>
        <v>0</v>
      </c>
      <c r="Z21" s="237">
        <f>T21/N21*100</f>
        <v>78.983872153482423</v>
      </c>
      <c r="AA21" s="56"/>
      <c r="AB21" s="237"/>
      <c r="AC21" s="74">
        <f>S21</f>
        <v>0</v>
      </c>
      <c r="AD21" s="193">
        <f>R21+T21</f>
        <v>1903730895</v>
      </c>
      <c r="AE21" s="56">
        <f t="shared" ref="AE21:AE23" si="7">AC21/H21*100</f>
        <v>0</v>
      </c>
      <c r="AF21" s="32" t="str">
        <f t="shared" ref="AF21:AF23" si="8">IF(AE21&gt;=91,"Sangat Tinggi",IF(AE21&gt;=76,"Tinggi",IF(AE21&gt;=66,"Sedang",IF(AE21&gt;=51,"Rendah",IF(AE21&lt;=50,"Sangat Rendah")))))</f>
        <v>Sangat Rendah</v>
      </c>
      <c r="AG21" s="354">
        <f t="shared" ref="AG21" si="9">AD21/J21*100</f>
        <v>61.125258510663919</v>
      </c>
      <c r="AH21" s="410" t="s">
        <v>384</v>
      </c>
      <c r="AK21" s="119">
        <f>R21</f>
        <v>727287050</v>
      </c>
    </row>
    <row r="22" spans="1:41" ht="90" x14ac:dyDescent="0.2">
      <c r="A22" s="132"/>
      <c r="B22" s="71"/>
      <c r="C22" s="134"/>
      <c r="D22" s="1" t="s">
        <v>375</v>
      </c>
      <c r="E22" s="129">
        <v>100</v>
      </c>
      <c r="F22" s="48" t="s">
        <v>27</v>
      </c>
      <c r="G22" s="29"/>
      <c r="H22" s="129">
        <v>100</v>
      </c>
      <c r="I22" s="48" t="s">
        <v>27</v>
      </c>
      <c r="J22" s="274"/>
      <c r="K22" s="129">
        <v>100</v>
      </c>
      <c r="L22" s="274"/>
      <c r="M22" s="129">
        <v>100</v>
      </c>
      <c r="N22" s="274"/>
      <c r="O22" s="129"/>
      <c r="P22" s="274"/>
      <c r="Q22" s="275">
        <v>100</v>
      </c>
      <c r="R22" s="252"/>
      <c r="S22" s="129">
        <v>100</v>
      </c>
      <c r="T22" s="252"/>
      <c r="U22" s="129"/>
      <c r="V22" s="252"/>
      <c r="W22" s="89">
        <f>Q22/K22*100</f>
        <v>100</v>
      </c>
      <c r="X22" s="238"/>
      <c r="Y22" s="89">
        <f>S22/M22*100</f>
        <v>100</v>
      </c>
      <c r="Z22" s="238"/>
      <c r="AA22" s="56"/>
      <c r="AB22" s="238"/>
      <c r="AC22" s="92">
        <f>S22</f>
        <v>100</v>
      </c>
      <c r="AD22" s="5"/>
      <c r="AE22" s="89">
        <f t="shared" si="7"/>
        <v>100</v>
      </c>
      <c r="AF22" s="32" t="str">
        <f t="shared" si="8"/>
        <v>Sangat Tinggi</v>
      </c>
      <c r="AG22" s="77"/>
      <c r="AH22" s="111"/>
      <c r="AK22" s="119">
        <f>R22</f>
        <v>0</v>
      </c>
    </row>
    <row r="23" spans="1:41" ht="75.75" customHeight="1" x14ac:dyDescent="0.2">
      <c r="A23" s="132"/>
      <c r="B23" s="71"/>
      <c r="C23" s="134" t="s">
        <v>704</v>
      </c>
      <c r="D23" s="1" t="s">
        <v>705</v>
      </c>
      <c r="E23" s="129"/>
      <c r="F23" s="48"/>
      <c r="G23" s="29"/>
      <c r="H23" s="385">
        <v>100</v>
      </c>
      <c r="I23" s="35" t="s">
        <v>27</v>
      </c>
      <c r="J23" s="274">
        <v>5011859850</v>
      </c>
      <c r="K23" s="129"/>
      <c r="L23" s="274"/>
      <c r="M23" s="129"/>
      <c r="N23" s="274"/>
      <c r="O23" s="129">
        <v>100</v>
      </c>
      <c r="P23" s="274">
        <v>1670619950</v>
      </c>
      <c r="Q23" s="275"/>
      <c r="R23" s="252"/>
      <c r="S23" s="129"/>
      <c r="T23" s="252"/>
      <c r="U23" s="129">
        <v>100</v>
      </c>
      <c r="V23" s="252">
        <v>1463497768</v>
      </c>
      <c r="W23" s="56"/>
      <c r="X23" s="238"/>
      <c r="Y23" s="56"/>
      <c r="Z23" s="238"/>
      <c r="AA23" s="89">
        <f>U23/O23*100</f>
        <v>100</v>
      </c>
      <c r="AB23" s="238">
        <f>V23/P23*100</f>
        <v>87.602076582408827</v>
      </c>
      <c r="AC23" s="92">
        <f>U23</f>
        <v>100</v>
      </c>
      <c r="AD23" s="360">
        <f>V23</f>
        <v>1463497768</v>
      </c>
      <c r="AE23" s="89">
        <f t="shared" si="7"/>
        <v>100</v>
      </c>
      <c r="AF23" s="32" t="str">
        <f t="shared" si="8"/>
        <v>Sangat Tinggi</v>
      </c>
      <c r="AG23" s="56">
        <f t="shared" ref="AG23" si="10">AD23/J23*100</f>
        <v>29.200692194136273</v>
      </c>
      <c r="AH23" s="111"/>
      <c r="AK23" s="119"/>
    </row>
    <row r="24" spans="1:41" ht="135" x14ac:dyDescent="0.2">
      <c r="A24" s="132"/>
      <c r="B24" s="71"/>
      <c r="C24" s="147" t="s">
        <v>706</v>
      </c>
      <c r="D24" s="1" t="s">
        <v>707</v>
      </c>
      <c r="E24" s="129"/>
      <c r="F24" s="48"/>
      <c r="G24" s="272"/>
      <c r="H24" s="32">
        <v>18</v>
      </c>
      <c r="I24" s="35" t="s">
        <v>27</v>
      </c>
      <c r="J24" s="196">
        <v>2516714700</v>
      </c>
      <c r="K24" s="129"/>
      <c r="L24" s="196"/>
      <c r="M24" s="129"/>
      <c r="N24" s="196"/>
      <c r="O24" s="129">
        <v>23</v>
      </c>
      <c r="P24" s="196">
        <v>1546314700</v>
      </c>
      <c r="Q24" s="174"/>
      <c r="R24" s="273"/>
      <c r="S24" s="129"/>
      <c r="T24" s="44"/>
      <c r="U24" s="78">
        <v>61.37</v>
      </c>
      <c r="V24" s="183">
        <v>883705000</v>
      </c>
      <c r="W24" s="56"/>
      <c r="X24" s="237"/>
      <c r="Y24" s="56"/>
      <c r="Z24" s="237"/>
      <c r="AA24" s="56">
        <f>U24/O24*100</f>
        <v>266.82608695652175</v>
      </c>
      <c r="AB24" s="237">
        <f>V24/P24*100</f>
        <v>57.149104254134045</v>
      </c>
      <c r="AC24" s="89">
        <f>U24</f>
        <v>61.37</v>
      </c>
      <c r="AD24" s="351">
        <f>V24</f>
        <v>883705000</v>
      </c>
      <c r="AE24" s="89">
        <f t="shared" ref="AE24:AE30" si="11">AC24/H24*100</f>
        <v>340.94444444444446</v>
      </c>
      <c r="AF24" s="32" t="str">
        <f t="shared" ref="AF24:AF30" si="12">IF(AE24&gt;=91,"Sangat Tinggi",IF(AE24&gt;=76,"Tinggi",IF(AE24&gt;=66,"Sedang",IF(AE24&gt;=51,"Rendah",IF(AE24&lt;=50,"Sangat Rendah")))))</f>
        <v>Sangat Tinggi</v>
      </c>
      <c r="AG24" s="354">
        <f t="shared" ref="AG24" si="13">AD24/J24*100</f>
        <v>35.113435781974019</v>
      </c>
      <c r="AH24" s="336"/>
      <c r="AK24" s="119"/>
    </row>
    <row r="25" spans="1:41" ht="150" x14ac:dyDescent="0.2">
      <c r="A25" s="132"/>
      <c r="B25" s="71"/>
      <c r="C25" s="148"/>
      <c r="D25" s="1" t="s">
        <v>708</v>
      </c>
      <c r="E25" s="129"/>
      <c r="F25" s="48"/>
      <c r="G25" s="342"/>
      <c r="H25" s="32">
        <v>100</v>
      </c>
      <c r="I25" s="35" t="s">
        <v>27</v>
      </c>
      <c r="J25" s="343"/>
      <c r="K25" s="129"/>
      <c r="L25" s="343"/>
      <c r="M25" s="129"/>
      <c r="N25" s="343"/>
      <c r="O25" s="129">
        <v>100</v>
      </c>
      <c r="P25" s="343"/>
      <c r="Q25" s="174"/>
      <c r="R25" s="251"/>
      <c r="S25" s="129"/>
      <c r="T25" s="344"/>
      <c r="U25" s="129">
        <v>100</v>
      </c>
      <c r="V25" s="344"/>
      <c r="W25" s="56"/>
      <c r="X25" s="243"/>
      <c r="Y25" s="56"/>
      <c r="Z25" s="243"/>
      <c r="AA25" s="89">
        <f>U25/O25*100</f>
        <v>100</v>
      </c>
      <c r="AB25" s="243"/>
      <c r="AC25" s="89">
        <f>U25</f>
        <v>100</v>
      </c>
      <c r="AD25" s="4"/>
      <c r="AE25" s="89">
        <f t="shared" si="11"/>
        <v>100</v>
      </c>
      <c r="AF25" s="32" t="str">
        <f t="shared" si="12"/>
        <v>Sangat Tinggi</v>
      </c>
      <c r="AG25" s="404"/>
      <c r="AH25" s="336"/>
      <c r="AK25" s="119"/>
    </row>
    <row r="26" spans="1:41" ht="135" x14ac:dyDescent="0.2">
      <c r="A26" s="132"/>
      <c r="B26" s="71"/>
      <c r="C26" s="148"/>
      <c r="D26" s="1" t="s">
        <v>709</v>
      </c>
      <c r="E26" s="129"/>
      <c r="F26" s="48"/>
      <c r="G26" s="342"/>
      <c r="H26" s="32">
        <v>72</v>
      </c>
      <c r="I26" s="35" t="s">
        <v>27</v>
      </c>
      <c r="J26" s="343"/>
      <c r="K26" s="129"/>
      <c r="L26" s="343"/>
      <c r="M26" s="129"/>
      <c r="N26" s="343"/>
      <c r="O26" s="129">
        <v>77</v>
      </c>
      <c r="P26" s="343"/>
      <c r="Q26" s="174"/>
      <c r="R26" s="251"/>
      <c r="S26" s="129"/>
      <c r="T26" s="344"/>
      <c r="U26" s="129">
        <v>100</v>
      </c>
      <c r="V26" s="344"/>
      <c r="W26" s="56"/>
      <c r="X26" s="243"/>
      <c r="Y26" s="56"/>
      <c r="Z26" s="243"/>
      <c r="AA26" s="56">
        <f>U26/O26*100</f>
        <v>129.87012987012986</v>
      </c>
      <c r="AB26" s="237"/>
      <c r="AC26" s="89">
        <f>U26</f>
        <v>100</v>
      </c>
      <c r="AD26" s="4"/>
      <c r="AE26" s="89">
        <f t="shared" si="11"/>
        <v>138.88888888888889</v>
      </c>
      <c r="AF26" s="32" t="str">
        <f t="shared" si="12"/>
        <v>Sangat Tinggi</v>
      </c>
      <c r="AG26" s="404"/>
      <c r="AH26" s="336"/>
      <c r="AK26" s="119"/>
    </row>
    <row r="27" spans="1:41" ht="150" x14ac:dyDescent="0.2">
      <c r="A27" s="132"/>
      <c r="B27" s="71"/>
      <c r="C27" s="67"/>
      <c r="D27" s="1" t="s">
        <v>710</v>
      </c>
      <c r="E27" s="129"/>
      <c r="F27" s="48"/>
      <c r="G27" s="28"/>
      <c r="H27" s="32">
        <v>100</v>
      </c>
      <c r="I27" s="35" t="s">
        <v>27</v>
      </c>
      <c r="J27" s="31"/>
      <c r="K27" s="129"/>
      <c r="L27" s="31"/>
      <c r="M27" s="129"/>
      <c r="N27" s="31"/>
      <c r="O27" s="129">
        <v>100</v>
      </c>
      <c r="P27" s="31"/>
      <c r="Q27" s="174"/>
      <c r="R27" s="252"/>
      <c r="S27" s="129"/>
      <c r="T27" s="82"/>
      <c r="U27" s="78">
        <v>95.24</v>
      </c>
      <c r="V27" s="82"/>
      <c r="W27" s="56"/>
      <c r="X27" s="238"/>
      <c r="Y27" s="56"/>
      <c r="Z27" s="238"/>
      <c r="AA27" s="56">
        <f>U27/O27*100</f>
        <v>95.24</v>
      </c>
      <c r="AB27" s="237"/>
      <c r="AC27" s="56">
        <f>U27</f>
        <v>95.24</v>
      </c>
      <c r="AD27" s="5"/>
      <c r="AE27" s="56">
        <f t="shared" si="11"/>
        <v>95.24</v>
      </c>
      <c r="AF27" s="32" t="str">
        <f t="shared" si="12"/>
        <v>Sangat Tinggi</v>
      </c>
      <c r="AG27" s="77"/>
      <c r="AH27" s="336"/>
      <c r="AK27" s="119"/>
    </row>
    <row r="28" spans="1:41" ht="150" x14ac:dyDescent="0.2">
      <c r="A28" s="132"/>
      <c r="B28" s="71"/>
      <c r="C28" s="147" t="s">
        <v>711</v>
      </c>
      <c r="D28" s="1" t="s">
        <v>712</v>
      </c>
      <c r="E28" s="129"/>
      <c r="F28" s="48"/>
      <c r="G28" s="272"/>
      <c r="H28" s="32">
        <v>100</v>
      </c>
      <c r="I28" s="35" t="s">
        <v>27</v>
      </c>
      <c r="J28" s="196">
        <v>2214602750</v>
      </c>
      <c r="K28" s="129"/>
      <c r="L28" s="196"/>
      <c r="M28" s="129"/>
      <c r="N28" s="196"/>
      <c r="O28" s="129">
        <v>100</v>
      </c>
      <c r="P28" s="196">
        <v>1004813550</v>
      </c>
      <c r="Q28" s="174"/>
      <c r="R28" s="273"/>
      <c r="S28" s="129"/>
      <c r="T28" s="44"/>
      <c r="U28" s="129">
        <f>6/6*100</f>
        <v>100</v>
      </c>
      <c r="V28" s="183">
        <v>757838500</v>
      </c>
      <c r="W28" s="56"/>
      <c r="X28" s="237"/>
      <c r="Y28" s="56"/>
      <c r="Z28" s="237"/>
      <c r="AA28" s="89">
        <f>U28/O28*100</f>
        <v>100</v>
      </c>
      <c r="AB28" s="237">
        <f>V28/P28*100</f>
        <v>75.420808168838889</v>
      </c>
      <c r="AC28" s="89">
        <f>U28</f>
        <v>100</v>
      </c>
      <c r="AD28" s="351">
        <f>V28</f>
        <v>757838500</v>
      </c>
      <c r="AE28" s="89">
        <f t="shared" si="11"/>
        <v>100</v>
      </c>
      <c r="AF28" s="32" t="str">
        <f t="shared" si="12"/>
        <v>Sangat Tinggi</v>
      </c>
      <c r="AG28" s="56">
        <f t="shared" ref="AG28:AG29" si="14">AD28/J28*100</f>
        <v>34.220064975535678</v>
      </c>
      <c r="AH28" s="127"/>
      <c r="AK28" s="119"/>
    </row>
    <row r="29" spans="1:41" ht="105" x14ac:dyDescent="0.2">
      <c r="A29" s="132"/>
      <c r="B29" s="71"/>
      <c r="C29" s="147" t="s">
        <v>22</v>
      </c>
      <c r="D29" s="1" t="s">
        <v>376</v>
      </c>
      <c r="E29" s="76">
        <v>78.56</v>
      </c>
      <c r="F29" s="32" t="s">
        <v>30</v>
      </c>
      <c r="G29" s="272"/>
      <c r="H29" s="76">
        <v>89.02</v>
      </c>
      <c r="I29" s="32" t="s">
        <v>30</v>
      </c>
      <c r="J29" s="196">
        <v>1970584250</v>
      </c>
      <c r="K29" s="76">
        <v>81.89</v>
      </c>
      <c r="L29" s="196">
        <v>394116850</v>
      </c>
      <c r="M29" s="76">
        <v>82.55</v>
      </c>
      <c r="N29" s="196">
        <v>254018975</v>
      </c>
      <c r="O29" s="76"/>
      <c r="P29" s="196"/>
      <c r="Q29" s="174">
        <v>79.78</v>
      </c>
      <c r="R29" s="183">
        <v>341141240</v>
      </c>
      <c r="S29" s="56">
        <v>78.47</v>
      </c>
      <c r="T29" s="183">
        <v>227108800</v>
      </c>
      <c r="U29" s="56"/>
      <c r="V29" s="183"/>
      <c r="W29" s="56">
        <f>Q29/K29*100</f>
        <v>97.423372817193794</v>
      </c>
      <c r="X29" s="237">
        <f>R29/L29*100</f>
        <v>86.558400129301745</v>
      </c>
      <c r="Y29" s="56">
        <f>S29/M29*100</f>
        <v>95.057540884312544</v>
      </c>
      <c r="Z29" s="237">
        <f>T29/N29*100</f>
        <v>89.406234317731588</v>
      </c>
      <c r="AA29" s="56"/>
      <c r="AB29" s="237"/>
      <c r="AC29" s="74">
        <f>S29</f>
        <v>78.47</v>
      </c>
      <c r="AD29" s="193">
        <f>R29+T29</f>
        <v>568250040</v>
      </c>
      <c r="AE29" s="56">
        <f t="shared" si="11"/>
        <v>88.148730622332067</v>
      </c>
      <c r="AF29" s="32" t="str">
        <f t="shared" si="12"/>
        <v>Tinggi</v>
      </c>
      <c r="AG29" s="354">
        <f t="shared" si="14"/>
        <v>28.836627512881012</v>
      </c>
      <c r="AH29" s="410" t="s">
        <v>524</v>
      </c>
      <c r="AK29" s="119">
        <f>R29</f>
        <v>341141240</v>
      </c>
    </row>
    <row r="30" spans="1:41" ht="105" x14ac:dyDescent="0.2">
      <c r="A30" s="132"/>
      <c r="B30" s="71"/>
      <c r="C30" s="67"/>
      <c r="D30" s="1" t="s">
        <v>377</v>
      </c>
      <c r="E30" s="129">
        <v>100</v>
      </c>
      <c r="F30" s="32" t="s">
        <v>27</v>
      </c>
      <c r="G30" s="28"/>
      <c r="H30" s="129">
        <v>100</v>
      </c>
      <c r="I30" s="32" t="s">
        <v>27</v>
      </c>
      <c r="J30" s="82"/>
      <c r="K30" s="129">
        <v>100</v>
      </c>
      <c r="L30" s="82"/>
      <c r="M30" s="129">
        <v>100</v>
      </c>
      <c r="N30" s="82"/>
      <c r="O30" s="129"/>
      <c r="P30" s="82"/>
      <c r="Q30" s="275">
        <v>100</v>
      </c>
      <c r="R30" s="82"/>
      <c r="S30" s="129">
        <v>100</v>
      </c>
      <c r="T30" s="82"/>
      <c r="U30" s="78"/>
      <c r="V30" s="82"/>
      <c r="W30" s="89">
        <f>Q30/K30*100</f>
        <v>100</v>
      </c>
      <c r="X30" s="238"/>
      <c r="Y30" s="89">
        <f>S30/M30*100</f>
        <v>100</v>
      </c>
      <c r="Z30" s="238"/>
      <c r="AA30" s="56"/>
      <c r="AB30" s="238"/>
      <c r="AC30" s="92">
        <f>S30</f>
        <v>100</v>
      </c>
      <c r="AD30" s="5"/>
      <c r="AE30" s="89">
        <f t="shared" si="11"/>
        <v>100</v>
      </c>
      <c r="AF30" s="32" t="str">
        <f t="shared" si="12"/>
        <v>Sangat Tinggi</v>
      </c>
      <c r="AG30" s="77"/>
      <c r="AH30" s="111"/>
      <c r="AK30" s="119">
        <f>R30</f>
        <v>0</v>
      </c>
    </row>
    <row r="31" spans="1:41" ht="90" x14ac:dyDescent="0.2">
      <c r="A31" s="132"/>
      <c r="B31" s="71"/>
      <c r="C31" s="1" t="s">
        <v>378</v>
      </c>
      <c r="D31" s="1" t="s">
        <v>411</v>
      </c>
      <c r="E31" s="129">
        <v>100</v>
      </c>
      <c r="F31" s="32" t="s">
        <v>27</v>
      </c>
      <c r="G31" s="27"/>
      <c r="H31" s="129">
        <v>100</v>
      </c>
      <c r="I31" s="32" t="s">
        <v>27</v>
      </c>
      <c r="J31" s="9">
        <v>6212383375</v>
      </c>
      <c r="K31" s="129">
        <v>100</v>
      </c>
      <c r="L31" s="81">
        <v>3447580585</v>
      </c>
      <c r="M31" s="129">
        <v>100</v>
      </c>
      <c r="N31" s="81">
        <v>633150000</v>
      </c>
      <c r="O31" s="129"/>
      <c r="P31" s="81"/>
      <c r="Q31" s="129">
        <v>100</v>
      </c>
      <c r="R31" s="81">
        <v>3447580585</v>
      </c>
      <c r="S31" s="129">
        <v>100</v>
      </c>
      <c r="T31" s="81">
        <v>577800000</v>
      </c>
      <c r="U31" s="129"/>
      <c r="V31" s="81"/>
      <c r="W31" s="89">
        <f>Q31/K31*100</f>
        <v>100</v>
      </c>
      <c r="X31" s="235">
        <f>R31/L31*100</f>
        <v>100</v>
      </c>
      <c r="Y31" s="89">
        <f>S31/M31*100</f>
        <v>100</v>
      </c>
      <c r="Z31" s="235">
        <f>T31/N31*100</f>
        <v>91.257995735607679</v>
      </c>
      <c r="AA31" s="56"/>
      <c r="AB31" s="235"/>
      <c r="AC31" s="92">
        <f>S31</f>
        <v>100</v>
      </c>
      <c r="AD31" s="193">
        <f>R31+T31</f>
        <v>4025380585</v>
      </c>
      <c r="AE31" s="89">
        <f t="shared" ref="AE31" si="15">AC31/H31*100</f>
        <v>100</v>
      </c>
      <c r="AF31" s="32" t="str">
        <f t="shared" ref="AF31" si="16">IF(AE31&gt;=91,"Sangat Tinggi",IF(AE31&gt;=76,"Tinggi",IF(AE31&gt;=66,"Sedang",IF(AE31&gt;=51,"Rendah",IF(AE31&lt;=50,"Sangat Rendah")))))</f>
        <v>Sangat Tinggi</v>
      </c>
      <c r="AG31" s="56">
        <f t="shared" ref="AG31" si="17">AD31/J31*100</f>
        <v>64.796074904182817</v>
      </c>
      <c r="AH31" s="410" t="s">
        <v>386</v>
      </c>
      <c r="AK31" s="119">
        <f>R31</f>
        <v>3447580585</v>
      </c>
    </row>
    <row r="32" spans="1:41" ht="105" x14ac:dyDescent="0.2">
      <c r="A32" s="132"/>
      <c r="B32" s="71"/>
      <c r="C32" s="1" t="s">
        <v>379</v>
      </c>
      <c r="D32" s="1" t="s">
        <v>411</v>
      </c>
      <c r="E32" s="129">
        <v>100</v>
      </c>
      <c r="F32" s="32" t="s">
        <v>27</v>
      </c>
      <c r="G32" s="27"/>
      <c r="H32" s="129">
        <v>100</v>
      </c>
      <c r="I32" s="32" t="s">
        <v>27</v>
      </c>
      <c r="J32" s="9">
        <v>592478852</v>
      </c>
      <c r="K32" s="129">
        <v>100</v>
      </c>
      <c r="L32" s="81">
        <v>376217550</v>
      </c>
      <c r="M32" s="129">
        <v>100</v>
      </c>
      <c r="N32" s="81">
        <v>216261302</v>
      </c>
      <c r="O32" s="129"/>
      <c r="P32" s="81"/>
      <c r="Q32" s="129">
        <v>100</v>
      </c>
      <c r="R32" s="81">
        <v>376217550</v>
      </c>
      <c r="S32" s="129">
        <v>100</v>
      </c>
      <c r="T32" s="81">
        <v>149606850</v>
      </c>
      <c r="U32" s="129"/>
      <c r="V32" s="81"/>
      <c r="W32" s="89">
        <f>Q32/K32*100</f>
        <v>100</v>
      </c>
      <c r="X32" s="235">
        <f>R32/L32*100</f>
        <v>100</v>
      </c>
      <c r="Y32" s="89">
        <f>S32/M32*100</f>
        <v>100</v>
      </c>
      <c r="Z32" s="235">
        <f>T32/N32*100</f>
        <v>69.178742852477598</v>
      </c>
      <c r="AA32" s="56"/>
      <c r="AB32" s="235"/>
      <c r="AC32" s="92">
        <f>S32</f>
        <v>100</v>
      </c>
      <c r="AD32" s="193">
        <f>R32+T32</f>
        <v>525824400</v>
      </c>
      <c r="AE32" s="89">
        <f t="shared" ref="AE32" si="18">AC32/H32*100</f>
        <v>100</v>
      </c>
      <c r="AF32" s="32" t="str">
        <f t="shared" ref="AF32:AF34" si="19">IF(AE32&gt;=91,"Sangat Tinggi",IF(AE32&gt;=76,"Tinggi",IF(AE32&gt;=66,"Sedang",IF(AE32&gt;=51,"Rendah",IF(AE32&lt;=50,"Sangat Rendah")))))</f>
        <v>Sangat Tinggi</v>
      </c>
      <c r="AG32" s="56">
        <f>AD32/J32*100</f>
        <v>88.749901912110786</v>
      </c>
      <c r="AH32" s="111"/>
      <c r="AK32" s="119">
        <f>R32</f>
        <v>376217550</v>
      </c>
    </row>
    <row r="33" spans="1:43" ht="105" x14ac:dyDescent="0.2">
      <c r="A33" s="17"/>
      <c r="B33" s="61"/>
      <c r="C33" s="94" t="s">
        <v>735</v>
      </c>
      <c r="D33" s="14" t="s">
        <v>403</v>
      </c>
      <c r="E33" s="131"/>
      <c r="F33" s="384"/>
      <c r="G33" s="236"/>
      <c r="H33" s="131">
        <v>100</v>
      </c>
      <c r="I33" s="387" t="s">
        <v>27</v>
      </c>
      <c r="J33" s="196">
        <v>13975941800</v>
      </c>
      <c r="K33" s="131"/>
      <c r="L33" s="196"/>
      <c r="M33" s="131"/>
      <c r="N33" s="196"/>
      <c r="O33" s="131">
        <v>100</v>
      </c>
      <c r="P33" s="196">
        <v>1987970900</v>
      </c>
      <c r="Q33" s="77"/>
      <c r="R33" s="179"/>
      <c r="S33" s="77"/>
      <c r="T33" s="179"/>
      <c r="U33" s="131">
        <v>70</v>
      </c>
      <c r="V33" s="179">
        <v>1533552000</v>
      </c>
      <c r="W33" s="56"/>
      <c r="X33" s="237"/>
      <c r="Y33" s="56"/>
      <c r="Z33" s="237"/>
      <c r="AA33" s="89">
        <f>U33/O33*100</f>
        <v>70</v>
      </c>
      <c r="AB33" s="237">
        <f>V33/P33*100</f>
        <v>77.141571840915773</v>
      </c>
      <c r="AC33" s="92">
        <f>U33</f>
        <v>70</v>
      </c>
      <c r="AD33" s="195">
        <f>V33</f>
        <v>1533552000</v>
      </c>
      <c r="AE33" s="89">
        <f>AC33/H33*100</f>
        <v>70</v>
      </c>
      <c r="AF33" s="32" t="str">
        <f t="shared" si="19"/>
        <v>Sedang</v>
      </c>
      <c r="AG33" s="56">
        <f>AD33/J33*100</f>
        <v>10.972798985181807</v>
      </c>
      <c r="AH33" s="412"/>
      <c r="AK33" s="119"/>
    </row>
    <row r="34" spans="1:43" ht="135" x14ac:dyDescent="0.2">
      <c r="A34" s="132"/>
      <c r="B34" s="71"/>
      <c r="C34" s="147" t="s">
        <v>380</v>
      </c>
      <c r="D34" s="147" t="s">
        <v>381</v>
      </c>
      <c r="E34" s="129">
        <v>100</v>
      </c>
      <c r="F34" s="48" t="s">
        <v>27</v>
      </c>
      <c r="G34" s="27"/>
      <c r="H34" s="129">
        <v>100</v>
      </c>
      <c r="I34" s="48" t="s">
        <v>27</v>
      </c>
      <c r="J34" s="30">
        <v>29261651000</v>
      </c>
      <c r="K34" s="129">
        <v>100</v>
      </c>
      <c r="L34" s="30">
        <v>3163087700</v>
      </c>
      <c r="M34" s="129">
        <v>100</v>
      </c>
      <c r="N34" s="30">
        <v>3446166100</v>
      </c>
      <c r="O34" s="129"/>
      <c r="P34" s="30"/>
      <c r="Q34" s="275">
        <v>100</v>
      </c>
      <c r="R34" s="81">
        <v>2854701570</v>
      </c>
      <c r="S34" s="129">
        <v>100</v>
      </c>
      <c r="T34" s="81">
        <v>687658073</v>
      </c>
      <c r="U34" s="129"/>
      <c r="V34" s="81"/>
      <c r="W34" s="56">
        <f t="shared" ref="W34:Z35" si="20">Q34/K34*100</f>
        <v>100</v>
      </c>
      <c r="X34" s="235">
        <f t="shared" si="20"/>
        <v>90.250471714710912</v>
      </c>
      <c r="Y34" s="89">
        <f t="shared" si="20"/>
        <v>100</v>
      </c>
      <c r="Z34" s="235">
        <f t="shared" si="20"/>
        <v>19.954292771900924</v>
      </c>
      <c r="AA34" s="89"/>
      <c r="AB34" s="235"/>
      <c r="AC34" s="92">
        <f>S34</f>
        <v>100</v>
      </c>
      <c r="AD34" s="195">
        <f>R34+T34</f>
        <v>3542359643</v>
      </c>
      <c r="AE34" s="89">
        <f t="shared" ref="AE34" si="21">AC34/H34*100</f>
        <v>100</v>
      </c>
      <c r="AF34" s="32" t="str">
        <f t="shared" si="19"/>
        <v>Sangat Tinggi</v>
      </c>
      <c r="AG34" s="56">
        <f t="shared" ref="AG34" si="22">AD34/J34*100</f>
        <v>12.105809214251103</v>
      </c>
      <c r="AH34" s="410" t="s">
        <v>387</v>
      </c>
      <c r="AK34" s="105">
        <f>R34</f>
        <v>2854701570</v>
      </c>
    </row>
    <row r="35" spans="1:43" ht="105" x14ac:dyDescent="0.2">
      <c r="A35" s="132"/>
      <c r="B35" s="71"/>
      <c r="C35" s="1" t="s">
        <v>382</v>
      </c>
      <c r="D35" s="1" t="s">
        <v>383</v>
      </c>
      <c r="E35" s="129">
        <v>70</v>
      </c>
      <c r="F35" s="48" t="s">
        <v>27</v>
      </c>
      <c r="G35" s="27"/>
      <c r="H35" s="129">
        <v>75</v>
      </c>
      <c r="I35" s="48" t="s">
        <v>27</v>
      </c>
      <c r="J35" s="30">
        <v>561975000</v>
      </c>
      <c r="K35" s="129">
        <v>71</v>
      </c>
      <c r="L35" s="30">
        <v>112395000</v>
      </c>
      <c r="M35" s="129">
        <v>72</v>
      </c>
      <c r="N35" s="30">
        <v>58575000</v>
      </c>
      <c r="O35" s="129"/>
      <c r="P35" s="30"/>
      <c r="Q35" s="275">
        <v>70</v>
      </c>
      <c r="R35" s="81">
        <v>81720000</v>
      </c>
      <c r="S35" s="129">
        <v>70</v>
      </c>
      <c r="T35" s="81">
        <v>46910000</v>
      </c>
      <c r="U35" s="129"/>
      <c r="V35" s="81"/>
      <c r="W35" s="56">
        <f t="shared" si="20"/>
        <v>98.591549295774655</v>
      </c>
      <c r="X35" s="235">
        <f t="shared" si="20"/>
        <v>72.70786066995862</v>
      </c>
      <c r="Y35" s="56">
        <f t="shared" si="20"/>
        <v>97.222222222222214</v>
      </c>
      <c r="Z35" s="235">
        <f t="shared" si="20"/>
        <v>80.085360648740931</v>
      </c>
      <c r="AA35" s="56"/>
      <c r="AB35" s="235"/>
      <c r="AC35" s="92">
        <f>S35</f>
        <v>70</v>
      </c>
      <c r="AD35" s="195">
        <f>R35+T35</f>
        <v>128630000</v>
      </c>
      <c r="AE35" s="89">
        <f t="shared" ref="AE35" si="23">AC35/H35*100</f>
        <v>93.333333333333329</v>
      </c>
      <c r="AF35" s="32" t="str">
        <f t="shared" ref="AF35" si="24">IF(AE35&gt;=91,"Sangat Tinggi",IF(AE35&gt;=76,"Tinggi",IF(AE35&gt;=66,"Sedang",IF(AE35&gt;=51,"Rendah",IF(AE35&lt;=50,"Sangat Rendah")))))</f>
        <v>Sangat Tinggi</v>
      </c>
      <c r="AG35" s="56">
        <f t="shared" ref="AG35" si="25">AD35/J35*100</f>
        <v>22.888918546198674</v>
      </c>
      <c r="AH35" s="410" t="s">
        <v>287</v>
      </c>
      <c r="AK35" s="119">
        <f>R35</f>
        <v>81720000</v>
      </c>
    </row>
    <row r="36" spans="1:43" ht="150" x14ac:dyDescent="0.2">
      <c r="A36" s="132"/>
      <c r="B36" s="71"/>
      <c r="C36" s="1" t="s">
        <v>713</v>
      </c>
      <c r="D36" s="1" t="s">
        <v>714</v>
      </c>
      <c r="E36" s="129"/>
      <c r="F36" s="48"/>
      <c r="G36" s="27"/>
      <c r="H36" s="129">
        <v>11</v>
      </c>
      <c r="I36" s="48" t="s">
        <v>811</v>
      </c>
      <c r="J36" s="30">
        <v>1501530000</v>
      </c>
      <c r="K36" s="129"/>
      <c r="L36" s="30"/>
      <c r="M36" s="129"/>
      <c r="N36" s="30"/>
      <c r="O36" s="129">
        <v>11</v>
      </c>
      <c r="P36" s="30">
        <v>500510000</v>
      </c>
      <c r="Q36" s="174"/>
      <c r="R36" s="81"/>
      <c r="S36" s="129"/>
      <c r="T36" s="81"/>
      <c r="U36" s="129">
        <v>11</v>
      </c>
      <c r="V36" s="81">
        <v>486685000</v>
      </c>
      <c r="W36" s="56"/>
      <c r="X36" s="235"/>
      <c r="Y36" s="56"/>
      <c r="Z36" s="235"/>
      <c r="AA36" s="89">
        <f t="shared" ref="AA36:AB40" si="26">U36/O36*100</f>
        <v>100</v>
      </c>
      <c r="AB36" s="235">
        <f t="shared" si="26"/>
        <v>97.237817426225249</v>
      </c>
      <c r="AC36" s="92">
        <f t="shared" ref="AC36:AD38" si="27">U36</f>
        <v>11</v>
      </c>
      <c r="AD36" s="195">
        <f t="shared" si="27"/>
        <v>486685000</v>
      </c>
      <c r="AE36" s="89">
        <f t="shared" ref="AE36:AE40" si="28">AC36/H36*100</f>
        <v>100</v>
      </c>
      <c r="AF36" s="32" t="str">
        <f t="shared" ref="AF36:AF41" si="29">IF(AE36&gt;=91,"Sangat Tinggi",IF(AE36&gt;=76,"Tinggi",IF(AE36&gt;=66,"Sedang",IF(AE36&gt;=51,"Rendah",IF(AE36&lt;=50,"Sangat Rendah")))))</f>
        <v>Sangat Tinggi</v>
      </c>
      <c r="AG36" s="56">
        <f t="shared" ref="AG36:AG40" si="30">AD36/J36*100</f>
        <v>32.412605808741752</v>
      </c>
      <c r="AH36" s="411"/>
      <c r="AK36" s="119"/>
    </row>
    <row r="37" spans="1:43" ht="185.25" customHeight="1" x14ac:dyDescent="0.2">
      <c r="A37" s="132"/>
      <c r="B37" s="71"/>
      <c r="C37" s="1" t="s">
        <v>715</v>
      </c>
      <c r="D37" s="1" t="s">
        <v>716</v>
      </c>
      <c r="E37" s="129"/>
      <c r="F37" s="48"/>
      <c r="G37" s="27"/>
      <c r="H37" s="129">
        <v>9</v>
      </c>
      <c r="I37" s="48" t="s">
        <v>812</v>
      </c>
      <c r="J37" s="30">
        <v>2142349500</v>
      </c>
      <c r="K37" s="129"/>
      <c r="L37" s="30"/>
      <c r="M37" s="129"/>
      <c r="N37" s="30"/>
      <c r="O37" s="129">
        <v>9</v>
      </c>
      <c r="P37" s="30">
        <v>714116500</v>
      </c>
      <c r="Q37" s="174"/>
      <c r="R37" s="81"/>
      <c r="S37" s="129"/>
      <c r="T37" s="81"/>
      <c r="U37" s="129">
        <v>9</v>
      </c>
      <c r="V37" s="81">
        <v>700846620</v>
      </c>
      <c r="W37" s="56"/>
      <c r="X37" s="235"/>
      <c r="Y37" s="56"/>
      <c r="Z37" s="235"/>
      <c r="AA37" s="89">
        <f t="shared" si="26"/>
        <v>100</v>
      </c>
      <c r="AB37" s="235">
        <f t="shared" si="26"/>
        <v>98.141776586873434</v>
      </c>
      <c r="AC37" s="92">
        <f t="shared" si="27"/>
        <v>9</v>
      </c>
      <c r="AD37" s="195">
        <f t="shared" si="27"/>
        <v>700846620</v>
      </c>
      <c r="AE37" s="89">
        <f t="shared" si="28"/>
        <v>100</v>
      </c>
      <c r="AF37" s="32" t="str">
        <f t="shared" si="29"/>
        <v>Sangat Tinggi</v>
      </c>
      <c r="AG37" s="56">
        <f t="shared" si="30"/>
        <v>32.713925528957809</v>
      </c>
      <c r="AH37" s="411"/>
      <c r="AK37" s="119"/>
    </row>
    <row r="38" spans="1:43" ht="165" x14ac:dyDescent="0.2">
      <c r="A38" s="132"/>
      <c r="B38" s="71"/>
      <c r="C38" s="1" t="s">
        <v>717</v>
      </c>
      <c r="D38" s="1" t="s">
        <v>718</v>
      </c>
      <c r="E38" s="129"/>
      <c r="F38" s="48"/>
      <c r="G38" s="27"/>
      <c r="H38" s="129">
        <v>51</v>
      </c>
      <c r="I38" s="345" t="s">
        <v>721</v>
      </c>
      <c r="J38" s="30">
        <v>127770000</v>
      </c>
      <c r="K38" s="129"/>
      <c r="L38" s="30"/>
      <c r="M38" s="129"/>
      <c r="N38" s="30"/>
      <c r="O38" s="129">
        <v>51</v>
      </c>
      <c r="P38" s="30">
        <v>42590000</v>
      </c>
      <c r="Q38" s="174"/>
      <c r="R38" s="81"/>
      <c r="S38" s="129"/>
      <c r="T38" s="81"/>
      <c r="U38" s="129">
        <v>51</v>
      </c>
      <c r="V38" s="81">
        <v>38090000</v>
      </c>
      <c r="W38" s="56"/>
      <c r="X38" s="235"/>
      <c r="Y38" s="56"/>
      <c r="Z38" s="235"/>
      <c r="AA38" s="89">
        <f t="shared" si="26"/>
        <v>100</v>
      </c>
      <c r="AB38" s="235">
        <f t="shared" si="26"/>
        <v>89.43413946935901</v>
      </c>
      <c r="AC38" s="92">
        <f t="shared" si="27"/>
        <v>51</v>
      </c>
      <c r="AD38" s="195">
        <f t="shared" si="27"/>
        <v>38090000</v>
      </c>
      <c r="AE38" s="89">
        <f t="shared" si="28"/>
        <v>100</v>
      </c>
      <c r="AF38" s="32" t="str">
        <f t="shared" si="29"/>
        <v>Sangat Tinggi</v>
      </c>
      <c r="AG38" s="56">
        <f t="shared" si="30"/>
        <v>29.811379823119665</v>
      </c>
      <c r="AH38" s="411"/>
      <c r="AK38" s="119"/>
    </row>
    <row r="39" spans="1:43" ht="135" x14ac:dyDescent="0.2">
      <c r="A39" s="132"/>
      <c r="B39" s="71"/>
      <c r="C39" s="1" t="s">
        <v>719</v>
      </c>
      <c r="D39" s="1" t="s">
        <v>720</v>
      </c>
      <c r="E39" s="129"/>
      <c r="F39" s="48"/>
      <c r="G39" s="27"/>
      <c r="H39" s="32">
        <v>74</v>
      </c>
      <c r="I39" s="35" t="s">
        <v>27</v>
      </c>
      <c r="J39" s="30">
        <v>539985000</v>
      </c>
      <c r="K39" s="129"/>
      <c r="L39" s="30"/>
      <c r="M39" s="129"/>
      <c r="N39" s="30"/>
      <c r="O39" s="129">
        <v>72</v>
      </c>
      <c r="P39" s="30">
        <v>179995000</v>
      </c>
      <c r="Q39" s="174"/>
      <c r="R39" s="81"/>
      <c r="S39" s="129"/>
      <c r="T39" s="81"/>
      <c r="U39" s="129">
        <v>71</v>
      </c>
      <c r="V39" s="81">
        <v>175250000</v>
      </c>
      <c r="W39" s="56"/>
      <c r="X39" s="235"/>
      <c r="Y39" s="56"/>
      <c r="Z39" s="235"/>
      <c r="AA39" s="89">
        <f t="shared" si="26"/>
        <v>98.611111111111114</v>
      </c>
      <c r="AB39" s="235">
        <f t="shared" si="26"/>
        <v>97.363815661546155</v>
      </c>
      <c r="AC39" s="92">
        <f>U39</f>
        <v>71</v>
      </c>
      <c r="AD39" s="195">
        <f t="shared" ref="AD39:AD40" si="31">V39</f>
        <v>175250000</v>
      </c>
      <c r="AE39" s="89">
        <f t="shared" si="28"/>
        <v>95.945945945945937</v>
      </c>
      <c r="AF39" s="32" t="str">
        <f t="shared" si="29"/>
        <v>Sangat Tinggi</v>
      </c>
      <c r="AG39" s="56">
        <f t="shared" si="30"/>
        <v>32.45460522051539</v>
      </c>
      <c r="AH39" s="411"/>
      <c r="AK39" s="119"/>
    </row>
    <row r="40" spans="1:43" ht="165" x14ac:dyDescent="0.2">
      <c r="A40" s="132"/>
      <c r="B40" s="71"/>
      <c r="C40" s="1" t="s">
        <v>722</v>
      </c>
      <c r="D40" s="1" t="s">
        <v>723</v>
      </c>
      <c r="E40" s="129"/>
      <c r="F40" s="48"/>
      <c r="G40" s="27"/>
      <c r="H40" s="32">
        <f>6/6*100</f>
        <v>100</v>
      </c>
      <c r="I40" s="371" t="s">
        <v>27</v>
      </c>
      <c r="J40" s="30">
        <v>7274121744</v>
      </c>
      <c r="K40" s="129"/>
      <c r="L40" s="30"/>
      <c r="M40" s="129"/>
      <c r="N40" s="30"/>
      <c r="O40" s="129">
        <f>5/5*100</f>
        <v>100</v>
      </c>
      <c r="P40" s="30">
        <v>2424707248</v>
      </c>
      <c r="Q40" s="174"/>
      <c r="R40" s="81"/>
      <c r="S40" s="129"/>
      <c r="T40" s="81"/>
      <c r="U40" s="129">
        <f>5/5*100</f>
        <v>100</v>
      </c>
      <c r="V40" s="81">
        <v>2391735000</v>
      </c>
      <c r="W40" s="56"/>
      <c r="X40" s="235"/>
      <c r="Y40" s="56"/>
      <c r="Z40" s="235"/>
      <c r="AA40" s="89">
        <f t="shared" si="26"/>
        <v>100</v>
      </c>
      <c r="AB40" s="235">
        <f t="shared" si="26"/>
        <v>98.64015550631126</v>
      </c>
      <c r="AC40" s="92">
        <f>U40</f>
        <v>100</v>
      </c>
      <c r="AD40" s="195">
        <f t="shared" si="31"/>
        <v>2391735000</v>
      </c>
      <c r="AE40" s="89">
        <f t="shared" si="28"/>
        <v>100</v>
      </c>
      <c r="AF40" s="32" t="str">
        <f t="shared" si="29"/>
        <v>Sangat Tinggi</v>
      </c>
      <c r="AG40" s="56">
        <f t="shared" si="30"/>
        <v>32.880051835437087</v>
      </c>
      <c r="AH40" s="412"/>
      <c r="AK40" s="119"/>
    </row>
    <row r="41" spans="1:43" ht="180" x14ac:dyDescent="0.2">
      <c r="A41" s="17"/>
      <c r="B41" s="61"/>
      <c r="C41" s="63"/>
      <c r="D41" s="63" t="s">
        <v>477</v>
      </c>
      <c r="E41" s="268" t="s">
        <v>123</v>
      </c>
      <c r="F41" s="219" t="s">
        <v>122</v>
      </c>
      <c r="G41" s="269"/>
      <c r="H41" s="268" t="s">
        <v>44</v>
      </c>
      <c r="I41" s="219" t="s">
        <v>122</v>
      </c>
      <c r="J41" s="271">
        <f>SUM(J42:J85)</f>
        <v>688269400459</v>
      </c>
      <c r="K41" s="270" t="s">
        <v>517</v>
      </c>
      <c r="L41" s="271">
        <f>SUM(L42:L85)</f>
        <v>144669504731</v>
      </c>
      <c r="M41" s="270" t="s">
        <v>517</v>
      </c>
      <c r="N41" s="271">
        <f>SUM(N42:N85)</f>
        <v>109734932375</v>
      </c>
      <c r="O41" s="270" t="s">
        <v>517</v>
      </c>
      <c r="P41" s="271">
        <f>SUM(P42:P85)</f>
        <v>41174046065</v>
      </c>
      <c r="Q41" s="270" t="s">
        <v>551</v>
      </c>
      <c r="R41" s="271">
        <f>SUM(R42:R85)</f>
        <v>129079601031</v>
      </c>
      <c r="S41" s="270" t="s">
        <v>551</v>
      </c>
      <c r="T41" s="271">
        <f>SUM(T42:T85)</f>
        <v>95882872970</v>
      </c>
      <c r="U41" s="270" t="s">
        <v>843</v>
      </c>
      <c r="V41" s="271">
        <f>SUM(V42:V85)</f>
        <v>34064848452</v>
      </c>
      <c r="W41" s="234">
        <f>3.97/4.51*100</f>
        <v>88.026607538802665</v>
      </c>
      <c r="X41" s="240">
        <f>R41/L41*100</f>
        <v>89.223780278374477</v>
      </c>
      <c r="Y41" s="234">
        <f>3.97/4.51*100</f>
        <v>88.026607538802665</v>
      </c>
      <c r="Z41" s="240">
        <f>T41/N41*100</f>
        <v>87.376800527235019</v>
      </c>
      <c r="AA41" s="234">
        <f>4.19/4.51*100</f>
        <v>92.904656319290481</v>
      </c>
      <c r="AB41" s="240">
        <f>V41/P41*100</f>
        <v>82.733789140428499</v>
      </c>
      <c r="AC41" s="320" t="str">
        <f>U41</f>
        <v>A- (4,19)</v>
      </c>
      <c r="AD41" s="321">
        <f>R41+T41+V41</f>
        <v>259027322453</v>
      </c>
      <c r="AE41" s="234">
        <f>4.19/4.51*100</f>
        <v>92.904656319290481</v>
      </c>
      <c r="AF41" s="219" t="str">
        <f t="shared" si="29"/>
        <v>Sangat Tinggi</v>
      </c>
      <c r="AG41" s="234">
        <f>AD41/J41*100</f>
        <v>37.634583533752519</v>
      </c>
      <c r="AH41" s="410" t="s">
        <v>514</v>
      </c>
      <c r="AK41" s="119">
        <f>R41</f>
        <v>129079601031</v>
      </c>
      <c r="AM41" s="88">
        <v>4.51</v>
      </c>
      <c r="AN41" s="169">
        <v>4.0999999999999996</v>
      </c>
      <c r="AO41" s="88">
        <v>3.98</v>
      </c>
      <c r="AP41" s="88">
        <v>3.83</v>
      </c>
      <c r="AQ41" s="169">
        <f>AVERAGE(AN41:AP41)</f>
        <v>3.97</v>
      </c>
    </row>
    <row r="42" spans="1:43" ht="82.5" customHeight="1" x14ac:dyDescent="0.2">
      <c r="A42" s="17"/>
      <c r="B42" s="61"/>
      <c r="C42" s="67" t="s">
        <v>97</v>
      </c>
      <c r="D42" s="67" t="s">
        <v>388</v>
      </c>
      <c r="E42" s="127">
        <v>3</v>
      </c>
      <c r="F42" s="127" t="s">
        <v>230</v>
      </c>
      <c r="G42" s="28"/>
      <c r="H42" s="127">
        <v>3</v>
      </c>
      <c r="I42" s="127" t="s">
        <v>230</v>
      </c>
      <c r="J42" s="31">
        <v>1428579500</v>
      </c>
      <c r="K42" s="127">
        <v>3</v>
      </c>
      <c r="L42" s="31">
        <v>241665900</v>
      </c>
      <c r="M42" s="127">
        <v>3</v>
      </c>
      <c r="N42" s="31">
        <v>246802936</v>
      </c>
      <c r="O42" s="127"/>
      <c r="P42" s="31"/>
      <c r="Q42" s="127">
        <v>0</v>
      </c>
      <c r="R42" s="49">
        <v>151633570</v>
      </c>
      <c r="S42" s="127">
        <v>2</v>
      </c>
      <c r="T42" s="49">
        <v>161619000</v>
      </c>
      <c r="U42" s="127"/>
      <c r="V42" s="49"/>
      <c r="W42" s="56">
        <f>Q42/K42*100</f>
        <v>0</v>
      </c>
      <c r="X42" s="235">
        <f>R42/L42*100</f>
        <v>62.745124570740018</v>
      </c>
      <c r="Y42" s="56">
        <f>S42/M42*100</f>
        <v>66.666666666666657</v>
      </c>
      <c r="Z42" s="235">
        <f>T42/N42*100</f>
        <v>65.485039448639299</v>
      </c>
      <c r="AA42" s="56"/>
      <c r="AB42" s="235"/>
      <c r="AC42" s="92">
        <f>S42</f>
        <v>2</v>
      </c>
      <c r="AD42" s="195">
        <f>R42+T42</f>
        <v>313252570</v>
      </c>
      <c r="AE42" s="56">
        <f t="shared" ref="AE42:AE44" si="32">AC42/H42*100</f>
        <v>66.666666666666657</v>
      </c>
      <c r="AF42" s="32" t="str">
        <f t="shared" ref="AF42:AF44" si="33">IF(AE42&gt;=91,"Sangat Tinggi",IF(AE42&gt;=76,"Tinggi",IF(AE42&gt;=66,"Sedang",IF(AE42&gt;=51,"Rendah",IF(AE42&lt;=50,"Sangat Rendah")))))</f>
        <v>Sedang</v>
      </c>
      <c r="AG42" s="56">
        <f t="shared" ref="AG42:AG43" si="34">AD42/J42*100</f>
        <v>21.927556009308546</v>
      </c>
      <c r="AH42" s="410" t="s">
        <v>371</v>
      </c>
      <c r="AK42" s="119">
        <f>R42</f>
        <v>151633570</v>
      </c>
    </row>
    <row r="43" spans="1:43" ht="105" x14ac:dyDescent="0.2">
      <c r="A43" s="132"/>
      <c r="B43" s="71"/>
      <c r="C43" s="133" t="s">
        <v>735</v>
      </c>
      <c r="D43" s="1" t="s">
        <v>809</v>
      </c>
      <c r="E43" s="76"/>
      <c r="F43" s="32"/>
      <c r="G43" s="236"/>
      <c r="H43" s="92">
        <v>100</v>
      </c>
      <c r="I43" s="35" t="s">
        <v>27</v>
      </c>
      <c r="J43" s="193">
        <v>1617404700</v>
      </c>
      <c r="K43" s="56"/>
      <c r="L43" s="193"/>
      <c r="M43" s="56"/>
      <c r="N43" s="193"/>
      <c r="O43" s="89">
        <v>100</v>
      </c>
      <c r="P43" s="193">
        <v>539135000</v>
      </c>
      <c r="Q43" s="54"/>
      <c r="R43" s="273"/>
      <c r="S43" s="56"/>
      <c r="T43" s="273"/>
      <c r="U43" s="56">
        <f>36/38*100</f>
        <v>94.73684210526315</v>
      </c>
      <c r="V43" s="273">
        <v>383792000</v>
      </c>
      <c r="W43" s="56"/>
      <c r="X43" s="237"/>
      <c r="Y43" s="56"/>
      <c r="Z43" s="237"/>
      <c r="AA43" s="56">
        <f>U43/O43*100</f>
        <v>94.73684210526315</v>
      </c>
      <c r="AB43" s="237">
        <f>V43/P43*100</f>
        <v>71.186623016498658</v>
      </c>
      <c r="AC43" s="74">
        <f>U43</f>
        <v>94.73684210526315</v>
      </c>
      <c r="AD43" s="311">
        <f>V43</f>
        <v>383792000</v>
      </c>
      <c r="AE43" s="56">
        <f t="shared" si="32"/>
        <v>94.73684210526315</v>
      </c>
      <c r="AF43" s="32" t="str">
        <f t="shared" si="33"/>
        <v>Sangat Tinggi</v>
      </c>
      <c r="AG43" s="354">
        <f t="shared" si="34"/>
        <v>23.728878740119896</v>
      </c>
      <c r="AH43" s="111"/>
      <c r="AK43" s="119"/>
    </row>
    <row r="44" spans="1:43" ht="120" x14ac:dyDescent="0.2">
      <c r="A44" s="132"/>
      <c r="B44" s="71"/>
      <c r="C44" s="134"/>
      <c r="D44" s="1" t="s">
        <v>810</v>
      </c>
      <c r="E44" s="76"/>
      <c r="F44" s="32"/>
      <c r="G44" s="29"/>
      <c r="H44" s="92">
        <v>100</v>
      </c>
      <c r="I44" s="35" t="s">
        <v>27</v>
      </c>
      <c r="J44" s="274"/>
      <c r="K44" s="56"/>
      <c r="L44" s="274"/>
      <c r="M44" s="56"/>
      <c r="N44" s="274"/>
      <c r="O44" s="89">
        <v>100</v>
      </c>
      <c r="P44" s="274"/>
      <c r="Q44" s="54"/>
      <c r="R44" s="252"/>
      <c r="S44" s="56"/>
      <c r="T44" s="252"/>
      <c r="U44" s="89">
        <v>0</v>
      </c>
      <c r="V44" s="252"/>
      <c r="W44" s="56"/>
      <c r="X44" s="238"/>
      <c r="Y44" s="56"/>
      <c r="Z44" s="238"/>
      <c r="AA44" s="89">
        <f>U44/O44*100</f>
        <v>0</v>
      </c>
      <c r="AB44" s="238"/>
      <c r="AC44" s="74">
        <f>U44</f>
        <v>0</v>
      </c>
      <c r="AD44" s="311"/>
      <c r="AE44" s="89">
        <f t="shared" si="32"/>
        <v>0</v>
      </c>
      <c r="AF44" s="32" t="str">
        <f t="shared" si="33"/>
        <v>Sangat Rendah</v>
      </c>
      <c r="AG44" s="77"/>
      <c r="AH44" s="111"/>
      <c r="AK44" s="119"/>
    </row>
    <row r="45" spans="1:43" ht="129" customHeight="1" x14ac:dyDescent="0.2">
      <c r="A45" s="17"/>
      <c r="B45" s="61"/>
      <c r="C45" s="14" t="s">
        <v>64</v>
      </c>
      <c r="D45" s="14" t="s">
        <v>389</v>
      </c>
      <c r="E45" s="77">
        <v>3.9</v>
      </c>
      <c r="F45" s="125" t="s">
        <v>30</v>
      </c>
      <c r="G45" s="12"/>
      <c r="H45" s="77">
        <v>5</v>
      </c>
      <c r="I45" s="125" t="s">
        <v>30</v>
      </c>
      <c r="J45" s="30">
        <v>835375000</v>
      </c>
      <c r="K45" s="77">
        <v>4.51</v>
      </c>
      <c r="L45" s="30">
        <v>151762500</v>
      </c>
      <c r="M45" s="77">
        <v>4.5999999999999996</v>
      </c>
      <c r="N45" s="30">
        <v>280100000</v>
      </c>
      <c r="O45" s="77"/>
      <c r="P45" s="30"/>
      <c r="Q45" s="77">
        <v>4.45</v>
      </c>
      <c r="R45" s="49">
        <v>145959800</v>
      </c>
      <c r="S45" s="77">
        <v>4.45</v>
      </c>
      <c r="T45" s="49">
        <v>255564500</v>
      </c>
      <c r="U45" s="77"/>
      <c r="V45" s="49"/>
      <c r="W45" s="56">
        <f>Q45/K45*100</f>
        <v>98.669623059866979</v>
      </c>
      <c r="X45" s="235">
        <f>R45/L45*100</f>
        <v>96.176459929165631</v>
      </c>
      <c r="Y45" s="56">
        <f>S45/M45*100</f>
        <v>96.739130434782624</v>
      </c>
      <c r="Z45" s="235">
        <f>T45/N45*100</f>
        <v>91.2404498393431</v>
      </c>
      <c r="AA45" s="56"/>
      <c r="AB45" s="235"/>
      <c r="AC45" s="74">
        <f>S45</f>
        <v>4.45</v>
      </c>
      <c r="AD45" s="195">
        <f>R45+T45</f>
        <v>401524300</v>
      </c>
      <c r="AE45" s="89">
        <f t="shared" ref="AE45:AE47" si="35">AC45/H45*100</f>
        <v>89</v>
      </c>
      <c r="AF45" s="32" t="str">
        <f t="shared" ref="AF45:AF47" si="36">IF(AE45&gt;=91,"Sangat Tinggi",IF(AE45&gt;=76,"Tinggi",IF(AE45&gt;=66,"Sedang",IF(AE45&gt;=51,"Rendah",IF(AE45&lt;=50,"Sangat Rendah")))))</f>
        <v>Tinggi</v>
      </c>
      <c r="AG45" s="56">
        <f t="shared" ref="AG45:AG46" si="37">AD45/J45*100</f>
        <v>48.065156366901093</v>
      </c>
      <c r="AH45" s="410" t="s">
        <v>296</v>
      </c>
      <c r="AK45" s="119">
        <f>R45</f>
        <v>145959800</v>
      </c>
    </row>
    <row r="46" spans="1:43" ht="120" x14ac:dyDescent="0.2">
      <c r="A46" s="60"/>
      <c r="B46" s="25"/>
      <c r="C46" s="94" t="s">
        <v>639</v>
      </c>
      <c r="D46" s="14" t="s">
        <v>640</v>
      </c>
      <c r="E46" s="89"/>
      <c r="F46" s="18"/>
      <c r="G46" s="183"/>
      <c r="H46" s="370">
        <v>100</v>
      </c>
      <c r="I46" s="345" t="s">
        <v>27</v>
      </c>
      <c r="J46" s="183">
        <v>7113191922</v>
      </c>
      <c r="K46" s="89"/>
      <c r="L46" s="244"/>
      <c r="M46" s="89"/>
      <c r="N46" s="244"/>
      <c r="O46" s="370">
        <f>71/71*100</f>
        <v>100</v>
      </c>
      <c r="P46" s="244">
        <v>4331163952</v>
      </c>
      <c r="Q46" s="56"/>
      <c r="R46" s="23"/>
      <c r="S46" s="89"/>
      <c r="T46" s="23"/>
      <c r="U46" s="89">
        <f>71/71*100</f>
        <v>100</v>
      </c>
      <c r="V46" s="195">
        <v>4074111563</v>
      </c>
      <c r="W46" s="172"/>
      <c r="X46" s="237"/>
      <c r="Y46" s="172"/>
      <c r="Z46" s="237"/>
      <c r="AA46" s="265">
        <f>U46/O46*100</f>
        <v>100</v>
      </c>
      <c r="AB46" s="237">
        <f>V46/P46*100</f>
        <v>94.065050599589952</v>
      </c>
      <c r="AC46" s="369">
        <f>U46</f>
        <v>100</v>
      </c>
      <c r="AD46" s="193">
        <f>V46</f>
        <v>4074111563</v>
      </c>
      <c r="AE46" s="89">
        <f t="shared" si="35"/>
        <v>100</v>
      </c>
      <c r="AF46" s="32" t="str">
        <f t="shared" si="36"/>
        <v>Sangat Tinggi</v>
      </c>
      <c r="AG46" s="354">
        <f t="shared" si="37"/>
        <v>57.275434258977384</v>
      </c>
      <c r="AH46" s="111"/>
      <c r="AK46" s="119"/>
    </row>
    <row r="47" spans="1:43" ht="45" x14ac:dyDescent="0.2">
      <c r="A47" s="60"/>
      <c r="B47" s="25"/>
      <c r="C47" s="20"/>
      <c r="D47" s="14" t="s">
        <v>165</v>
      </c>
      <c r="E47" s="89"/>
      <c r="F47" s="18"/>
      <c r="G47" s="49"/>
      <c r="H47" s="370">
        <v>100</v>
      </c>
      <c r="I47" s="345" t="s">
        <v>30</v>
      </c>
      <c r="J47" s="49"/>
      <c r="K47" s="89"/>
      <c r="L47" s="246"/>
      <c r="M47" s="89"/>
      <c r="N47" s="246"/>
      <c r="O47" s="370">
        <v>85</v>
      </c>
      <c r="P47" s="246"/>
      <c r="Q47" s="56"/>
      <c r="R47" s="23"/>
      <c r="S47" s="89"/>
      <c r="T47" s="23"/>
      <c r="U47" s="56">
        <v>88.242500000000007</v>
      </c>
      <c r="V47" s="194"/>
      <c r="W47" s="172"/>
      <c r="X47" s="238"/>
      <c r="Y47" s="172"/>
      <c r="Z47" s="238"/>
      <c r="AA47" s="172">
        <f>U47/O47*100</f>
        <v>103.81470588235295</v>
      </c>
      <c r="AB47" s="238"/>
      <c r="AC47" s="319">
        <f>U47</f>
        <v>88.242500000000007</v>
      </c>
      <c r="AD47" s="274"/>
      <c r="AE47" s="89">
        <f t="shared" si="35"/>
        <v>88.242500000000007</v>
      </c>
      <c r="AF47" s="32" t="str">
        <f t="shared" si="36"/>
        <v>Tinggi</v>
      </c>
      <c r="AG47" s="77"/>
      <c r="AH47" s="111"/>
      <c r="AK47" s="119"/>
    </row>
    <row r="48" spans="1:43" ht="105" x14ac:dyDescent="0.2">
      <c r="A48" s="60"/>
      <c r="B48" s="25"/>
      <c r="C48" s="14" t="s">
        <v>641</v>
      </c>
      <c r="D48" s="14" t="s">
        <v>642</v>
      </c>
      <c r="E48" s="89"/>
      <c r="F48" s="18"/>
      <c r="G48" s="9"/>
      <c r="H48" s="370">
        <v>100</v>
      </c>
      <c r="I48" s="345" t="s">
        <v>27</v>
      </c>
      <c r="J48" s="9">
        <v>101562882</v>
      </c>
      <c r="K48" s="89"/>
      <c r="L48" s="21"/>
      <c r="M48" s="89"/>
      <c r="N48" s="21"/>
      <c r="O48" s="370">
        <v>100</v>
      </c>
      <c r="P48" s="21">
        <v>34834241</v>
      </c>
      <c r="Q48" s="56"/>
      <c r="R48" s="23"/>
      <c r="S48" s="89"/>
      <c r="T48" s="23"/>
      <c r="U48" s="89">
        <v>100</v>
      </c>
      <c r="V48" s="23">
        <v>34834241</v>
      </c>
      <c r="W48" s="172"/>
      <c r="X48" s="235"/>
      <c r="Y48" s="172"/>
      <c r="Z48" s="235"/>
      <c r="AA48" s="265">
        <f>U48/O48*100</f>
        <v>100</v>
      </c>
      <c r="AB48" s="339">
        <f>V48/P48*100</f>
        <v>100</v>
      </c>
      <c r="AC48" s="369">
        <f>U48</f>
        <v>100</v>
      </c>
      <c r="AD48" s="193">
        <f>V48</f>
        <v>34834241</v>
      </c>
      <c r="AE48" s="89">
        <f t="shared" ref="AE48:AE49" si="38">AC48/H48*100</f>
        <v>100</v>
      </c>
      <c r="AF48" s="32" t="str">
        <f t="shared" ref="AF48:AF49" si="39">IF(AE48&gt;=91,"Sangat Tinggi",IF(AE48&gt;=76,"Tinggi",IF(AE48&gt;=66,"Sedang",IF(AE48&gt;=51,"Rendah",IF(AE48&lt;=50,"Sangat Rendah")))))</f>
        <v>Sangat Tinggi</v>
      </c>
      <c r="AG48" s="56">
        <f t="shared" ref="AG48:AG49" si="40">AD48/J48*100</f>
        <v>34.298200596552583</v>
      </c>
      <c r="AH48" s="111"/>
      <c r="AK48" s="119"/>
    </row>
    <row r="49" spans="1:37" ht="90" x14ac:dyDescent="0.2">
      <c r="A49" s="60"/>
      <c r="B49" s="25"/>
      <c r="C49" s="14" t="s">
        <v>643</v>
      </c>
      <c r="D49" s="14" t="s">
        <v>644</v>
      </c>
      <c r="E49" s="89"/>
      <c r="F49" s="18"/>
      <c r="G49" s="9"/>
      <c r="H49" s="370">
        <v>100</v>
      </c>
      <c r="I49" s="48" t="s">
        <v>27</v>
      </c>
      <c r="J49" s="9">
        <v>730103500</v>
      </c>
      <c r="K49" s="89"/>
      <c r="L49" s="21"/>
      <c r="M49" s="89"/>
      <c r="N49" s="21"/>
      <c r="O49" s="89">
        <f>35/35*100</f>
        <v>100</v>
      </c>
      <c r="P49" s="21">
        <v>335173000</v>
      </c>
      <c r="Q49" s="56"/>
      <c r="R49" s="23"/>
      <c r="S49" s="89"/>
      <c r="T49" s="23"/>
      <c r="U49" s="89">
        <f>35/35*100</f>
        <v>100</v>
      </c>
      <c r="V49" s="23">
        <v>233210200</v>
      </c>
      <c r="W49" s="172"/>
      <c r="X49" s="235"/>
      <c r="Y49" s="172"/>
      <c r="Z49" s="235"/>
      <c r="AA49" s="265">
        <f>U49/O49*100</f>
        <v>100</v>
      </c>
      <c r="AB49" s="235">
        <f>V49/P49*100</f>
        <v>69.579053205359614</v>
      </c>
      <c r="AC49" s="369">
        <f>U49</f>
        <v>100</v>
      </c>
      <c r="AD49" s="193">
        <f>V49</f>
        <v>233210200</v>
      </c>
      <c r="AE49" s="89">
        <f t="shared" si="38"/>
        <v>100</v>
      </c>
      <c r="AF49" s="32" t="str">
        <f t="shared" si="39"/>
        <v>Sangat Tinggi</v>
      </c>
      <c r="AG49" s="56">
        <f t="shared" si="40"/>
        <v>31.942073966225337</v>
      </c>
      <c r="AH49" s="111"/>
      <c r="AK49" s="119"/>
    </row>
    <row r="50" spans="1:37" ht="137.44999999999999" customHeight="1" x14ac:dyDescent="0.2">
      <c r="A50" s="17"/>
      <c r="B50" s="61"/>
      <c r="C50" s="14" t="s">
        <v>390</v>
      </c>
      <c r="D50" s="14" t="s">
        <v>391</v>
      </c>
      <c r="E50" s="78">
        <v>0.71</v>
      </c>
      <c r="F50" s="48" t="s">
        <v>27</v>
      </c>
      <c r="G50" s="12"/>
      <c r="H50" s="78">
        <v>1.43</v>
      </c>
      <c r="I50" s="48" t="s">
        <v>27</v>
      </c>
      <c r="J50" s="30">
        <v>85126698180</v>
      </c>
      <c r="K50" s="78">
        <v>0.89</v>
      </c>
      <c r="L50" s="30">
        <v>17766614637</v>
      </c>
      <c r="M50" s="78">
        <v>0.98</v>
      </c>
      <c r="N50" s="30">
        <v>18660064977</v>
      </c>
      <c r="O50" s="78"/>
      <c r="P50" s="30"/>
      <c r="Q50" s="78">
        <v>0.8</v>
      </c>
      <c r="R50" s="49">
        <v>15395305789</v>
      </c>
      <c r="S50" s="78">
        <f>T50/N50*M50</f>
        <v>0.96397432703430619</v>
      </c>
      <c r="T50" s="49">
        <v>18354922019</v>
      </c>
      <c r="U50" s="78"/>
      <c r="V50" s="49"/>
      <c r="W50" s="56">
        <f t="shared" ref="W50:Z53" si="41">Q50/K50*100</f>
        <v>89.887640449438209</v>
      </c>
      <c r="X50" s="235">
        <f t="shared" si="41"/>
        <v>86.653006797020225</v>
      </c>
      <c r="Y50" s="56">
        <f t="shared" si="41"/>
        <v>98.364727248398594</v>
      </c>
      <c r="Z50" s="235">
        <f t="shared" si="41"/>
        <v>98.36472724839858</v>
      </c>
      <c r="AA50" s="56"/>
      <c r="AB50" s="235"/>
      <c r="AC50" s="74">
        <f>S50</f>
        <v>0.96397432703430619</v>
      </c>
      <c r="AD50" s="195">
        <f>R50+T50</f>
        <v>33750227808</v>
      </c>
      <c r="AE50" s="56">
        <f t="shared" ref="AE50:AE66" si="42">AC50/H50*100</f>
        <v>67.410792100301137</v>
      </c>
      <c r="AF50" s="32" t="str">
        <f t="shared" ref="AF50:AF66" si="43">IF(AE50&gt;=91,"Sangat Tinggi",IF(AE50&gt;=76,"Tinggi",IF(AE50&gt;=66,"Sedang",IF(AE50&gt;=51,"Rendah",IF(AE50&lt;=50,"Sangat Rendah")))))</f>
        <v>Sedang</v>
      </c>
      <c r="AG50" s="56">
        <f t="shared" ref="AG50:AG63" si="44">AD50/J50*100</f>
        <v>39.647053779338769</v>
      </c>
      <c r="AH50" s="410" t="s">
        <v>283</v>
      </c>
      <c r="AK50" s="119">
        <f>R50</f>
        <v>15395305789</v>
      </c>
    </row>
    <row r="51" spans="1:37" ht="75" x14ac:dyDescent="0.2">
      <c r="A51" s="17"/>
      <c r="B51" s="61"/>
      <c r="C51" s="14" t="s">
        <v>392</v>
      </c>
      <c r="D51" s="14" t="s">
        <v>393</v>
      </c>
      <c r="E51" s="131">
        <v>98</v>
      </c>
      <c r="F51" s="48" t="s">
        <v>27</v>
      </c>
      <c r="G51" s="12"/>
      <c r="H51" s="131">
        <v>99</v>
      </c>
      <c r="I51" s="48" t="s">
        <v>27</v>
      </c>
      <c r="J51" s="30">
        <v>8589025000</v>
      </c>
      <c r="K51" s="131">
        <v>98</v>
      </c>
      <c r="L51" s="30">
        <v>940795000</v>
      </c>
      <c r="M51" s="131">
        <v>99</v>
      </c>
      <c r="N51" s="30">
        <v>369426650</v>
      </c>
      <c r="O51" s="131"/>
      <c r="P51" s="30"/>
      <c r="Q51" s="129">
        <v>96</v>
      </c>
      <c r="R51" s="49">
        <v>865843009</v>
      </c>
      <c r="S51" s="77">
        <v>100.43</v>
      </c>
      <c r="T51" s="49">
        <v>354690900</v>
      </c>
      <c r="U51" s="77"/>
      <c r="V51" s="49"/>
      <c r="W51" s="56">
        <f t="shared" si="41"/>
        <v>97.959183673469383</v>
      </c>
      <c r="X51" s="235">
        <f t="shared" si="41"/>
        <v>92.033121880962369</v>
      </c>
      <c r="Y51" s="56">
        <f t="shared" si="41"/>
        <v>101.44444444444444</v>
      </c>
      <c r="Z51" s="235">
        <f t="shared" si="41"/>
        <v>96.011183816868652</v>
      </c>
      <c r="AA51" s="56"/>
      <c r="AB51" s="235"/>
      <c r="AC51" s="74">
        <f>S51</f>
        <v>100.43</v>
      </c>
      <c r="AD51" s="195">
        <f>R51+T51</f>
        <v>1220533909</v>
      </c>
      <c r="AE51" s="56">
        <f t="shared" si="42"/>
        <v>101.44444444444444</v>
      </c>
      <c r="AF51" s="32" t="str">
        <f t="shared" si="43"/>
        <v>Sangat Tinggi</v>
      </c>
      <c r="AG51" s="56">
        <f t="shared" si="44"/>
        <v>14.210389526168571</v>
      </c>
      <c r="AH51" s="410" t="s">
        <v>425</v>
      </c>
      <c r="AK51" s="119">
        <f>R51</f>
        <v>865843009</v>
      </c>
    </row>
    <row r="52" spans="1:37" ht="90" x14ac:dyDescent="0.2">
      <c r="A52" s="17"/>
      <c r="B52" s="61"/>
      <c r="C52" s="14" t="s">
        <v>394</v>
      </c>
      <c r="D52" s="14" t="s">
        <v>395</v>
      </c>
      <c r="E52" s="131">
        <v>80</v>
      </c>
      <c r="F52" s="48" t="s">
        <v>27</v>
      </c>
      <c r="G52" s="12"/>
      <c r="H52" s="131">
        <v>99</v>
      </c>
      <c r="I52" s="48" t="s">
        <v>27</v>
      </c>
      <c r="J52" s="30">
        <v>1229890000</v>
      </c>
      <c r="K52" s="131">
        <v>95</v>
      </c>
      <c r="L52" s="30">
        <v>242118000</v>
      </c>
      <c r="M52" s="131">
        <v>96</v>
      </c>
      <c r="N52" s="30">
        <v>22010000</v>
      </c>
      <c r="O52" s="131"/>
      <c r="P52" s="30"/>
      <c r="Q52" s="129">
        <v>96</v>
      </c>
      <c r="R52" s="49">
        <v>170142000</v>
      </c>
      <c r="S52" s="131">
        <v>87</v>
      </c>
      <c r="T52" s="49">
        <v>19610000</v>
      </c>
      <c r="U52" s="131"/>
      <c r="V52" s="49"/>
      <c r="W52" s="56">
        <f t="shared" si="41"/>
        <v>101.05263157894737</v>
      </c>
      <c r="X52" s="235">
        <f t="shared" si="41"/>
        <v>70.272346541768897</v>
      </c>
      <c r="Y52" s="56">
        <f t="shared" si="41"/>
        <v>90.625</v>
      </c>
      <c r="Z52" s="235">
        <f t="shared" si="41"/>
        <v>89.095865515674689</v>
      </c>
      <c r="AA52" s="56"/>
      <c r="AB52" s="235"/>
      <c r="AC52" s="92">
        <f>S52</f>
        <v>87</v>
      </c>
      <c r="AD52" s="195">
        <f>R52+T52</f>
        <v>189752000</v>
      </c>
      <c r="AE52" s="56">
        <f t="shared" si="42"/>
        <v>87.878787878787875</v>
      </c>
      <c r="AF52" s="32" t="str">
        <f t="shared" si="43"/>
        <v>Tinggi</v>
      </c>
      <c r="AG52" s="56">
        <f t="shared" si="44"/>
        <v>15.428371642992463</v>
      </c>
      <c r="AH52" s="411"/>
      <c r="AK52" s="119">
        <f>R52</f>
        <v>170142000</v>
      </c>
    </row>
    <row r="53" spans="1:37" ht="75" x14ac:dyDescent="0.2">
      <c r="A53" s="17"/>
      <c r="B53" s="61"/>
      <c r="C53" s="14" t="s">
        <v>396</v>
      </c>
      <c r="D53" s="14" t="s">
        <v>397</v>
      </c>
      <c r="E53" s="131">
        <v>90</v>
      </c>
      <c r="F53" s="48" t="s">
        <v>27</v>
      </c>
      <c r="G53" s="12"/>
      <c r="H53" s="131">
        <v>92</v>
      </c>
      <c r="I53" s="48" t="s">
        <v>27</v>
      </c>
      <c r="J53" s="30">
        <v>985050000</v>
      </c>
      <c r="K53" s="131">
        <v>90</v>
      </c>
      <c r="L53" s="30">
        <v>167880000</v>
      </c>
      <c r="M53" s="131">
        <v>91</v>
      </c>
      <c r="N53" s="30">
        <v>115936650</v>
      </c>
      <c r="O53" s="131"/>
      <c r="P53" s="30"/>
      <c r="Q53" s="129">
        <v>93</v>
      </c>
      <c r="R53" s="49">
        <v>147386000</v>
      </c>
      <c r="S53" s="131">
        <v>98</v>
      </c>
      <c r="T53" s="49">
        <v>103260750</v>
      </c>
      <c r="U53" s="77"/>
      <c r="V53" s="49"/>
      <c r="W53" s="56">
        <f t="shared" si="41"/>
        <v>103.33333333333334</v>
      </c>
      <c r="X53" s="235">
        <f t="shared" si="41"/>
        <v>87.792470812485107</v>
      </c>
      <c r="Y53" s="56">
        <f t="shared" si="41"/>
        <v>107.69230769230769</v>
      </c>
      <c r="Z53" s="235">
        <f t="shared" si="41"/>
        <v>89.066529005280032</v>
      </c>
      <c r="AA53" s="56"/>
      <c r="AB53" s="235"/>
      <c r="AC53" s="92">
        <f>S53</f>
        <v>98</v>
      </c>
      <c r="AD53" s="195">
        <f>R53+T53</f>
        <v>250646750</v>
      </c>
      <c r="AE53" s="56">
        <f>AC53/H53*100</f>
        <v>106.5217391304348</v>
      </c>
      <c r="AF53" s="32" t="str">
        <f t="shared" si="43"/>
        <v>Sangat Tinggi</v>
      </c>
      <c r="AG53" s="56">
        <f t="shared" si="44"/>
        <v>25.44507893000355</v>
      </c>
      <c r="AH53" s="411"/>
      <c r="AK53" s="119">
        <f>R53</f>
        <v>147386000</v>
      </c>
    </row>
    <row r="54" spans="1:37" ht="121.5" customHeight="1" x14ac:dyDescent="0.2">
      <c r="A54" s="17"/>
      <c r="B54" s="61"/>
      <c r="C54" s="14" t="s">
        <v>724</v>
      </c>
      <c r="D54" s="14" t="s">
        <v>725</v>
      </c>
      <c r="E54" s="30"/>
      <c r="F54" s="30"/>
      <c r="G54" s="30"/>
      <c r="H54" s="131">
        <v>100</v>
      </c>
      <c r="I54" s="48" t="s">
        <v>27</v>
      </c>
      <c r="J54" s="30">
        <v>481874100</v>
      </c>
      <c r="K54" s="131"/>
      <c r="L54" s="30"/>
      <c r="M54" s="131"/>
      <c r="N54" s="30"/>
      <c r="O54" s="131">
        <v>100</v>
      </c>
      <c r="P54" s="49">
        <v>160624700</v>
      </c>
      <c r="Q54" s="78"/>
      <c r="R54" s="49"/>
      <c r="S54" s="77"/>
      <c r="T54" s="49"/>
      <c r="U54" s="131">
        <v>100</v>
      </c>
      <c r="V54" s="49">
        <v>155840000</v>
      </c>
      <c r="W54" s="56"/>
      <c r="X54" s="235"/>
      <c r="Y54" s="56"/>
      <c r="Z54" s="235"/>
      <c r="AA54" s="89">
        <f t="shared" ref="AA54:AB56" si="45">U54/O54*100</f>
        <v>100</v>
      </c>
      <c r="AB54" s="235">
        <f t="shared" si="45"/>
        <v>97.021192880048957</v>
      </c>
      <c r="AC54" s="92">
        <f>U54</f>
        <v>100</v>
      </c>
      <c r="AD54" s="195">
        <f>V54</f>
        <v>155840000</v>
      </c>
      <c r="AE54" s="89">
        <f t="shared" si="42"/>
        <v>100</v>
      </c>
      <c r="AF54" s="32" t="str">
        <f t="shared" si="43"/>
        <v>Sangat Tinggi</v>
      </c>
      <c r="AG54" s="56">
        <f t="shared" si="44"/>
        <v>32.340397626682986</v>
      </c>
      <c r="AH54" s="411"/>
      <c r="AK54" s="119"/>
    </row>
    <row r="55" spans="1:37" ht="125.25" customHeight="1" x14ac:dyDescent="0.2">
      <c r="A55" s="17"/>
      <c r="B55" s="61"/>
      <c r="C55" s="14" t="s">
        <v>726</v>
      </c>
      <c r="D55" s="14" t="s">
        <v>727</v>
      </c>
      <c r="E55" s="30"/>
      <c r="F55" s="30"/>
      <c r="G55" s="30"/>
      <c r="H55" s="131">
        <v>100</v>
      </c>
      <c r="I55" s="48" t="s">
        <v>27</v>
      </c>
      <c r="J55" s="30">
        <v>397505000</v>
      </c>
      <c r="K55" s="131"/>
      <c r="L55" s="30"/>
      <c r="M55" s="131"/>
      <c r="N55" s="30"/>
      <c r="O55" s="131">
        <v>100</v>
      </c>
      <c r="P55" s="49">
        <v>130275000</v>
      </c>
      <c r="Q55" s="78"/>
      <c r="R55" s="49"/>
      <c r="S55" s="77"/>
      <c r="T55" s="49"/>
      <c r="U55" s="131">
        <v>100</v>
      </c>
      <c r="V55" s="49">
        <v>115500000</v>
      </c>
      <c r="W55" s="56"/>
      <c r="X55" s="235"/>
      <c r="Y55" s="56"/>
      <c r="Z55" s="235"/>
      <c r="AA55" s="89">
        <f t="shared" si="45"/>
        <v>100</v>
      </c>
      <c r="AB55" s="235">
        <f t="shared" si="45"/>
        <v>88.658606793321809</v>
      </c>
      <c r="AC55" s="92">
        <f>U55</f>
        <v>100</v>
      </c>
      <c r="AD55" s="195">
        <f t="shared" ref="AD55:AD56" si="46">V55</f>
        <v>115500000</v>
      </c>
      <c r="AE55" s="89">
        <f t="shared" si="42"/>
        <v>100</v>
      </c>
      <c r="AF55" s="32" t="str">
        <f t="shared" si="43"/>
        <v>Sangat Tinggi</v>
      </c>
      <c r="AG55" s="56">
        <f t="shared" si="44"/>
        <v>29.056238286310865</v>
      </c>
      <c r="AH55" s="411"/>
      <c r="AK55" s="119"/>
    </row>
    <row r="56" spans="1:37" ht="90" x14ac:dyDescent="0.2">
      <c r="A56" s="17"/>
      <c r="B56" s="61"/>
      <c r="C56" s="14" t="s">
        <v>728</v>
      </c>
      <c r="D56" s="14" t="s">
        <v>729</v>
      </c>
      <c r="E56" s="30"/>
      <c r="F56" s="30"/>
      <c r="G56" s="30"/>
      <c r="H56" s="131">
        <v>100</v>
      </c>
      <c r="I56" s="48" t="s">
        <v>27</v>
      </c>
      <c r="J56" s="30">
        <v>38425000</v>
      </c>
      <c r="K56" s="131"/>
      <c r="L56" s="30"/>
      <c r="M56" s="131"/>
      <c r="N56" s="30"/>
      <c r="O56" s="131">
        <v>100</v>
      </c>
      <c r="P56" s="49">
        <v>38425000</v>
      </c>
      <c r="Q56" s="78"/>
      <c r="R56" s="49"/>
      <c r="S56" s="77"/>
      <c r="T56" s="49"/>
      <c r="U56" s="131">
        <v>100</v>
      </c>
      <c r="V56" s="30">
        <v>36555000</v>
      </c>
      <c r="W56" s="56"/>
      <c r="X56" s="235"/>
      <c r="Y56" s="56"/>
      <c r="Z56" s="235"/>
      <c r="AA56" s="89">
        <f t="shared" si="45"/>
        <v>100</v>
      </c>
      <c r="AB56" s="235">
        <f t="shared" si="45"/>
        <v>95.133376707872472</v>
      </c>
      <c r="AC56" s="92">
        <f>U56</f>
        <v>100</v>
      </c>
      <c r="AD56" s="195">
        <f t="shared" si="46"/>
        <v>36555000</v>
      </c>
      <c r="AE56" s="89">
        <f t="shared" si="42"/>
        <v>100</v>
      </c>
      <c r="AF56" s="32" t="str">
        <f t="shared" si="43"/>
        <v>Sangat Tinggi</v>
      </c>
      <c r="AG56" s="56">
        <f t="shared" si="44"/>
        <v>95.133376707872472</v>
      </c>
      <c r="AH56" s="411"/>
      <c r="AK56" s="119"/>
    </row>
    <row r="57" spans="1:37" ht="90" x14ac:dyDescent="0.2">
      <c r="A57" s="17"/>
      <c r="B57" s="61"/>
      <c r="C57" s="14" t="s">
        <v>398</v>
      </c>
      <c r="D57" s="14" t="s">
        <v>399</v>
      </c>
      <c r="E57" s="131">
        <v>100</v>
      </c>
      <c r="F57" s="48" t="s">
        <v>27</v>
      </c>
      <c r="G57" s="12"/>
      <c r="H57" s="131">
        <v>100</v>
      </c>
      <c r="I57" s="48" t="s">
        <v>27</v>
      </c>
      <c r="J57" s="30">
        <v>5443370000</v>
      </c>
      <c r="K57" s="131">
        <v>100</v>
      </c>
      <c r="L57" s="30">
        <v>956804000</v>
      </c>
      <c r="M57" s="131">
        <v>100</v>
      </c>
      <c r="N57" s="30">
        <v>914490000</v>
      </c>
      <c r="O57" s="131"/>
      <c r="P57" s="30"/>
      <c r="Q57" s="78">
        <v>100</v>
      </c>
      <c r="R57" s="49">
        <v>880027150</v>
      </c>
      <c r="S57" s="131">
        <v>100</v>
      </c>
      <c r="T57" s="49">
        <v>834206786</v>
      </c>
      <c r="U57" s="131"/>
      <c r="V57" s="49"/>
      <c r="W57" s="89">
        <f t="shared" ref="W57:Z58" si="47">Q57/K57*100</f>
        <v>100</v>
      </c>
      <c r="X57" s="235">
        <f t="shared" si="47"/>
        <v>91.975697216984869</v>
      </c>
      <c r="Y57" s="89">
        <f t="shared" si="47"/>
        <v>100</v>
      </c>
      <c r="Z57" s="235">
        <f t="shared" si="47"/>
        <v>91.220985029907382</v>
      </c>
      <c r="AA57" s="89"/>
      <c r="AB57" s="235"/>
      <c r="AC57" s="92">
        <f>S57</f>
        <v>100</v>
      </c>
      <c r="AD57" s="195">
        <f>R57+T57</f>
        <v>1714233936</v>
      </c>
      <c r="AE57" s="89">
        <f t="shared" si="42"/>
        <v>100</v>
      </c>
      <c r="AF57" s="32" t="str">
        <f t="shared" si="43"/>
        <v>Sangat Tinggi</v>
      </c>
      <c r="AG57" s="56">
        <f t="shared" si="44"/>
        <v>31.492144315010741</v>
      </c>
      <c r="AH57" s="122" t="s">
        <v>385</v>
      </c>
      <c r="AK57" s="119">
        <f>R57</f>
        <v>880027150</v>
      </c>
    </row>
    <row r="58" spans="1:37" ht="60" x14ac:dyDescent="0.2">
      <c r="A58" s="17"/>
      <c r="B58" s="61"/>
      <c r="C58" s="14" t="s">
        <v>400</v>
      </c>
      <c r="D58" s="14" t="s">
        <v>401</v>
      </c>
      <c r="E58" s="77">
        <v>26</v>
      </c>
      <c r="F58" s="48" t="s">
        <v>27</v>
      </c>
      <c r="G58" s="12"/>
      <c r="H58" s="77">
        <v>92.1</v>
      </c>
      <c r="I58" s="48" t="s">
        <v>27</v>
      </c>
      <c r="J58" s="30">
        <v>1657934000</v>
      </c>
      <c r="K58" s="77">
        <v>39.47</v>
      </c>
      <c r="L58" s="30">
        <v>142716000</v>
      </c>
      <c r="M58" s="77">
        <v>52.63</v>
      </c>
      <c r="N58" s="30">
        <v>126264400</v>
      </c>
      <c r="O58" s="77"/>
      <c r="P58" s="30"/>
      <c r="Q58" s="77">
        <v>39.47</v>
      </c>
      <c r="R58" s="49">
        <v>141903500</v>
      </c>
      <c r="S58" s="77">
        <f>20/38*100</f>
        <v>52.631578947368418</v>
      </c>
      <c r="T58" s="49">
        <v>122514400</v>
      </c>
      <c r="U58" s="77"/>
      <c r="V58" s="49"/>
      <c r="W58" s="89">
        <f t="shared" si="47"/>
        <v>100</v>
      </c>
      <c r="X58" s="235">
        <f t="shared" si="47"/>
        <v>99.430687519269028</v>
      </c>
      <c r="Y58" s="89">
        <f t="shared" si="47"/>
        <v>100.00300009000269</v>
      </c>
      <c r="Z58" s="235">
        <f t="shared" si="47"/>
        <v>97.030041721973888</v>
      </c>
      <c r="AA58" s="56"/>
      <c r="AB58" s="235"/>
      <c r="AC58" s="74">
        <f>S58</f>
        <v>52.631578947368418</v>
      </c>
      <c r="AD58" s="195">
        <f>R58+T58</f>
        <v>264417900</v>
      </c>
      <c r="AE58" s="89">
        <f t="shared" si="42"/>
        <v>57.146122635579175</v>
      </c>
      <c r="AF58" s="32" t="str">
        <f t="shared" si="43"/>
        <v>Rendah</v>
      </c>
      <c r="AG58" s="56">
        <f>AD58/J58*100</f>
        <v>15.948638486212358</v>
      </c>
      <c r="AH58" s="410" t="s">
        <v>280</v>
      </c>
      <c r="AK58" s="119">
        <f>R58</f>
        <v>141903500</v>
      </c>
    </row>
    <row r="59" spans="1:37" ht="90" x14ac:dyDescent="0.2">
      <c r="A59" s="17"/>
      <c r="B59" s="61"/>
      <c r="C59" s="14" t="s">
        <v>730</v>
      </c>
      <c r="D59" s="14" t="s">
        <v>813</v>
      </c>
      <c r="E59" s="77"/>
      <c r="F59" s="48"/>
      <c r="G59" s="12"/>
      <c r="H59" s="131">
        <v>100</v>
      </c>
      <c r="I59" s="48" t="s">
        <v>27</v>
      </c>
      <c r="J59" s="30">
        <v>586338708</v>
      </c>
      <c r="K59" s="77"/>
      <c r="L59" s="30"/>
      <c r="M59" s="77"/>
      <c r="N59" s="30"/>
      <c r="O59" s="131">
        <v>68</v>
      </c>
      <c r="P59" s="30">
        <v>213965808</v>
      </c>
      <c r="Q59" s="77"/>
      <c r="R59" s="49"/>
      <c r="S59" s="77"/>
      <c r="T59" s="49"/>
      <c r="U59" s="131">
        <v>68</v>
      </c>
      <c r="V59" s="49">
        <v>192795750</v>
      </c>
      <c r="W59" s="56"/>
      <c r="X59" s="235"/>
      <c r="Y59" s="56"/>
      <c r="Z59" s="235"/>
      <c r="AA59" s="89">
        <f>U59/O59*100</f>
        <v>100</v>
      </c>
      <c r="AB59" s="235">
        <f>V59/P59*100</f>
        <v>90.105868690945229</v>
      </c>
      <c r="AC59" s="74">
        <f>U59</f>
        <v>68</v>
      </c>
      <c r="AD59" s="195">
        <f>V59</f>
        <v>192795750</v>
      </c>
      <c r="AE59" s="89">
        <f t="shared" si="42"/>
        <v>68</v>
      </c>
      <c r="AF59" s="32" t="str">
        <f t="shared" si="43"/>
        <v>Sedang</v>
      </c>
      <c r="AG59" s="56">
        <f t="shared" si="44"/>
        <v>32.881293247315341</v>
      </c>
      <c r="AH59" s="412"/>
      <c r="AK59" s="119"/>
    </row>
    <row r="60" spans="1:37" ht="60" x14ac:dyDescent="0.2">
      <c r="A60" s="17"/>
      <c r="B60" s="61"/>
      <c r="C60" s="14" t="s">
        <v>402</v>
      </c>
      <c r="D60" s="14" t="s">
        <v>403</v>
      </c>
      <c r="E60" s="131">
        <v>100</v>
      </c>
      <c r="F60" s="167" t="s">
        <v>27</v>
      </c>
      <c r="G60" s="12"/>
      <c r="H60" s="131">
        <v>100</v>
      </c>
      <c r="I60" s="167" t="s">
        <v>27</v>
      </c>
      <c r="J60" s="30">
        <v>284250963445</v>
      </c>
      <c r="K60" s="131">
        <v>100</v>
      </c>
      <c r="L60" s="30">
        <v>62101609689</v>
      </c>
      <c r="M60" s="131">
        <v>100</v>
      </c>
      <c r="N60" s="30">
        <v>50527218322</v>
      </c>
      <c r="O60" s="131"/>
      <c r="P60" s="30"/>
      <c r="Q60" s="131">
        <v>100</v>
      </c>
      <c r="R60" s="49">
        <v>58049902855</v>
      </c>
      <c r="S60" s="131">
        <v>100</v>
      </c>
      <c r="T60" s="49">
        <v>42101362772</v>
      </c>
      <c r="U60" s="131"/>
      <c r="V60" s="49"/>
      <c r="W60" s="89">
        <f t="shared" ref="W60:Z62" si="48">Q60/K60*100</f>
        <v>100</v>
      </c>
      <c r="X60" s="235">
        <f t="shared" si="48"/>
        <v>93.475681460930517</v>
      </c>
      <c r="Y60" s="89">
        <f t="shared" si="48"/>
        <v>100</v>
      </c>
      <c r="Z60" s="235">
        <f t="shared" si="48"/>
        <v>83.324125432150879</v>
      </c>
      <c r="AA60" s="89"/>
      <c r="AB60" s="235"/>
      <c r="AC60" s="92">
        <f>S60</f>
        <v>100</v>
      </c>
      <c r="AD60" s="195">
        <f>R60+T60</f>
        <v>100151265627</v>
      </c>
      <c r="AE60" s="89">
        <f t="shared" si="42"/>
        <v>100</v>
      </c>
      <c r="AF60" s="32" t="str">
        <f t="shared" si="43"/>
        <v>Sangat Tinggi</v>
      </c>
      <c r="AG60" s="56">
        <f t="shared" si="44"/>
        <v>35.233395311385948</v>
      </c>
      <c r="AH60" s="410" t="s">
        <v>525</v>
      </c>
      <c r="AK60" s="119">
        <f>R60</f>
        <v>58049902855</v>
      </c>
    </row>
    <row r="61" spans="1:37" ht="75" x14ac:dyDescent="0.2">
      <c r="A61" s="17"/>
      <c r="B61" s="61"/>
      <c r="C61" s="14" t="s">
        <v>404</v>
      </c>
      <c r="D61" s="14" t="s">
        <v>403</v>
      </c>
      <c r="E61" s="131">
        <v>100</v>
      </c>
      <c r="F61" s="167" t="s">
        <v>27</v>
      </c>
      <c r="G61" s="12"/>
      <c r="H61" s="131">
        <v>100</v>
      </c>
      <c r="I61" s="167" t="s">
        <v>27</v>
      </c>
      <c r="J61" s="30">
        <v>108755971805</v>
      </c>
      <c r="K61" s="131">
        <v>100</v>
      </c>
      <c r="L61" s="30">
        <v>30000000000</v>
      </c>
      <c r="M61" s="131">
        <v>100</v>
      </c>
      <c r="N61" s="30">
        <v>13615001140</v>
      </c>
      <c r="O61" s="131"/>
      <c r="P61" s="30"/>
      <c r="Q61" s="131">
        <v>100</v>
      </c>
      <c r="R61" s="49">
        <v>28430905296</v>
      </c>
      <c r="S61" s="131">
        <v>100</v>
      </c>
      <c r="T61" s="49">
        <v>11268381829</v>
      </c>
      <c r="U61" s="131"/>
      <c r="V61" s="49"/>
      <c r="W61" s="89">
        <f t="shared" si="48"/>
        <v>100</v>
      </c>
      <c r="X61" s="235">
        <f t="shared" si="48"/>
        <v>94.769684319999996</v>
      </c>
      <c r="Y61" s="89">
        <f t="shared" si="48"/>
        <v>100</v>
      </c>
      <c r="Z61" s="235">
        <f t="shared" si="48"/>
        <v>82.76445747693856</v>
      </c>
      <c r="AA61" s="89"/>
      <c r="AB61" s="235"/>
      <c r="AC61" s="92">
        <f>S61</f>
        <v>100</v>
      </c>
      <c r="AD61" s="195">
        <f>R61+T61</f>
        <v>39699287125</v>
      </c>
      <c r="AE61" s="89">
        <f t="shared" si="42"/>
        <v>100</v>
      </c>
      <c r="AF61" s="32" t="str">
        <f t="shared" si="43"/>
        <v>Sangat Tinggi</v>
      </c>
      <c r="AG61" s="56">
        <f t="shared" si="44"/>
        <v>36.503087109718464</v>
      </c>
      <c r="AH61" s="412"/>
      <c r="AK61" s="119">
        <f>R61</f>
        <v>28430905296</v>
      </c>
    </row>
    <row r="62" spans="1:37" ht="105" x14ac:dyDescent="0.2">
      <c r="A62" s="17"/>
      <c r="B62" s="61"/>
      <c r="C62" s="14" t="s">
        <v>426</v>
      </c>
      <c r="D62" s="14" t="s">
        <v>405</v>
      </c>
      <c r="E62" s="77">
        <v>61.11</v>
      </c>
      <c r="F62" s="48" t="s">
        <v>27</v>
      </c>
      <c r="G62" s="12"/>
      <c r="H62" s="131">
        <v>100</v>
      </c>
      <c r="I62" s="48" t="s">
        <v>27</v>
      </c>
      <c r="J62" s="30">
        <v>1220828125</v>
      </c>
      <c r="K62" s="131">
        <v>100</v>
      </c>
      <c r="L62" s="30">
        <v>220828125</v>
      </c>
      <c r="M62" s="131">
        <v>100</v>
      </c>
      <c r="N62" s="30">
        <v>69191800</v>
      </c>
      <c r="O62" s="131"/>
      <c r="P62" s="30"/>
      <c r="Q62" s="131">
        <v>75</v>
      </c>
      <c r="R62" s="49">
        <v>182018234</v>
      </c>
      <c r="S62" s="131">
        <f>27/36*100</f>
        <v>75</v>
      </c>
      <c r="T62" s="49">
        <v>68511100</v>
      </c>
      <c r="U62" s="131"/>
      <c r="V62" s="49"/>
      <c r="W62" s="89">
        <f t="shared" si="48"/>
        <v>75</v>
      </c>
      <c r="X62" s="235">
        <f t="shared" si="48"/>
        <v>82.425295238095245</v>
      </c>
      <c r="Y62" s="89">
        <f t="shared" si="48"/>
        <v>75</v>
      </c>
      <c r="Z62" s="235">
        <f t="shared" si="48"/>
        <v>99.016212903841208</v>
      </c>
      <c r="AA62" s="89"/>
      <c r="AB62" s="235"/>
      <c r="AC62" s="92">
        <f>S62</f>
        <v>75</v>
      </c>
      <c r="AD62" s="195">
        <f>R62+T62</f>
        <v>250529334</v>
      </c>
      <c r="AE62" s="89">
        <f t="shared" si="42"/>
        <v>75</v>
      </c>
      <c r="AF62" s="32" t="str">
        <f t="shared" si="43"/>
        <v>Sedang</v>
      </c>
      <c r="AG62" s="354">
        <f t="shared" si="44"/>
        <v>20.521261664085596</v>
      </c>
      <c r="AH62" s="122" t="s">
        <v>385</v>
      </c>
      <c r="AK62" s="119">
        <f>R62</f>
        <v>182018234</v>
      </c>
    </row>
    <row r="63" spans="1:37" ht="135" x14ac:dyDescent="0.2">
      <c r="A63" s="132"/>
      <c r="B63" s="71"/>
      <c r="C63" s="147" t="s">
        <v>706</v>
      </c>
      <c r="D63" s="1" t="s">
        <v>707</v>
      </c>
      <c r="E63" s="129"/>
      <c r="F63" s="48"/>
      <c r="G63" s="272"/>
      <c r="H63" s="32">
        <v>18</v>
      </c>
      <c r="I63" s="35" t="s">
        <v>27</v>
      </c>
      <c r="J63" s="196">
        <v>2516714700</v>
      </c>
      <c r="K63" s="129"/>
      <c r="L63" s="196"/>
      <c r="M63" s="129"/>
      <c r="N63" s="196"/>
      <c r="O63" s="129">
        <v>23</v>
      </c>
      <c r="P63" s="196">
        <v>1546314700</v>
      </c>
      <c r="Q63" s="174"/>
      <c r="R63" s="273"/>
      <c r="S63" s="129"/>
      <c r="T63" s="44"/>
      <c r="U63" s="78">
        <v>61.37</v>
      </c>
      <c r="V63" s="44">
        <v>883705000</v>
      </c>
      <c r="W63" s="56"/>
      <c r="X63" s="237"/>
      <c r="Y63" s="56"/>
      <c r="Z63" s="237"/>
      <c r="AA63" s="89">
        <f>U63/O63*100</f>
        <v>266.82608695652175</v>
      </c>
      <c r="AB63" s="237">
        <f>V63/P63*100</f>
        <v>57.149104254134045</v>
      </c>
      <c r="AC63" s="89">
        <f>U63</f>
        <v>61.37</v>
      </c>
      <c r="AD63" s="351">
        <f t="shared" ref="AD63" si="49">V63</f>
        <v>883705000</v>
      </c>
      <c r="AE63" s="89">
        <f t="shared" si="42"/>
        <v>340.94444444444446</v>
      </c>
      <c r="AF63" s="32" t="str">
        <f t="shared" si="43"/>
        <v>Sangat Tinggi</v>
      </c>
      <c r="AG63" s="354">
        <f t="shared" si="44"/>
        <v>35.113435781974019</v>
      </c>
      <c r="AH63" s="336"/>
      <c r="AK63" s="119"/>
    </row>
    <row r="64" spans="1:37" ht="150" x14ac:dyDescent="0.2">
      <c r="A64" s="132"/>
      <c r="B64" s="71"/>
      <c r="C64" s="148"/>
      <c r="D64" s="1" t="s">
        <v>708</v>
      </c>
      <c r="E64" s="129"/>
      <c r="F64" s="48"/>
      <c r="G64" s="342"/>
      <c r="H64" s="32">
        <v>100</v>
      </c>
      <c r="I64" s="35" t="s">
        <v>27</v>
      </c>
      <c r="J64" s="343"/>
      <c r="K64" s="129"/>
      <c r="L64" s="343"/>
      <c r="M64" s="129"/>
      <c r="N64" s="343"/>
      <c r="O64" s="129">
        <v>100</v>
      </c>
      <c r="P64" s="343"/>
      <c r="Q64" s="174"/>
      <c r="R64" s="251"/>
      <c r="S64" s="129"/>
      <c r="T64" s="344"/>
      <c r="U64" s="129">
        <v>100</v>
      </c>
      <c r="V64" s="344"/>
      <c r="W64" s="56"/>
      <c r="X64" s="243"/>
      <c r="Y64" s="56"/>
      <c r="Z64" s="243"/>
      <c r="AA64" s="89">
        <f>U64/O64*100</f>
        <v>100</v>
      </c>
      <c r="AB64" s="237"/>
      <c r="AC64" s="89">
        <f>U64</f>
        <v>100</v>
      </c>
      <c r="AD64" s="4"/>
      <c r="AE64" s="89">
        <f t="shared" si="42"/>
        <v>100</v>
      </c>
      <c r="AF64" s="32" t="str">
        <f t="shared" si="43"/>
        <v>Sangat Tinggi</v>
      </c>
      <c r="AG64" s="404"/>
      <c r="AH64" s="336"/>
      <c r="AK64" s="119"/>
    </row>
    <row r="65" spans="1:37" ht="135" x14ac:dyDescent="0.2">
      <c r="A65" s="132"/>
      <c r="B65" s="71"/>
      <c r="C65" s="148"/>
      <c r="D65" s="1" t="s">
        <v>709</v>
      </c>
      <c r="E65" s="129"/>
      <c r="F65" s="48"/>
      <c r="G65" s="342"/>
      <c r="H65" s="32">
        <v>72</v>
      </c>
      <c r="I65" s="35" t="s">
        <v>27</v>
      </c>
      <c r="J65" s="343"/>
      <c r="K65" s="129"/>
      <c r="L65" s="343"/>
      <c r="M65" s="129"/>
      <c r="N65" s="343"/>
      <c r="O65" s="129">
        <v>77</v>
      </c>
      <c r="P65" s="343"/>
      <c r="Q65" s="174"/>
      <c r="R65" s="251"/>
      <c r="S65" s="129"/>
      <c r="T65" s="344"/>
      <c r="U65" s="129">
        <v>100</v>
      </c>
      <c r="V65" s="344"/>
      <c r="W65" s="56"/>
      <c r="X65" s="243"/>
      <c r="Y65" s="56"/>
      <c r="Z65" s="243"/>
      <c r="AA65" s="56">
        <f>U65/O65*100</f>
        <v>129.87012987012986</v>
      </c>
      <c r="AB65" s="237"/>
      <c r="AC65" s="89">
        <f>U65</f>
        <v>100</v>
      </c>
      <c r="AD65" s="4"/>
      <c r="AE65" s="89">
        <f t="shared" si="42"/>
        <v>138.88888888888889</v>
      </c>
      <c r="AF65" s="32" t="str">
        <f t="shared" si="43"/>
        <v>Sangat Tinggi</v>
      </c>
      <c r="AG65" s="404"/>
      <c r="AH65" s="336"/>
      <c r="AK65" s="119"/>
    </row>
    <row r="66" spans="1:37" ht="150" x14ac:dyDescent="0.2">
      <c r="A66" s="132"/>
      <c r="B66" s="71"/>
      <c r="C66" s="67"/>
      <c r="D66" s="1" t="s">
        <v>710</v>
      </c>
      <c r="E66" s="129"/>
      <c r="F66" s="48"/>
      <c r="G66" s="28"/>
      <c r="H66" s="32">
        <v>100</v>
      </c>
      <c r="I66" s="35" t="s">
        <v>27</v>
      </c>
      <c r="J66" s="31"/>
      <c r="K66" s="129"/>
      <c r="L66" s="31"/>
      <c r="M66" s="129"/>
      <c r="N66" s="31"/>
      <c r="O66" s="129">
        <v>100</v>
      </c>
      <c r="P66" s="31"/>
      <c r="Q66" s="174"/>
      <c r="R66" s="252"/>
      <c r="S66" s="129"/>
      <c r="T66" s="82"/>
      <c r="U66" s="78">
        <v>95.24</v>
      </c>
      <c r="V66" s="82"/>
      <c r="W66" s="56"/>
      <c r="X66" s="238"/>
      <c r="Y66" s="56"/>
      <c r="Z66" s="238"/>
      <c r="AA66" s="56">
        <f>U66/O66*100</f>
        <v>95.24</v>
      </c>
      <c r="AB66" s="237"/>
      <c r="AC66" s="56">
        <f>U66</f>
        <v>95.24</v>
      </c>
      <c r="AD66" s="5"/>
      <c r="AE66" s="56">
        <f t="shared" si="42"/>
        <v>95.24</v>
      </c>
      <c r="AF66" s="32" t="str">
        <f t="shared" si="43"/>
        <v>Sangat Tinggi</v>
      </c>
      <c r="AG66" s="77"/>
      <c r="AH66" s="336"/>
      <c r="AK66" s="119"/>
    </row>
    <row r="67" spans="1:37" ht="150" x14ac:dyDescent="0.2">
      <c r="A67" s="132"/>
      <c r="B67" s="71"/>
      <c r="C67" s="147" t="s">
        <v>711</v>
      </c>
      <c r="D67" s="1" t="s">
        <v>712</v>
      </c>
      <c r="E67" s="129"/>
      <c r="F67" s="48"/>
      <c r="G67" s="272"/>
      <c r="H67" s="129">
        <v>100</v>
      </c>
      <c r="I67" s="48" t="s">
        <v>27</v>
      </c>
      <c r="J67" s="196">
        <v>2214602750</v>
      </c>
      <c r="K67" s="129"/>
      <c r="L67" s="196"/>
      <c r="M67" s="129"/>
      <c r="N67" s="196"/>
      <c r="O67" s="129">
        <v>100</v>
      </c>
      <c r="P67" s="196">
        <v>1004813550</v>
      </c>
      <c r="Q67" s="174"/>
      <c r="R67" s="81"/>
      <c r="S67" s="129"/>
      <c r="T67" s="386"/>
      <c r="U67" s="129">
        <f>6/6*100</f>
        <v>100</v>
      </c>
      <c r="V67" s="9">
        <v>757838500</v>
      </c>
      <c r="W67" s="56"/>
      <c r="X67" s="237"/>
      <c r="Y67" s="56"/>
      <c r="Z67" s="237"/>
      <c r="AA67" s="89">
        <f>U67/O67*100</f>
        <v>100</v>
      </c>
      <c r="AB67" s="237">
        <f>V67/P67*100</f>
        <v>75.420808168838889</v>
      </c>
      <c r="AC67" s="89">
        <f>U67</f>
        <v>100</v>
      </c>
      <c r="AD67" s="351">
        <f>V67</f>
        <v>757838500</v>
      </c>
      <c r="AE67" s="89">
        <f t="shared" ref="AE67" si="50">AC67/H67*100</f>
        <v>100</v>
      </c>
      <c r="AF67" s="32" t="str">
        <f t="shared" ref="AF67" si="51">IF(AE67&gt;=91,"Sangat Tinggi",IF(AE67&gt;=76,"Tinggi",IF(AE67&gt;=66,"Sedang",IF(AE67&gt;=51,"Rendah",IF(AE67&lt;=50,"Sangat Rendah")))))</f>
        <v>Sangat Tinggi</v>
      </c>
      <c r="AG67" s="354">
        <f t="shared" ref="AG67" si="52">AD67/J67*100</f>
        <v>34.220064975535678</v>
      </c>
      <c r="AH67" s="127"/>
      <c r="AK67" s="119"/>
    </row>
    <row r="68" spans="1:37" ht="120" x14ac:dyDescent="0.2">
      <c r="A68" s="17"/>
      <c r="B68" s="61"/>
      <c r="C68" s="14" t="s">
        <v>406</v>
      </c>
      <c r="D68" s="14" t="s">
        <v>407</v>
      </c>
      <c r="E68" s="131">
        <v>100</v>
      </c>
      <c r="F68" s="125" t="s">
        <v>27</v>
      </c>
      <c r="G68" s="12"/>
      <c r="H68" s="131">
        <v>100</v>
      </c>
      <c r="I68" s="125" t="s">
        <v>27</v>
      </c>
      <c r="J68" s="30">
        <v>2279425000</v>
      </c>
      <c r="K68" s="131">
        <v>100</v>
      </c>
      <c r="L68" s="30">
        <v>485335000</v>
      </c>
      <c r="M68" s="131">
        <v>100</v>
      </c>
      <c r="N68" s="30">
        <v>535672500</v>
      </c>
      <c r="O68" s="131"/>
      <c r="P68" s="30"/>
      <c r="Q68" s="131">
        <v>100</v>
      </c>
      <c r="R68" s="49">
        <v>288419600</v>
      </c>
      <c r="S68" s="131">
        <v>100</v>
      </c>
      <c r="T68" s="49">
        <v>354230200</v>
      </c>
      <c r="U68" s="131"/>
      <c r="V68" s="49"/>
      <c r="W68" s="89">
        <f t="shared" ref="W68:Z70" si="53">Q68/K68*100</f>
        <v>100</v>
      </c>
      <c r="X68" s="235">
        <f t="shared" si="53"/>
        <v>59.426911308683692</v>
      </c>
      <c r="Y68" s="89">
        <f t="shared" si="53"/>
        <v>100</v>
      </c>
      <c r="Z68" s="235">
        <f t="shared" si="53"/>
        <v>66.128128660702203</v>
      </c>
      <c r="AA68" s="56"/>
      <c r="AB68" s="235"/>
      <c r="AC68" s="92">
        <f>S68</f>
        <v>100</v>
      </c>
      <c r="AD68" s="195">
        <f>R68+T68</f>
        <v>642649800</v>
      </c>
      <c r="AE68" s="89">
        <f t="shared" ref="AE68" si="54">AC68/H68*100</f>
        <v>100</v>
      </c>
      <c r="AF68" s="32" t="str">
        <f t="shared" ref="AF68" si="55">IF(AE68&gt;=91,"Sangat Tinggi",IF(AE68&gt;=76,"Tinggi",IF(AE68&gt;=66,"Sedang",IF(AE68&gt;=51,"Rendah",IF(AE68&lt;=50,"Sangat Rendah")))))</f>
        <v>Sangat Tinggi</v>
      </c>
      <c r="AG68" s="354">
        <f t="shared" ref="AG68" si="56">AD68/J68*100</f>
        <v>28.19350494093905</v>
      </c>
      <c r="AH68" s="410" t="s">
        <v>427</v>
      </c>
      <c r="AK68" s="119">
        <f>R68</f>
        <v>288419600</v>
      </c>
    </row>
    <row r="69" spans="1:37" ht="105" x14ac:dyDescent="0.2">
      <c r="A69" s="17"/>
      <c r="B69" s="61"/>
      <c r="C69" s="14" t="s">
        <v>408</v>
      </c>
      <c r="D69" s="14" t="s">
        <v>409</v>
      </c>
      <c r="E69" s="131">
        <v>100</v>
      </c>
      <c r="F69" s="125" t="s">
        <v>27</v>
      </c>
      <c r="G69" s="12"/>
      <c r="H69" s="131">
        <v>100</v>
      </c>
      <c r="I69" s="125" t="s">
        <v>27</v>
      </c>
      <c r="J69" s="30">
        <v>45208940000</v>
      </c>
      <c r="K69" s="131">
        <v>100</v>
      </c>
      <c r="L69" s="30">
        <v>25558160000</v>
      </c>
      <c r="M69" s="131">
        <v>100</v>
      </c>
      <c r="N69" s="30">
        <v>19650780000</v>
      </c>
      <c r="O69" s="131"/>
      <c r="P69" s="30"/>
      <c r="Q69" s="131">
        <v>100</v>
      </c>
      <c r="R69" s="49">
        <v>19798165852</v>
      </c>
      <c r="S69" s="131">
        <v>100</v>
      </c>
      <c r="T69" s="49">
        <v>18437969321</v>
      </c>
      <c r="U69" s="131"/>
      <c r="V69" s="49"/>
      <c r="W69" s="89">
        <f t="shared" si="53"/>
        <v>100</v>
      </c>
      <c r="X69" s="235">
        <f t="shared" si="53"/>
        <v>77.4631892593207</v>
      </c>
      <c r="Y69" s="89">
        <f t="shared" si="53"/>
        <v>100</v>
      </c>
      <c r="Z69" s="235">
        <f t="shared" si="53"/>
        <v>93.82818046408336</v>
      </c>
      <c r="AA69" s="56"/>
      <c r="AB69" s="235"/>
      <c r="AC69" s="92">
        <f>S69</f>
        <v>100</v>
      </c>
      <c r="AD69" s="195">
        <f>R69+T69</f>
        <v>38236135173</v>
      </c>
      <c r="AE69" s="89">
        <f t="shared" ref="AE69:AE73" si="57">AC69/H69*100</f>
        <v>100</v>
      </c>
      <c r="AF69" s="32" t="str">
        <f t="shared" ref="AF69:AF73" si="58">IF(AE69&gt;=91,"Sangat Tinggi",IF(AE69&gt;=76,"Tinggi",IF(AE69&gt;=66,"Sedang",IF(AE69&gt;=51,"Rendah",IF(AE69&lt;=50,"Sangat Rendah")))))</f>
        <v>Sangat Tinggi</v>
      </c>
      <c r="AG69" s="354">
        <f>AD69/J69*100</f>
        <v>84.576491227177627</v>
      </c>
      <c r="AH69" s="411"/>
      <c r="AK69" s="119">
        <f>R69</f>
        <v>19798165852</v>
      </c>
    </row>
    <row r="70" spans="1:37" ht="60" x14ac:dyDescent="0.2">
      <c r="A70" s="17"/>
      <c r="B70" s="61"/>
      <c r="C70" s="14" t="s">
        <v>410</v>
      </c>
      <c r="D70" s="14" t="s">
        <v>411</v>
      </c>
      <c r="E70" s="131">
        <v>100</v>
      </c>
      <c r="F70" s="125" t="s">
        <v>27</v>
      </c>
      <c r="G70" s="12"/>
      <c r="H70" s="131">
        <v>100</v>
      </c>
      <c r="I70" s="125" t="s">
        <v>27</v>
      </c>
      <c r="J70" s="30">
        <v>1301500000</v>
      </c>
      <c r="K70" s="131">
        <v>100</v>
      </c>
      <c r="L70" s="30">
        <v>316100000</v>
      </c>
      <c r="M70" s="131">
        <v>100</v>
      </c>
      <c r="N70" s="30">
        <v>371600000</v>
      </c>
      <c r="O70" s="131"/>
      <c r="P70" s="30"/>
      <c r="Q70" s="131">
        <v>100</v>
      </c>
      <c r="R70" s="49">
        <v>287451600</v>
      </c>
      <c r="S70" s="131">
        <v>100</v>
      </c>
      <c r="T70" s="49">
        <v>244203000</v>
      </c>
      <c r="U70" s="131"/>
      <c r="V70" s="49"/>
      <c r="W70" s="89">
        <f t="shared" si="53"/>
        <v>100</v>
      </c>
      <c r="X70" s="235">
        <f t="shared" si="53"/>
        <v>90.936918696614995</v>
      </c>
      <c r="Y70" s="89">
        <f t="shared" si="53"/>
        <v>100</v>
      </c>
      <c r="Z70" s="235">
        <f t="shared" si="53"/>
        <v>65.716630785791182</v>
      </c>
      <c r="AA70" s="89"/>
      <c r="AB70" s="235"/>
      <c r="AC70" s="92">
        <f>S70</f>
        <v>100</v>
      </c>
      <c r="AD70" s="195">
        <f>R70+T70</f>
        <v>531654600</v>
      </c>
      <c r="AE70" s="89">
        <f t="shared" si="57"/>
        <v>100</v>
      </c>
      <c r="AF70" s="32" t="str">
        <f t="shared" si="58"/>
        <v>Sangat Tinggi</v>
      </c>
      <c r="AG70" s="354">
        <f t="shared" ref="AG70:AG72" si="59">AD70/J70*100</f>
        <v>40.849373799462157</v>
      </c>
      <c r="AH70" s="411"/>
      <c r="AK70" s="119">
        <f>R70</f>
        <v>287451600</v>
      </c>
    </row>
    <row r="71" spans="1:37" ht="135" x14ac:dyDescent="0.2">
      <c r="A71" s="17"/>
      <c r="B71" s="61"/>
      <c r="C71" s="94" t="s">
        <v>731</v>
      </c>
      <c r="D71" s="14" t="s">
        <v>732</v>
      </c>
      <c r="E71" s="131"/>
      <c r="F71" s="330"/>
      <c r="G71" s="236"/>
      <c r="H71" s="131">
        <v>100</v>
      </c>
      <c r="I71" s="330" t="s">
        <v>27</v>
      </c>
      <c r="J71" s="196">
        <v>53017065950</v>
      </c>
      <c r="K71" s="131"/>
      <c r="L71" s="196"/>
      <c r="M71" s="131"/>
      <c r="N71" s="196"/>
      <c r="O71" s="131">
        <v>100</v>
      </c>
      <c r="P71" s="196">
        <v>18170394150</v>
      </c>
      <c r="Q71" s="77"/>
      <c r="R71" s="179"/>
      <c r="S71" s="131"/>
      <c r="T71" s="179"/>
      <c r="U71" s="131">
        <v>100</v>
      </c>
      <c r="V71" s="179">
        <v>16859247544</v>
      </c>
      <c r="W71" s="56"/>
      <c r="X71" s="237"/>
      <c r="Y71" s="56"/>
      <c r="Z71" s="237"/>
      <c r="AA71" s="89">
        <f>U71/O71*100</f>
        <v>100</v>
      </c>
      <c r="AB71" s="237">
        <f>V71/P71*100</f>
        <v>92.784159797656343</v>
      </c>
      <c r="AC71" s="92">
        <f>U71</f>
        <v>100</v>
      </c>
      <c r="AD71" s="195">
        <f>V71</f>
        <v>16859247544</v>
      </c>
      <c r="AE71" s="89">
        <f t="shared" si="57"/>
        <v>100</v>
      </c>
      <c r="AF71" s="32" t="str">
        <f t="shared" si="58"/>
        <v>Sangat Tinggi</v>
      </c>
      <c r="AG71" s="354">
        <f t="shared" si="59"/>
        <v>31.799661565390718</v>
      </c>
      <c r="AH71" s="412"/>
      <c r="AK71" s="119"/>
    </row>
    <row r="72" spans="1:37" ht="105" x14ac:dyDescent="0.2">
      <c r="A72" s="17"/>
      <c r="B72" s="61"/>
      <c r="C72" s="94" t="s">
        <v>412</v>
      </c>
      <c r="D72" s="14" t="s">
        <v>413</v>
      </c>
      <c r="E72" s="131">
        <v>100</v>
      </c>
      <c r="F72" s="125" t="s">
        <v>27</v>
      </c>
      <c r="G72" s="193"/>
      <c r="H72" s="131">
        <v>100</v>
      </c>
      <c r="I72" s="125" t="s">
        <v>27</v>
      </c>
      <c r="J72" s="196">
        <v>3455224800</v>
      </c>
      <c r="K72" s="131">
        <v>100</v>
      </c>
      <c r="L72" s="196">
        <v>691044380</v>
      </c>
      <c r="M72" s="131">
        <v>100</v>
      </c>
      <c r="N72" s="196">
        <v>431539000</v>
      </c>
      <c r="O72" s="131"/>
      <c r="P72" s="196"/>
      <c r="Q72" s="131">
        <f>13/10*100</f>
        <v>130</v>
      </c>
      <c r="R72" s="183">
        <v>500126470</v>
      </c>
      <c r="S72" s="131">
        <f>6/10*100</f>
        <v>60</v>
      </c>
      <c r="T72" s="183">
        <v>269660000</v>
      </c>
      <c r="U72" s="131"/>
      <c r="V72" s="183"/>
      <c r="W72" s="89">
        <f>Q72/K72*100</f>
        <v>130</v>
      </c>
      <c r="X72" s="237">
        <f>R72/L72*100</f>
        <v>72.372554422626223</v>
      </c>
      <c r="Y72" s="89">
        <f>S72/M72*100</f>
        <v>60</v>
      </c>
      <c r="Z72" s="237">
        <f>T72/N72*100</f>
        <v>62.48797907025785</v>
      </c>
      <c r="AA72" s="56"/>
      <c r="AB72" s="237"/>
      <c r="AC72" s="92">
        <f>AVERAGE(Q72,S72)</f>
        <v>95</v>
      </c>
      <c r="AD72" s="195">
        <f>R72+T72</f>
        <v>769786470</v>
      </c>
      <c r="AE72" s="89">
        <f t="shared" si="57"/>
        <v>95</v>
      </c>
      <c r="AF72" s="32" t="str">
        <f t="shared" si="58"/>
        <v>Sangat Tinggi</v>
      </c>
      <c r="AG72" s="354">
        <f t="shared" si="59"/>
        <v>22.278911346086659</v>
      </c>
      <c r="AH72" s="410" t="s">
        <v>428</v>
      </c>
      <c r="AK72" s="119">
        <f>R72</f>
        <v>500126470</v>
      </c>
    </row>
    <row r="73" spans="1:37" ht="78" customHeight="1" x14ac:dyDescent="0.2">
      <c r="A73" s="17"/>
      <c r="B73" s="61"/>
      <c r="C73" s="20"/>
      <c r="D73" s="14" t="s">
        <v>414</v>
      </c>
      <c r="E73" s="131">
        <v>100</v>
      </c>
      <c r="F73" s="125" t="s">
        <v>27</v>
      </c>
      <c r="G73" s="29"/>
      <c r="H73" s="131">
        <v>100</v>
      </c>
      <c r="I73" s="125" t="s">
        <v>27</v>
      </c>
      <c r="J73" s="31"/>
      <c r="K73" s="131">
        <v>100</v>
      </c>
      <c r="L73" s="31"/>
      <c r="M73" s="131">
        <v>100</v>
      </c>
      <c r="N73" s="31"/>
      <c r="O73" s="131"/>
      <c r="P73" s="31"/>
      <c r="Q73" s="131">
        <v>100</v>
      </c>
      <c r="R73" s="82"/>
      <c r="S73" s="131">
        <v>100</v>
      </c>
      <c r="T73" s="49"/>
      <c r="U73" s="131"/>
      <c r="V73" s="49"/>
      <c r="W73" s="89">
        <f>Q73/K73*100</f>
        <v>100</v>
      </c>
      <c r="X73" s="238"/>
      <c r="Y73" s="89">
        <f>S73/M73*100</f>
        <v>100</v>
      </c>
      <c r="Z73" s="238"/>
      <c r="AA73" s="56"/>
      <c r="AB73" s="238"/>
      <c r="AC73" s="92">
        <f>S73</f>
        <v>100</v>
      </c>
      <c r="AD73" s="5"/>
      <c r="AE73" s="89">
        <f t="shared" si="57"/>
        <v>100</v>
      </c>
      <c r="AF73" s="32" t="str">
        <f t="shared" si="58"/>
        <v>Sangat Tinggi</v>
      </c>
      <c r="AG73" s="77"/>
      <c r="AH73" s="411"/>
      <c r="AK73" s="119">
        <f>R73</f>
        <v>0</v>
      </c>
    </row>
    <row r="74" spans="1:37" ht="78" customHeight="1" x14ac:dyDescent="0.2">
      <c r="A74" s="17"/>
      <c r="B74" s="61"/>
      <c r="C74" s="20" t="s">
        <v>733</v>
      </c>
      <c r="D74" s="14" t="s">
        <v>734</v>
      </c>
      <c r="E74" s="131"/>
      <c r="F74" s="330"/>
      <c r="G74" s="29"/>
      <c r="H74" s="131">
        <v>100</v>
      </c>
      <c r="I74" s="330" t="s">
        <v>27</v>
      </c>
      <c r="J74" s="31">
        <v>1726015500</v>
      </c>
      <c r="K74" s="131"/>
      <c r="L74" s="31"/>
      <c r="M74" s="131"/>
      <c r="N74" s="31"/>
      <c r="O74" s="131">
        <v>100</v>
      </c>
      <c r="P74" s="31">
        <v>575338500</v>
      </c>
      <c r="Q74" s="77"/>
      <c r="R74" s="82"/>
      <c r="S74" s="131"/>
      <c r="T74" s="49"/>
      <c r="U74" s="131">
        <v>130</v>
      </c>
      <c r="V74" s="49">
        <v>449587200</v>
      </c>
      <c r="W74" s="56"/>
      <c r="X74" s="238"/>
      <c r="Y74" s="56"/>
      <c r="Z74" s="238"/>
      <c r="AA74" s="89">
        <f>U74/O74*100</f>
        <v>130</v>
      </c>
      <c r="AB74" s="237">
        <f>V74/P74*100</f>
        <v>78.143075771915136</v>
      </c>
      <c r="AC74" s="92">
        <f>U74</f>
        <v>130</v>
      </c>
      <c r="AD74" s="359">
        <f>V74</f>
        <v>449587200</v>
      </c>
      <c r="AE74" s="89">
        <f>AC74/H74*100</f>
        <v>130</v>
      </c>
      <c r="AF74" s="32" t="str">
        <f t="shared" ref="AF74:AF75" si="60">IF(AE74&gt;=91,"Sangat Tinggi",IF(AE74&gt;=76,"Tinggi",IF(AE74&gt;=66,"Sedang",IF(AE74&gt;=51,"Rendah",IF(AE74&lt;=50,"Sangat Rendah")))))</f>
        <v>Sangat Tinggi</v>
      </c>
      <c r="AG74" s="354">
        <f t="shared" ref="AG74:AG75" si="61">AD74/J74*100</f>
        <v>26.047691923971716</v>
      </c>
      <c r="AH74" s="412"/>
      <c r="AK74" s="119"/>
    </row>
    <row r="75" spans="1:37" s="130" customFormat="1" ht="102" customHeight="1" x14ac:dyDescent="0.2">
      <c r="A75" s="17"/>
      <c r="B75" s="61"/>
      <c r="C75" s="14" t="s">
        <v>415</v>
      </c>
      <c r="D75" s="14" t="s">
        <v>416</v>
      </c>
      <c r="E75" s="131">
        <v>100</v>
      </c>
      <c r="F75" s="144" t="s">
        <v>27</v>
      </c>
      <c r="G75" s="12"/>
      <c r="H75" s="131">
        <v>100</v>
      </c>
      <c r="I75" s="144" t="s">
        <v>27</v>
      </c>
      <c r="J75" s="30">
        <v>3957000000</v>
      </c>
      <c r="K75" s="131">
        <v>100</v>
      </c>
      <c r="L75" s="30">
        <v>1001250000</v>
      </c>
      <c r="M75" s="131">
        <v>100</v>
      </c>
      <c r="N75" s="30">
        <v>765000000</v>
      </c>
      <c r="O75" s="131"/>
      <c r="P75" s="30"/>
      <c r="Q75" s="131">
        <v>100</v>
      </c>
      <c r="R75" s="49">
        <v>797488500</v>
      </c>
      <c r="S75" s="131">
        <v>100</v>
      </c>
      <c r="T75" s="49">
        <v>646648300</v>
      </c>
      <c r="U75" s="77"/>
      <c r="V75" s="49"/>
      <c r="W75" s="89">
        <f>Q75/K75*100</f>
        <v>100</v>
      </c>
      <c r="X75" s="235">
        <f>R75/L75*100</f>
        <v>79.649288389513103</v>
      </c>
      <c r="Y75" s="89">
        <f>S75/M75*100</f>
        <v>100</v>
      </c>
      <c r="Z75" s="235">
        <f>T75/N75*100</f>
        <v>84.529189542483664</v>
      </c>
      <c r="AA75" s="56"/>
      <c r="AB75" s="235"/>
      <c r="AC75" s="92">
        <f>S75</f>
        <v>100</v>
      </c>
      <c r="AD75" s="195">
        <f>R75+T75</f>
        <v>1444136800</v>
      </c>
      <c r="AE75" s="89">
        <f t="shared" ref="AE75" si="62">AC75/H75*100</f>
        <v>100</v>
      </c>
      <c r="AF75" s="32" t="str">
        <f t="shared" si="60"/>
        <v>Sangat Tinggi</v>
      </c>
      <c r="AG75" s="354">
        <f t="shared" si="61"/>
        <v>36.495749305029065</v>
      </c>
      <c r="AH75" s="410" t="s">
        <v>490</v>
      </c>
      <c r="AK75" s="119">
        <f>R75</f>
        <v>797488500</v>
      </c>
    </row>
    <row r="76" spans="1:37" ht="105" x14ac:dyDescent="0.2">
      <c r="A76" s="17"/>
      <c r="B76" s="61"/>
      <c r="C76" s="14" t="s">
        <v>735</v>
      </c>
      <c r="D76" s="14" t="s">
        <v>403</v>
      </c>
      <c r="E76" s="89"/>
      <c r="F76" s="32"/>
      <c r="G76" s="12"/>
      <c r="H76" s="89">
        <v>100</v>
      </c>
      <c r="I76" s="32" t="s">
        <v>27</v>
      </c>
      <c r="J76" s="30">
        <v>27959292042</v>
      </c>
      <c r="K76" s="89"/>
      <c r="L76" s="30"/>
      <c r="M76" s="89"/>
      <c r="N76" s="30"/>
      <c r="O76" s="89">
        <v>100</v>
      </c>
      <c r="P76" s="30">
        <v>9319764014</v>
      </c>
      <c r="Q76" s="56"/>
      <c r="R76" s="9"/>
      <c r="S76" s="56"/>
      <c r="T76" s="9"/>
      <c r="U76" s="89">
        <v>100</v>
      </c>
      <c r="V76" s="9">
        <v>6169916733</v>
      </c>
      <c r="W76" s="56"/>
      <c r="X76" s="235"/>
      <c r="Y76" s="56"/>
      <c r="Z76" s="235"/>
      <c r="AA76" s="89">
        <f>U76/O76*100</f>
        <v>100</v>
      </c>
      <c r="AB76" s="235">
        <f>V76/P76*100</f>
        <v>66.202499588312008</v>
      </c>
      <c r="AC76" s="92">
        <f>U76</f>
        <v>100</v>
      </c>
      <c r="AD76" s="64">
        <f>V76</f>
        <v>6169916733</v>
      </c>
      <c r="AE76" s="89">
        <f t="shared" ref="AE76:AE78" si="63">AC76/H76*100</f>
        <v>100</v>
      </c>
      <c r="AF76" s="32" t="str">
        <f t="shared" ref="AF76:AF78" si="64">IF(AE76&gt;=91,"Sangat Tinggi",IF(AE76&gt;=76,"Tinggi",IF(AE76&gt;=66,"Sedang",IF(AE76&gt;=51,"Rendah",IF(AE76&lt;=50,"Sangat Rendah")))))</f>
        <v>Sangat Tinggi</v>
      </c>
      <c r="AG76" s="354">
        <f t="shared" ref="AG76:AG78" si="65">AD76/J76*100</f>
        <v>22.067499862770667</v>
      </c>
      <c r="AH76" s="412"/>
      <c r="AK76" s="119"/>
    </row>
    <row r="77" spans="1:37" ht="105" x14ac:dyDescent="0.2">
      <c r="A77" s="17"/>
      <c r="B77" s="61"/>
      <c r="C77" s="20" t="s">
        <v>417</v>
      </c>
      <c r="D77" s="20" t="s">
        <v>416</v>
      </c>
      <c r="E77" s="131">
        <v>100</v>
      </c>
      <c r="F77" s="125" t="s">
        <v>27</v>
      </c>
      <c r="G77" s="29"/>
      <c r="H77" s="131">
        <v>100</v>
      </c>
      <c r="I77" s="125" t="s">
        <v>27</v>
      </c>
      <c r="J77" s="196">
        <v>11598712500</v>
      </c>
      <c r="K77" s="131">
        <v>100</v>
      </c>
      <c r="L77" s="31">
        <v>2349742500</v>
      </c>
      <c r="M77" s="131">
        <v>100</v>
      </c>
      <c r="N77" s="31">
        <v>2175155000</v>
      </c>
      <c r="O77" s="131"/>
      <c r="P77" s="31"/>
      <c r="Q77" s="131">
        <v>100</v>
      </c>
      <c r="R77" s="49">
        <v>1766723887</v>
      </c>
      <c r="S77" s="77">
        <v>169.33</v>
      </c>
      <c r="T77" s="49">
        <v>1560974445</v>
      </c>
      <c r="U77" s="77"/>
      <c r="V77" s="49"/>
      <c r="W77" s="131">
        <f>Q77/K77*100</f>
        <v>100</v>
      </c>
      <c r="X77" s="238">
        <f>R77/L77*100</f>
        <v>75.18797855509699</v>
      </c>
      <c r="Y77" s="77">
        <f>S77/M77*100</f>
        <v>169.33</v>
      </c>
      <c r="Z77" s="238">
        <f>T77/N77*100</f>
        <v>71.76382579632255</v>
      </c>
      <c r="AA77" s="77"/>
      <c r="AB77" s="238"/>
      <c r="AC77" s="173">
        <f>S77</f>
        <v>169.33</v>
      </c>
      <c r="AD77" s="23">
        <f>R77+T77</f>
        <v>3327698332</v>
      </c>
      <c r="AE77" s="89">
        <f t="shared" si="63"/>
        <v>169.33</v>
      </c>
      <c r="AF77" s="32" t="str">
        <f t="shared" si="64"/>
        <v>Sangat Tinggi</v>
      </c>
      <c r="AG77" s="354">
        <f>AD77/J77*100</f>
        <v>28.690238955401298</v>
      </c>
      <c r="AH77" s="410" t="s">
        <v>429</v>
      </c>
      <c r="AK77" s="119">
        <f>R77</f>
        <v>1766723887</v>
      </c>
    </row>
    <row r="78" spans="1:37" ht="105" x14ac:dyDescent="0.2">
      <c r="A78" s="17"/>
      <c r="B78" s="61"/>
      <c r="C78" s="94" t="s">
        <v>735</v>
      </c>
      <c r="D78" s="14" t="s">
        <v>403</v>
      </c>
      <c r="E78" s="131"/>
      <c r="F78" s="330"/>
      <c r="G78" s="236"/>
      <c r="H78" s="131">
        <v>100</v>
      </c>
      <c r="I78" s="387" t="s">
        <v>27</v>
      </c>
      <c r="J78" s="196">
        <v>5963912700</v>
      </c>
      <c r="K78" s="131"/>
      <c r="L78" s="196"/>
      <c r="M78" s="131"/>
      <c r="N78" s="196"/>
      <c r="O78" s="131">
        <v>100</v>
      </c>
      <c r="P78" s="196">
        <v>1987970900</v>
      </c>
      <c r="Q78" s="77"/>
      <c r="R78" s="179"/>
      <c r="S78" s="77"/>
      <c r="T78" s="179"/>
      <c r="U78" s="131">
        <v>100</v>
      </c>
      <c r="V78" s="179">
        <v>1533552000</v>
      </c>
      <c r="W78" s="56"/>
      <c r="X78" s="237"/>
      <c r="Y78" s="56"/>
      <c r="Z78" s="237"/>
      <c r="AA78" s="89">
        <f>U78/O78*100</f>
        <v>100</v>
      </c>
      <c r="AB78" s="237">
        <f>V78/P78*100</f>
        <v>77.141571840915773</v>
      </c>
      <c r="AC78" s="92">
        <f>U78</f>
        <v>100</v>
      </c>
      <c r="AD78" s="64">
        <f>V78</f>
        <v>1533552000</v>
      </c>
      <c r="AE78" s="89">
        <f t="shared" si="63"/>
        <v>100</v>
      </c>
      <c r="AF78" s="32" t="str">
        <f t="shared" si="64"/>
        <v>Sangat Tinggi</v>
      </c>
      <c r="AG78" s="354">
        <f t="shared" si="65"/>
        <v>25.713857280305259</v>
      </c>
      <c r="AH78" s="412"/>
      <c r="AK78" s="119"/>
    </row>
    <row r="79" spans="1:37" ht="90" x14ac:dyDescent="0.2">
      <c r="A79" s="17"/>
      <c r="B79" s="61"/>
      <c r="C79" s="94" t="s">
        <v>418</v>
      </c>
      <c r="D79" s="14" t="s">
        <v>419</v>
      </c>
      <c r="E79" s="131">
        <v>100</v>
      </c>
      <c r="F79" s="125" t="s">
        <v>27</v>
      </c>
      <c r="G79" s="193"/>
      <c r="H79" s="131">
        <v>100</v>
      </c>
      <c r="I79" s="125" t="s">
        <v>27</v>
      </c>
      <c r="J79" s="196">
        <v>7492968000</v>
      </c>
      <c r="K79" s="131">
        <v>100</v>
      </c>
      <c r="L79" s="196">
        <v>1159204000</v>
      </c>
      <c r="M79" s="131">
        <v>100</v>
      </c>
      <c r="N79" s="196">
        <v>771169000</v>
      </c>
      <c r="O79" s="131"/>
      <c r="P79" s="196"/>
      <c r="Q79" s="77">
        <v>100</v>
      </c>
      <c r="R79" s="183">
        <v>1039814519</v>
      </c>
      <c r="S79" s="131">
        <v>100</v>
      </c>
      <c r="T79" s="183">
        <v>678571148</v>
      </c>
      <c r="U79" s="131"/>
      <c r="V79" s="183"/>
      <c r="W79" s="56">
        <f>Q79/K79*100</f>
        <v>100</v>
      </c>
      <c r="X79" s="237">
        <f>R79/L79*100</f>
        <v>89.700735936038868</v>
      </c>
      <c r="Y79" s="56">
        <f>S79/M79*100</f>
        <v>100</v>
      </c>
      <c r="Z79" s="237">
        <f>T79/N79*100</f>
        <v>87.992534450943964</v>
      </c>
      <c r="AA79" s="56"/>
      <c r="AB79" s="237"/>
      <c r="AC79" s="92">
        <f>S79</f>
        <v>100</v>
      </c>
      <c r="AD79" s="195">
        <f>R79+T79</f>
        <v>1718385667</v>
      </c>
      <c r="AE79" s="89">
        <f t="shared" ref="AE79:AE81" si="66">AC79/H79*100</f>
        <v>100</v>
      </c>
      <c r="AF79" s="32" t="str">
        <f t="shared" ref="AF79:AF81" si="67">IF(AE79&gt;=91,"Sangat Tinggi",IF(AE79&gt;=76,"Tinggi",IF(AE79&gt;=66,"Sedang",IF(AE79&gt;=51,"Rendah",IF(AE79&lt;=50,"Sangat Rendah")))))</f>
        <v>Sangat Tinggi</v>
      </c>
      <c r="AG79" s="354">
        <f t="shared" ref="AG79:AG81" si="68">AD79/J79*100</f>
        <v>22.933311165882465</v>
      </c>
      <c r="AH79" s="410" t="s">
        <v>430</v>
      </c>
      <c r="AK79" s="119">
        <f>R79</f>
        <v>1039814519</v>
      </c>
    </row>
    <row r="80" spans="1:37" ht="90" x14ac:dyDescent="0.2">
      <c r="A80" s="17"/>
      <c r="B80" s="61"/>
      <c r="C80" s="20"/>
      <c r="D80" s="14" t="s">
        <v>420</v>
      </c>
      <c r="E80" s="77">
        <v>58.82</v>
      </c>
      <c r="F80" s="125" t="s">
        <v>27</v>
      </c>
      <c r="G80" s="29"/>
      <c r="H80" s="131">
        <v>100</v>
      </c>
      <c r="I80" s="125" t="s">
        <v>27</v>
      </c>
      <c r="J80" s="31"/>
      <c r="K80" s="77">
        <v>70.59</v>
      </c>
      <c r="L80" s="31"/>
      <c r="M80" s="77">
        <v>88.24</v>
      </c>
      <c r="N80" s="31"/>
      <c r="O80" s="77"/>
      <c r="P80" s="31"/>
      <c r="Q80" s="77">
        <v>70.59</v>
      </c>
      <c r="R80" s="49"/>
      <c r="S80" s="77">
        <v>70.59</v>
      </c>
      <c r="T80" s="49"/>
      <c r="U80" s="77"/>
      <c r="V80" s="49"/>
      <c r="W80" s="89">
        <f>Q80/K80*100</f>
        <v>100</v>
      </c>
      <c r="X80" s="238"/>
      <c r="Y80" s="56">
        <f>S80/M80*100</f>
        <v>79.997733454215776</v>
      </c>
      <c r="Z80" s="238"/>
      <c r="AA80" s="89"/>
      <c r="AB80" s="238"/>
      <c r="AC80" s="92">
        <f>S80</f>
        <v>70.59</v>
      </c>
      <c r="AD80" s="5"/>
      <c r="AE80" s="89">
        <f t="shared" si="66"/>
        <v>70.59</v>
      </c>
      <c r="AF80" s="32" t="str">
        <f t="shared" si="67"/>
        <v>Sedang</v>
      </c>
      <c r="AG80" s="77"/>
      <c r="AH80" s="411"/>
      <c r="AK80" s="119">
        <f>R80</f>
        <v>0</v>
      </c>
    </row>
    <row r="81" spans="1:37" ht="137.44999999999999" customHeight="1" x14ac:dyDescent="0.2">
      <c r="A81" s="17"/>
      <c r="B81" s="61"/>
      <c r="C81" s="20" t="s">
        <v>736</v>
      </c>
      <c r="D81" s="14" t="s">
        <v>737</v>
      </c>
      <c r="E81" s="77"/>
      <c r="F81" s="330"/>
      <c r="G81" s="29"/>
      <c r="H81" s="131">
        <v>100</v>
      </c>
      <c r="I81" s="387" t="s">
        <v>27</v>
      </c>
      <c r="J81" s="31">
        <v>2187071400</v>
      </c>
      <c r="K81" s="77"/>
      <c r="L81" s="31"/>
      <c r="M81" s="77"/>
      <c r="N81" s="31"/>
      <c r="O81" s="131">
        <v>100</v>
      </c>
      <c r="P81" s="31">
        <v>729023800</v>
      </c>
      <c r="Q81" s="77"/>
      <c r="R81" s="49"/>
      <c r="S81" s="77"/>
      <c r="T81" s="49"/>
      <c r="U81" s="131">
        <v>100</v>
      </c>
      <c r="V81" s="49">
        <v>577557653</v>
      </c>
      <c r="W81" s="56"/>
      <c r="X81" s="238"/>
      <c r="Y81" s="56"/>
      <c r="Z81" s="238"/>
      <c r="AA81" s="89">
        <f>U81/O81*100</f>
        <v>100</v>
      </c>
      <c r="AB81" s="238">
        <f>V81/P81*100</f>
        <v>79.223429056774279</v>
      </c>
      <c r="AC81" s="92">
        <f>U81</f>
        <v>100</v>
      </c>
      <c r="AD81" s="64">
        <f>V81</f>
        <v>577557653</v>
      </c>
      <c r="AE81" s="89">
        <f t="shared" si="66"/>
        <v>100</v>
      </c>
      <c r="AF81" s="32" t="str">
        <f t="shared" si="67"/>
        <v>Sangat Tinggi</v>
      </c>
      <c r="AG81" s="354">
        <f t="shared" si="68"/>
        <v>26.407809685591427</v>
      </c>
      <c r="AH81" s="412"/>
      <c r="AK81" s="119"/>
    </row>
    <row r="82" spans="1:37" ht="137.44999999999999" customHeight="1" x14ac:dyDescent="0.2">
      <c r="A82" s="17"/>
      <c r="B82" s="61"/>
      <c r="C82" s="14" t="s">
        <v>421</v>
      </c>
      <c r="D82" s="14" t="s">
        <v>422</v>
      </c>
      <c r="E82" s="131">
        <v>50</v>
      </c>
      <c r="F82" s="125" t="s">
        <v>27</v>
      </c>
      <c r="G82" s="12"/>
      <c r="H82" s="131">
        <v>100</v>
      </c>
      <c r="I82" s="125" t="s">
        <v>27</v>
      </c>
      <c r="J82" s="30">
        <v>568125000</v>
      </c>
      <c r="K82" s="131">
        <v>75</v>
      </c>
      <c r="L82" s="30">
        <v>113625000</v>
      </c>
      <c r="M82" s="131">
        <v>100</v>
      </c>
      <c r="N82" s="30">
        <v>87510000</v>
      </c>
      <c r="O82" s="131"/>
      <c r="P82" s="30"/>
      <c r="Q82" s="77">
        <v>100</v>
      </c>
      <c r="R82" s="82">
        <v>30385000</v>
      </c>
      <c r="S82" s="131">
        <v>100</v>
      </c>
      <c r="T82" s="49">
        <v>45972500</v>
      </c>
      <c r="U82" s="131"/>
      <c r="V82" s="49"/>
      <c r="W82" s="56">
        <f>Q82/K82*100</f>
        <v>133.33333333333331</v>
      </c>
      <c r="X82" s="235">
        <f>R82/L82*100</f>
        <v>26.741474147414738</v>
      </c>
      <c r="Y82" s="56">
        <f>S82/M82*100</f>
        <v>100</v>
      </c>
      <c r="Z82" s="235">
        <f>T82/N82*100</f>
        <v>52.533996114729739</v>
      </c>
      <c r="AA82" s="56"/>
      <c r="AB82" s="235"/>
      <c r="AC82" s="92">
        <f>S82</f>
        <v>100</v>
      </c>
      <c r="AD82" s="195">
        <f>R82+T82</f>
        <v>76357500</v>
      </c>
      <c r="AE82" s="89">
        <f t="shared" ref="AE82:AE85" si="69">AC82/H82*100</f>
        <v>100</v>
      </c>
      <c r="AF82" s="32" t="str">
        <f t="shared" ref="AF82:AF85" si="70">IF(AE82&gt;=91,"Sangat Tinggi",IF(AE82&gt;=76,"Tinggi",IF(AE82&gt;=66,"Sedang",IF(AE82&gt;=51,"Rendah",IF(AE82&lt;=50,"Sangat Rendah")))))</f>
        <v>Sangat Tinggi</v>
      </c>
      <c r="AG82" s="354">
        <f>AD82/J82*100</f>
        <v>13.440264026402641</v>
      </c>
      <c r="AH82" s="410" t="s">
        <v>819</v>
      </c>
      <c r="AK82" s="119">
        <f>R82</f>
        <v>30385000</v>
      </c>
    </row>
    <row r="83" spans="1:37" ht="135" x14ac:dyDescent="0.2">
      <c r="A83" s="17"/>
      <c r="B83" s="61"/>
      <c r="C83" s="14" t="s">
        <v>736</v>
      </c>
      <c r="D83" s="14" t="s">
        <v>818</v>
      </c>
      <c r="E83" s="131"/>
      <c r="F83" s="330"/>
      <c r="G83" s="12"/>
      <c r="H83" s="131">
        <v>100</v>
      </c>
      <c r="I83" s="387" t="s">
        <v>27</v>
      </c>
      <c r="J83" s="30">
        <v>1158629400</v>
      </c>
      <c r="K83" s="131"/>
      <c r="L83" s="30"/>
      <c r="M83" s="131"/>
      <c r="N83" s="30"/>
      <c r="O83" s="131">
        <v>100</v>
      </c>
      <c r="P83" s="30">
        <v>386209800</v>
      </c>
      <c r="Q83" s="77"/>
      <c r="R83" s="82"/>
      <c r="S83" s="131"/>
      <c r="T83" s="49"/>
      <c r="U83" s="131">
        <v>100</v>
      </c>
      <c r="V83" s="49">
        <v>143307300</v>
      </c>
      <c r="W83" s="56"/>
      <c r="X83" s="235"/>
      <c r="Y83" s="56"/>
      <c r="Z83" s="235"/>
      <c r="AA83" s="89">
        <f>U83/O83*100</f>
        <v>100</v>
      </c>
      <c r="AB83" s="235">
        <f>V83/P83*100</f>
        <v>37.106075506110926</v>
      </c>
      <c r="AC83" s="92">
        <f>U83</f>
        <v>100</v>
      </c>
      <c r="AD83" s="64">
        <f>V83</f>
        <v>143307300</v>
      </c>
      <c r="AE83" s="89">
        <f t="shared" si="69"/>
        <v>100</v>
      </c>
      <c r="AF83" s="32" t="str">
        <f t="shared" si="70"/>
        <v>Sangat Tinggi</v>
      </c>
      <c r="AG83" s="354">
        <f t="shared" ref="AG83:AG85" si="71">AD83/J83*100</f>
        <v>12.368691835370308</v>
      </c>
      <c r="AH83" s="412"/>
      <c r="AK83" s="119"/>
    </row>
    <row r="84" spans="1:37" ht="90" x14ac:dyDescent="0.2">
      <c r="A84" s="17"/>
      <c r="B84" s="61"/>
      <c r="C84" s="212" t="s">
        <v>423</v>
      </c>
      <c r="D84" s="212" t="s">
        <v>424</v>
      </c>
      <c r="E84" s="131">
        <v>10</v>
      </c>
      <c r="F84" s="144" t="s">
        <v>27</v>
      </c>
      <c r="G84" s="12"/>
      <c r="H84" s="131">
        <v>100</v>
      </c>
      <c r="I84" s="144" t="s">
        <v>27</v>
      </c>
      <c r="J84" s="30">
        <v>62250000</v>
      </c>
      <c r="K84" s="131">
        <v>20</v>
      </c>
      <c r="L84" s="30">
        <v>62250000</v>
      </c>
      <c r="M84" s="131"/>
      <c r="N84" s="30"/>
      <c r="O84" s="131"/>
      <c r="P84" s="30"/>
      <c r="Q84" s="131">
        <v>20</v>
      </c>
      <c r="R84" s="49">
        <v>9998400</v>
      </c>
      <c r="S84" s="131"/>
      <c r="T84" s="49"/>
      <c r="U84" s="131"/>
      <c r="V84" s="49"/>
      <c r="W84" s="56">
        <f>Q84/K84*100</f>
        <v>100</v>
      </c>
      <c r="X84" s="235">
        <f>R84/L84*100</f>
        <v>16.061686746987952</v>
      </c>
      <c r="Y84" s="56"/>
      <c r="Z84" s="235"/>
      <c r="AA84" s="56"/>
      <c r="AB84" s="235"/>
      <c r="AC84" s="92">
        <f>Q84</f>
        <v>20</v>
      </c>
      <c r="AD84" s="360">
        <f>R84</f>
        <v>9998400</v>
      </c>
      <c r="AE84" s="89">
        <f t="shared" si="69"/>
        <v>20</v>
      </c>
      <c r="AF84" s="32" t="str">
        <f t="shared" si="70"/>
        <v>Sangat Rendah</v>
      </c>
      <c r="AG84" s="354">
        <f t="shared" si="71"/>
        <v>16.061686746987952</v>
      </c>
      <c r="AH84" s="410" t="s">
        <v>384</v>
      </c>
      <c r="AK84" s="119">
        <f>R84</f>
        <v>9998400</v>
      </c>
    </row>
    <row r="85" spans="1:37" ht="87.75" customHeight="1" x14ac:dyDescent="0.2">
      <c r="A85" s="132"/>
      <c r="B85" s="71"/>
      <c r="C85" s="134" t="s">
        <v>704</v>
      </c>
      <c r="D85" s="1" t="s">
        <v>705</v>
      </c>
      <c r="E85" s="129"/>
      <c r="F85" s="48"/>
      <c r="G85" s="29"/>
      <c r="H85" s="129">
        <v>100</v>
      </c>
      <c r="I85" s="48" t="s">
        <v>27</v>
      </c>
      <c r="J85" s="274">
        <v>5011859850</v>
      </c>
      <c r="K85" s="129"/>
      <c r="L85" s="274"/>
      <c r="M85" s="129"/>
      <c r="N85" s="274"/>
      <c r="O85" s="129">
        <v>100</v>
      </c>
      <c r="P85" s="274">
        <v>1670619950</v>
      </c>
      <c r="Q85" s="275"/>
      <c r="R85" s="252"/>
      <c r="S85" s="129"/>
      <c r="T85" s="252"/>
      <c r="U85" s="129">
        <v>100</v>
      </c>
      <c r="V85" s="252">
        <v>1463497768</v>
      </c>
      <c r="W85" s="56"/>
      <c r="X85" s="238"/>
      <c r="Y85" s="56"/>
      <c r="Z85" s="238"/>
      <c r="AA85" s="89">
        <f>U85/O85*100</f>
        <v>100</v>
      </c>
      <c r="AB85" s="238">
        <f>V85/P85*100</f>
        <v>87.602076582408827</v>
      </c>
      <c r="AC85" s="92">
        <f>U85</f>
        <v>100</v>
      </c>
      <c r="AD85" s="64">
        <f>V85</f>
        <v>1463497768</v>
      </c>
      <c r="AE85" s="89">
        <f t="shared" si="69"/>
        <v>100</v>
      </c>
      <c r="AF85" s="32" t="str">
        <f t="shared" si="70"/>
        <v>Sangat Tinggi</v>
      </c>
      <c r="AG85" s="354">
        <f t="shared" si="71"/>
        <v>29.200692194136273</v>
      </c>
      <c r="AH85" s="112"/>
      <c r="AK85" s="119"/>
    </row>
    <row r="86" spans="1:37" ht="90" x14ac:dyDescent="0.2">
      <c r="A86" s="65">
        <v>17</v>
      </c>
      <c r="B86" s="6" t="s">
        <v>120</v>
      </c>
      <c r="C86" s="14"/>
      <c r="D86" s="62" t="s">
        <v>478</v>
      </c>
      <c r="E86" s="276">
        <v>56.81</v>
      </c>
      <c r="F86" s="277" t="s">
        <v>30</v>
      </c>
      <c r="G86" s="227"/>
      <c r="H86" s="276">
        <v>67.09</v>
      </c>
      <c r="I86" s="277" t="s">
        <v>30</v>
      </c>
      <c r="J86" s="271">
        <f>SUM(J87:J95)</f>
        <v>19225110650</v>
      </c>
      <c r="K86" s="276">
        <v>60.29</v>
      </c>
      <c r="L86" s="271">
        <f>SUM(L87:L95)</f>
        <v>2662012000</v>
      </c>
      <c r="M86" s="276">
        <v>62.82</v>
      </c>
      <c r="N86" s="271">
        <f>SUM(N87:N95)</f>
        <v>1240210000</v>
      </c>
      <c r="O86" s="276">
        <v>63.81</v>
      </c>
      <c r="P86" s="271">
        <f>SUM(P87:P95)</f>
        <v>1058578550</v>
      </c>
      <c r="Q86" s="276">
        <v>62.95</v>
      </c>
      <c r="R86" s="271">
        <f>SUM(R87:R95)</f>
        <v>1109186200</v>
      </c>
      <c r="S86" s="276">
        <v>62.95</v>
      </c>
      <c r="T86" s="271">
        <f>SUM(T87:T95)</f>
        <v>810228100</v>
      </c>
      <c r="U86" s="276">
        <v>95</v>
      </c>
      <c r="V86" s="271">
        <f>SUM(V87:V95)</f>
        <v>871372306</v>
      </c>
      <c r="W86" s="234">
        <f t="shared" ref="W86:AB86" si="72">Q86/K86*100</f>
        <v>104.41200862497928</v>
      </c>
      <c r="X86" s="240">
        <f t="shared" si="72"/>
        <v>41.667212619627556</v>
      </c>
      <c r="Y86" s="234">
        <f t="shared" si="72"/>
        <v>100.20694046482012</v>
      </c>
      <c r="Z86" s="240">
        <f t="shared" si="72"/>
        <v>65.32991186976399</v>
      </c>
      <c r="AA86" s="234">
        <f>U86/O86*100</f>
        <v>148.87948597398525</v>
      </c>
      <c r="AB86" s="240">
        <f t="shared" si="72"/>
        <v>82.315318593976798</v>
      </c>
      <c r="AC86" s="223">
        <f t="shared" ref="AC86:AC91" si="73">S86</f>
        <v>62.95</v>
      </c>
      <c r="AD86" s="321">
        <f>R86+T86+V86</f>
        <v>2790786606</v>
      </c>
      <c r="AE86" s="234">
        <f t="shared" ref="AE86" si="74">AC86/H86*100</f>
        <v>93.829184677299153</v>
      </c>
      <c r="AF86" s="219" t="str">
        <f t="shared" ref="AF86:AF87" si="75">IF(AE86&gt;=91,"Sangat Tinggi",IF(AE86&gt;=76,"Tinggi",IF(AE86&gt;=66,"Sedang",IF(AE86&gt;=51,"Rendah",IF(AE86&lt;=50,"Sangat Rendah")))))</f>
        <v>Sangat Tinggi</v>
      </c>
      <c r="AG86" s="234">
        <f>AD86/J86*100</f>
        <v>14.516361735478489</v>
      </c>
      <c r="AH86" s="410" t="s">
        <v>448</v>
      </c>
      <c r="AK86" s="119">
        <f t="shared" ref="AK86:AK91" si="76">R86</f>
        <v>1109186200</v>
      </c>
    </row>
    <row r="87" spans="1:37" ht="75" x14ac:dyDescent="0.2">
      <c r="A87" s="17"/>
      <c r="B87" s="61"/>
      <c r="C87" s="14" t="s">
        <v>432</v>
      </c>
      <c r="D87" s="14" t="s">
        <v>431</v>
      </c>
      <c r="E87" s="131">
        <v>100</v>
      </c>
      <c r="F87" s="128" t="s">
        <v>27</v>
      </c>
      <c r="G87" s="11"/>
      <c r="H87" s="131">
        <v>100</v>
      </c>
      <c r="I87" s="128" t="s">
        <v>27</v>
      </c>
      <c r="J87" s="11">
        <v>4811150000</v>
      </c>
      <c r="K87" s="131">
        <v>100</v>
      </c>
      <c r="L87" s="83">
        <v>796485000</v>
      </c>
      <c r="M87" s="131">
        <v>100</v>
      </c>
      <c r="N87" s="83">
        <v>540840000</v>
      </c>
      <c r="O87" s="131"/>
      <c r="P87" s="83"/>
      <c r="Q87" s="131">
        <v>100</v>
      </c>
      <c r="R87" s="79">
        <v>518344600</v>
      </c>
      <c r="S87" s="131">
        <v>100</v>
      </c>
      <c r="T87" s="79">
        <v>349949600</v>
      </c>
      <c r="U87" s="131"/>
      <c r="V87" s="79"/>
      <c r="W87" s="89">
        <f t="shared" ref="W87:Z91" si="77">Q87/K87*100</f>
        <v>100</v>
      </c>
      <c r="X87" s="235">
        <f t="shared" si="77"/>
        <v>65.079015926225864</v>
      </c>
      <c r="Y87" s="56">
        <f t="shared" si="77"/>
        <v>100</v>
      </c>
      <c r="Z87" s="235">
        <f t="shared" si="77"/>
        <v>64.704829524443468</v>
      </c>
      <c r="AA87" s="56"/>
      <c r="AB87" s="235"/>
      <c r="AC87" s="92">
        <f t="shared" si="73"/>
        <v>100</v>
      </c>
      <c r="AD87" s="195">
        <f>R87+T87</f>
        <v>868294200</v>
      </c>
      <c r="AE87" s="89">
        <f>AC87/H87*100</f>
        <v>100</v>
      </c>
      <c r="AF87" s="32" t="str">
        <f t="shared" si="75"/>
        <v>Sangat Tinggi</v>
      </c>
      <c r="AG87" s="56">
        <f t="shared" ref="AG87" si="78">AD87/J87*100</f>
        <v>18.047539569541584</v>
      </c>
      <c r="AH87" s="111"/>
      <c r="AK87" s="119">
        <f t="shared" si="76"/>
        <v>518344600</v>
      </c>
    </row>
    <row r="88" spans="1:37" ht="75" x14ac:dyDescent="0.2">
      <c r="A88" s="60"/>
      <c r="B88" s="25"/>
      <c r="C88" s="14" t="s">
        <v>28</v>
      </c>
      <c r="D88" s="14" t="s">
        <v>433</v>
      </c>
      <c r="E88" s="131">
        <v>70</v>
      </c>
      <c r="F88" s="128" t="s">
        <v>27</v>
      </c>
      <c r="G88" s="11"/>
      <c r="H88" s="131">
        <v>100</v>
      </c>
      <c r="I88" s="128" t="s">
        <v>27</v>
      </c>
      <c r="J88" s="11">
        <v>536800000</v>
      </c>
      <c r="K88" s="131">
        <v>80</v>
      </c>
      <c r="L88" s="83">
        <v>59600000</v>
      </c>
      <c r="M88" s="131">
        <v>90</v>
      </c>
      <c r="N88" s="83">
        <v>40300000</v>
      </c>
      <c r="O88" s="131"/>
      <c r="P88" s="83"/>
      <c r="Q88" s="131">
        <v>100</v>
      </c>
      <c r="R88" s="79">
        <v>33224300</v>
      </c>
      <c r="S88" s="131">
        <v>100</v>
      </c>
      <c r="T88" s="79">
        <v>33082200</v>
      </c>
      <c r="U88" s="131"/>
      <c r="V88" s="79"/>
      <c r="W88" s="89">
        <f t="shared" si="77"/>
        <v>125</v>
      </c>
      <c r="X88" s="235">
        <f t="shared" si="77"/>
        <v>55.745469798657723</v>
      </c>
      <c r="Y88" s="56">
        <f t="shared" si="77"/>
        <v>111.11111111111111</v>
      </c>
      <c r="Z88" s="235">
        <f t="shared" si="77"/>
        <v>82.089826302729534</v>
      </c>
      <c r="AA88" s="56"/>
      <c r="AB88" s="235"/>
      <c r="AC88" s="92">
        <f t="shared" si="73"/>
        <v>100</v>
      </c>
      <c r="AD88" s="195">
        <f>R88+T88</f>
        <v>66306500</v>
      </c>
      <c r="AE88" s="89">
        <f t="shared" ref="AE88" si="79">AC88/H88*100</f>
        <v>100</v>
      </c>
      <c r="AF88" s="32" t="str">
        <f t="shared" ref="AF88:AF90" si="80">IF(AE88&gt;=91,"Sangat Tinggi",IF(AE88&gt;=76,"Tinggi",IF(AE88&gt;=66,"Sedang",IF(AE88&gt;=51,"Rendah",IF(AE88&lt;=50,"Sangat Rendah")))))</f>
        <v>Sangat Tinggi</v>
      </c>
      <c r="AG88" s="56">
        <f t="shared" ref="AG88:AG90" si="81">AD88/J88*100</f>
        <v>12.352179582712369</v>
      </c>
      <c r="AH88" s="111"/>
      <c r="AK88" s="119">
        <f t="shared" si="76"/>
        <v>33224300</v>
      </c>
    </row>
    <row r="89" spans="1:37" ht="109.5" customHeight="1" x14ac:dyDescent="0.2">
      <c r="A89" s="17"/>
      <c r="B89" s="61"/>
      <c r="C89" s="14" t="s">
        <v>29</v>
      </c>
      <c r="D89" s="14" t="s">
        <v>434</v>
      </c>
      <c r="E89" s="131">
        <v>80</v>
      </c>
      <c r="F89" s="128" t="s">
        <v>27</v>
      </c>
      <c r="G89" s="9"/>
      <c r="H89" s="131">
        <v>90</v>
      </c>
      <c r="I89" s="128" t="s">
        <v>27</v>
      </c>
      <c r="J89" s="9">
        <v>1314100000</v>
      </c>
      <c r="K89" s="131">
        <v>80</v>
      </c>
      <c r="L89" s="84">
        <v>203100000</v>
      </c>
      <c r="M89" s="131">
        <v>90</v>
      </c>
      <c r="N89" s="84">
        <v>230200000</v>
      </c>
      <c r="O89" s="131"/>
      <c r="P89" s="84"/>
      <c r="Q89" s="131">
        <v>100</v>
      </c>
      <c r="R89" s="85">
        <v>163299500</v>
      </c>
      <c r="S89" s="131">
        <v>100</v>
      </c>
      <c r="T89" s="85">
        <v>220181800</v>
      </c>
      <c r="U89" s="131"/>
      <c r="V89" s="85"/>
      <c r="W89" s="89">
        <f t="shared" si="77"/>
        <v>125</v>
      </c>
      <c r="X89" s="235">
        <f t="shared" si="77"/>
        <v>80.403495814869515</v>
      </c>
      <c r="Y89" s="56">
        <f t="shared" si="77"/>
        <v>111.11111111111111</v>
      </c>
      <c r="Z89" s="235">
        <f t="shared" si="77"/>
        <v>95.648045178105988</v>
      </c>
      <c r="AA89" s="56"/>
      <c r="AB89" s="235"/>
      <c r="AC89" s="92">
        <f t="shared" si="73"/>
        <v>100</v>
      </c>
      <c r="AD89" s="195">
        <f>R89+T89</f>
        <v>383481300</v>
      </c>
      <c r="AE89" s="56">
        <f>AC89/H89*100</f>
        <v>111.11111111111111</v>
      </c>
      <c r="AF89" s="32" t="str">
        <f t="shared" si="80"/>
        <v>Sangat Tinggi</v>
      </c>
      <c r="AG89" s="56">
        <f t="shared" si="81"/>
        <v>29.182048550338635</v>
      </c>
      <c r="AH89" s="111"/>
      <c r="AK89" s="119">
        <f t="shared" si="76"/>
        <v>163299500</v>
      </c>
    </row>
    <row r="90" spans="1:37" ht="165" x14ac:dyDescent="0.2">
      <c r="A90" s="17"/>
      <c r="B90" s="61"/>
      <c r="C90" s="14" t="s">
        <v>435</v>
      </c>
      <c r="D90" s="14" t="s">
        <v>436</v>
      </c>
      <c r="E90" s="131">
        <v>100</v>
      </c>
      <c r="F90" s="128" t="s">
        <v>27</v>
      </c>
      <c r="G90" s="11"/>
      <c r="H90" s="131">
        <v>100</v>
      </c>
      <c r="I90" s="128" t="s">
        <v>27</v>
      </c>
      <c r="J90" s="11">
        <v>1453550000</v>
      </c>
      <c r="K90" s="131">
        <v>100</v>
      </c>
      <c r="L90" s="83">
        <v>358750000</v>
      </c>
      <c r="M90" s="131">
        <v>100</v>
      </c>
      <c r="N90" s="83">
        <v>132420000</v>
      </c>
      <c r="O90" s="131"/>
      <c r="P90" s="83"/>
      <c r="Q90" s="131">
        <v>100</v>
      </c>
      <c r="R90" s="79">
        <v>164826800</v>
      </c>
      <c r="S90" s="131">
        <v>100</v>
      </c>
      <c r="T90" s="79">
        <v>20214500</v>
      </c>
      <c r="U90" s="131"/>
      <c r="V90" s="79"/>
      <c r="W90" s="89">
        <f t="shared" si="77"/>
        <v>100</v>
      </c>
      <c r="X90" s="235">
        <f t="shared" si="77"/>
        <v>45.944752613240418</v>
      </c>
      <c r="Y90" s="56">
        <f t="shared" si="77"/>
        <v>100</v>
      </c>
      <c r="Z90" s="235">
        <f t="shared" si="77"/>
        <v>15.265443286512612</v>
      </c>
      <c r="AA90" s="56"/>
      <c r="AB90" s="235"/>
      <c r="AC90" s="92">
        <f t="shared" si="73"/>
        <v>100</v>
      </c>
      <c r="AD90" s="195">
        <f>R90+T90</f>
        <v>185041300</v>
      </c>
      <c r="AE90" s="89">
        <f>AC90/H90*100</f>
        <v>100</v>
      </c>
      <c r="AF90" s="32" t="str">
        <f t="shared" si="80"/>
        <v>Sangat Tinggi</v>
      </c>
      <c r="AG90" s="56">
        <f t="shared" si="81"/>
        <v>12.730301675208972</v>
      </c>
      <c r="AH90" s="111"/>
      <c r="AK90" s="119">
        <f t="shared" si="76"/>
        <v>164826800</v>
      </c>
    </row>
    <row r="91" spans="1:37" ht="165" x14ac:dyDescent="0.2">
      <c r="A91" s="60"/>
      <c r="B91" s="25"/>
      <c r="C91" s="14" t="s">
        <v>437</v>
      </c>
      <c r="D91" s="14" t="s">
        <v>438</v>
      </c>
      <c r="E91" s="131">
        <v>100</v>
      </c>
      <c r="F91" s="128" t="s">
        <v>27</v>
      </c>
      <c r="G91" s="11"/>
      <c r="H91" s="131">
        <v>100</v>
      </c>
      <c r="I91" s="128" t="s">
        <v>27</v>
      </c>
      <c r="J91" s="11">
        <v>4038125000</v>
      </c>
      <c r="K91" s="131">
        <v>100</v>
      </c>
      <c r="L91" s="83">
        <v>598427000</v>
      </c>
      <c r="M91" s="131">
        <v>100</v>
      </c>
      <c r="N91" s="83">
        <v>194200000</v>
      </c>
      <c r="O91" s="131"/>
      <c r="P91" s="83"/>
      <c r="Q91" s="131">
        <v>100</v>
      </c>
      <c r="R91" s="79">
        <v>212378500</v>
      </c>
      <c r="S91" s="131">
        <v>100</v>
      </c>
      <c r="T91" s="79">
        <v>179300000</v>
      </c>
      <c r="U91" s="131"/>
      <c r="V91" s="79"/>
      <c r="W91" s="89">
        <f t="shared" si="77"/>
        <v>100</v>
      </c>
      <c r="X91" s="235">
        <f t="shared" si="77"/>
        <v>35.489458196237806</v>
      </c>
      <c r="Y91" s="56">
        <f t="shared" si="77"/>
        <v>100</v>
      </c>
      <c r="Z91" s="235">
        <f t="shared" si="77"/>
        <v>92.327497425334698</v>
      </c>
      <c r="AA91" s="56"/>
      <c r="AB91" s="235"/>
      <c r="AC91" s="92">
        <f t="shared" si="73"/>
        <v>100</v>
      </c>
      <c r="AD91" s="195">
        <f>R91+T91</f>
        <v>391678500</v>
      </c>
      <c r="AE91" s="89">
        <f t="shared" ref="AE91" si="82">AC91/H91*100</f>
        <v>100</v>
      </c>
      <c r="AF91" s="32" t="str">
        <f t="shared" ref="AF91:AF94" si="83">IF(AE91&gt;=91,"Sangat Tinggi",IF(AE91&gt;=76,"Tinggi",IF(AE91&gt;=66,"Sedang",IF(AE91&gt;=51,"Rendah",IF(AE91&lt;=50,"Sangat Rendah")))))</f>
        <v>Sangat Tinggi</v>
      </c>
      <c r="AG91" s="56">
        <f t="shared" ref="AG91:AG94" si="84">AD91/J91*100</f>
        <v>9.6995140071196406</v>
      </c>
      <c r="AH91" s="111"/>
      <c r="AK91" s="119">
        <f t="shared" si="76"/>
        <v>212378500</v>
      </c>
    </row>
    <row r="92" spans="1:37" ht="120" x14ac:dyDescent="0.2">
      <c r="A92" s="60"/>
      <c r="B92" s="25"/>
      <c r="C92" s="14" t="s">
        <v>738</v>
      </c>
      <c r="D92" s="14" t="s">
        <v>739</v>
      </c>
      <c r="E92" s="131"/>
      <c r="F92" s="330"/>
      <c r="G92" s="11"/>
      <c r="H92" s="131">
        <v>96</v>
      </c>
      <c r="I92" s="330" t="s">
        <v>27</v>
      </c>
      <c r="J92" s="11">
        <v>1649931750</v>
      </c>
      <c r="K92" s="131"/>
      <c r="L92" s="83"/>
      <c r="M92" s="131"/>
      <c r="N92" s="83"/>
      <c r="O92" s="131">
        <v>84</v>
      </c>
      <c r="P92" s="83">
        <v>549977250</v>
      </c>
      <c r="Q92" s="131"/>
      <c r="R92" s="79"/>
      <c r="S92" s="131"/>
      <c r="T92" s="79"/>
      <c r="U92" s="131">
        <v>100</v>
      </c>
      <c r="V92" s="79">
        <v>440272800</v>
      </c>
      <c r="W92" s="56"/>
      <c r="X92" s="235"/>
      <c r="Y92" s="56"/>
      <c r="Z92" s="235"/>
      <c r="AA92" s="56">
        <f t="shared" ref="AA92:AB94" si="85">U92/O92*100</f>
        <v>119.04761904761905</v>
      </c>
      <c r="AB92" s="235">
        <f t="shared" si="85"/>
        <v>80.052911279512017</v>
      </c>
      <c r="AC92" s="92">
        <f>U92</f>
        <v>100</v>
      </c>
      <c r="AD92" s="195">
        <f>V92</f>
        <v>440272800</v>
      </c>
      <c r="AE92" s="56">
        <f>AC92/H92*100</f>
        <v>104.16666666666667</v>
      </c>
      <c r="AF92" s="32" t="str">
        <f t="shared" si="83"/>
        <v>Sangat Tinggi</v>
      </c>
      <c r="AG92" s="56">
        <f t="shared" si="84"/>
        <v>26.684303759837341</v>
      </c>
      <c r="AH92" s="111"/>
      <c r="AK92" s="119"/>
    </row>
    <row r="93" spans="1:37" ht="120" x14ac:dyDescent="0.2">
      <c r="A93" s="60"/>
      <c r="B93" s="25"/>
      <c r="C93" s="14" t="s">
        <v>740</v>
      </c>
      <c r="D93" s="14" t="s">
        <v>741</v>
      </c>
      <c r="E93" s="131"/>
      <c r="F93" s="330"/>
      <c r="G93" s="11"/>
      <c r="H93" s="131">
        <v>100</v>
      </c>
      <c r="I93" s="330" t="s">
        <v>27</v>
      </c>
      <c r="J93" s="11">
        <v>718319400</v>
      </c>
      <c r="K93" s="131"/>
      <c r="L93" s="83"/>
      <c r="M93" s="131"/>
      <c r="N93" s="83"/>
      <c r="O93" s="131">
        <v>100</v>
      </c>
      <c r="P93" s="83">
        <v>239439800</v>
      </c>
      <c r="Q93" s="131"/>
      <c r="R93" s="79"/>
      <c r="S93" s="131"/>
      <c r="T93" s="79"/>
      <c r="U93" s="131">
        <v>100</v>
      </c>
      <c r="V93" s="79">
        <v>167877606</v>
      </c>
      <c r="W93" s="56"/>
      <c r="X93" s="235"/>
      <c r="Y93" s="56"/>
      <c r="Z93" s="235"/>
      <c r="AA93" s="89">
        <f t="shared" si="85"/>
        <v>100</v>
      </c>
      <c r="AB93" s="235">
        <f t="shared" si="85"/>
        <v>70.112657127177698</v>
      </c>
      <c r="AC93" s="92">
        <f t="shared" ref="AC93:AC94" si="86">U93</f>
        <v>100</v>
      </c>
      <c r="AD93" s="195">
        <f t="shared" ref="AD93:AD94" si="87">V93</f>
        <v>167877606</v>
      </c>
      <c r="AE93" s="89">
        <f t="shared" ref="AE93" si="88">AC93/H93*100</f>
        <v>100</v>
      </c>
      <c r="AF93" s="32" t="str">
        <f t="shared" si="83"/>
        <v>Sangat Tinggi</v>
      </c>
      <c r="AG93" s="56">
        <f t="shared" si="84"/>
        <v>23.37088570905923</v>
      </c>
      <c r="AH93" s="111"/>
      <c r="AK93" s="119"/>
    </row>
    <row r="94" spans="1:37" ht="64.5" customHeight="1" x14ac:dyDescent="0.2">
      <c r="A94" s="60"/>
      <c r="B94" s="25"/>
      <c r="C94" s="14" t="s">
        <v>742</v>
      </c>
      <c r="D94" s="14" t="s">
        <v>743</v>
      </c>
      <c r="E94" s="131"/>
      <c r="F94" s="330"/>
      <c r="G94" s="11"/>
      <c r="H94" s="175">
        <v>64.89</v>
      </c>
      <c r="I94" s="330" t="s">
        <v>25</v>
      </c>
      <c r="J94" s="11">
        <v>807484500</v>
      </c>
      <c r="K94" s="131"/>
      <c r="L94" s="83"/>
      <c r="M94" s="131"/>
      <c r="N94" s="83"/>
      <c r="O94" s="175">
        <v>61.83</v>
      </c>
      <c r="P94" s="83">
        <v>269161500</v>
      </c>
      <c r="Q94" s="131"/>
      <c r="R94" s="79"/>
      <c r="S94" s="131"/>
      <c r="T94" s="79"/>
      <c r="U94" s="77">
        <v>61.83</v>
      </c>
      <c r="V94" s="79">
        <v>263221900</v>
      </c>
      <c r="W94" s="56"/>
      <c r="X94" s="235"/>
      <c r="Y94" s="56"/>
      <c r="Z94" s="235"/>
      <c r="AA94" s="89">
        <f t="shared" si="85"/>
        <v>100</v>
      </c>
      <c r="AB94" s="235">
        <f t="shared" si="85"/>
        <v>97.793295103497343</v>
      </c>
      <c r="AC94" s="74">
        <f t="shared" si="86"/>
        <v>61.83</v>
      </c>
      <c r="AD94" s="195">
        <f t="shared" si="87"/>
        <v>263221900</v>
      </c>
      <c r="AE94" s="56">
        <f>AC94/H94*100</f>
        <v>95.284327323162259</v>
      </c>
      <c r="AF94" s="32" t="str">
        <f t="shared" si="83"/>
        <v>Sangat Tinggi</v>
      </c>
      <c r="AG94" s="56">
        <f t="shared" si="84"/>
        <v>32.597765034499119</v>
      </c>
      <c r="AH94" s="111"/>
      <c r="AK94" s="119"/>
    </row>
    <row r="95" spans="1:37" ht="85.5" customHeight="1" x14ac:dyDescent="0.2">
      <c r="A95" s="17"/>
      <c r="B95" s="61"/>
      <c r="C95" s="14" t="s">
        <v>439</v>
      </c>
      <c r="D95" s="14" t="s">
        <v>440</v>
      </c>
      <c r="E95" s="77">
        <v>45.45</v>
      </c>
      <c r="F95" s="128" t="s">
        <v>27</v>
      </c>
      <c r="G95" s="9">
        <v>328294000</v>
      </c>
      <c r="H95" s="77">
        <v>54.55</v>
      </c>
      <c r="I95" s="128" t="s">
        <v>27</v>
      </c>
      <c r="J95" s="9">
        <v>3895650000</v>
      </c>
      <c r="K95" s="77">
        <v>9.09</v>
      </c>
      <c r="L95" s="84">
        <v>645650000</v>
      </c>
      <c r="M95" s="77">
        <v>18.18</v>
      </c>
      <c r="N95" s="84">
        <v>102250000</v>
      </c>
      <c r="O95" s="77"/>
      <c r="P95" s="84"/>
      <c r="Q95" s="77">
        <v>45.45</v>
      </c>
      <c r="R95" s="85">
        <v>17112500</v>
      </c>
      <c r="S95" s="77">
        <v>45.45</v>
      </c>
      <c r="T95" s="85">
        <v>7500000</v>
      </c>
      <c r="U95" s="77"/>
      <c r="V95" s="85"/>
      <c r="W95" s="89">
        <f>Q95/K95*100</f>
        <v>500</v>
      </c>
      <c r="X95" s="235">
        <f>R95/L95*100</f>
        <v>2.6504297994269339</v>
      </c>
      <c r="Y95" s="89">
        <f>S95/M95*100</f>
        <v>250</v>
      </c>
      <c r="Z95" s="235">
        <f>T95/N95*100</f>
        <v>7.3349633251833746</v>
      </c>
      <c r="AA95" s="56"/>
      <c r="AB95" s="235"/>
      <c r="AC95" s="92">
        <f>S95</f>
        <v>45.45</v>
      </c>
      <c r="AD95" s="195">
        <f>R95+T95</f>
        <v>24612500</v>
      </c>
      <c r="AE95" s="89">
        <f>AC95/H95*100</f>
        <v>83.318056828597634</v>
      </c>
      <c r="AF95" s="32" t="str">
        <f t="shared" ref="AF95" si="89">IF(AE95&gt;=91,"Sangat Tinggi",IF(AE95&gt;=76,"Tinggi",IF(AE95&gt;=66,"Sedang",IF(AE95&gt;=51,"Rendah",IF(AE95&lt;=50,"Sangat Rendah")))))</f>
        <v>Tinggi</v>
      </c>
      <c r="AG95" s="56">
        <f t="shared" ref="AG95" si="90">AD95/J95*100</f>
        <v>0.63179443738528873</v>
      </c>
      <c r="AH95" s="410" t="s">
        <v>303</v>
      </c>
      <c r="AK95" s="119">
        <f>R95</f>
        <v>17112500</v>
      </c>
    </row>
    <row r="96" spans="1:37" ht="75" x14ac:dyDescent="0.2">
      <c r="A96" s="17"/>
      <c r="B96" s="61"/>
      <c r="C96" s="14" t="s">
        <v>664</v>
      </c>
      <c r="D96" s="14" t="s">
        <v>665</v>
      </c>
      <c r="E96" s="77"/>
      <c r="F96" s="330"/>
      <c r="G96" s="9"/>
      <c r="H96" s="131">
        <v>1</v>
      </c>
      <c r="I96" s="330" t="s">
        <v>666</v>
      </c>
      <c r="J96" s="9">
        <v>1000000000</v>
      </c>
      <c r="K96" s="77"/>
      <c r="L96" s="84"/>
      <c r="M96" s="77"/>
      <c r="N96" s="84"/>
      <c r="O96" s="131">
        <v>1</v>
      </c>
      <c r="P96" s="84">
        <v>570813000</v>
      </c>
      <c r="Q96" s="77"/>
      <c r="R96" s="85"/>
      <c r="S96" s="77"/>
      <c r="T96" s="85"/>
      <c r="U96" s="131">
        <v>1</v>
      </c>
      <c r="V96" s="85">
        <v>117939250</v>
      </c>
      <c r="W96" s="56"/>
      <c r="X96" s="235"/>
      <c r="Y96" s="56"/>
      <c r="Z96" s="235"/>
      <c r="AA96" s="89">
        <f t="shared" ref="AA96:AB96" si="91">U96/O96*100</f>
        <v>100</v>
      </c>
      <c r="AB96" s="235">
        <f t="shared" si="91"/>
        <v>20.661626487133265</v>
      </c>
      <c r="AC96" s="92">
        <f t="shared" ref="AC96" si="92">U96</f>
        <v>1</v>
      </c>
      <c r="AD96" s="195">
        <f t="shared" ref="AD96" si="93">V96</f>
        <v>117939250</v>
      </c>
      <c r="AE96" s="89">
        <f t="shared" ref="AE96" si="94">AC96/H96*100</f>
        <v>100</v>
      </c>
      <c r="AF96" s="32" t="str">
        <f t="shared" ref="AF96:AF97" si="95">IF(AE96&gt;=91,"Sangat Tinggi",IF(AE96&gt;=76,"Tinggi",IF(AE96&gt;=66,"Sedang",IF(AE96&gt;=51,"Rendah",IF(AE96&lt;=50,"Sangat Rendah")))))</f>
        <v>Sangat Tinggi</v>
      </c>
      <c r="AG96" s="56">
        <f t="shared" ref="AG96" si="96">AD96/J96*100</f>
        <v>11.793925</v>
      </c>
      <c r="AH96" s="412"/>
      <c r="AK96" s="119"/>
    </row>
    <row r="97" spans="1:37" ht="63" x14ac:dyDescent="0.2">
      <c r="A97" s="17"/>
      <c r="B97" s="71"/>
      <c r="C97" s="33"/>
      <c r="D97" s="69" t="s">
        <v>479</v>
      </c>
      <c r="E97" s="278" t="s">
        <v>124</v>
      </c>
      <c r="F97" s="226" t="s">
        <v>122</v>
      </c>
      <c r="G97" s="279"/>
      <c r="H97" s="278" t="s">
        <v>124</v>
      </c>
      <c r="I97" s="226" t="s">
        <v>122</v>
      </c>
      <c r="J97" s="280">
        <f>SUM(J98:J108)</f>
        <v>641343168423</v>
      </c>
      <c r="K97" s="278" t="s">
        <v>124</v>
      </c>
      <c r="L97" s="280">
        <f>SUM(L98:L108)</f>
        <v>7635288000</v>
      </c>
      <c r="M97" s="278" t="s">
        <v>124</v>
      </c>
      <c r="N97" s="280">
        <f>SUM(N98:N108)</f>
        <v>3431694700</v>
      </c>
      <c r="O97" s="278" t="s">
        <v>124</v>
      </c>
      <c r="P97" s="280">
        <f>SUM(P98:P108)</f>
        <v>202186012423</v>
      </c>
      <c r="Q97" s="278" t="s">
        <v>124</v>
      </c>
      <c r="R97" s="280">
        <f>SUM(R98:R108)</f>
        <v>6137598320</v>
      </c>
      <c r="S97" s="278" t="s">
        <v>124</v>
      </c>
      <c r="T97" s="280">
        <f>SUM(T98:T108)</f>
        <v>2610005051</v>
      </c>
      <c r="U97" s="278" t="s">
        <v>124</v>
      </c>
      <c r="V97" s="280">
        <f>SUM(V98:V108)</f>
        <v>73872571857</v>
      </c>
      <c r="W97" s="253">
        <v>100</v>
      </c>
      <c r="X97" s="240">
        <f>R97/L97*100</f>
        <v>80.384634083219908</v>
      </c>
      <c r="Y97" s="253">
        <v>100</v>
      </c>
      <c r="Z97" s="240">
        <f>T97/N97*100</f>
        <v>76.055863914700808</v>
      </c>
      <c r="AA97" s="253">
        <v>100</v>
      </c>
      <c r="AB97" s="240">
        <f>V97/P97*100</f>
        <v>36.53693495989662</v>
      </c>
      <c r="AC97" s="320" t="str">
        <f>S97</f>
        <v>WTP</v>
      </c>
      <c r="AD97" s="321">
        <f>R97+T97+V97</f>
        <v>82620175228</v>
      </c>
      <c r="AE97" s="253">
        <v>100</v>
      </c>
      <c r="AF97" s="219" t="str">
        <f t="shared" si="95"/>
        <v>Sangat Tinggi</v>
      </c>
      <c r="AG97" s="234">
        <f>AD97/J97*100</f>
        <v>12.882366149023605</v>
      </c>
      <c r="AH97" s="410" t="s">
        <v>295</v>
      </c>
      <c r="AK97" s="119">
        <f>R97</f>
        <v>6137598320</v>
      </c>
    </row>
    <row r="98" spans="1:37" ht="105" x14ac:dyDescent="0.2">
      <c r="A98" s="17"/>
      <c r="B98" s="71"/>
      <c r="C98" s="38" t="s">
        <v>85</v>
      </c>
      <c r="D98" s="33" t="s">
        <v>441</v>
      </c>
      <c r="E98" s="131">
        <v>100</v>
      </c>
      <c r="F98" s="128" t="s">
        <v>27</v>
      </c>
      <c r="G98" s="9"/>
      <c r="H98" s="131">
        <v>100</v>
      </c>
      <c r="I98" s="128" t="s">
        <v>27</v>
      </c>
      <c r="J98" s="37">
        <v>1220190000</v>
      </c>
      <c r="K98" s="131">
        <v>100</v>
      </c>
      <c r="L98" s="37">
        <v>244038000</v>
      </c>
      <c r="M98" s="131">
        <v>100</v>
      </c>
      <c r="N98" s="37">
        <v>154880700</v>
      </c>
      <c r="O98" s="131"/>
      <c r="P98" s="37"/>
      <c r="Q98" s="131">
        <v>100</v>
      </c>
      <c r="R98" s="9">
        <v>225477000</v>
      </c>
      <c r="S98" s="131">
        <v>100</v>
      </c>
      <c r="T98" s="9">
        <v>150975200</v>
      </c>
      <c r="U98" s="131"/>
      <c r="V98" s="9"/>
      <c r="W98" s="89">
        <f>Q98/K98*100</f>
        <v>100</v>
      </c>
      <c r="X98" s="235">
        <f>R98/L98*100</f>
        <v>92.394217294027982</v>
      </c>
      <c r="Y98" s="89">
        <f>S98/M98*100</f>
        <v>100</v>
      </c>
      <c r="Z98" s="235">
        <f>T98/N98*100</f>
        <v>97.478381748016375</v>
      </c>
      <c r="AA98" s="56"/>
      <c r="AB98" s="235"/>
      <c r="AC98" s="92">
        <f>S98</f>
        <v>100</v>
      </c>
      <c r="AD98" s="195">
        <f>R98+T98</f>
        <v>376452200</v>
      </c>
      <c r="AE98" s="89">
        <f t="shared" ref="AE98" si="97">AC98/H98*100</f>
        <v>100</v>
      </c>
      <c r="AF98" s="32" t="str">
        <f t="shared" ref="AF98" si="98">IF(AE98&gt;=91,"Sangat Tinggi",IF(AE98&gt;=76,"Tinggi",IF(AE98&gt;=66,"Sedang",IF(AE98&gt;=51,"Rendah",IF(AE98&lt;=50,"Sangat Rendah")))))</f>
        <v>Sangat Tinggi</v>
      </c>
      <c r="AG98" s="56">
        <f t="shared" ref="AG98" si="99">AD98/J98*100</f>
        <v>30.851932895696571</v>
      </c>
      <c r="AH98" s="111"/>
      <c r="AK98" s="119">
        <f>R98</f>
        <v>225477000</v>
      </c>
    </row>
    <row r="99" spans="1:37" ht="90" x14ac:dyDescent="0.2">
      <c r="A99" s="17"/>
      <c r="B99" s="61"/>
      <c r="C99" s="42" t="s">
        <v>442</v>
      </c>
      <c r="D99" s="43" t="s">
        <v>443</v>
      </c>
      <c r="E99" s="131">
        <v>100</v>
      </c>
      <c r="F99" s="128" t="s">
        <v>27</v>
      </c>
      <c r="G99" s="44"/>
      <c r="H99" s="131">
        <v>100</v>
      </c>
      <c r="I99" s="128" t="s">
        <v>27</v>
      </c>
      <c r="J99" s="45">
        <v>15482375000</v>
      </c>
      <c r="K99" s="131">
        <v>100</v>
      </c>
      <c r="L99" s="46">
        <v>6160065000</v>
      </c>
      <c r="M99" s="131">
        <v>100</v>
      </c>
      <c r="N99" s="46">
        <v>2189735000</v>
      </c>
      <c r="O99" s="131"/>
      <c r="P99" s="46"/>
      <c r="Q99" s="131">
        <v>100</v>
      </c>
      <c r="R99" s="45">
        <v>5050798470</v>
      </c>
      <c r="S99" s="131">
        <v>100</v>
      </c>
      <c r="T99" s="45">
        <v>1741235851</v>
      </c>
      <c r="U99" s="131"/>
      <c r="V99" s="45"/>
      <c r="W99" s="89">
        <f>Q99/K99*100</f>
        <v>100</v>
      </c>
      <c r="X99" s="235">
        <f>R99/L99*100</f>
        <v>81.992616474014483</v>
      </c>
      <c r="Y99" s="89">
        <f>S99/M99*100</f>
        <v>100</v>
      </c>
      <c r="Z99" s="235">
        <f>T99/N99*100</f>
        <v>79.518108401244902</v>
      </c>
      <c r="AA99" s="56"/>
      <c r="AB99" s="235"/>
      <c r="AC99" s="92">
        <f>S99</f>
        <v>100</v>
      </c>
      <c r="AD99" s="195">
        <f>R99+T99</f>
        <v>6792034321</v>
      </c>
      <c r="AE99" s="89">
        <f t="shared" ref="AE99" si="100">AC99/H99*100</f>
        <v>100</v>
      </c>
      <c r="AF99" s="32" t="str">
        <f t="shared" ref="AF99" si="101">IF(AE99&gt;=91,"Sangat Tinggi",IF(AE99&gt;=76,"Tinggi",IF(AE99&gt;=66,"Sedang",IF(AE99&gt;=51,"Rendah",IF(AE99&lt;=50,"Sangat Rendah")))))</f>
        <v>Sangat Tinggi</v>
      </c>
      <c r="AG99" s="56">
        <f t="shared" ref="AG99" si="102">AD99/J99*100</f>
        <v>43.869460086065608</v>
      </c>
      <c r="AH99" s="111"/>
      <c r="AK99" s="119">
        <f>R99</f>
        <v>5050798470</v>
      </c>
    </row>
    <row r="100" spans="1:37" ht="75" x14ac:dyDescent="0.2">
      <c r="A100" s="17"/>
      <c r="B100" s="61"/>
      <c r="C100" s="42" t="s">
        <v>745</v>
      </c>
      <c r="D100" s="43" t="s">
        <v>746</v>
      </c>
      <c r="E100" s="131"/>
      <c r="F100" s="330"/>
      <c r="G100" s="44"/>
      <c r="H100" s="131">
        <v>100</v>
      </c>
      <c r="I100" s="387" t="s">
        <v>27</v>
      </c>
      <c r="J100" s="45">
        <v>610122989848</v>
      </c>
      <c r="K100" s="131"/>
      <c r="L100" s="46"/>
      <c r="M100" s="131"/>
      <c r="N100" s="46"/>
      <c r="O100" s="131">
        <v>100</v>
      </c>
      <c r="P100" s="46">
        <v>199612712548</v>
      </c>
      <c r="Q100" s="77"/>
      <c r="R100" s="45"/>
      <c r="S100" s="131"/>
      <c r="T100" s="45"/>
      <c r="U100" s="131">
        <v>100</v>
      </c>
      <c r="V100" s="45">
        <v>72305849441</v>
      </c>
      <c r="W100" s="56"/>
      <c r="X100" s="237"/>
      <c r="Y100" s="56"/>
      <c r="Z100" s="237"/>
      <c r="AA100" s="89">
        <f>U100/O100*100</f>
        <v>100</v>
      </c>
      <c r="AB100" s="237">
        <f>V100/P100*100</f>
        <v>36.223068419859743</v>
      </c>
      <c r="AC100" s="92">
        <f>U100</f>
        <v>100</v>
      </c>
      <c r="AD100" s="195">
        <f>V100</f>
        <v>72305849441</v>
      </c>
      <c r="AE100" s="89">
        <f t="shared" ref="AE100" si="103">AC100/H100*100</f>
        <v>100</v>
      </c>
      <c r="AF100" s="32" t="str">
        <f t="shared" ref="AF100" si="104">IF(AE100&gt;=91,"Sangat Tinggi",IF(AE100&gt;=76,"Tinggi",IF(AE100&gt;=66,"Sedang",IF(AE100&gt;=51,"Rendah",IF(AE100&lt;=50,"Sangat Rendah")))))</f>
        <v>Sangat Tinggi</v>
      </c>
      <c r="AG100" s="354">
        <f>AD100/J100*100</f>
        <v>11.851028504763207</v>
      </c>
      <c r="AH100" s="111"/>
      <c r="AK100" s="119"/>
    </row>
    <row r="101" spans="1:37" ht="150" x14ac:dyDescent="0.2">
      <c r="A101" s="17"/>
      <c r="B101" s="61"/>
      <c r="C101" s="197"/>
      <c r="D101" s="43" t="s">
        <v>747</v>
      </c>
      <c r="E101" s="131"/>
      <c r="F101" s="330"/>
      <c r="G101" s="344"/>
      <c r="H101" s="131">
        <v>100</v>
      </c>
      <c r="I101" s="387" t="s">
        <v>27</v>
      </c>
      <c r="J101" s="188"/>
      <c r="K101" s="131"/>
      <c r="L101" s="346"/>
      <c r="M101" s="131"/>
      <c r="N101" s="346"/>
      <c r="O101" s="131">
        <v>100</v>
      </c>
      <c r="P101" s="346"/>
      <c r="Q101" s="77"/>
      <c r="R101" s="188"/>
      <c r="S101" s="131"/>
      <c r="T101" s="188"/>
      <c r="U101" s="77">
        <f>9946/7200*100</f>
        <v>138.13888888888891</v>
      </c>
      <c r="V101" s="188"/>
      <c r="W101" s="56"/>
      <c r="X101" s="243"/>
      <c r="Y101" s="56"/>
      <c r="Z101" s="243"/>
      <c r="AA101" s="56">
        <f t="shared" ref="AA101:AA107" si="105">U101/O101*100</f>
        <v>138.13888888888891</v>
      </c>
      <c r="AB101" s="243"/>
      <c r="AC101" s="74">
        <f t="shared" ref="AC101:AC107" si="106">U101</f>
        <v>138.13888888888891</v>
      </c>
      <c r="AD101" s="247"/>
      <c r="AE101" s="89">
        <f>AC101/H101*100</f>
        <v>138.13888888888891</v>
      </c>
      <c r="AF101" s="32" t="str">
        <f t="shared" ref="AF101:AF103" si="107">IF(AE101&gt;=91,"Sangat Tinggi",IF(AE101&gt;=76,"Tinggi",IF(AE101&gt;=66,"Sedang",IF(AE101&gt;=51,"Rendah",IF(AE101&lt;=50,"Sangat Rendah")))))</f>
        <v>Sangat Tinggi</v>
      </c>
      <c r="AG101" s="4"/>
      <c r="AH101" s="111"/>
      <c r="AK101" s="119"/>
    </row>
    <row r="102" spans="1:37" ht="90" x14ac:dyDescent="0.2">
      <c r="A102" s="17"/>
      <c r="B102" s="61"/>
      <c r="C102" s="198"/>
      <c r="D102" s="43" t="s">
        <v>748</v>
      </c>
      <c r="E102" s="131"/>
      <c r="F102" s="330"/>
      <c r="G102" s="82"/>
      <c r="H102" s="131">
        <v>100</v>
      </c>
      <c r="I102" s="387" t="s">
        <v>27</v>
      </c>
      <c r="J102" s="187"/>
      <c r="K102" s="131"/>
      <c r="L102" s="191"/>
      <c r="M102" s="131"/>
      <c r="N102" s="191"/>
      <c r="O102" s="131">
        <v>100</v>
      </c>
      <c r="P102" s="191"/>
      <c r="Q102" s="77"/>
      <c r="R102" s="187"/>
      <c r="S102" s="131"/>
      <c r="T102" s="187"/>
      <c r="U102" s="131">
        <v>100</v>
      </c>
      <c r="V102" s="187"/>
      <c r="W102" s="56"/>
      <c r="X102" s="238"/>
      <c r="Y102" s="56"/>
      <c r="Z102" s="238"/>
      <c r="AA102" s="89">
        <f t="shared" si="105"/>
        <v>100</v>
      </c>
      <c r="AB102" s="238"/>
      <c r="AC102" s="92">
        <f t="shared" si="106"/>
        <v>100</v>
      </c>
      <c r="AD102" s="194"/>
      <c r="AE102" s="89">
        <f t="shared" ref="AE102:AE103" si="108">AC102/H102*100</f>
        <v>100</v>
      </c>
      <c r="AF102" s="32" t="str">
        <f t="shared" si="107"/>
        <v>Sangat Tinggi</v>
      </c>
      <c r="AG102" s="5"/>
      <c r="AH102" s="111"/>
      <c r="AK102" s="119"/>
    </row>
    <row r="103" spans="1:37" ht="60" x14ac:dyDescent="0.2">
      <c r="A103" s="17"/>
      <c r="B103" s="61"/>
      <c r="C103" s="42" t="s">
        <v>744</v>
      </c>
      <c r="D103" s="43" t="s">
        <v>844</v>
      </c>
      <c r="E103" s="131"/>
      <c r="F103" s="330"/>
      <c r="G103" s="44"/>
      <c r="H103" s="131">
        <v>100</v>
      </c>
      <c r="I103" s="387" t="s">
        <v>27</v>
      </c>
      <c r="J103" s="45">
        <v>5650090300</v>
      </c>
      <c r="K103" s="131"/>
      <c r="L103" s="46"/>
      <c r="M103" s="131"/>
      <c r="N103" s="46"/>
      <c r="O103" s="131">
        <v>100</v>
      </c>
      <c r="P103" s="46">
        <v>1576992900</v>
      </c>
      <c r="Q103" s="77"/>
      <c r="R103" s="45"/>
      <c r="S103" s="131"/>
      <c r="T103" s="45"/>
      <c r="U103" s="131">
        <v>100</v>
      </c>
      <c r="V103" s="45">
        <v>926072580</v>
      </c>
      <c r="W103" s="56"/>
      <c r="X103" s="237"/>
      <c r="Y103" s="56"/>
      <c r="Z103" s="237"/>
      <c r="AA103" s="89">
        <f t="shared" si="105"/>
        <v>100</v>
      </c>
      <c r="AB103" s="237">
        <f>V103/P103*100</f>
        <v>58.723953671573284</v>
      </c>
      <c r="AC103" s="92">
        <f t="shared" si="106"/>
        <v>100</v>
      </c>
      <c r="AD103" s="195">
        <f>V103</f>
        <v>926072580</v>
      </c>
      <c r="AE103" s="89">
        <f t="shared" si="108"/>
        <v>100</v>
      </c>
      <c r="AF103" s="32" t="str">
        <f t="shared" si="107"/>
        <v>Sangat Tinggi</v>
      </c>
      <c r="AG103" s="354">
        <f>AD103/J103*100</f>
        <v>16.390403176388173</v>
      </c>
      <c r="AH103" s="111"/>
      <c r="AK103" s="119"/>
    </row>
    <row r="104" spans="1:37" ht="90" x14ac:dyDescent="0.2">
      <c r="A104" s="17"/>
      <c r="B104" s="61"/>
      <c r="C104" s="197"/>
      <c r="D104" s="43" t="s">
        <v>845</v>
      </c>
      <c r="E104" s="131"/>
      <c r="F104" s="408"/>
      <c r="G104" s="344"/>
      <c r="H104" s="131">
        <v>100</v>
      </c>
      <c r="I104" s="408" t="s">
        <v>27</v>
      </c>
      <c r="J104" s="188"/>
      <c r="K104" s="131"/>
      <c r="L104" s="346"/>
      <c r="M104" s="131"/>
      <c r="N104" s="346"/>
      <c r="O104" s="131">
        <v>100</v>
      </c>
      <c r="P104" s="346"/>
      <c r="Q104" s="77"/>
      <c r="R104" s="188"/>
      <c r="S104" s="131"/>
      <c r="T104" s="188"/>
      <c r="U104" s="131">
        <v>100</v>
      </c>
      <c r="V104" s="188"/>
      <c r="W104" s="56"/>
      <c r="X104" s="243"/>
      <c r="Y104" s="56"/>
      <c r="Z104" s="243"/>
      <c r="AA104" s="89">
        <f t="shared" si="105"/>
        <v>100</v>
      </c>
      <c r="AB104" s="243"/>
      <c r="AC104" s="92">
        <f t="shared" si="106"/>
        <v>100</v>
      </c>
      <c r="AD104" s="247"/>
      <c r="AE104" s="89">
        <f>AC104/H104*100</f>
        <v>100</v>
      </c>
      <c r="AF104" s="32" t="str">
        <f t="shared" ref="AF104:AF106" si="109">IF(AE104&gt;=91,"Sangat Tinggi",IF(AE104&gt;=76,"Tinggi",IF(AE104&gt;=66,"Sedang",IF(AE104&gt;=51,"Rendah",IF(AE104&lt;=50,"Sangat Rendah")))))</f>
        <v>Sangat Tinggi</v>
      </c>
      <c r="AG104" s="4"/>
      <c r="AH104" s="111"/>
      <c r="AK104" s="119"/>
    </row>
    <row r="105" spans="1:37" ht="120" x14ac:dyDescent="0.2">
      <c r="A105" s="17"/>
      <c r="B105" s="61"/>
      <c r="C105" s="198"/>
      <c r="D105" s="43" t="s">
        <v>846</v>
      </c>
      <c r="E105" s="131"/>
      <c r="F105" s="330"/>
      <c r="G105" s="82"/>
      <c r="H105" s="131">
        <v>100</v>
      </c>
      <c r="I105" s="387" t="s">
        <v>27</v>
      </c>
      <c r="J105" s="187"/>
      <c r="K105" s="131"/>
      <c r="L105" s="191"/>
      <c r="M105" s="131"/>
      <c r="N105" s="191"/>
      <c r="O105" s="131">
        <v>100</v>
      </c>
      <c r="P105" s="191"/>
      <c r="Q105" s="77"/>
      <c r="R105" s="187"/>
      <c r="S105" s="131"/>
      <c r="T105" s="187"/>
      <c r="U105" s="131">
        <v>18</v>
      </c>
      <c r="V105" s="187"/>
      <c r="W105" s="56"/>
      <c r="X105" s="238"/>
      <c r="Y105" s="56"/>
      <c r="Z105" s="238"/>
      <c r="AA105" s="89">
        <f t="shared" si="105"/>
        <v>18</v>
      </c>
      <c r="AB105" s="238"/>
      <c r="AC105" s="92">
        <f t="shared" si="106"/>
        <v>18</v>
      </c>
      <c r="AD105" s="194"/>
      <c r="AE105" s="89">
        <f t="shared" ref="AE105:AE106" si="110">AC105/H105*100</f>
        <v>18</v>
      </c>
      <c r="AF105" s="32" t="str">
        <f t="shared" si="109"/>
        <v>Sangat Rendah</v>
      </c>
      <c r="AG105" s="5"/>
      <c r="AH105" s="111"/>
      <c r="AK105" s="119"/>
    </row>
    <row r="106" spans="1:37" ht="60" x14ac:dyDescent="0.2">
      <c r="A106" s="17"/>
      <c r="B106" s="61"/>
      <c r="C106" s="42" t="s">
        <v>636</v>
      </c>
      <c r="D106" s="43" t="s">
        <v>637</v>
      </c>
      <c r="E106" s="131"/>
      <c r="F106" s="330"/>
      <c r="G106" s="44"/>
      <c r="H106" s="131">
        <v>100</v>
      </c>
      <c r="I106" s="387" t="s">
        <v>27</v>
      </c>
      <c r="J106" s="45">
        <v>2824598275</v>
      </c>
      <c r="K106" s="131"/>
      <c r="L106" s="46"/>
      <c r="M106" s="131"/>
      <c r="N106" s="46"/>
      <c r="O106" s="131">
        <v>100</v>
      </c>
      <c r="P106" s="46">
        <v>996306975</v>
      </c>
      <c r="Q106" s="77"/>
      <c r="R106" s="45"/>
      <c r="S106" s="131"/>
      <c r="T106" s="45"/>
      <c r="U106" s="131">
        <v>100</v>
      </c>
      <c r="V106" s="45">
        <v>640649836</v>
      </c>
      <c r="W106" s="56"/>
      <c r="X106" s="237"/>
      <c r="Y106" s="56"/>
      <c r="Z106" s="237"/>
      <c r="AA106" s="56">
        <f t="shared" si="105"/>
        <v>100</v>
      </c>
      <c r="AB106" s="237">
        <f>V106/P106*100</f>
        <v>64.302454170814173</v>
      </c>
      <c r="AC106" s="74">
        <f t="shared" si="106"/>
        <v>100</v>
      </c>
      <c r="AD106" s="195">
        <f>V106</f>
        <v>640649836</v>
      </c>
      <c r="AE106" s="56">
        <f t="shared" si="110"/>
        <v>100</v>
      </c>
      <c r="AF106" s="32" t="str">
        <f t="shared" si="109"/>
        <v>Sangat Tinggi</v>
      </c>
      <c r="AG106" s="354">
        <f>AD106/J106*100</f>
        <v>22.681095632971029</v>
      </c>
      <c r="AH106" s="111"/>
      <c r="AK106" s="119"/>
    </row>
    <row r="107" spans="1:37" ht="75" x14ac:dyDescent="0.2">
      <c r="A107" s="17"/>
      <c r="B107" s="61"/>
      <c r="C107" s="198"/>
      <c r="D107" s="43" t="s">
        <v>638</v>
      </c>
      <c r="E107" s="131"/>
      <c r="F107" s="330"/>
      <c r="G107" s="82"/>
      <c r="H107" s="131">
        <v>100</v>
      </c>
      <c r="I107" s="387" t="s">
        <v>27</v>
      </c>
      <c r="J107" s="187"/>
      <c r="K107" s="131"/>
      <c r="L107" s="191"/>
      <c r="M107" s="131"/>
      <c r="N107" s="191"/>
      <c r="O107" s="131">
        <v>100</v>
      </c>
      <c r="P107" s="191"/>
      <c r="Q107" s="77"/>
      <c r="R107" s="187"/>
      <c r="S107" s="131"/>
      <c r="T107" s="187"/>
      <c r="U107" s="77">
        <v>97.18</v>
      </c>
      <c r="V107" s="187"/>
      <c r="W107" s="56"/>
      <c r="X107" s="238"/>
      <c r="Y107" s="56"/>
      <c r="Z107" s="238"/>
      <c r="AA107" s="56">
        <f t="shared" si="105"/>
        <v>97.18</v>
      </c>
      <c r="AB107" s="238"/>
      <c r="AC107" s="74">
        <f t="shared" si="106"/>
        <v>97.18</v>
      </c>
      <c r="AD107" s="194"/>
      <c r="AE107" s="56">
        <f t="shared" ref="AE107" si="111">AC107/H107*100</f>
        <v>97.18</v>
      </c>
      <c r="AF107" s="32" t="str">
        <f t="shared" ref="AF107:AF108" si="112">IF(AE107&gt;=91,"Sangat Tinggi",IF(AE107&gt;=76,"Tinggi",IF(AE107&gt;=66,"Sedang",IF(AE107&gt;=51,"Rendah",IF(AE107&lt;=50,"Sangat Rendah")))))</f>
        <v>Sangat Tinggi</v>
      </c>
      <c r="AG107" s="5"/>
      <c r="AH107" s="111"/>
      <c r="AK107" s="119"/>
    </row>
    <row r="108" spans="1:37" ht="150" x14ac:dyDescent="0.2">
      <c r="A108" s="17"/>
      <c r="B108" s="61"/>
      <c r="C108" s="42" t="s">
        <v>70</v>
      </c>
      <c r="D108" s="33" t="s">
        <v>444</v>
      </c>
      <c r="E108" s="131">
        <v>56</v>
      </c>
      <c r="F108" s="128" t="s">
        <v>27</v>
      </c>
      <c r="G108" s="183"/>
      <c r="H108" s="131">
        <v>18</v>
      </c>
      <c r="I108" s="128" t="s">
        <v>27</v>
      </c>
      <c r="J108" s="199">
        <v>6042925000</v>
      </c>
      <c r="K108" s="131">
        <v>36</v>
      </c>
      <c r="L108" s="201">
        <v>1231185000</v>
      </c>
      <c r="M108" s="131">
        <v>25</v>
      </c>
      <c r="N108" s="201">
        <v>1087079000</v>
      </c>
      <c r="O108" s="131"/>
      <c r="P108" s="201"/>
      <c r="Q108" s="77">
        <v>51.47</v>
      </c>
      <c r="R108" s="45">
        <v>861322850</v>
      </c>
      <c r="S108" s="77">
        <v>66.099999999999994</v>
      </c>
      <c r="T108" s="45">
        <v>717794000</v>
      </c>
      <c r="U108" s="77"/>
      <c r="V108" s="45"/>
      <c r="W108" s="56">
        <f>(K108-(Q108-K108))/K108*100</f>
        <v>57.027777777777779</v>
      </c>
      <c r="X108" s="237">
        <f>R108/L108*100</f>
        <v>69.958848588961047</v>
      </c>
      <c r="Y108" s="56">
        <f>(M108-(S108-M108))/M108*100</f>
        <v>-64.399999999999977</v>
      </c>
      <c r="Z108" s="237">
        <f>T108/N108*100</f>
        <v>66.029607783794916</v>
      </c>
      <c r="AA108" s="56"/>
      <c r="AB108" s="237"/>
      <c r="AC108" s="74">
        <f>S108</f>
        <v>66.099999999999994</v>
      </c>
      <c r="AD108" s="195">
        <f>R108+T108</f>
        <v>1579116850</v>
      </c>
      <c r="AE108" s="56">
        <f>(H108-(AC108-H108))/H108*100</f>
        <v>-167.22222222222217</v>
      </c>
      <c r="AF108" s="32" t="str">
        <f t="shared" si="112"/>
        <v>Sangat Rendah</v>
      </c>
      <c r="AG108" s="354">
        <f>AD108/J108*100</f>
        <v>26.131663887935062</v>
      </c>
      <c r="AH108" s="410" t="s">
        <v>449</v>
      </c>
      <c r="AK108" s="119">
        <f>R108</f>
        <v>861322850</v>
      </c>
    </row>
    <row r="109" spans="1:37" ht="150" x14ac:dyDescent="0.2">
      <c r="A109" s="17"/>
      <c r="B109" s="61"/>
      <c r="C109" s="197"/>
      <c r="D109" s="33" t="s">
        <v>445</v>
      </c>
      <c r="E109" s="131">
        <v>100</v>
      </c>
      <c r="F109" s="128" t="s">
        <v>27</v>
      </c>
      <c r="G109" s="179"/>
      <c r="H109" s="131">
        <v>100</v>
      </c>
      <c r="I109" s="128" t="s">
        <v>27</v>
      </c>
      <c r="J109" s="200"/>
      <c r="K109" s="131">
        <v>100</v>
      </c>
      <c r="L109" s="202"/>
      <c r="M109" s="131">
        <v>100</v>
      </c>
      <c r="N109" s="202"/>
      <c r="O109" s="131"/>
      <c r="P109" s="202"/>
      <c r="Q109" s="131">
        <v>100</v>
      </c>
      <c r="R109" s="188"/>
      <c r="S109" s="131">
        <v>100</v>
      </c>
      <c r="T109" s="188"/>
      <c r="U109" s="131"/>
      <c r="V109" s="188"/>
      <c r="W109" s="56">
        <f>Q109/K109*100</f>
        <v>100</v>
      </c>
      <c r="X109" s="243"/>
      <c r="Y109" s="89">
        <f>S109/M109*100</f>
        <v>100</v>
      </c>
      <c r="Z109" s="243"/>
      <c r="AA109" s="56"/>
      <c r="AB109" s="243"/>
      <c r="AC109" s="92">
        <f>S109</f>
        <v>100</v>
      </c>
      <c r="AD109" s="4"/>
      <c r="AE109" s="89">
        <f t="shared" ref="AE109" si="113">AC109/H109*100</f>
        <v>100</v>
      </c>
      <c r="AF109" s="32" t="str">
        <f t="shared" ref="AF109" si="114">IF(AE109&gt;=91,"Sangat Tinggi",IF(AE109&gt;=76,"Tinggi",IF(AE109&gt;=66,"Sedang",IF(AE109&gt;=51,"Rendah",IF(AE109&lt;=50,"Sangat Rendah")))))</f>
        <v>Sangat Tinggi</v>
      </c>
      <c r="AG109" s="4"/>
      <c r="AH109" s="111"/>
      <c r="AK109" s="119">
        <f>R109</f>
        <v>0</v>
      </c>
    </row>
    <row r="110" spans="1:37" ht="122.25" customHeight="1" x14ac:dyDescent="0.2">
      <c r="A110" s="17"/>
      <c r="B110" s="61"/>
      <c r="C110" s="197"/>
      <c r="D110" s="33" t="s">
        <v>446</v>
      </c>
      <c r="E110" s="77">
        <v>75.790000000000006</v>
      </c>
      <c r="F110" s="128" t="s">
        <v>27</v>
      </c>
      <c r="G110" s="179"/>
      <c r="H110" s="131">
        <v>82</v>
      </c>
      <c r="I110" s="128" t="s">
        <v>27</v>
      </c>
      <c r="J110" s="200"/>
      <c r="K110" s="131">
        <v>64</v>
      </c>
      <c r="L110" s="202"/>
      <c r="M110" s="131">
        <v>75</v>
      </c>
      <c r="N110" s="202"/>
      <c r="O110" s="131"/>
      <c r="P110" s="202"/>
      <c r="Q110" s="77">
        <v>81.48</v>
      </c>
      <c r="R110" s="188"/>
      <c r="S110" s="131">
        <v>75</v>
      </c>
      <c r="T110" s="188"/>
      <c r="U110" s="77"/>
      <c r="V110" s="188"/>
      <c r="W110" s="56">
        <f>Q110/K110*100</f>
        <v>127.3125</v>
      </c>
      <c r="X110" s="243"/>
      <c r="Y110" s="89">
        <f>S110/M110*100</f>
        <v>100</v>
      </c>
      <c r="Z110" s="243"/>
      <c r="AA110" s="56"/>
      <c r="AB110" s="243"/>
      <c r="AC110" s="92">
        <f>S110</f>
        <v>75</v>
      </c>
      <c r="AD110" s="4"/>
      <c r="AE110" s="56">
        <f t="shared" ref="AE110:AE113" si="115">AC110/H110*100</f>
        <v>91.463414634146346</v>
      </c>
      <c r="AF110" s="32" t="str">
        <f t="shared" ref="AF110:AF113" si="116">IF(AE110&gt;=91,"Sangat Tinggi",IF(AE110&gt;=76,"Tinggi",IF(AE110&gt;=66,"Sedang",IF(AE110&gt;=51,"Rendah",IF(AE110&lt;=50,"Sangat Rendah")))))</f>
        <v>Sangat Tinggi</v>
      </c>
      <c r="AG110" s="4"/>
      <c r="AH110" s="111"/>
      <c r="AK110" s="119">
        <f>R110</f>
        <v>0</v>
      </c>
    </row>
    <row r="111" spans="1:37" ht="120.75" customHeight="1" x14ac:dyDescent="0.2">
      <c r="A111" s="17"/>
      <c r="B111" s="61"/>
      <c r="C111" s="198"/>
      <c r="D111" s="33" t="s">
        <v>447</v>
      </c>
      <c r="E111" s="77">
        <v>93.75</v>
      </c>
      <c r="F111" s="128" t="s">
        <v>27</v>
      </c>
      <c r="G111" s="49"/>
      <c r="H111" s="131">
        <v>100</v>
      </c>
      <c r="I111" s="128" t="s">
        <v>27</v>
      </c>
      <c r="J111" s="189"/>
      <c r="K111" s="131">
        <v>100</v>
      </c>
      <c r="L111" s="190"/>
      <c r="M111" s="131">
        <v>100</v>
      </c>
      <c r="N111" s="190"/>
      <c r="O111" s="131"/>
      <c r="P111" s="190"/>
      <c r="Q111" s="77">
        <v>79.17</v>
      </c>
      <c r="R111" s="187"/>
      <c r="S111" s="77">
        <v>76.19</v>
      </c>
      <c r="T111" s="187"/>
      <c r="U111" s="77"/>
      <c r="V111" s="187"/>
      <c r="W111" s="56">
        <f>Q111/K111*100</f>
        <v>79.17</v>
      </c>
      <c r="X111" s="238"/>
      <c r="Y111" s="56">
        <f>S111/M111*100</f>
        <v>76.19</v>
      </c>
      <c r="Z111" s="238"/>
      <c r="AA111" s="56"/>
      <c r="AB111" s="238"/>
      <c r="AC111" s="74">
        <f>S111</f>
        <v>76.19</v>
      </c>
      <c r="AD111" s="5"/>
      <c r="AE111" s="56">
        <f t="shared" si="115"/>
        <v>76.19</v>
      </c>
      <c r="AF111" s="32" t="str">
        <f t="shared" si="116"/>
        <v>Tinggi</v>
      </c>
      <c r="AG111" s="5"/>
      <c r="AH111" s="111"/>
      <c r="AK111" s="119">
        <f>R111</f>
        <v>0</v>
      </c>
    </row>
    <row r="112" spans="1:37" ht="135" x14ac:dyDescent="0.2">
      <c r="A112" s="132"/>
      <c r="B112" s="71"/>
      <c r="C112" s="147" t="s">
        <v>706</v>
      </c>
      <c r="D112" s="1" t="s">
        <v>707</v>
      </c>
      <c r="E112" s="129"/>
      <c r="F112" s="48"/>
      <c r="G112" s="272"/>
      <c r="H112" s="129">
        <v>18</v>
      </c>
      <c r="I112" s="48" t="s">
        <v>27</v>
      </c>
      <c r="J112" s="196">
        <v>2516714700</v>
      </c>
      <c r="K112" s="129"/>
      <c r="L112" s="196"/>
      <c r="M112" s="129"/>
      <c r="N112" s="196"/>
      <c r="O112" s="129">
        <v>23</v>
      </c>
      <c r="P112" s="196">
        <v>1546314700</v>
      </c>
      <c r="Q112" s="174"/>
      <c r="R112" s="273"/>
      <c r="S112" s="129"/>
      <c r="T112" s="44"/>
      <c r="U112" s="78">
        <v>61.37</v>
      </c>
      <c r="V112" s="183">
        <v>883705000</v>
      </c>
      <c r="W112" s="56"/>
      <c r="X112" s="237"/>
      <c r="Y112" s="56"/>
      <c r="Z112" s="237"/>
      <c r="AA112" s="89">
        <f>U112/O112*100</f>
        <v>266.82608695652175</v>
      </c>
      <c r="AB112" s="237">
        <f>V112/P112*100</f>
        <v>57.149104254134045</v>
      </c>
      <c r="AC112" s="89">
        <f>U112</f>
        <v>61.37</v>
      </c>
      <c r="AD112" s="391">
        <f>V112</f>
        <v>883705000</v>
      </c>
      <c r="AE112" s="56">
        <f>AC112/H112*100</f>
        <v>340.94444444444446</v>
      </c>
      <c r="AF112" s="32" t="str">
        <f t="shared" si="116"/>
        <v>Sangat Tinggi</v>
      </c>
      <c r="AG112" s="354">
        <f>AD112/J112*100</f>
        <v>35.113435781974019</v>
      </c>
      <c r="AH112" s="336"/>
      <c r="AK112" s="119"/>
    </row>
    <row r="113" spans="1:37" ht="150" x14ac:dyDescent="0.2">
      <c r="A113" s="132"/>
      <c r="B113" s="71"/>
      <c r="C113" s="148"/>
      <c r="D113" s="1" t="s">
        <v>708</v>
      </c>
      <c r="E113" s="129"/>
      <c r="F113" s="48"/>
      <c r="G113" s="342"/>
      <c r="H113" s="129">
        <v>100</v>
      </c>
      <c r="I113" s="48" t="s">
        <v>27</v>
      </c>
      <c r="J113" s="343"/>
      <c r="K113" s="129"/>
      <c r="L113" s="343"/>
      <c r="M113" s="129"/>
      <c r="N113" s="343"/>
      <c r="O113" s="129">
        <v>100</v>
      </c>
      <c r="P113" s="343"/>
      <c r="Q113" s="174"/>
      <c r="R113" s="251"/>
      <c r="S113" s="129"/>
      <c r="T113" s="344"/>
      <c r="U113" s="129">
        <v>100</v>
      </c>
      <c r="V113" s="344"/>
      <c r="W113" s="56"/>
      <c r="X113" s="243"/>
      <c r="Y113" s="56"/>
      <c r="Z113" s="243"/>
      <c r="AA113" s="89">
        <f>U113/O113*100</f>
        <v>100</v>
      </c>
      <c r="AB113" s="243"/>
      <c r="AC113" s="89">
        <f>U113</f>
        <v>100</v>
      </c>
      <c r="AD113" s="4"/>
      <c r="AE113" s="89">
        <f t="shared" si="115"/>
        <v>100</v>
      </c>
      <c r="AF113" s="32" t="str">
        <f t="shared" si="116"/>
        <v>Sangat Tinggi</v>
      </c>
      <c r="AG113" s="4"/>
      <c r="AH113" s="336"/>
      <c r="AK113" s="119"/>
    </row>
    <row r="114" spans="1:37" ht="135" x14ac:dyDescent="0.2">
      <c r="A114" s="132"/>
      <c r="B114" s="71"/>
      <c r="C114" s="148"/>
      <c r="D114" s="1" t="s">
        <v>709</v>
      </c>
      <c r="E114" s="129"/>
      <c r="F114" s="48"/>
      <c r="G114" s="342"/>
      <c r="H114" s="129">
        <v>72</v>
      </c>
      <c r="I114" s="48" t="s">
        <v>27</v>
      </c>
      <c r="J114" s="343"/>
      <c r="K114" s="129"/>
      <c r="L114" s="343"/>
      <c r="M114" s="129"/>
      <c r="N114" s="343"/>
      <c r="O114" s="129">
        <v>77</v>
      </c>
      <c r="P114" s="343"/>
      <c r="Q114" s="174"/>
      <c r="R114" s="251"/>
      <c r="S114" s="129"/>
      <c r="T114" s="344"/>
      <c r="U114" s="129">
        <v>100</v>
      </c>
      <c r="V114" s="344"/>
      <c r="W114" s="56"/>
      <c r="X114" s="243"/>
      <c r="Y114" s="56"/>
      <c r="Z114" s="243"/>
      <c r="AA114" s="56">
        <f>U114/O114*100</f>
        <v>129.87012987012986</v>
      </c>
      <c r="AB114" s="243"/>
      <c r="AC114" s="89">
        <f>U114</f>
        <v>100</v>
      </c>
      <c r="AD114" s="4"/>
      <c r="AE114" s="56">
        <f t="shared" ref="AE114:AE116" si="117">AC114/H114*100</f>
        <v>138.88888888888889</v>
      </c>
      <c r="AF114" s="32" t="str">
        <f t="shared" ref="AF114:AF116" si="118">IF(AE114&gt;=91,"Sangat Tinggi",IF(AE114&gt;=76,"Tinggi",IF(AE114&gt;=66,"Sedang",IF(AE114&gt;=51,"Rendah",IF(AE114&lt;=50,"Sangat Rendah")))))</f>
        <v>Sangat Tinggi</v>
      </c>
      <c r="AG114" s="4"/>
      <c r="AH114" s="336"/>
      <c r="AK114" s="119"/>
    </row>
    <row r="115" spans="1:37" ht="150" x14ac:dyDescent="0.2">
      <c r="A115" s="132"/>
      <c r="B115" s="71"/>
      <c r="C115" s="67"/>
      <c r="D115" s="1" t="s">
        <v>710</v>
      </c>
      <c r="E115" s="129"/>
      <c r="F115" s="48"/>
      <c r="G115" s="28"/>
      <c r="H115" s="129">
        <v>100</v>
      </c>
      <c r="I115" s="48" t="s">
        <v>27</v>
      </c>
      <c r="J115" s="31"/>
      <c r="K115" s="129"/>
      <c r="L115" s="31"/>
      <c r="M115" s="129"/>
      <c r="N115" s="31"/>
      <c r="O115" s="129">
        <v>100</v>
      </c>
      <c r="P115" s="31"/>
      <c r="Q115" s="174"/>
      <c r="R115" s="252"/>
      <c r="S115" s="129"/>
      <c r="T115" s="82"/>
      <c r="U115" s="78">
        <v>95.24</v>
      </c>
      <c r="V115" s="82"/>
      <c r="W115" s="56"/>
      <c r="X115" s="238"/>
      <c r="Y115" s="56"/>
      <c r="Z115" s="238"/>
      <c r="AA115" s="56">
        <f>U115/O115*100</f>
        <v>95.24</v>
      </c>
      <c r="AB115" s="238"/>
      <c r="AC115" s="89">
        <f>U115</f>
        <v>95.24</v>
      </c>
      <c r="AD115" s="5"/>
      <c r="AE115" s="56">
        <f t="shared" si="117"/>
        <v>95.24</v>
      </c>
      <c r="AF115" s="32" t="str">
        <f t="shared" si="118"/>
        <v>Sangat Tinggi</v>
      </c>
      <c r="AG115" s="5"/>
      <c r="AH115" s="336"/>
      <c r="AK115" s="119"/>
    </row>
    <row r="116" spans="1:37" ht="150" x14ac:dyDescent="0.2">
      <c r="A116" s="132"/>
      <c r="B116" s="71"/>
      <c r="C116" s="147" t="s">
        <v>711</v>
      </c>
      <c r="D116" s="1" t="s">
        <v>712</v>
      </c>
      <c r="E116" s="129"/>
      <c r="F116" s="48"/>
      <c r="G116" s="272"/>
      <c r="H116" s="129">
        <v>100</v>
      </c>
      <c r="I116" s="48" t="s">
        <v>27</v>
      </c>
      <c r="J116" s="196">
        <v>2214602750</v>
      </c>
      <c r="K116" s="129"/>
      <c r="L116" s="196"/>
      <c r="M116" s="129"/>
      <c r="N116" s="196"/>
      <c r="O116" s="129">
        <v>100</v>
      </c>
      <c r="P116" s="196">
        <v>1004813550</v>
      </c>
      <c r="Q116" s="174"/>
      <c r="R116" s="273"/>
      <c r="S116" s="129"/>
      <c r="T116" s="44"/>
      <c r="U116" s="129">
        <v>100</v>
      </c>
      <c r="V116" s="183">
        <v>757838500</v>
      </c>
      <c r="W116" s="56"/>
      <c r="X116" s="237"/>
      <c r="Y116" s="56"/>
      <c r="Z116" s="237"/>
      <c r="AA116" s="89">
        <f>U116/O116*100</f>
        <v>100</v>
      </c>
      <c r="AB116" s="237">
        <f>V116/P116*100</f>
        <v>75.420808168838889</v>
      </c>
      <c r="AC116" s="89">
        <f>U116</f>
        <v>100</v>
      </c>
      <c r="AD116" s="351">
        <f>V116</f>
        <v>757838500</v>
      </c>
      <c r="AE116" s="89">
        <f t="shared" si="117"/>
        <v>100</v>
      </c>
      <c r="AF116" s="32" t="str">
        <f t="shared" si="118"/>
        <v>Sangat Tinggi</v>
      </c>
      <c r="AG116" s="56">
        <f t="shared" ref="AG116" si="119">AD116/J116*100</f>
        <v>34.220064975535678</v>
      </c>
      <c r="AH116" s="127"/>
      <c r="AK116" s="119"/>
    </row>
    <row r="117" spans="1:37" ht="75" x14ac:dyDescent="0.2">
      <c r="A117" s="17"/>
      <c r="B117" s="61"/>
      <c r="C117" s="38" t="s">
        <v>450</v>
      </c>
      <c r="D117" s="40" t="s">
        <v>451</v>
      </c>
      <c r="E117" s="36">
        <v>7</v>
      </c>
      <c r="F117" s="35" t="s">
        <v>452</v>
      </c>
      <c r="G117" s="9"/>
      <c r="H117" s="36">
        <v>7</v>
      </c>
      <c r="I117" s="35" t="s">
        <v>452</v>
      </c>
      <c r="J117" s="37">
        <v>2352620000</v>
      </c>
      <c r="K117" s="36">
        <v>7</v>
      </c>
      <c r="L117" s="41">
        <v>452524000</v>
      </c>
      <c r="M117" s="36">
        <v>7</v>
      </c>
      <c r="N117" s="41">
        <v>400750000</v>
      </c>
      <c r="O117" s="36"/>
      <c r="P117" s="41"/>
      <c r="Q117" s="36">
        <v>7</v>
      </c>
      <c r="R117" s="37">
        <v>310702800</v>
      </c>
      <c r="S117" s="36">
        <v>7</v>
      </c>
      <c r="T117" s="37">
        <v>284608780</v>
      </c>
      <c r="U117" s="36"/>
      <c r="V117" s="37"/>
      <c r="W117" s="89">
        <f t="shared" ref="W117:Z118" si="120">Q117/K117*100</f>
        <v>100</v>
      </c>
      <c r="X117" s="235">
        <f t="shared" si="120"/>
        <v>68.659960576676596</v>
      </c>
      <c r="Y117" s="89">
        <f t="shared" si="120"/>
        <v>100</v>
      </c>
      <c r="Z117" s="235">
        <f t="shared" si="120"/>
        <v>71.019034310667493</v>
      </c>
      <c r="AA117" s="56"/>
      <c r="AB117" s="235"/>
      <c r="AC117" s="92">
        <f>S117</f>
        <v>7</v>
      </c>
      <c r="AD117" s="195">
        <f>R117+T117</f>
        <v>595311580</v>
      </c>
      <c r="AE117" s="89">
        <f t="shared" ref="AE117:AE118" si="121">AC117/H117*100</f>
        <v>100</v>
      </c>
      <c r="AF117" s="32" t="str">
        <f t="shared" ref="AF117:AF118" si="122">IF(AE117&gt;=91,"Sangat Tinggi",IF(AE117&gt;=76,"Tinggi",IF(AE117&gt;=66,"Sedang",IF(AE117&gt;=51,"Rendah",IF(AE117&lt;=50,"Sangat Rendah")))))</f>
        <v>Sangat Tinggi</v>
      </c>
      <c r="AG117" s="56">
        <f t="shared" ref="AG117:AG118" si="123">AD117/J117*100</f>
        <v>25.304196172777583</v>
      </c>
      <c r="AH117" s="410" t="s">
        <v>295</v>
      </c>
      <c r="AK117" s="119">
        <f>R117</f>
        <v>310702800</v>
      </c>
    </row>
    <row r="118" spans="1:37" ht="135" x14ac:dyDescent="0.2">
      <c r="A118" s="17"/>
      <c r="B118" s="61"/>
      <c r="C118" s="38" t="s">
        <v>455</v>
      </c>
      <c r="D118" s="33" t="s">
        <v>453</v>
      </c>
      <c r="E118" s="131">
        <v>100</v>
      </c>
      <c r="F118" s="128" t="s">
        <v>27</v>
      </c>
      <c r="G118" s="9"/>
      <c r="H118" s="131">
        <v>100</v>
      </c>
      <c r="I118" s="128" t="s">
        <v>27</v>
      </c>
      <c r="J118" s="39">
        <v>290500000</v>
      </c>
      <c r="K118" s="131">
        <v>100</v>
      </c>
      <c r="L118" s="39">
        <v>58100000</v>
      </c>
      <c r="M118" s="131">
        <v>100</v>
      </c>
      <c r="N118" s="39">
        <v>37500000</v>
      </c>
      <c r="O118" s="131"/>
      <c r="P118" s="39"/>
      <c r="Q118" s="175">
        <v>100</v>
      </c>
      <c r="R118" s="9">
        <v>55027500</v>
      </c>
      <c r="S118" s="77">
        <v>100</v>
      </c>
      <c r="T118" s="9">
        <v>8900000</v>
      </c>
      <c r="U118" s="77"/>
      <c r="V118" s="9"/>
      <c r="W118" s="89">
        <f t="shared" si="120"/>
        <v>100</v>
      </c>
      <c r="X118" s="235">
        <f t="shared" si="120"/>
        <v>94.711703958691913</v>
      </c>
      <c r="Y118" s="89">
        <f t="shared" si="120"/>
        <v>100</v>
      </c>
      <c r="Z118" s="235">
        <f t="shared" si="120"/>
        <v>23.733333333333334</v>
      </c>
      <c r="AA118" s="56"/>
      <c r="AB118" s="235"/>
      <c r="AC118" s="92">
        <f>S118</f>
        <v>100</v>
      </c>
      <c r="AD118" s="195">
        <f>R118+T118</f>
        <v>63927500</v>
      </c>
      <c r="AE118" s="89">
        <f t="shared" si="121"/>
        <v>100</v>
      </c>
      <c r="AF118" s="32" t="str">
        <f t="shared" si="122"/>
        <v>Sangat Tinggi</v>
      </c>
      <c r="AG118" s="56">
        <f t="shared" si="123"/>
        <v>22.006024096385541</v>
      </c>
      <c r="AH118" s="111"/>
      <c r="AK118" s="119">
        <f>R118</f>
        <v>55027500</v>
      </c>
    </row>
    <row r="119" spans="1:37" ht="90" x14ac:dyDescent="0.2">
      <c r="A119" s="17"/>
      <c r="B119" s="61"/>
      <c r="C119" s="47"/>
      <c r="D119" s="72" t="s">
        <v>480</v>
      </c>
      <c r="E119" s="281">
        <v>49.04</v>
      </c>
      <c r="F119" s="282" t="s">
        <v>25</v>
      </c>
      <c r="G119" s="283"/>
      <c r="H119" s="281">
        <v>81.33</v>
      </c>
      <c r="I119" s="282" t="s">
        <v>25</v>
      </c>
      <c r="J119" s="284">
        <f>SUM(J120:J125)</f>
        <v>21805587000</v>
      </c>
      <c r="K119" s="281">
        <v>69.77</v>
      </c>
      <c r="L119" s="284">
        <f>SUM(L120:L125)</f>
        <v>2883005400</v>
      </c>
      <c r="M119" s="281">
        <v>73.17</v>
      </c>
      <c r="N119" s="284">
        <f>SUM(N120:N125)</f>
        <v>2233112700</v>
      </c>
      <c r="O119" s="281">
        <v>74.42</v>
      </c>
      <c r="P119" s="284">
        <f>SUM(P120:P135)</f>
        <v>4618649650</v>
      </c>
      <c r="Q119" s="281">
        <v>62.74</v>
      </c>
      <c r="R119" s="392">
        <f>SUM(R120:R125)</f>
        <v>1423793450</v>
      </c>
      <c r="S119" s="281">
        <v>72</v>
      </c>
      <c r="T119" s="284">
        <f>SUM(T120:T125)</f>
        <v>1770721322</v>
      </c>
      <c r="U119" s="281">
        <v>76.760000000000005</v>
      </c>
      <c r="V119" s="284">
        <f>SUM(V120:V135)</f>
        <v>3555208962</v>
      </c>
      <c r="W119" s="234">
        <f t="shared" ref="W119:Z120" si="124">Q119/K119*100</f>
        <v>89.924036118675659</v>
      </c>
      <c r="X119" s="240">
        <f t="shared" si="124"/>
        <v>49.385736495672191</v>
      </c>
      <c r="Y119" s="234">
        <f t="shared" si="124"/>
        <v>98.400984009840101</v>
      </c>
      <c r="Z119" s="240">
        <f t="shared" si="124"/>
        <v>79.293862866840541</v>
      </c>
      <c r="AA119" s="234">
        <f>U119/O119*100</f>
        <v>103.14431604407417</v>
      </c>
      <c r="AB119" s="240">
        <f>V119/P119*100</f>
        <v>76.975073482787337</v>
      </c>
      <c r="AC119" s="223">
        <f>U119</f>
        <v>76.760000000000005</v>
      </c>
      <c r="AD119" s="321">
        <f>R119+T119+V119</f>
        <v>6749723734</v>
      </c>
      <c r="AE119" s="234">
        <f t="shared" ref="AE119" si="125">AC119/H119*100</f>
        <v>94.380917250707014</v>
      </c>
      <c r="AF119" s="219" t="str">
        <f t="shared" ref="AF119:AF121" si="126">IF(AE119&gt;=91,"Sangat Tinggi",IF(AE119&gt;=76,"Tinggi",IF(AE119&gt;=66,"Sedang",IF(AE119&gt;=51,"Rendah",IF(AE119&lt;=50,"Sangat Rendah")))))</f>
        <v>Sangat Tinggi</v>
      </c>
      <c r="AG119" s="234">
        <f>AD119/J119*100</f>
        <v>30.95410242338351</v>
      </c>
      <c r="AH119" s="410" t="s">
        <v>829</v>
      </c>
      <c r="AK119" s="119">
        <f t="shared" ref="AK119:AK125" si="127">R119</f>
        <v>1423793450</v>
      </c>
    </row>
    <row r="120" spans="1:37" s="141" customFormat="1" ht="180" x14ac:dyDescent="0.2">
      <c r="A120" s="137"/>
      <c r="B120" s="138"/>
      <c r="C120" s="43" t="s">
        <v>456</v>
      </c>
      <c r="D120" s="40" t="s">
        <v>454</v>
      </c>
      <c r="E120" s="139">
        <v>21.87</v>
      </c>
      <c r="F120" s="140" t="s">
        <v>27</v>
      </c>
      <c r="G120" s="205"/>
      <c r="H120" s="139">
        <v>28.13</v>
      </c>
      <c r="I120" s="140" t="s">
        <v>27</v>
      </c>
      <c r="J120" s="45">
        <v>18103300000</v>
      </c>
      <c r="K120" s="139">
        <v>37.5</v>
      </c>
      <c r="L120" s="45">
        <v>2142548000</v>
      </c>
      <c r="M120" s="139">
        <v>18.75</v>
      </c>
      <c r="N120" s="45">
        <v>1601003300</v>
      </c>
      <c r="O120" s="139"/>
      <c r="P120" s="45"/>
      <c r="Q120" s="139">
        <v>46.88</v>
      </c>
      <c r="R120" s="205">
        <v>1209834150</v>
      </c>
      <c r="S120" s="139">
        <f>20/32*100</f>
        <v>62.5</v>
      </c>
      <c r="T120" s="205">
        <v>1163386800</v>
      </c>
      <c r="U120" s="139"/>
      <c r="V120" s="205"/>
      <c r="W120" s="56">
        <f t="shared" si="124"/>
        <v>125.01333333333334</v>
      </c>
      <c r="X120" s="285">
        <f t="shared" si="124"/>
        <v>56.467073316443781</v>
      </c>
      <c r="Y120" s="56">
        <f t="shared" si="124"/>
        <v>333.33333333333337</v>
      </c>
      <c r="Z120" s="285">
        <f t="shared" si="124"/>
        <v>72.666108808145495</v>
      </c>
      <c r="AA120" s="56"/>
      <c r="AB120" s="285"/>
      <c r="AC120" s="74">
        <f t="shared" ref="AC120:AC125" si="128">S120</f>
        <v>62.5</v>
      </c>
      <c r="AD120" s="195">
        <f>R120+T120</f>
        <v>2373220950</v>
      </c>
      <c r="AE120" s="56">
        <f>AC120/H120*100</f>
        <v>222.18272307145398</v>
      </c>
      <c r="AF120" s="32" t="str">
        <f t="shared" si="126"/>
        <v>Sangat Tinggi</v>
      </c>
      <c r="AG120" s="354">
        <f>AD120/J120*100</f>
        <v>13.109327857351975</v>
      </c>
      <c r="AH120" s="393"/>
      <c r="AK120" s="119">
        <f t="shared" si="127"/>
        <v>1209834150</v>
      </c>
    </row>
    <row r="121" spans="1:37" ht="120" x14ac:dyDescent="0.2">
      <c r="A121" s="17"/>
      <c r="B121" s="61"/>
      <c r="C121" s="204"/>
      <c r="D121" s="33" t="s">
        <v>484</v>
      </c>
      <c r="E121" s="77">
        <v>55.39</v>
      </c>
      <c r="F121" s="128" t="s">
        <v>27</v>
      </c>
      <c r="G121" s="179"/>
      <c r="H121" s="77">
        <v>74.5</v>
      </c>
      <c r="I121" s="128" t="s">
        <v>27</v>
      </c>
      <c r="J121" s="188"/>
      <c r="K121" s="77">
        <v>64.430000000000007</v>
      </c>
      <c r="L121" s="188"/>
      <c r="M121" s="77">
        <v>67.67</v>
      </c>
      <c r="N121" s="188"/>
      <c r="O121" s="77"/>
      <c r="P121" s="188"/>
      <c r="Q121" s="77">
        <v>63.33</v>
      </c>
      <c r="R121" s="179"/>
      <c r="S121" s="131">
        <f>384/600*100</f>
        <v>64</v>
      </c>
      <c r="T121" s="179"/>
      <c r="U121" s="77"/>
      <c r="V121" s="179"/>
      <c r="W121" s="56">
        <f>Q121/K121*100</f>
        <v>98.292720782244274</v>
      </c>
      <c r="X121" s="243"/>
      <c r="Y121" s="56">
        <f>S121/M121*100</f>
        <v>94.576621841288599</v>
      </c>
      <c r="Z121" s="243"/>
      <c r="AA121" s="56"/>
      <c r="AB121" s="243"/>
      <c r="AC121" s="92">
        <f t="shared" si="128"/>
        <v>64</v>
      </c>
      <c r="AD121" s="4"/>
      <c r="AE121" s="56">
        <f t="shared" ref="AE121:AE123" si="129">AC121/H121*100</f>
        <v>85.90604026845638</v>
      </c>
      <c r="AF121" s="32" t="str">
        <f t="shared" si="126"/>
        <v>Tinggi</v>
      </c>
      <c r="AG121" s="4"/>
      <c r="AH121" s="111"/>
      <c r="AK121" s="119">
        <f t="shared" si="127"/>
        <v>0</v>
      </c>
    </row>
    <row r="122" spans="1:37" ht="120" x14ac:dyDescent="0.2">
      <c r="A122" s="17"/>
      <c r="B122" s="61"/>
      <c r="C122" s="47"/>
      <c r="D122" s="33" t="s">
        <v>457</v>
      </c>
      <c r="E122" s="77">
        <v>29.52</v>
      </c>
      <c r="F122" s="128" t="s">
        <v>27</v>
      </c>
      <c r="G122" s="49"/>
      <c r="H122" s="77">
        <v>56.84</v>
      </c>
      <c r="I122" s="128" t="s">
        <v>27</v>
      </c>
      <c r="J122" s="187"/>
      <c r="K122" s="77">
        <v>43.55</v>
      </c>
      <c r="L122" s="187"/>
      <c r="M122" s="77">
        <v>46.78</v>
      </c>
      <c r="N122" s="187"/>
      <c r="O122" s="77"/>
      <c r="P122" s="187"/>
      <c r="Q122" s="77">
        <v>43.66</v>
      </c>
      <c r="R122" s="49"/>
      <c r="S122" s="77">
        <f>1337/2785*100</f>
        <v>48.007181328545776</v>
      </c>
      <c r="T122" s="49"/>
      <c r="U122" s="77"/>
      <c r="V122" s="49"/>
      <c r="W122" s="56">
        <f>Q122/K122*100</f>
        <v>100.25258323765786</v>
      </c>
      <c r="X122" s="238"/>
      <c r="Y122" s="56">
        <f>S122/M122*100</f>
        <v>102.62330339577976</v>
      </c>
      <c r="Z122" s="238"/>
      <c r="AA122" s="56"/>
      <c r="AB122" s="238"/>
      <c r="AC122" s="74">
        <f t="shared" si="128"/>
        <v>48.007181328545776</v>
      </c>
      <c r="AD122" s="5"/>
      <c r="AE122" s="56">
        <f t="shared" si="129"/>
        <v>84.460206418975673</v>
      </c>
      <c r="AF122" s="32" t="str">
        <f t="shared" ref="AF122:AF124" si="130">IF(AE122&gt;=91,"Sangat Tinggi",IF(AE122&gt;=76,"Tinggi",IF(AE122&gt;=66,"Sedang",IF(AE122&gt;=51,"Rendah",IF(AE122&lt;=50,"Sangat Rendah")))))</f>
        <v>Tinggi</v>
      </c>
      <c r="AG122" s="5"/>
      <c r="AH122" s="111"/>
      <c r="AK122" s="119">
        <f t="shared" si="127"/>
        <v>0</v>
      </c>
    </row>
    <row r="123" spans="1:37" ht="75" x14ac:dyDescent="0.2">
      <c r="A123" s="17"/>
      <c r="B123" s="61"/>
      <c r="C123" s="33" t="s">
        <v>458</v>
      </c>
      <c r="D123" s="33" t="s">
        <v>459</v>
      </c>
      <c r="E123" s="131">
        <v>45</v>
      </c>
      <c r="F123" s="128" t="s">
        <v>27</v>
      </c>
      <c r="G123" s="9"/>
      <c r="H123" s="131">
        <v>100</v>
      </c>
      <c r="I123" s="128" t="s">
        <v>27</v>
      </c>
      <c r="J123" s="37">
        <v>585315000</v>
      </c>
      <c r="K123" s="131">
        <v>20</v>
      </c>
      <c r="L123" s="37">
        <v>117063000</v>
      </c>
      <c r="M123" s="131">
        <v>20</v>
      </c>
      <c r="N123" s="37">
        <v>32865000</v>
      </c>
      <c r="O123" s="131"/>
      <c r="P123" s="37"/>
      <c r="Q123" s="131">
        <v>20</v>
      </c>
      <c r="R123" s="9">
        <v>68558000</v>
      </c>
      <c r="S123" s="131">
        <v>20</v>
      </c>
      <c r="T123" s="9">
        <v>26620000</v>
      </c>
      <c r="U123" s="131"/>
      <c r="V123" s="9"/>
      <c r="W123" s="56">
        <f>Q123/K123*100</f>
        <v>100</v>
      </c>
      <c r="X123" s="235">
        <f>R123/L123*100</f>
        <v>58.565046171719501</v>
      </c>
      <c r="Y123" s="56">
        <f>S123/M123*100</f>
        <v>100</v>
      </c>
      <c r="Z123" s="235">
        <f>T123/N123*100</f>
        <v>80.998022212079718</v>
      </c>
      <c r="AA123" s="56"/>
      <c r="AB123" s="235"/>
      <c r="AC123" s="92">
        <f t="shared" si="128"/>
        <v>20</v>
      </c>
      <c r="AD123" s="195">
        <f>R123+T123</f>
        <v>95178000</v>
      </c>
      <c r="AE123" s="89">
        <f t="shared" si="129"/>
        <v>20</v>
      </c>
      <c r="AF123" s="32" t="str">
        <f t="shared" si="130"/>
        <v>Sangat Rendah</v>
      </c>
      <c r="AG123" s="56">
        <f t="shared" ref="AG123" si="131">AD123/J123*100</f>
        <v>16.260987673304118</v>
      </c>
      <c r="AH123" s="111"/>
      <c r="AK123" s="119">
        <f t="shared" si="127"/>
        <v>68558000</v>
      </c>
    </row>
    <row r="124" spans="1:37" ht="135" x14ac:dyDescent="0.2">
      <c r="A124" s="17"/>
      <c r="B124" s="61"/>
      <c r="C124" s="203" t="s">
        <v>486</v>
      </c>
      <c r="D124" s="33" t="s">
        <v>460</v>
      </c>
      <c r="E124" s="77">
        <v>88.4</v>
      </c>
      <c r="F124" s="128" t="s">
        <v>27</v>
      </c>
      <c r="G124" s="183"/>
      <c r="H124" s="131">
        <v>100</v>
      </c>
      <c r="I124" s="128" t="s">
        <v>27</v>
      </c>
      <c r="J124" s="45">
        <v>3116972000</v>
      </c>
      <c r="K124" s="131">
        <v>91</v>
      </c>
      <c r="L124" s="45">
        <v>623394400</v>
      </c>
      <c r="M124" s="131">
        <v>93</v>
      </c>
      <c r="N124" s="45">
        <v>599244400</v>
      </c>
      <c r="O124" s="131"/>
      <c r="P124" s="45"/>
      <c r="Q124" s="77">
        <v>93.54</v>
      </c>
      <c r="R124" s="183">
        <v>145401300</v>
      </c>
      <c r="S124" s="77">
        <f>1556/1641*100</f>
        <v>94.820231566118224</v>
      </c>
      <c r="T124" s="183">
        <v>580714522</v>
      </c>
      <c r="U124" s="77"/>
      <c r="V124" s="183"/>
      <c r="W124" s="56">
        <f>Q124/K124*100</f>
        <v>102.7912087912088</v>
      </c>
      <c r="X124" s="237">
        <f>R124/L124*100</f>
        <v>23.324126748652219</v>
      </c>
      <c r="Y124" s="56">
        <f>S124/M124*100</f>
        <v>101.95723824313787</v>
      </c>
      <c r="Z124" s="237">
        <f>T124/N124*100</f>
        <v>96.907792880500836</v>
      </c>
      <c r="AA124" s="56"/>
      <c r="AB124" s="237"/>
      <c r="AC124" s="74">
        <f t="shared" si="128"/>
        <v>94.820231566118224</v>
      </c>
      <c r="AD124" s="195">
        <f>R124+T124</f>
        <v>726115822</v>
      </c>
      <c r="AE124" s="56">
        <f>AC124/H124*100</f>
        <v>94.820231566118224</v>
      </c>
      <c r="AF124" s="32" t="str">
        <f t="shared" si="130"/>
        <v>Sangat Tinggi</v>
      </c>
      <c r="AG124" s="354">
        <f>AD124/J124*100</f>
        <v>23.295551644352276</v>
      </c>
      <c r="AH124" s="111"/>
      <c r="AK124" s="119">
        <f t="shared" si="127"/>
        <v>145401300</v>
      </c>
    </row>
    <row r="125" spans="1:37" ht="90" x14ac:dyDescent="0.2">
      <c r="A125" s="17"/>
      <c r="B125" s="61"/>
      <c r="C125" s="47"/>
      <c r="D125" s="33" t="s">
        <v>461</v>
      </c>
      <c r="E125" s="77">
        <v>86.8</v>
      </c>
      <c r="F125" s="128" t="s">
        <v>27</v>
      </c>
      <c r="G125" s="49"/>
      <c r="H125" s="131">
        <v>100</v>
      </c>
      <c r="I125" s="128" t="s">
        <v>27</v>
      </c>
      <c r="J125" s="187"/>
      <c r="K125" s="77">
        <v>89.5</v>
      </c>
      <c r="L125" s="187"/>
      <c r="M125" s="77">
        <v>92</v>
      </c>
      <c r="N125" s="187"/>
      <c r="O125" s="77"/>
      <c r="P125" s="187"/>
      <c r="Q125" s="77">
        <v>89.5</v>
      </c>
      <c r="R125" s="49"/>
      <c r="S125" s="77">
        <v>92.002274017002094</v>
      </c>
      <c r="T125" s="49"/>
      <c r="U125" s="77"/>
      <c r="V125" s="49"/>
      <c r="W125" s="56">
        <f>Q125/K125*100</f>
        <v>100</v>
      </c>
      <c r="X125" s="238"/>
      <c r="Y125" s="56">
        <f>S125/M125*100</f>
        <v>100.00247175761096</v>
      </c>
      <c r="Z125" s="238"/>
      <c r="AA125" s="56"/>
      <c r="AB125" s="238"/>
      <c r="AC125" s="92">
        <f t="shared" si="128"/>
        <v>92.002274017002094</v>
      </c>
      <c r="AD125" s="5"/>
      <c r="AE125" s="56">
        <f>AC125/H125*100</f>
        <v>92.002274017002094</v>
      </c>
      <c r="AF125" s="32" t="str">
        <f t="shared" ref="AF125:AF126" si="132">IF(AE125&gt;=91,"Sangat Tinggi",IF(AE125&gt;=76,"Tinggi",IF(AE125&gt;=66,"Sedang",IF(AE125&gt;=51,"Rendah",IF(AE125&lt;=50,"Sangat Rendah")))))</f>
        <v>Sangat Tinggi</v>
      </c>
      <c r="AG125" s="8"/>
      <c r="AH125" s="111"/>
      <c r="AK125" s="119">
        <f t="shared" si="127"/>
        <v>0</v>
      </c>
    </row>
    <row r="126" spans="1:37" ht="180" x14ac:dyDescent="0.2">
      <c r="A126" s="17"/>
      <c r="B126" s="61"/>
      <c r="C126" s="203" t="s">
        <v>749</v>
      </c>
      <c r="D126" s="33" t="s">
        <v>820</v>
      </c>
      <c r="E126" s="131"/>
      <c r="F126" s="330"/>
      <c r="G126" s="183"/>
      <c r="H126" s="131">
        <v>100</v>
      </c>
      <c r="I126" s="387" t="s">
        <v>27</v>
      </c>
      <c r="J126" s="45">
        <v>1953231500</v>
      </c>
      <c r="K126" s="77"/>
      <c r="L126" s="45"/>
      <c r="M126" s="77"/>
      <c r="N126" s="45"/>
      <c r="O126" s="131">
        <v>100</v>
      </c>
      <c r="P126" s="45">
        <v>1976731400</v>
      </c>
      <c r="Q126" s="77"/>
      <c r="R126" s="183"/>
      <c r="S126" s="77"/>
      <c r="T126" s="183"/>
      <c r="U126" s="131">
        <v>100</v>
      </c>
      <c r="V126" s="183">
        <v>1623833000</v>
      </c>
      <c r="W126" s="56"/>
      <c r="X126" s="237"/>
      <c r="Y126" s="56"/>
      <c r="Z126" s="237"/>
      <c r="AA126" s="89">
        <f>U126/O126*100</f>
        <v>100</v>
      </c>
      <c r="AB126" s="237">
        <f>V126/P126*100</f>
        <v>82.147377230917655</v>
      </c>
      <c r="AC126" s="92">
        <f>U126</f>
        <v>100</v>
      </c>
      <c r="AD126" s="359">
        <f>V126</f>
        <v>1623833000</v>
      </c>
      <c r="AE126" s="89">
        <f>AC126/H126*100</f>
        <v>100</v>
      </c>
      <c r="AF126" s="32" t="str">
        <f t="shared" si="132"/>
        <v>Sangat Tinggi</v>
      </c>
      <c r="AG126" s="354">
        <f>AD126/J126*100</f>
        <v>83.135716375657466</v>
      </c>
      <c r="AH126" s="111"/>
      <c r="AK126" s="119"/>
    </row>
    <row r="127" spans="1:37" ht="135" x14ac:dyDescent="0.2">
      <c r="A127" s="17"/>
      <c r="B127" s="61"/>
      <c r="C127" s="204"/>
      <c r="D127" s="33" t="s">
        <v>821</v>
      </c>
      <c r="E127" s="131"/>
      <c r="F127" s="387"/>
      <c r="G127" s="179"/>
      <c r="H127" s="131">
        <v>100</v>
      </c>
      <c r="I127" s="387" t="s">
        <v>27</v>
      </c>
      <c r="J127" s="188"/>
      <c r="K127" s="77"/>
      <c r="L127" s="188"/>
      <c r="M127" s="77"/>
      <c r="N127" s="188"/>
      <c r="O127" s="131">
        <v>100</v>
      </c>
      <c r="P127" s="188"/>
      <c r="Q127" s="77"/>
      <c r="R127" s="179"/>
      <c r="S127" s="77"/>
      <c r="T127" s="179"/>
      <c r="U127" s="131">
        <v>100</v>
      </c>
      <c r="V127" s="179"/>
      <c r="W127" s="56"/>
      <c r="X127" s="243"/>
      <c r="Y127" s="56"/>
      <c r="Z127" s="243"/>
      <c r="AA127" s="89">
        <f t="shared" ref="AA127:AA137" si="133">U127/O127*100</f>
        <v>100</v>
      </c>
      <c r="AB127" s="243"/>
      <c r="AC127" s="92">
        <f t="shared" ref="AC127:AC134" si="134">U127</f>
        <v>100</v>
      </c>
      <c r="AD127" s="4"/>
      <c r="AE127" s="89">
        <f t="shared" ref="AE127:AE130" si="135">AC127/H127*100</f>
        <v>100</v>
      </c>
      <c r="AF127" s="32" t="str">
        <f t="shared" ref="AF127:AF132" si="136">IF(AE127&gt;=91,"Sangat Tinggi",IF(AE127&gt;=76,"Tinggi",IF(AE127&gt;=66,"Sedang",IF(AE127&gt;=51,"Rendah",IF(AE127&lt;=50,"Sangat Rendah")))))</f>
        <v>Sangat Tinggi</v>
      </c>
      <c r="AG127" s="4"/>
      <c r="AH127" s="111"/>
      <c r="AK127" s="119"/>
    </row>
    <row r="128" spans="1:37" ht="180" x14ac:dyDescent="0.2">
      <c r="A128" s="17"/>
      <c r="B128" s="61"/>
      <c r="C128" s="204"/>
      <c r="D128" s="33" t="s">
        <v>822</v>
      </c>
      <c r="E128" s="131"/>
      <c r="F128" s="387"/>
      <c r="G128" s="179"/>
      <c r="H128" s="131">
        <v>100</v>
      </c>
      <c r="I128" s="387" t="s">
        <v>27</v>
      </c>
      <c r="J128" s="188"/>
      <c r="K128" s="77"/>
      <c r="L128" s="188"/>
      <c r="M128" s="77"/>
      <c r="N128" s="188"/>
      <c r="O128" s="131">
        <v>100</v>
      </c>
      <c r="P128" s="188"/>
      <c r="Q128" s="77"/>
      <c r="R128" s="179"/>
      <c r="S128" s="77"/>
      <c r="T128" s="179"/>
      <c r="U128" s="131">
        <v>100</v>
      </c>
      <c r="V128" s="179"/>
      <c r="W128" s="56"/>
      <c r="X128" s="243"/>
      <c r="Y128" s="56"/>
      <c r="Z128" s="243"/>
      <c r="AA128" s="89">
        <f t="shared" si="133"/>
        <v>100</v>
      </c>
      <c r="AB128" s="243"/>
      <c r="AC128" s="92">
        <f t="shared" si="134"/>
        <v>100</v>
      </c>
      <c r="AD128" s="4"/>
      <c r="AE128" s="89">
        <f t="shared" si="135"/>
        <v>100</v>
      </c>
      <c r="AF128" s="32" t="str">
        <f t="shared" si="136"/>
        <v>Sangat Tinggi</v>
      </c>
      <c r="AG128" s="4"/>
      <c r="AH128" s="111"/>
      <c r="AK128" s="119"/>
    </row>
    <row r="129" spans="1:37" ht="150" x14ac:dyDescent="0.2">
      <c r="A129" s="17"/>
      <c r="B129" s="61"/>
      <c r="C129" s="204"/>
      <c r="D129" s="33" t="s">
        <v>823</v>
      </c>
      <c r="E129" s="131"/>
      <c r="F129" s="387"/>
      <c r="G129" s="179"/>
      <c r="H129" s="131">
        <v>100</v>
      </c>
      <c r="I129" s="387" t="s">
        <v>27</v>
      </c>
      <c r="J129" s="188"/>
      <c r="K129" s="77"/>
      <c r="L129" s="188"/>
      <c r="M129" s="77"/>
      <c r="N129" s="188"/>
      <c r="O129" s="131">
        <v>100</v>
      </c>
      <c r="P129" s="188"/>
      <c r="Q129" s="77"/>
      <c r="R129" s="179"/>
      <c r="S129" s="77"/>
      <c r="T129" s="179"/>
      <c r="U129" s="77">
        <v>87.878787878787875</v>
      </c>
      <c r="V129" s="179"/>
      <c r="W129" s="56"/>
      <c r="X129" s="243"/>
      <c r="Y129" s="56"/>
      <c r="Z129" s="243"/>
      <c r="AA129" s="56">
        <f t="shared" si="133"/>
        <v>87.878787878787875</v>
      </c>
      <c r="AB129" s="243"/>
      <c r="AC129" s="74">
        <f t="shared" si="134"/>
        <v>87.878787878787875</v>
      </c>
      <c r="AD129" s="4"/>
      <c r="AE129" s="56">
        <f t="shared" si="135"/>
        <v>87.878787878787875</v>
      </c>
      <c r="AF129" s="32" t="str">
        <f t="shared" si="136"/>
        <v>Tinggi</v>
      </c>
      <c r="AG129" s="4"/>
      <c r="AH129" s="111"/>
      <c r="AK129" s="119"/>
    </row>
    <row r="130" spans="1:37" ht="105" x14ac:dyDescent="0.2">
      <c r="A130" s="17"/>
      <c r="B130" s="61"/>
      <c r="C130" s="204"/>
      <c r="D130" s="33" t="s">
        <v>824</v>
      </c>
      <c r="E130" s="131"/>
      <c r="F130" s="387"/>
      <c r="G130" s="179"/>
      <c r="H130" s="131">
        <v>100</v>
      </c>
      <c r="I130" s="387" t="s">
        <v>27</v>
      </c>
      <c r="J130" s="188"/>
      <c r="K130" s="77"/>
      <c r="L130" s="188"/>
      <c r="M130" s="77"/>
      <c r="N130" s="188"/>
      <c r="O130" s="131">
        <v>100</v>
      </c>
      <c r="P130" s="188"/>
      <c r="Q130" s="77"/>
      <c r="R130" s="179"/>
      <c r="S130" s="77"/>
      <c r="T130" s="179"/>
      <c r="U130" s="77">
        <v>95.683453237410077</v>
      </c>
      <c r="V130" s="179"/>
      <c r="W130" s="56"/>
      <c r="X130" s="243"/>
      <c r="Y130" s="56"/>
      <c r="Z130" s="243"/>
      <c r="AA130" s="56">
        <f t="shared" si="133"/>
        <v>95.683453237410077</v>
      </c>
      <c r="AB130" s="243"/>
      <c r="AC130" s="74">
        <f t="shared" si="134"/>
        <v>95.683453237410077</v>
      </c>
      <c r="AD130" s="4"/>
      <c r="AE130" s="56">
        <f t="shared" si="135"/>
        <v>95.683453237410077</v>
      </c>
      <c r="AF130" s="32" t="str">
        <f t="shared" si="136"/>
        <v>Sangat Tinggi</v>
      </c>
      <c r="AG130" s="4"/>
      <c r="AH130" s="111"/>
      <c r="AK130" s="119"/>
    </row>
    <row r="131" spans="1:37" ht="105" x14ac:dyDescent="0.2">
      <c r="A131" s="17"/>
      <c r="B131" s="61"/>
      <c r="C131" s="47"/>
      <c r="D131" s="33" t="s">
        <v>825</v>
      </c>
      <c r="E131" s="131"/>
      <c r="F131" s="330"/>
      <c r="G131" s="49"/>
      <c r="H131" s="131">
        <v>100</v>
      </c>
      <c r="I131" s="387" t="s">
        <v>27</v>
      </c>
      <c r="J131" s="187"/>
      <c r="K131" s="77"/>
      <c r="L131" s="187"/>
      <c r="M131" s="77"/>
      <c r="N131" s="187"/>
      <c r="O131" s="131">
        <v>100</v>
      </c>
      <c r="P131" s="187"/>
      <c r="Q131" s="77"/>
      <c r="R131" s="49"/>
      <c r="S131" s="77"/>
      <c r="T131" s="49"/>
      <c r="U131" s="77">
        <v>76.408450704225345</v>
      </c>
      <c r="V131" s="49"/>
      <c r="W131" s="56"/>
      <c r="X131" s="238"/>
      <c r="Y131" s="56"/>
      <c r="Z131" s="238"/>
      <c r="AA131" s="56">
        <f t="shared" si="133"/>
        <v>76.408450704225345</v>
      </c>
      <c r="AB131" s="238"/>
      <c r="AC131" s="74">
        <f t="shared" si="134"/>
        <v>76.408450704225345</v>
      </c>
      <c r="AD131" s="5"/>
      <c r="AE131" s="56">
        <f>AC131/H131*100</f>
        <v>76.408450704225345</v>
      </c>
      <c r="AF131" s="32" t="str">
        <f t="shared" si="136"/>
        <v>Tinggi</v>
      </c>
      <c r="AG131" s="5"/>
      <c r="AH131" s="111"/>
      <c r="AK131" s="119"/>
    </row>
    <row r="132" spans="1:37" ht="210" x14ac:dyDescent="0.2">
      <c r="A132" s="17"/>
      <c r="B132" s="61"/>
      <c r="C132" s="203" t="s">
        <v>750</v>
      </c>
      <c r="D132" s="33" t="s">
        <v>826</v>
      </c>
      <c r="E132" s="77"/>
      <c r="F132" s="330"/>
      <c r="G132" s="183"/>
      <c r="H132" s="131">
        <v>100</v>
      </c>
      <c r="I132" s="330" t="s">
        <v>27</v>
      </c>
      <c r="J132" s="45">
        <v>7470927250</v>
      </c>
      <c r="K132" s="77"/>
      <c r="L132" s="45"/>
      <c r="M132" s="77"/>
      <c r="N132" s="45"/>
      <c r="O132" s="77">
        <v>72.727272727272734</v>
      </c>
      <c r="P132" s="45">
        <v>2641918250</v>
      </c>
      <c r="Q132" s="77"/>
      <c r="R132" s="183"/>
      <c r="S132" s="77"/>
      <c r="T132" s="183"/>
      <c r="U132" s="77">
        <v>72.72727272727272</v>
      </c>
      <c r="V132" s="183">
        <v>1931375962</v>
      </c>
      <c r="W132" s="56"/>
      <c r="X132" s="237"/>
      <c r="Y132" s="56"/>
      <c r="Z132" s="237"/>
      <c r="AA132" s="89">
        <f t="shared" si="133"/>
        <v>99.999999999999972</v>
      </c>
      <c r="AB132" s="237">
        <f>V132/P132*100</f>
        <v>73.105061521112546</v>
      </c>
      <c r="AC132" s="74">
        <f t="shared" si="134"/>
        <v>72.72727272727272</v>
      </c>
      <c r="AD132" s="359">
        <f>V132</f>
        <v>1931375962</v>
      </c>
      <c r="AE132" s="56">
        <f>AC132/H132*100</f>
        <v>72.72727272727272</v>
      </c>
      <c r="AF132" s="32" t="str">
        <f t="shared" si="136"/>
        <v>Sedang</v>
      </c>
      <c r="AG132" s="354">
        <f>AD132/J132*100</f>
        <v>25.85189090149419</v>
      </c>
      <c r="AH132" s="111"/>
      <c r="AK132" s="119"/>
    </row>
    <row r="133" spans="1:37" ht="165" x14ac:dyDescent="0.2">
      <c r="A133" s="17"/>
      <c r="B133" s="61"/>
      <c r="C133" s="204"/>
      <c r="D133" s="33" t="s">
        <v>827</v>
      </c>
      <c r="E133" s="77"/>
      <c r="F133" s="387"/>
      <c r="G133" s="179"/>
      <c r="H133" s="131">
        <v>100</v>
      </c>
      <c r="I133" s="387" t="s">
        <v>27</v>
      </c>
      <c r="J133" s="188"/>
      <c r="K133" s="77"/>
      <c r="L133" s="188"/>
      <c r="M133" s="77"/>
      <c r="N133" s="188"/>
      <c r="O133" s="77">
        <v>73.381294964028783</v>
      </c>
      <c r="P133" s="188"/>
      <c r="Q133" s="77"/>
      <c r="R133" s="179"/>
      <c r="S133" s="77"/>
      <c r="T133" s="179"/>
      <c r="U133" s="77">
        <v>73.381294964028783</v>
      </c>
      <c r="V133" s="179"/>
      <c r="W133" s="56"/>
      <c r="X133" s="243"/>
      <c r="Y133" s="56"/>
      <c r="Z133" s="243"/>
      <c r="AA133" s="89">
        <f t="shared" si="133"/>
        <v>100</v>
      </c>
      <c r="AB133" s="243"/>
      <c r="AC133" s="74">
        <f t="shared" si="134"/>
        <v>73.381294964028783</v>
      </c>
      <c r="AD133" s="4"/>
      <c r="AE133" s="56">
        <f t="shared" ref="AE133" si="137">AC133/H133*100</f>
        <v>73.381294964028783</v>
      </c>
      <c r="AF133" s="32" t="str">
        <f t="shared" ref="AF133" si="138">IF(AE133&gt;=91,"Sangat Tinggi",IF(AE133&gt;=76,"Tinggi",IF(AE133&gt;=66,"Sedang",IF(AE133&gt;=51,"Rendah",IF(AE133&lt;=50,"Sangat Rendah")))))</f>
        <v>Sedang</v>
      </c>
      <c r="AG133" s="4"/>
      <c r="AH133" s="111"/>
      <c r="AK133" s="119"/>
    </row>
    <row r="134" spans="1:37" ht="195" x14ac:dyDescent="0.2">
      <c r="A134" s="17"/>
      <c r="B134" s="61"/>
      <c r="C134" s="47"/>
      <c r="D134" s="33" t="s">
        <v>828</v>
      </c>
      <c r="E134" s="77"/>
      <c r="F134" s="387"/>
      <c r="G134" s="49"/>
      <c r="H134" s="77">
        <v>81.510000000000005</v>
      </c>
      <c r="I134" s="387" t="s">
        <v>27</v>
      </c>
      <c r="J134" s="187"/>
      <c r="K134" s="77"/>
      <c r="L134" s="187"/>
      <c r="M134" s="77"/>
      <c r="N134" s="187"/>
      <c r="O134" s="77">
        <v>56.148409893992934</v>
      </c>
      <c r="P134" s="187"/>
      <c r="Q134" s="77"/>
      <c r="R134" s="49"/>
      <c r="S134" s="77"/>
      <c r="T134" s="49"/>
      <c r="U134" s="77">
        <v>56.099332548095802</v>
      </c>
      <c r="V134" s="49"/>
      <c r="W134" s="56"/>
      <c r="X134" s="238"/>
      <c r="Y134" s="56"/>
      <c r="Z134" s="238"/>
      <c r="AA134" s="89">
        <f t="shared" si="133"/>
        <v>99.912593524928326</v>
      </c>
      <c r="AB134" s="238"/>
      <c r="AC134" s="74">
        <f t="shared" si="134"/>
        <v>56.099332548095802</v>
      </c>
      <c r="AD134" s="4"/>
      <c r="AE134" s="56">
        <f t="shared" ref="AE134:AE135" si="139">AC134/H134*100</f>
        <v>68.825092072255927</v>
      </c>
      <c r="AF134" s="32" t="str">
        <f t="shared" ref="AF134:AF136" si="140">IF(AE134&gt;=91,"Sangat Tinggi",IF(AE134&gt;=76,"Tinggi",IF(AE134&gt;=66,"Sedang",IF(AE134&gt;=51,"Rendah",IF(AE134&lt;=50,"Sangat Rendah")))))</f>
        <v>Sedang</v>
      </c>
      <c r="AG134" s="5"/>
      <c r="AH134" s="112"/>
      <c r="AK134" s="119"/>
    </row>
    <row r="135" spans="1:37" ht="120" x14ac:dyDescent="0.2">
      <c r="A135" s="17"/>
      <c r="B135" s="61"/>
      <c r="C135" s="33" t="s">
        <v>462</v>
      </c>
      <c r="D135" s="33" t="s">
        <v>463</v>
      </c>
      <c r="E135" s="131">
        <v>100</v>
      </c>
      <c r="F135" s="128" t="s">
        <v>27</v>
      </c>
      <c r="G135" s="9"/>
      <c r="H135" s="131">
        <v>100</v>
      </c>
      <c r="I135" s="128" t="s">
        <v>27</v>
      </c>
      <c r="J135" s="37">
        <v>737063750</v>
      </c>
      <c r="K135" s="131">
        <v>100</v>
      </c>
      <c r="L135" s="37">
        <v>172012750</v>
      </c>
      <c r="M135" s="131">
        <v>100</v>
      </c>
      <c r="N135" s="37">
        <v>110468800</v>
      </c>
      <c r="O135" s="131"/>
      <c r="P135" s="37"/>
      <c r="Q135" s="131">
        <v>100</v>
      </c>
      <c r="R135" s="9">
        <v>41398750</v>
      </c>
      <c r="S135" s="131">
        <v>100</v>
      </c>
      <c r="T135" s="9">
        <v>7260000</v>
      </c>
      <c r="U135" s="131"/>
      <c r="V135" s="9"/>
      <c r="W135" s="89">
        <f>Q135/K135*100</f>
        <v>100</v>
      </c>
      <c r="X135" s="235">
        <f>R135/L135*100</f>
        <v>24.067256642312852</v>
      </c>
      <c r="Y135" s="89">
        <f>S135/M135*100</f>
        <v>100</v>
      </c>
      <c r="Z135" s="235">
        <f>T135/N135*100</f>
        <v>6.5719913676983905</v>
      </c>
      <c r="AA135" s="56"/>
      <c r="AB135" s="235"/>
      <c r="AC135" s="92">
        <f>S135</f>
        <v>100</v>
      </c>
      <c r="AD135" s="195">
        <f>R135+T135</f>
        <v>48658750</v>
      </c>
      <c r="AE135" s="89">
        <f t="shared" si="139"/>
        <v>100</v>
      </c>
      <c r="AF135" s="32" t="str">
        <f t="shared" si="140"/>
        <v>Sangat Tinggi</v>
      </c>
      <c r="AG135" s="56">
        <f t="shared" ref="AG135" si="141">AD135/J135*100</f>
        <v>6.6017016845557803</v>
      </c>
      <c r="AH135" s="410" t="s">
        <v>371</v>
      </c>
      <c r="AK135" s="119">
        <f>R135</f>
        <v>41398750</v>
      </c>
    </row>
    <row r="136" spans="1:37" ht="105" x14ac:dyDescent="0.2">
      <c r="A136" s="132"/>
      <c r="B136" s="71"/>
      <c r="C136" s="133" t="s">
        <v>735</v>
      </c>
      <c r="D136" s="1" t="s">
        <v>809</v>
      </c>
      <c r="E136" s="76"/>
      <c r="F136" s="32"/>
      <c r="G136" s="236"/>
      <c r="H136" s="92">
        <v>100</v>
      </c>
      <c r="I136" s="35" t="s">
        <v>27</v>
      </c>
      <c r="J136" s="193">
        <v>1617404700</v>
      </c>
      <c r="K136" s="56"/>
      <c r="L136" s="193"/>
      <c r="M136" s="56"/>
      <c r="N136" s="193"/>
      <c r="O136" s="89">
        <v>100</v>
      </c>
      <c r="P136" s="193">
        <v>539135000</v>
      </c>
      <c r="Q136" s="54"/>
      <c r="R136" s="273"/>
      <c r="S136" s="56"/>
      <c r="T136" s="273"/>
      <c r="U136" s="56">
        <f>36/38*100</f>
        <v>94.73684210526315</v>
      </c>
      <c r="V136" s="273">
        <v>383792000</v>
      </c>
      <c r="W136" s="56"/>
      <c r="X136" s="237"/>
      <c r="Y136" s="56"/>
      <c r="Z136" s="237"/>
      <c r="AA136" s="56">
        <f t="shared" si="133"/>
        <v>94.73684210526315</v>
      </c>
      <c r="AB136" s="237">
        <f>V136/P136*100</f>
        <v>71.186623016498658</v>
      </c>
      <c r="AC136" s="74">
        <f>U136</f>
        <v>94.73684210526315</v>
      </c>
      <c r="AD136" s="193">
        <f>V136</f>
        <v>383792000</v>
      </c>
      <c r="AE136" s="56">
        <f>AC136/H136*100</f>
        <v>94.73684210526315</v>
      </c>
      <c r="AF136" s="32" t="str">
        <f t="shared" si="140"/>
        <v>Sangat Tinggi</v>
      </c>
      <c r="AG136" s="354">
        <f>AD136/J136*100</f>
        <v>23.728878740119896</v>
      </c>
      <c r="AH136" s="111"/>
      <c r="AK136" s="119"/>
    </row>
    <row r="137" spans="1:37" ht="120" x14ac:dyDescent="0.2">
      <c r="A137" s="132"/>
      <c r="B137" s="71"/>
      <c r="C137" s="134"/>
      <c r="D137" s="1" t="s">
        <v>810</v>
      </c>
      <c r="E137" s="76"/>
      <c r="F137" s="32"/>
      <c r="G137" s="29"/>
      <c r="H137" s="92">
        <v>100</v>
      </c>
      <c r="I137" s="35" t="s">
        <v>27</v>
      </c>
      <c r="J137" s="274"/>
      <c r="K137" s="56"/>
      <c r="L137" s="274"/>
      <c r="M137" s="56"/>
      <c r="N137" s="274"/>
      <c r="O137" s="89">
        <v>100</v>
      </c>
      <c r="P137" s="274"/>
      <c r="Q137" s="54"/>
      <c r="R137" s="252"/>
      <c r="S137" s="56"/>
      <c r="T137" s="252"/>
      <c r="U137" s="89">
        <v>0</v>
      </c>
      <c r="V137" s="252"/>
      <c r="W137" s="56"/>
      <c r="X137" s="238"/>
      <c r="Y137" s="56"/>
      <c r="Z137" s="238"/>
      <c r="AA137" s="89">
        <f t="shared" si="133"/>
        <v>0</v>
      </c>
      <c r="AB137" s="238"/>
      <c r="AC137" s="74">
        <f>U137</f>
        <v>0</v>
      </c>
      <c r="AD137" s="311"/>
      <c r="AE137" s="56">
        <f>AC137/H137*100</f>
        <v>0</v>
      </c>
      <c r="AF137" s="32" t="str">
        <f t="shared" ref="AF137" si="142">IF(AE137&gt;=91,"Sangat Tinggi",IF(AE137&gt;=76,"Tinggi",IF(AE137&gt;=66,"Sedang",IF(AE137&gt;=51,"Rendah",IF(AE137&lt;=50,"Sangat Rendah")))))</f>
        <v>Sangat Rendah</v>
      </c>
      <c r="AG137" s="5"/>
      <c r="AH137" s="112"/>
      <c r="AK137" s="119"/>
    </row>
    <row r="138" spans="1:37" ht="141.75" x14ac:dyDescent="0.2">
      <c r="A138" s="66">
        <v>18</v>
      </c>
      <c r="B138" s="61" t="s">
        <v>86</v>
      </c>
      <c r="C138" s="33"/>
      <c r="D138" s="69" t="s">
        <v>481</v>
      </c>
      <c r="E138" s="281">
        <v>7.89</v>
      </c>
      <c r="F138" s="282" t="s">
        <v>27</v>
      </c>
      <c r="G138" s="222"/>
      <c r="H138" s="286">
        <v>100</v>
      </c>
      <c r="I138" s="282" t="s">
        <v>27</v>
      </c>
      <c r="J138" s="287">
        <f>SUM(J139:J140)</f>
        <v>12250350000</v>
      </c>
      <c r="K138" s="281">
        <v>13.16</v>
      </c>
      <c r="L138" s="287">
        <f>SUM(L139:L140)</f>
        <v>1320040000</v>
      </c>
      <c r="M138" s="281">
        <f>15/38*100</f>
        <v>39.473684210526315</v>
      </c>
      <c r="N138" s="287">
        <f>SUM(N139:N140)</f>
        <v>1289308257</v>
      </c>
      <c r="O138" s="281">
        <v>65.790000000000006</v>
      </c>
      <c r="P138" s="287">
        <f>SUM(P139:P148)</f>
        <v>9530350000</v>
      </c>
      <c r="Q138" s="281">
        <f>8/38*100</f>
        <v>21.052631578947366</v>
      </c>
      <c r="R138" s="287">
        <f>SUM(R139:R140)</f>
        <v>1016801788</v>
      </c>
      <c r="S138" s="281">
        <f>S139/38*100</f>
        <v>60.526315789473685</v>
      </c>
      <c r="T138" s="287">
        <f>SUM(T139:T140)</f>
        <v>1281264000</v>
      </c>
      <c r="U138" s="281">
        <v>65.790000000000006</v>
      </c>
      <c r="V138" s="287">
        <f>SUM(V139:V148)</f>
        <v>8314435730</v>
      </c>
      <c r="W138" s="234">
        <f t="shared" ref="W138:AB138" si="143">Q138/K138*100</f>
        <v>159.97440409534474</v>
      </c>
      <c r="X138" s="240">
        <f t="shared" si="143"/>
        <v>77.02810429986971</v>
      </c>
      <c r="Y138" s="234">
        <f t="shared" si="143"/>
        <v>153.33333333333334</v>
      </c>
      <c r="Z138" s="240">
        <f t="shared" si="143"/>
        <v>99.376079618173108</v>
      </c>
      <c r="AA138" s="234">
        <f>U138/O138*100</f>
        <v>100</v>
      </c>
      <c r="AB138" s="240">
        <f t="shared" si="143"/>
        <v>87.24166195365332</v>
      </c>
      <c r="AC138" s="223">
        <f>U138</f>
        <v>65.790000000000006</v>
      </c>
      <c r="AD138" s="321">
        <f>R138+T138+V138</f>
        <v>10612501518</v>
      </c>
      <c r="AE138" s="234">
        <f t="shared" ref="AE138:AE150" si="144">AC138/H138*100</f>
        <v>65.790000000000006</v>
      </c>
      <c r="AF138" s="219" t="str">
        <f>IF(AE138&gt;=91,"Sangat Tinggi",IF(AE138&gt;=76,"Tinggi",IF(AE138&gt;=66,"Sedang",IF(AE138&gt;=51,"Rendah",IF(AE138&lt;=50,"Sangat Rendah")))))</f>
        <v>Rendah</v>
      </c>
      <c r="AG138" s="234">
        <f>AD138/J138*100</f>
        <v>86.630190304766813</v>
      </c>
      <c r="AH138" s="410" t="s">
        <v>474</v>
      </c>
      <c r="AJ138" s="152"/>
      <c r="AK138" s="119">
        <f t="shared" ref="AK138:AK143" si="145">R138</f>
        <v>1016801788</v>
      </c>
    </row>
    <row r="139" spans="1:37" ht="108" customHeight="1" x14ac:dyDescent="0.2">
      <c r="A139" s="17"/>
      <c r="B139" s="61"/>
      <c r="C139" s="203" t="s">
        <v>121</v>
      </c>
      <c r="D139" s="50" t="s">
        <v>464</v>
      </c>
      <c r="E139" s="34">
        <v>0</v>
      </c>
      <c r="F139" s="35" t="s">
        <v>465</v>
      </c>
      <c r="G139" s="183"/>
      <c r="H139" s="164">
        <v>38</v>
      </c>
      <c r="I139" s="35" t="s">
        <v>465</v>
      </c>
      <c r="J139" s="46">
        <v>12250350000</v>
      </c>
      <c r="K139" s="165">
        <v>1</v>
      </c>
      <c r="L139" s="46">
        <v>1320040000</v>
      </c>
      <c r="M139" s="165">
        <v>23</v>
      </c>
      <c r="N139" s="46">
        <v>1289308257</v>
      </c>
      <c r="O139" s="165"/>
      <c r="P139" s="46"/>
      <c r="Q139" s="165">
        <v>15</v>
      </c>
      <c r="R139" s="46">
        <v>1016801788</v>
      </c>
      <c r="S139" s="165">
        <v>23</v>
      </c>
      <c r="T139" s="46">
        <v>1281264000</v>
      </c>
      <c r="U139" s="165"/>
      <c r="V139" s="46"/>
      <c r="W139" s="21">
        <f>Q139/K139*100</f>
        <v>1500</v>
      </c>
      <c r="X139" s="237">
        <f>R139/L139*100</f>
        <v>77.02810429986971</v>
      </c>
      <c r="Y139" s="89">
        <f>S139/M139*100</f>
        <v>100</v>
      </c>
      <c r="Z139" s="237">
        <f>T139/N139*100</f>
        <v>99.376079618173108</v>
      </c>
      <c r="AA139" s="89"/>
      <c r="AB139" s="237"/>
      <c r="AC139" s="92">
        <f>S139</f>
        <v>23</v>
      </c>
      <c r="AD139" s="195">
        <f>R139+T139</f>
        <v>2298065788</v>
      </c>
      <c r="AE139" s="56">
        <f t="shared" si="144"/>
        <v>60.526315789473685</v>
      </c>
      <c r="AF139" s="32" t="str">
        <f t="shared" ref="AF139:AF140" si="146">IF(AE139&gt;=91,"Sangat Tinggi",IF(AE139&gt;=76,"Tinggi",IF(AE139&gt;=66,"Sedang",IF(AE139&gt;=51,"Rendah",IF(AE139&lt;=50,"Sangat Rendah")))))</f>
        <v>Rendah</v>
      </c>
      <c r="AG139" s="354">
        <f>AD139/J139*100</f>
        <v>18.759184741660441</v>
      </c>
      <c r="AH139" s="111"/>
      <c r="AK139" s="119">
        <f t="shared" si="145"/>
        <v>1016801788</v>
      </c>
    </row>
    <row r="140" spans="1:37" ht="90" x14ac:dyDescent="0.2">
      <c r="A140" s="17"/>
      <c r="B140" s="61"/>
      <c r="C140" s="47"/>
      <c r="D140" s="50" t="s">
        <v>466</v>
      </c>
      <c r="E140" s="34">
        <v>0</v>
      </c>
      <c r="F140" s="48" t="s">
        <v>467</v>
      </c>
      <c r="G140" s="49"/>
      <c r="H140" s="164">
        <v>38</v>
      </c>
      <c r="I140" s="48" t="s">
        <v>467</v>
      </c>
      <c r="J140" s="191"/>
      <c r="K140" s="166">
        <v>5</v>
      </c>
      <c r="L140" s="191"/>
      <c r="M140" s="166">
        <v>15</v>
      </c>
      <c r="N140" s="191"/>
      <c r="O140" s="166"/>
      <c r="P140" s="191"/>
      <c r="Q140" s="166">
        <v>5</v>
      </c>
      <c r="R140" s="191"/>
      <c r="S140" s="166">
        <v>15</v>
      </c>
      <c r="T140" s="191"/>
      <c r="U140" s="166"/>
      <c r="V140" s="191"/>
      <c r="W140" s="56">
        <f>Q140/K140*100</f>
        <v>100</v>
      </c>
      <c r="X140" s="238"/>
      <c r="Y140" s="56">
        <f>S140/M140*100</f>
        <v>100</v>
      </c>
      <c r="Z140" s="238"/>
      <c r="AA140" s="56"/>
      <c r="AB140" s="238"/>
      <c r="AC140" s="92">
        <f>S140</f>
        <v>15</v>
      </c>
      <c r="AD140" s="5"/>
      <c r="AE140" s="56">
        <f t="shared" si="144"/>
        <v>39.473684210526315</v>
      </c>
      <c r="AF140" s="32" t="str">
        <f t="shared" si="146"/>
        <v>Sangat Rendah</v>
      </c>
      <c r="AG140" s="5"/>
      <c r="AH140" s="111"/>
      <c r="AK140" s="119">
        <f t="shared" si="145"/>
        <v>0</v>
      </c>
    </row>
    <row r="141" spans="1:37" ht="108" customHeight="1" x14ac:dyDescent="0.2">
      <c r="A141" s="17"/>
      <c r="B141" s="61"/>
      <c r="C141" s="203" t="s">
        <v>468</v>
      </c>
      <c r="D141" s="50" t="s">
        <v>472</v>
      </c>
      <c r="E141" s="34">
        <v>0</v>
      </c>
      <c r="F141" s="48" t="s">
        <v>27</v>
      </c>
      <c r="G141" s="183"/>
      <c r="H141" s="164">
        <v>100</v>
      </c>
      <c r="I141" s="48" t="s">
        <v>27</v>
      </c>
      <c r="J141" s="46">
        <v>21746100000</v>
      </c>
      <c r="K141" s="164">
        <v>100</v>
      </c>
      <c r="L141" s="46">
        <v>3425235000</v>
      </c>
      <c r="M141" s="164">
        <v>100</v>
      </c>
      <c r="N141" s="46">
        <v>2528900000</v>
      </c>
      <c r="O141" s="164"/>
      <c r="P141" s="46"/>
      <c r="Q141" s="288">
        <v>100</v>
      </c>
      <c r="R141" s="46">
        <v>2852881083</v>
      </c>
      <c r="S141" s="164">
        <v>100</v>
      </c>
      <c r="T141" s="46">
        <v>2477755751</v>
      </c>
      <c r="U141" s="164"/>
      <c r="V141" s="46"/>
      <c r="W141" s="56">
        <f>Q141/K141*100</f>
        <v>100</v>
      </c>
      <c r="X141" s="237">
        <f>R141/L141*100</f>
        <v>83.290083249762432</v>
      </c>
      <c r="Y141" s="56">
        <f>S141/M141*100</f>
        <v>100</v>
      </c>
      <c r="Z141" s="237">
        <f>T141/N141*100</f>
        <v>97.977608881331804</v>
      </c>
      <c r="AA141" s="56"/>
      <c r="AB141" s="237"/>
      <c r="AC141" s="92">
        <f>S141</f>
        <v>100</v>
      </c>
      <c r="AD141" s="195">
        <f>R141+T141</f>
        <v>5330636834</v>
      </c>
      <c r="AE141" s="89">
        <f t="shared" si="144"/>
        <v>100</v>
      </c>
      <c r="AF141" s="32" t="str">
        <f t="shared" ref="AF141:AF143" si="147">IF(AE141&gt;=91,"Sangat Tinggi",IF(AE141&gt;=76,"Tinggi",IF(AE141&gt;=66,"Sedang",IF(AE141&gt;=51,"Rendah",IF(AE141&lt;=50,"Sangat Rendah")))))</f>
        <v>Sangat Tinggi</v>
      </c>
      <c r="AG141" s="354">
        <f>AD141/J141*100</f>
        <v>24.513070545982956</v>
      </c>
      <c r="AH141" s="111"/>
      <c r="AK141" s="119">
        <f t="shared" si="145"/>
        <v>2852881083</v>
      </c>
    </row>
    <row r="142" spans="1:37" ht="90" x14ac:dyDescent="0.2">
      <c r="A142" s="17"/>
      <c r="B142" s="61"/>
      <c r="C142" s="47"/>
      <c r="D142" s="50" t="s">
        <v>469</v>
      </c>
      <c r="E142" s="135">
        <v>100</v>
      </c>
      <c r="F142" s="48" t="s">
        <v>27</v>
      </c>
      <c r="G142" s="49"/>
      <c r="H142" s="164">
        <v>100</v>
      </c>
      <c r="I142" s="48" t="s">
        <v>27</v>
      </c>
      <c r="J142" s="191"/>
      <c r="K142" s="164">
        <v>100</v>
      </c>
      <c r="L142" s="191"/>
      <c r="M142" s="164">
        <v>100</v>
      </c>
      <c r="N142" s="191"/>
      <c r="O142" s="164"/>
      <c r="P142" s="191"/>
      <c r="Q142" s="288">
        <v>100</v>
      </c>
      <c r="R142" s="191"/>
      <c r="S142" s="289">
        <v>196.4</v>
      </c>
      <c r="T142" s="191"/>
      <c r="U142" s="289"/>
      <c r="V142" s="191"/>
      <c r="W142" s="56">
        <f>Q142/K142*100</f>
        <v>100</v>
      </c>
      <c r="X142" s="238"/>
      <c r="Y142" s="56">
        <f>S142/M142*100</f>
        <v>196.4</v>
      </c>
      <c r="Z142" s="238"/>
      <c r="AA142" s="56"/>
      <c r="AB142" s="238"/>
      <c r="AC142" s="74">
        <f>S142</f>
        <v>196.4</v>
      </c>
      <c r="AD142" s="5"/>
      <c r="AE142" s="56">
        <f t="shared" si="144"/>
        <v>196.4</v>
      </c>
      <c r="AF142" s="32" t="str">
        <f t="shared" si="147"/>
        <v>Sangat Tinggi</v>
      </c>
      <c r="AG142" s="5"/>
      <c r="AH142" s="111"/>
      <c r="AK142" s="119">
        <f t="shared" si="145"/>
        <v>0</v>
      </c>
    </row>
    <row r="143" spans="1:37" ht="105" x14ac:dyDescent="0.2">
      <c r="A143" s="17"/>
      <c r="B143" s="61"/>
      <c r="C143" s="33" t="s">
        <v>470</v>
      </c>
      <c r="D143" s="50" t="s">
        <v>471</v>
      </c>
      <c r="E143" s="135">
        <v>100</v>
      </c>
      <c r="F143" s="48" t="s">
        <v>27</v>
      </c>
      <c r="G143" s="9"/>
      <c r="H143" s="164">
        <v>100</v>
      </c>
      <c r="I143" s="48" t="s">
        <v>27</v>
      </c>
      <c r="J143" s="41">
        <v>500725000</v>
      </c>
      <c r="K143" s="164">
        <v>100</v>
      </c>
      <c r="L143" s="41">
        <v>88055000</v>
      </c>
      <c r="M143" s="164">
        <v>100</v>
      </c>
      <c r="N143" s="41">
        <v>110783000</v>
      </c>
      <c r="O143" s="164"/>
      <c r="P143" s="41"/>
      <c r="Q143" s="288">
        <v>100</v>
      </c>
      <c r="R143" s="41">
        <v>73835000</v>
      </c>
      <c r="S143" s="289">
        <v>224.58333333333331</v>
      </c>
      <c r="T143" s="41">
        <v>0</v>
      </c>
      <c r="U143" s="289"/>
      <c r="V143" s="41"/>
      <c r="W143" s="56">
        <f>Q143/K143*100</f>
        <v>100</v>
      </c>
      <c r="X143" s="235">
        <f>R143/L143*100</f>
        <v>83.85100221452501</v>
      </c>
      <c r="Y143" s="56">
        <f>S143/M143*100</f>
        <v>224.58333333333331</v>
      </c>
      <c r="Z143" s="235">
        <f>T143/N143*100</f>
        <v>0</v>
      </c>
      <c r="AA143" s="56"/>
      <c r="AB143" s="235"/>
      <c r="AC143" s="74">
        <f>S143</f>
        <v>224.58333333333331</v>
      </c>
      <c r="AD143" s="195">
        <f>R143+T143</f>
        <v>73835000</v>
      </c>
      <c r="AE143" s="56">
        <f t="shared" si="144"/>
        <v>224.58333333333331</v>
      </c>
      <c r="AF143" s="32" t="str">
        <f t="shared" si="147"/>
        <v>Sangat Tinggi</v>
      </c>
      <c r="AG143" s="56">
        <f>AD143/J143*100</f>
        <v>14.74561885266364</v>
      </c>
      <c r="AH143" s="111"/>
      <c r="AK143" s="119">
        <f t="shared" si="145"/>
        <v>73835000</v>
      </c>
    </row>
    <row r="144" spans="1:37" ht="125.25" customHeight="1" x14ac:dyDescent="0.2">
      <c r="A144" s="17"/>
      <c r="B144" s="61"/>
      <c r="C144" s="203" t="s">
        <v>751</v>
      </c>
      <c r="D144" s="395" t="s">
        <v>830</v>
      </c>
      <c r="E144" s="396"/>
      <c r="F144" s="397"/>
      <c r="G144" s="183"/>
      <c r="H144" s="398">
        <v>100</v>
      </c>
      <c r="I144" s="397" t="s">
        <v>27</v>
      </c>
      <c r="J144" s="46">
        <v>12876182764</v>
      </c>
      <c r="K144" s="398"/>
      <c r="L144" s="46"/>
      <c r="M144" s="398"/>
      <c r="N144" s="46"/>
      <c r="O144" s="399">
        <v>25.641025641025639</v>
      </c>
      <c r="P144" s="46">
        <v>5660440000</v>
      </c>
      <c r="Q144" s="400"/>
      <c r="R144" s="46"/>
      <c r="S144" s="399"/>
      <c r="T144" s="46"/>
      <c r="U144" s="399">
        <v>25.641025641025639</v>
      </c>
      <c r="V144" s="46">
        <v>4718130721</v>
      </c>
      <c r="W144" s="354"/>
      <c r="X144" s="237"/>
      <c r="Y144" s="354"/>
      <c r="Z144" s="237"/>
      <c r="AA144" s="401">
        <f>U144/O144*100</f>
        <v>100</v>
      </c>
      <c r="AB144" s="237">
        <f>V144/P144*100</f>
        <v>83.352720300895328</v>
      </c>
      <c r="AC144" s="74">
        <f>U144</f>
        <v>25.641025641025639</v>
      </c>
      <c r="AD144" s="195">
        <f>V144</f>
        <v>4718130721</v>
      </c>
      <c r="AE144" s="56">
        <f t="shared" si="144"/>
        <v>25.641025641025639</v>
      </c>
      <c r="AF144" s="32" t="str">
        <f t="shared" ref="AF144:AF145" si="148">IF(AE144&gt;=91,"Sangat Tinggi",IF(AE144&gt;=76,"Tinggi",IF(AE144&gt;=66,"Sedang",IF(AE144&gt;=51,"Rendah",IF(AE144&lt;=50,"Sangat Rendah")))))</f>
        <v>Sangat Rendah</v>
      </c>
      <c r="AG144" s="354">
        <f>AD144/J144*100</f>
        <v>36.642309351116317</v>
      </c>
      <c r="AH144" s="111"/>
      <c r="AK144" s="119"/>
    </row>
    <row r="145" spans="1:37" ht="172.5" customHeight="1" x14ac:dyDescent="0.2">
      <c r="A145" s="17"/>
      <c r="B145" s="61"/>
      <c r="C145" s="47"/>
      <c r="D145" s="50" t="s">
        <v>831</v>
      </c>
      <c r="E145" s="135"/>
      <c r="F145" s="35"/>
      <c r="G145" s="49"/>
      <c r="H145" s="164">
        <v>100</v>
      </c>
      <c r="I145" s="35" t="s">
        <v>27</v>
      </c>
      <c r="J145" s="191"/>
      <c r="K145" s="164"/>
      <c r="L145" s="191"/>
      <c r="M145" s="164"/>
      <c r="N145" s="191"/>
      <c r="O145" s="289">
        <v>53.84</v>
      </c>
      <c r="P145" s="191"/>
      <c r="Q145" s="288"/>
      <c r="R145" s="191"/>
      <c r="S145" s="289"/>
      <c r="T145" s="191"/>
      <c r="U145" s="289">
        <v>53.84</v>
      </c>
      <c r="V145" s="191"/>
      <c r="W145" s="56"/>
      <c r="X145" s="238"/>
      <c r="Y145" s="56"/>
      <c r="Z145" s="238"/>
      <c r="AA145" s="89">
        <f>U145/O145*100</f>
        <v>100</v>
      </c>
      <c r="AB145" s="238"/>
      <c r="AC145" s="74">
        <f>U145</f>
        <v>53.84</v>
      </c>
      <c r="AD145" s="194"/>
      <c r="AE145" s="56">
        <f t="shared" si="144"/>
        <v>53.839999999999996</v>
      </c>
      <c r="AF145" s="32" t="str">
        <f t="shared" si="148"/>
        <v>Rendah</v>
      </c>
      <c r="AG145" s="5"/>
      <c r="AH145" s="111"/>
      <c r="AK145" s="119"/>
    </row>
    <row r="146" spans="1:37" ht="110.25" customHeight="1" x14ac:dyDescent="0.2">
      <c r="A146" s="17"/>
      <c r="B146" s="61"/>
      <c r="C146" s="203" t="s">
        <v>832</v>
      </c>
      <c r="D146" s="395" t="s">
        <v>833</v>
      </c>
      <c r="E146" s="396"/>
      <c r="F146" s="397"/>
      <c r="G146" s="183"/>
      <c r="H146" s="398">
        <v>100</v>
      </c>
      <c r="I146" s="397" t="s">
        <v>27</v>
      </c>
      <c r="J146" s="46">
        <v>10779379000</v>
      </c>
      <c r="K146" s="398"/>
      <c r="L146" s="46"/>
      <c r="M146" s="398"/>
      <c r="N146" s="46"/>
      <c r="O146" s="399">
        <v>69.23</v>
      </c>
      <c r="P146" s="46">
        <v>3795093000</v>
      </c>
      <c r="Q146" s="400"/>
      <c r="R146" s="46"/>
      <c r="S146" s="399"/>
      <c r="T146" s="46"/>
      <c r="U146" s="399">
        <v>69.23</v>
      </c>
      <c r="V146" s="46">
        <v>3529628009</v>
      </c>
      <c r="W146" s="354"/>
      <c r="X146" s="237"/>
      <c r="Y146" s="354"/>
      <c r="Z146" s="237"/>
      <c r="AA146" s="401">
        <f>U146/O146*100</f>
        <v>100</v>
      </c>
      <c r="AB146" s="237">
        <f>V146/P146*100</f>
        <v>93.00504649029682</v>
      </c>
      <c r="AC146" s="74">
        <f>U146</f>
        <v>69.23</v>
      </c>
      <c r="AD146" s="195">
        <f>V146</f>
        <v>3529628009</v>
      </c>
      <c r="AE146" s="56">
        <f t="shared" si="144"/>
        <v>69.23</v>
      </c>
      <c r="AF146" s="32" t="str">
        <f t="shared" ref="AF146:AF148" si="149">IF(AE146&gt;=91,"Sangat Tinggi",IF(AE146&gt;=76,"Tinggi",IF(AE146&gt;=66,"Sedang",IF(AE146&gt;=51,"Rendah",IF(AE146&lt;=50,"Sangat Rendah")))))</f>
        <v>Sedang</v>
      </c>
      <c r="AG146" s="354">
        <f>AD146/J146*100</f>
        <v>32.744261139718716</v>
      </c>
      <c r="AH146" s="111"/>
      <c r="AK146" s="119"/>
    </row>
    <row r="147" spans="1:37" ht="78" customHeight="1" x14ac:dyDescent="0.2">
      <c r="A147" s="17"/>
      <c r="B147" s="61"/>
      <c r="C147" s="47"/>
      <c r="D147" s="50" t="s">
        <v>834</v>
      </c>
      <c r="E147" s="135"/>
      <c r="F147" s="35"/>
      <c r="G147" s="49"/>
      <c r="H147" s="164">
        <v>100</v>
      </c>
      <c r="I147" s="35" t="s">
        <v>27</v>
      </c>
      <c r="J147" s="191"/>
      <c r="K147" s="164"/>
      <c r="L147" s="191"/>
      <c r="M147" s="164"/>
      <c r="N147" s="191"/>
      <c r="O147" s="289">
        <v>60</v>
      </c>
      <c r="P147" s="191"/>
      <c r="Q147" s="288"/>
      <c r="R147" s="191"/>
      <c r="S147" s="289"/>
      <c r="T147" s="191"/>
      <c r="U147" s="289">
        <v>60</v>
      </c>
      <c r="V147" s="191"/>
      <c r="W147" s="56"/>
      <c r="X147" s="238"/>
      <c r="Y147" s="56"/>
      <c r="Z147" s="238"/>
      <c r="AA147" s="89">
        <f>U147/O147*100</f>
        <v>100</v>
      </c>
      <c r="AB147" s="238"/>
      <c r="AC147" s="74">
        <f>U147</f>
        <v>60</v>
      </c>
      <c r="AD147" s="194"/>
      <c r="AE147" s="56">
        <f t="shared" si="144"/>
        <v>60</v>
      </c>
      <c r="AF147" s="32" t="str">
        <f t="shared" si="149"/>
        <v>Rendah</v>
      </c>
      <c r="AG147" s="5"/>
      <c r="AH147" s="111"/>
      <c r="AK147" s="119"/>
    </row>
    <row r="148" spans="1:37" ht="135" x14ac:dyDescent="0.2">
      <c r="A148" s="17"/>
      <c r="B148" s="61"/>
      <c r="C148" s="33" t="s">
        <v>752</v>
      </c>
      <c r="D148" s="50" t="s">
        <v>835</v>
      </c>
      <c r="E148" s="332"/>
      <c r="F148" s="48"/>
      <c r="G148" s="9"/>
      <c r="H148" s="333">
        <v>100</v>
      </c>
      <c r="I148" s="48" t="s">
        <v>27</v>
      </c>
      <c r="J148" s="41">
        <v>274595000</v>
      </c>
      <c r="K148" s="333"/>
      <c r="L148" s="41"/>
      <c r="M148" s="333"/>
      <c r="N148" s="41"/>
      <c r="O148" s="335">
        <v>31.75</v>
      </c>
      <c r="P148" s="41">
        <v>74817000</v>
      </c>
      <c r="Q148" s="334"/>
      <c r="R148" s="41"/>
      <c r="S148" s="335"/>
      <c r="T148" s="41"/>
      <c r="U148" s="335">
        <v>31.75</v>
      </c>
      <c r="V148" s="41">
        <v>66677000</v>
      </c>
      <c r="W148" s="56"/>
      <c r="X148" s="235"/>
      <c r="Y148" s="56"/>
      <c r="Z148" s="235"/>
      <c r="AA148" s="89">
        <f>U148/O148*100</f>
        <v>100</v>
      </c>
      <c r="AB148" s="235">
        <f>V148/P148*100</f>
        <v>89.120119758878332</v>
      </c>
      <c r="AC148" s="74">
        <f>U148</f>
        <v>31.75</v>
      </c>
      <c r="AD148" s="195">
        <f>V148</f>
        <v>66677000</v>
      </c>
      <c r="AE148" s="56">
        <f t="shared" si="144"/>
        <v>31.75</v>
      </c>
      <c r="AF148" s="32" t="str">
        <f t="shared" si="149"/>
        <v>Sangat Rendah</v>
      </c>
      <c r="AG148" s="56">
        <f>AD148/J148*100</f>
        <v>24.281942497132139</v>
      </c>
      <c r="AH148" s="111"/>
      <c r="AK148" s="119"/>
    </row>
    <row r="149" spans="1:37" ht="163.5" customHeight="1" x14ac:dyDescent="0.2">
      <c r="A149" s="60"/>
      <c r="B149" s="25"/>
      <c r="C149" s="14"/>
      <c r="D149" s="62" t="s">
        <v>482</v>
      </c>
      <c r="E149" s="281">
        <v>0.6</v>
      </c>
      <c r="F149" s="282" t="s">
        <v>27</v>
      </c>
      <c r="G149" s="290"/>
      <c r="H149" s="281">
        <v>38.880000000000003</v>
      </c>
      <c r="I149" s="282" t="s">
        <v>27</v>
      </c>
      <c r="J149" s="291">
        <f>J150</f>
        <v>1104185000</v>
      </c>
      <c r="K149" s="281">
        <v>8.33</v>
      </c>
      <c r="L149" s="291">
        <f>L150</f>
        <v>217125000</v>
      </c>
      <c r="M149" s="281">
        <v>15.97</v>
      </c>
      <c r="N149" s="291">
        <f>N150</f>
        <v>54974900</v>
      </c>
      <c r="O149" s="281">
        <v>23.61</v>
      </c>
      <c r="P149" s="291">
        <f>SUM(P150:P152)</f>
        <v>846474838</v>
      </c>
      <c r="Q149" s="281">
        <f>13/144*100</f>
        <v>9.0277777777777768</v>
      </c>
      <c r="R149" s="291">
        <f>R150</f>
        <v>174569500</v>
      </c>
      <c r="S149" s="281">
        <f>23/144*100</f>
        <v>15.972222222222221</v>
      </c>
      <c r="T149" s="291">
        <f>T150</f>
        <v>38738500</v>
      </c>
      <c r="U149" s="281">
        <v>23.61</v>
      </c>
      <c r="V149" s="291">
        <f>SUM(V150:V152)</f>
        <v>669248350</v>
      </c>
      <c r="W149" s="234">
        <f t="shared" ref="W149:Z150" si="150">Q149/K149*100</f>
        <v>108.3766840069361</v>
      </c>
      <c r="X149" s="240">
        <f t="shared" si="150"/>
        <v>80.400460564191135</v>
      </c>
      <c r="Y149" s="234">
        <f t="shared" si="150"/>
        <v>100.0139149794754</v>
      </c>
      <c r="Z149" s="240">
        <f t="shared" si="150"/>
        <v>70.465794389803349</v>
      </c>
      <c r="AA149" s="234">
        <f>U149/O149*100</f>
        <v>100</v>
      </c>
      <c r="AB149" s="240">
        <f>V149/P149*100</f>
        <v>79.062993955172942</v>
      </c>
      <c r="AC149" s="223">
        <f>S149</f>
        <v>15.972222222222221</v>
      </c>
      <c r="AD149" s="321">
        <f>R149+T149+V149</f>
        <v>882556350</v>
      </c>
      <c r="AE149" s="234">
        <f t="shared" si="144"/>
        <v>41.08081847279378</v>
      </c>
      <c r="AF149" s="219" t="str">
        <f>IF(AE149&gt;=91,"Sangat Tinggi",IF(AE149&gt;=76,"Tinggi",IF(AE149&gt;=66,"Sedang",IF(AE149&gt;=51,"Rendah",IF(AE149&lt;=50,"Sangat Rendah")))))</f>
        <v>Sangat Rendah</v>
      </c>
      <c r="AG149" s="234">
        <f>AD149/J149*100</f>
        <v>79.928304586640834</v>
      </c>
      <c r="AH149" s="410" t="s">
        <v>346</v>
      </c>
      <c r="AK149" s="119">
        <f>R149</f>
        <v>174569500</v>
      </c>
    </row>
    <row r="150" spans="1:37" ht="94.5" customHeight="1" x14ac:dyDescent="0.2">
      <c r="A150" s="15"/>
      <c r="B150" s="20"/>
      <c r="C150" s="14" t="s">
        <v>61</v>
      </c>
      <c r="D150" s="14" t="s">
        <v>473</v>
      </c>
      <c r="E150" s="78">
        <v>10.41</v>
      </c>
      <c r="F150" s="48" t="s">
        <v>27</v>
      </c>
      <c r="G150" s="51"/>
      <c r="H150" s="78">
        <v>56.25</v>
      </c>
      <c r="I150" s="48" t="s">
        <v>27</v>
      </c>
      <c r="J150" s="86">
        <v>1104185000</v>
      </c>
      <c r="K150" s="78">
        <v>25.69</v>
      </c>
      <c r="L150" s="136">
        <v>217125000</v>
      </c>
      <c r="M150" s="78">
        <v>33.33</v>
      </c>
      <c r="N150" s="136">
        <v>54974900</v>
      </c>
      <c r="O150" s="78"/>
      <c r="P150" s="136"/>
      <c r="Q150" s="78">
        <f>38/144*100</f>
        <v>26.388888888888889</v>
      </c>
      <c r="R150" s="41">
        <v>174569500</v>
      </c>
      <c r="S150" s="78">
        <f>48/144*100</f>
        <v>33.333333333333329</v>
      </c>
      <c r="T150" s="64">
        <v>38738500</v>
      </c>
      <c r="U150" s="78"/>
      <c r="V150" s="64"/>
      <c r="W150" s="56">
        <f t="shared" si="150"/>
        <v>102.720470567882</v>
      </c>
      <c r="X150" s="235">
        <f t="shared" si="150"/>
        <v>80.400460564191135</v>
      </c>
      <c r="Y150" s="56">
        <f t="shared" si="150"/>
        <v>100.0100010001</v>
      </c>
      <c r="Z150" s="235">
        <f t="shared" si="150"/>
        <v>70.465794389803349</v>
      </c>
      <c r="AA150" s="56"/>
      <c r="AB150" s="235"/>
      <c r="AC150" s="74">
        <f>S150</f>
        <v>33.333333333333329</v>
      </c>
      <c r="AD150" s="23">
        <f>R150+T150</f>
        <v>213308000</v>
      </c>
      <c r="AE150" s="56">
        <f t="shared" si="144"/>
        <v>59.259259259259252</v>
      </c>
      <c r="AF150" s="32" t="str">
        <f t="shared" ref="AF150" si="151">IF(AE150&gt;=91,"Sangat Tinggi",IF(AE150&gt;=76,"Tinggi",IF(AE150&gt;=66,"Sedang",IF(AE150&gt;=51,"Rendah",IF(AE150&lt;=50,"Sangat Rendah")))))</f>
        <v>Rendah</v>
      </c>
      <c r="AG150" s="56">
        <f>AD150/J150*100</f>
        <v>19.318139623342105</v>
      </c>
      <c r="AH150" s="111"/>
      <c r="AK150" s="119">
        <f>R150</f>
        <v>174569500</v>
      </c>
    </row>
    <row r="151" spans="1:37" ht="81" customHeight="1" x14ac:dyDescent="0.2">
      <c r="A151" s="60"/>
      <c r="B151" s="60"/>
      <c r="C151" s="14" t="s">
        <v>678</v>
      </c>
      <c r="D151" s="14" t="s">
        <v>679</v>
      </c>
      <c r="E151" s="74"/>
      <c r="F151" s="35"/>
      <c r="G151" s="8"/>
      <c r="H151" s="74">
        <v>40.277777777777779</v>
      </c>
      <c r="I151" s="35" t="s">
        <v>27</v>
      </c>
      <c r="J151" s="9">
        <v>270062300</v>
      </c>
      <c r="K151" s="32"/>
      <c r="L151" s="10"/>
      <c r="M151" s="32"/>
      <c r="N151" s="10"/>
      <c r="O151" s="32">
        <v>25</v>
      </c>
      <c r="P151" s="10">
        <v>117582400</v>
      </c>
      <c r="Q151" s="74"/>
      <c r="R151" s="10"/>
      <c r="S151" s="74"/>
      <c r="T151" s="10"/>
      <c r="U151" s="32">
        <v>25</v>
      </c>
      <c r="V151" s="10">
        <v>108790850</v>
      </c>
      <c r="W151" s="172"/>
      <c r="X151" s="235"/>
      <c r="Y151" s="172"/>
      <c r="Z151" s="235"/>
      <c r="AA151" s="265">
        <f>U151/O151*100</f>
        <v>100</v>
      </c>
      <c r="AB151" s="235">
        <f>V151/P151*100</f>
        <v>92.523073181020294</v>
      </c>
      <c r="AC151" s="92">
        <f>U151</f>
        <v>25</v>
      </c>
      <c r="AD151" s="274">
        <f>V151</f>
        <v>108790850</v>
      </c>
      <c r="AE151" s="56">
        <f t="shared" ref="AE151:AE152" si="152">AC151/H151*100</f>
        <v>62.068965517241381</v>
      </c>
      <c r="AF151" s="32" t="str">
        <f t="shared" ref="AF151:AF152" si="153">IF(AE151&gt;=91,"Sangat Tinggi",IF(AE151&gt;=76,"Tinggi",IF(AE151&gt;=66,"Sedang",IF(AE151&gt;=51,"Rendah",IF(AE151&lt;=50,"Sangat Rendah")))))</f>
        <v>Rendah</v>
      </c>
      <c r="AG151" s="56">
        <f t="shared" ref="AG151:AG152" si="154">AD151/J151*100</f>
        <v>40.28361233685709</v>
      </c>
      <c r="AH151" s="111"/>
      <c r="AK151" s="119"/>
    </row>
    <row r="152" spans="1:37" ht="120" customHeight="1" x14ac:dyDescent="0.2">
      <c r="A152" s="60"/>
      <c r="B152" s="60"/>
      <c r="C152" s="14" t="s">
        <v>680</v>
      </c>
      <c r="D152" s="14" t="s">
        <v>681</v>
      </c>
      <c r="E152" s="74"/>
      <c r="F152" s="35"/>
      <c r="G152" s="8"/>
      <c r="H152" s="74">
        <v>45.138888888888893</v>
      </c>
      <c r="I152" s="35" t="s">
        <v>27</v>
      </c>
      <c r="J152" s="9">
        <v>2271995600</v>
      </c>
      <c r="K152" s="32"/>
      <c r="L152" s="10"/>
      <c r="M152" s="32"/>
      <c r="N152" s="10"/>
      <c r="O152" s="74">
        <f>35/144*100</f>
        <v>24.305555555555554</v>
      </c>
      <c r="P152" s="10">
        <v>728892438</v>
      </c>
      <c r="Q152" s="74"/>
      <c r="R152" s="10"/>
      <c r="S152" s="74"/>
      <c r="T152" s="10"/>
      <c r="U152" s="74">
        <v>30.555555555555554</v>
      </c>
      <c r="V152" s="10">
        <v>560457500</v>
      </c>
      <c r="W152" s="172"/>
      <c r="X152" s="235"/>
      <c r="Y152" s="172"/>
      <c r="Z152" s="235"/>
      <c r="AA152" s="172">
        <f>U152/O152*100</f>
        <v>125.71428571428571</v>
      </c>
      <c r="AB152" s="235">
        <f>V152/P152*100</f>
        <v>76.891660659538914</v>
      </c>
      <c r="AC152" s="92">
        <f>U152</f>
        <v>30.555555555555554</v>
      </c>
      <c r="AD152" s="274">
        <f>V152</f>
        <v>560457500</v>
      </c>
      <c r="AE152" s="56">
        <f t="shared" si="152"/>
        <v>67.692307692307679</v>
      </c>
      <c r="AF152" s="32" t="str">
        <f t="shared" si="153"/>
        <v>Sedang</v>
      </c>
      <c r="AG152" s="56">
        <f t="shared" si="154"/>
        <v>24.668071540279392</v>
      </c>
      <c r="AH152" s="111"/>
      <c r="AK152" s="119"/>
    </row>
    <row r="153" spans="1:37" ht="96" customHeight="1" x14ac:dyDescent="0.2">
      <c r="A153" s="65">
        <v>19</v>
      </c>
      <c r="B153" s="6" t="s">
        <v>87</v>
      </c>
      <c r="C153" s="52"/>
      <c r="D153" s="52" t="s">
        <v>483</v>
      </c>
      <c r="E153" s="281">
        <v>7</v>
      </c>
      <c r="F153" s="282" t="s">
        <v>27</v>
      </c>
      <c r="G153" s="227"/>
      <c r="H153" s="281">
        <v>12</v>
      </c>
      <c r="I153" s="282" t="s">
        <v>27</v>
      </c>
      <c r="J153" s="292">
        <f>SUM(J154:J155)</f>
        <v>39743020575</v>
      </c>
      <c r="K153" s="281">
        <v>8</v>
      </c>
      <c r="L153" s="292">
        <f>L154</f>
        <v>6402387500</v>
      </c>
      <c r="M153" s="281">
        <v>9</v>
      </c>
      <c r="N153" s="292">
        <f>N154</f>
        <v>4856672500</v>
      </c>
      <c r="O153" s="281">
        <v>10</v>
      </c>
      <c r="P153" s="292">
        <f>SUM(P154:P155)</f>
        <v>9494653525</v>
      </c>
      <c r="Q153" s="281">
        <f>(2336005324-1623691847)/1623691847*100</f>
        <v>43.869991606849524</v>
      </c>
      <c r="R153" s="292">
        <f>R154</f>
        <v>4712858749</v>
      </c>
      <c r="S153" s="281">
        <f>(3381609432-2336005324)/2336005324*100</f>
        <v>44.760347815029213</v>
      </c>
      <c r="T153" s="292">
        <f>T154</f>
        <v>2376340072</v>
      </c>
      <c r="U153" s="281">
        <f>(3988690324-3381609432)/3381609432*100</f>
        <v>17.952424849990777</v>
      </c>
      <c r="V153" s="292">
        <f>SUM(V154:V155)</f>
        <v>8000788258</v>
      </c>
      <c r="W153" s="234">
        <f>Q153/K153*100</f>
        <v>548.37489508561907</v>
      </c>
      <c r="X153" s="240">
        <f t="shared" ref="X153:AB153" si="155">R153/L153*100</f>
        <v>73.610957615420816</v>
      </c>
      <c r="Y153" s="323">
        <f>S153/M153*100</f>
        <v>497.337197944769</v>
      </c>
      <c r="Z153" s="240">
        <f>T153/N153*100</f>
        <v>48.929386776645941</v>
      </c>
      <c r="AA153" s="318">
        <f>U153/O153*100</f>
        <v>179.52424849990777</v>
      </c>
      <c r="AB153" s="240">
        <f t="shared" si="155"/>
        <v>84.266247703862376</v>
      </c>
      <c r="AC153" s="223">
        <f>U153</f>
        <v>17.952424849990777</v>
      </c>
      <c r="AD153" s="321">
        <f>R153+T153+V153</f>
        <v>15089987079</v>
      </c>
      <c r="AE153" s="234">
        <f>AC153/H153*100</f>
        <v>149.60354041658979</v>
      </c>
      <c r="AF153" s="219" t="str">
        <f>IF(AE153&gt;=91,"Sangat Tinggi",IF(AE153&gt;=76,"Tinggi",IF(AE153&gt;=66,"Sedang",IF(AE153&gt;=51,"Rendah",IF(AE153&lt;=50,"Sangat Rendah")))))</f>
        <v>Sangat Tinggi</v>
      </c>
      <c r="AG153" s="234">
        <f>AD153/J153*100</f>
        <v>37.968898339076482</v>
      </c>
      <c r="AH153" s="410" t="s">
        <v>475</v>
      </c>
      <c r="AK153" s="119">
        <f>R153</f>
        <v>4712858749</v>
      </c>
    </row>
    <row r="154" spans="1:37" ht="90" x14ac:dyDescent="0.2">
      <c r="A154" s="60"/>
      <c r="B154" s="60"/>
      <c r="C154" s="53" t="s">
        <v>31</v>
      </c>
      <c r="D154" s="53" t="s">
        <v>411</v>
      </c>
      <c r="E154" s="135">
        <v>100</v>
      </c>
      <c r="F154" s="48" t="s">
        <v>27</v>
      </c>
      <c r="G154" s="8"/>
      <c r="H154" s="164">
        <v>100</v>
      </c>
      <c r="I154" s="48" t="s">
        <v>27</v>
      </c>
      <c r="J154" s="11">
        <f>L154+N154</f>
        <v>11259060000</v>
      </c>
      <c r="K154" s="164">
        <v>100</v>
      </c>
      <c r="L154" s="11">
        <v>6402387500</v>
      </c>
      <c r="M154" s="164">
        <v>100</v>
      </c>
      <c r="N154" s="11">
        <v>4856672500</v>
      </c>
      <c r="O154" s="164"/>
      <c r="P154" s="11"/>
      <c r="Q154" s="129">
        <v>100</v>
      </c>
      <c r="R154" s="87">
        <v>4712858749</v>
      </c>
      <c r="S154" s="164">
        <v>100</v>
      </c>
      <c r="T154" s="87">
        <v>2376340072</v>
      </c>
      <c r="U154" s="164"/>
      <c r="V154" s="87"/>
      <c r="W154" s="56">
        <f>Q154/K154*100</f>
        <v>100</v>
      </c>
      <c r="X154" s="235">
        <f>R154/L154*100</f>
        <v>73.610957615420816</v>
      </c>
      <c r="Y154" s="56">
        <f>S154/M154*100</f>
        <v>100</v>
      </c>
      <c r="Z154" s="235">
        <f>T154/N154*100</f>
        <v>48.929386776645941</v>
      </c>
      <c r="AA154" s="56"/>
      <c r="AB154" s="235"/>
      <c r="AC154" s="92">
        <f t="shared" ref="AC154" si="156">S154</f>
        <v>100</v>
      </c>
      <c r="AD154" s="195">
        <f>R154+T154</f>
        <v>7089198821</v>
      </c>
      <c r="AE154" s="89">
        <f>AC154/H154*100</f>
        <v>100</v>
      </c>
      <c r="AF154" s="32" t="str">
        <f t="shared" ref="AF154:AF155" si="157">IF(AE154&gt;=91,"Sangat Tinggi",IF(AE154&gt;=76,"Tinggi",IF(AE154&gt;=66,"Sedang",IF(AE154&gt;=51,"Rendah",IF(AE154&lt;=50,"Sangat Rendah")))))</f>
        <v>Sangat Tinggi</v>
      </c>
      <c r="AG154" s="56">
        <f>AD154/J154*100</f>
        <v>62.964393306368379</v>
      </c>
      <c r="AH154" s="111"/>
      <c r="AK154" s="119">
        <f>R154</f>
        <v>4712858749</v>
      </c>
    </row>
    <row r="155" spans="1:37" ht="75" x14ac:dyDescent="0.2">
      <c r="A155" s="60"/>
      <c r="B155" s="60"/>
      <c r="C155" s="53" t="s">
        <v>704</v>
      </c>
      <c r="D155" s="53" t="s">
        <v>411</v>
      </c>
      <c r="E155" s="135"/>
      <c r="F155" s="48"/>
      <c r="G155" s="8"/>
      <c r="H155" s="164">
        <v>100</v>
      </c>
      <c r="I155" s="48" t="s">
        <v>27</v>
      </c>
      <c r="J155" s="11">
        <v>28483960575</v>
      </c>
      <c r="K155" s="164"/>
      <c r="L155" s="11"/>
      <c r="M155" s="164"/>
      <c r="N155" s="11"/>
      <c r="O155" s="164">
        <v>100</v>
      </c>
      <c r="P155" s="11">
        <v>9494653525</v>
      </c>
      <c r="Q155" s="129"/>
      <c r="R155" s="87"/>
      <c r="S155" s="164"/>
      <c r="T155" s="87"/>
      <c r="U155" s="164">
        <v>100</v>
      </c>
      <c r="V155" s="87">
        <v>8000788258</v>
      </c>
      <c r="W155" s="56"/>
      <c r="X155" s="235"/>
      <c r="Y155" s="56"/>
      <c r="Z155" s="235"/>
      <c r="AA155" s="89">
        <f>U155/O155*100</f>
        <v>100</v>
      </c>
      <c r="AB155" s="235">
        <f>V155/P155*100</f>
        <v>84.266247703862376</v>
      </c>
      <c r="AC155" s="92">
        <f>U155</f>
        <v>100</v>
      </c>
      <c r="AD155" s="195">
        <f>V155</f>
        <v>8000788258</v>
      </c>
      <c r="AE155" s="89">
        <f t="shared" ref="AE155" si="158">AC155/H155*100</f>
        <v>100</v>
      </c>
      <c r="AF155" s="32" t="str">
        <f t="shared" si="157"/>
        <v>Sangat Tinggi</v>
      </c>
      <c r="AG155" s="56">
        <f t="shared" ref="AG155" si="159">AD155/J155*100</f>
        <v>28.088749234620792</v>
      </c>
      <c r="AH155" s="111"/>
      <c r="AK155" s="119"/>
    </row>
    <row r="156" spans="1:37" ht="15" x14ac:dyDescent="0.2">
      <c r="A156" s="484" t="s">
        <v>5</v>
      </c>
      <c r="B156" s="484"/>
      <c r="C156" s="484"/>
      <c r="D156" s="484"/>
      <c r="E156" s="484"/>
      <c r="F156" s="484"/>
      <c r="G156" s="484"/>
      <c r="H156" s="484"/>
      <c r="I156" s="484"/>
      <c r="J156" s="484"/>
      <c r="K156" s="484"/>
      <c r="L156" s="484"/>
      <c r="M156" s="484"/>
      <c r="N156" s="484"/>
      <c r="O156" s="484"/>
      <c r="P156" s="484"/>
      <c r="Q156" s="484"/>
      <c r="R156" s="484"/>
      <c r="S156" s="484"/>
      <c r="T156" s="484"/>
      <c r="U156" s="328"/>
      <c r="V156" s="328"/>
      <c r="W156" s="110">
        <f>AVERAGE(W16:W155)</f>
        <v>133.28743164591768</v>
      </c>
      <c r="X156" s="110"/>
      <c r="Y156" s="110">
        <f>AVERAGE(Y16:Y155)</f>
        <v>110.36829412327921</v>
      </c>
      <c r="Z156" s="95"/>
      <c r="AA156" s="110">
        <f>AVERAGE(AA16:AA155)</f>
        <v>104.07920679778275</v>
      </c>
      <c r="AB156" s="95"/>
      <c r="AC156" s="95"/>
      <c r="AD156" s="95"/>
      <c r="AE156" s="95"/>
      <c r="AF156" s="95"/>
      <c r="AG156" s="95"/>
      <c r="AH156" s="111"/>
    </row>
    <row r="157" spans="1:37" ht="15" x14ac:dyDescent="0.2">
      <c r="A157" s="484" t="s">
        <v>6</v>
      </c>
      <c r="B157" s="484"/>
      <c r="C157" s="484"/>
      <c r="D157" s="484"/>
      <c r="E157" s="484"/>
      <c r="F157" s="484"/>
      <c r="G157" s="484"/>
      <c r="H157" s="484"/>
      <c r="I157" s="484"/>
      <c r="J157" s="484"/>
      <c r="K157" s="484"/>
      <c r="L157" s="484"/>
      <c r="M157" s="484"/>
      <c r="N157" s="484"/>
      <c r="O157" s="484"/>
      <c r="P157" s="484"/>
      <c r="Q157" s="484"/>
      <c r="R157" s="484"/>
      <c r="S157" s="484"/>
      <c r="T157" s="484"/>
      <c r="U157" s="328"/>
      <c r="V157" s="328"/>
      <c r="W157" s="156" t="str">
        <f>IF(W156&gt;=91,"Sangat Tinggi",IF(W156&gt;=76,"Tinggi",IF(W156&gt;=66,"Sedang",IF(W156&gt;=51,"Rendah",IF(W156&lt;=50,"Sangat Rendah")))))</f>
        <v>Sangat Tinggi</v>
      </c>
      <c r="X157" s="95"/>
      <c r="Y157" s="156" t="str">
        <f>IF(Y156&gt;=91,"Sangat Tinggi",IF(Y156&gt;=76,"Tinggi",IF(Y156&gt;=66,"Sedang",IF(Y156&gt;=51,"Rendah",IF(Y156&lt;=50,"Sangat Rendah")))))</f>
        <v>Sangat Tinggi</v>
      </c>
      <c r="Z157" s="95"/>
      <c r="AA157" s="156" t="str">
        <f>IF(AA156&gt;=91,"Sangat Tinggi",IF(AA156&gt;=76,"Tinggi",IF(AA156&gt;=66,"Sedang",IF(AA156&gt;=51,"Rendah",IF(AA156&lt;=50,"Sangat Rendah")))))</f>
        <v>Sangat Tinggi</v>
      </c>
      <c r="AB157" s="95"/>
      <c r="AC157" s="95"/>
      <c r="AD157" s="95"/>
      <c r="AE157" s="95"/>
      <c r="AF157" s="95"/>
      <c r="AG157" s="95"/>
      <c r="AH157" s="111"/>
    </row>
    <row r="158" spans="1:37" ht="15" x14ac:dyDescent="0.2">
      <c r="A158" s="459" t="s">
        <v>852</v>
      </c>
      <c r="B158" s="459"/>
      <c r="C158" s="459"/>
      <c r="D158" s="459"/>
      <c r="E158" s="459"/>
      <c r="F158" s="459"/>
      <c r="G158" s="459"/>
      <c r="H158" s="459"/>
      <c r="I158" s="459"/>
      <c r="J158" s="459"/>
      <c r="K158" s="459"/>
      <c r="L158" s="459"/>
      <c r="M158" s="459"/>
      <c r="N158" s="459"/>
      <c r="O158" s="459"/>
      <c r="P158" s="459"/>
      <c r="Q158" s="459"/>
      <c r="R158" s="459"/>
      <c r="S158" s="459"/>
      <c r="T158" s="459"/>
      <c r="U158" s="459"/>
      <c r="V158" s="459"/>
      <c r="W158" s="459"/>
      <c r="X158" s="459"/>
      <c r="Y158" s="459"/>
      <c r="Z158" s="459"/>
      <c r="AA158" s="459"/>
      <c r="AB158" s="459"/>
      <c r="AC158" s="459"/>
      <c r="AD158" s="459"/>
      <c r="AE158" s="459"/>
      <c r="AF158" s="459"/>
      <c r="AG158" s="459"/>
      <c r="AH158" s="111"/>
    </row>
    <row r="159" spans="1:37" ht="15" x14ac:dyDescent="0.2">
      <c r="A159" s="459" t="s">
        <v>8</v>
      </c>
      <c r="B159" s="459"/>
      <c r="C159" s="459"/>
      <c r="D159" s="459"/>
      <c r="E159" s="459"/>
      <c r="F159" s="459"/>
      <c r="G159" s="459"/>
      <c r="H159" s="459"/>
      <c r="I159" s="459"/>
      <c r="J159" s="459"/>
      <c r="K159" s="459"/>
      <c r="L159" s="459"/>
      <c r="M159" s="459"/>
      <c r="N159" s="459"/>
      <c r="O159" s="459"/>
      <c r="P159" s="459"/>
      <c r="Q159" s="459"/>
      <c r="R159" s="459"/>
      <c r="S159" s="459"/>
      <c r="T159" s="459"/>
      <c r="U159" s="459"/>
      <c r="V159" s="459"/>
      <c r="W159" s="459"/>
      <c r="X159" s="459"/>
      <c r="Y159" s="459"/>
      <c r="Z159" s="459"/>
      <c r="AA159" s="459"/>
      <c r="AB159" s="459"/>
      <c r="AC159" s="459"/>
      <c r="AD159" s="459"/>
      <c r="AE159" s="459"/>
      <c r="AF159" s="459"/>
      <c r="AG159" s="459"/>
      <c r="AH159" s="111"/>
    </row>
    <row r="160" spans="1:37" ht="15" x14ac:dyDescent="0.2">
      <c r="A160" s="459" t="s">
        <v>9</v>
      </c>
      <c r="B160" s="459"/>
      <c r="C160" s="459"/>
      <c r="D160" s="459"/>
      <c r="E160" s="459"/>
      <c r="F160" s="459"/>
      <c r="G160" s="459"/>
      <c r="H160" s="459"/>
      <c r="I160" s="459"/>
      <c r="J160" s="459"/>
      <c r="K160" s="459"/>
      <c r="L160" s="459"/>
      <c r="M160" s="459"/>
      <c r="N160" s="459"/>
      <c r="O160" s="459"/>
      <c r="P160" s="459"/>
      <c r="Q160" s="459"/>
      <c r="R160" s="459"/>
      <c r="S160" s="459"/>
      <c r="T160" s="459"/>
      <c r="U160" s="459"/>
      <c r="V160" s="459"/>
      <c r="W160" s="459"/>
      <c r="X160" s="459"/>
      <c r="Y160" s="459"/>
      <c r="Z160" s="459"/>
      <c r="AA160" s="459"/>
      <c r="AB160" s="459"/>
      <c r="AC160" s="459"/>
      <c r="AD160" s="459"/>
      <c r="AE160" s="459"/>
      <c r="AF160" s="459"/>
      <c r="AG160" s="459"/>
      <c r="AH160" s="111"/>
    </row>
    <row r="161" spans="1:34" ht="15" x14ac:dyDescent="0.2">
      <c r="A161" s="459" t="s">
        <v>10</v>
      </c>
      <c r="B161" s="459"/>
      <c r="C161" s="459"/>
      <c r="D161" s="459"/>
      <c r="E161" s="459"/>
      <c r="F161" s="459"/>
      <c r="G161" s="459"/>
      <c r="H161" s="459"/>
      <c r="I161" s="459"/>
      <c r="J161" s="459"/>
      <c r="K161" s="459"/>
      <c r="L161" s="459"/>
      <c r="M161" s="459"/>
      <c r="N161" s="459"/>
      <c r="O161" s="459"/>
      <c r="P161" s="459"/>
      <c r="Q161" s="459"/>
      <c r="R161" s="459"/>
      <c r="S161" s="459"/>
      <c r="T161" s="459"/>
      <c r="U161" s="459"/>
      <c r="V161" s="459"/>
      <c r="W161" s="459"/>
      <c r="X161" s="459"/>
      <c r="Y161" s="459"/>
      <c r="Z161" s="459"/>
      <c r="AA161" s="459"/>
      <c r="AB161" s="459"/>
      <c r="AC161" s="459"/>
      <c r="AD161" s="459"/>
      <c r="AE161" s="459"/>
      <c r="AF161" s="459"/>
      <c r="AG161" s="459"/>
      <c r="AH161" s="112"/>
    </row>
    <row r="162" spans="1:34" ht="15" x14ac:dyDescent="0.2">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row>
    <row r="163" spans="1:34" ht="15" x14ac:dyDescent="0.2">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row>
    <row r="165" spans="1:34" ht="51" x14ac:dyDescent="0.2">
      <c r="A165" s="153" t="s">
        <v>492</v>
      </c>
      <c r="B165" s="153" t="s">
        <v>493</v>
      </c>
      <c r="C165" s="153" t="s">
        <v>494</v>
      </c>
    </row>
    <row r="166" spans="1:34" ht="25.5" x14ac:dyDescent="0.2">
      <c r="A166" s="154" t="s">
        <v>495</v>
      </c>
      <c r="B166" s="154" t="s">
        <v>496</v>
      </c>
      <c r="C166" s="154" t="s">
        <v>497</v>
      </c>
    </row>
    <row r="167" spans="1:34" ht="25.5" x14ac:dyDescent="0.2">
      <c r="A167" s="154" t="s">
        <v>498</v>
      </c>
      <c r="B167" s="154" t="s">
        <v>499</v>
      </c>
      <c r="C167" s="154" t="s">
        <v>500</v>
      </c>
    </row>
    <row r="168" spans="1:34" ht="25.5" x14ac:dyDescent="0.2">
      <c r="A168" s="154" t="s">
        <v>501</v>
      </c>
      <c r="B168" s="154" t="s">
        <v>502</v>
      </c>
      <c r="C168" s="154" t="s">
        <v>264</v>
      </c>
    </row>
    <row r="169" spans="1:34" ht="25.5" x14ac:dyDescent="0.2">
      <c r="A169" s="154" t="s">
        <v>503</v>
      </c>
      <c r="B169" s="154" t="s">
        <v>504</v>
      </c>
      <c r="C169" s="154" t="s">
        <v>505</v>
      </c>
    </row>
    <row r="170" spans="1:34" ht="25.5" x14ac:dyDescent="0.2">
      <c r="A170" s="154" t="s">
        <v>506</v>
      </c>
      <c r="B170" s="155" t="s">
        <v>507</v>
      </c>
      <c r="C170" s="154" t="s">
        <v>508</v>
      </c>
    </row>
  </sheetData>
  <mergeCells count="72">
    <mergeCell ref="U13:V13"/>
    <mergeCell ref="U14:U15"/>
    <mergeCell ref="V14:V15"/>
    <mergeCell ref="A10:A12"/>
    <mergeCell ref="B10:B12"/>
    <mergeCell ref="K13:L13"/>
    <mergeCell ref="K14:K15"/>
    <mergeCell ref="L14:L15"/>
    <mergeCell ref="T14:T15"/>
    <mergeCell ref="AH10:AH11"/>
    <mergeCell ref="M12:N12"/>
    <mergeCell ref="Q12:R12"/>
    <mergeCell ref="S12:T12"/>
    <mergeCell ref="W12:X12"/>
    <mergeCell ref="U12:V12"/>
    <mergeCell ref="K10:P11"/>
    <mergeCell ref="Q10:V11"/>
    <mergeCell ref="W10:AB11"/>
    <mergeCell ref="AA12:AB12"/>
    <mergeCell ref="AE13:AG13"/>
    <mergeCell ref="M13:N13"/>
    <mergeCell ref="A4:AG4"/>
    <mergeCell ref="A5:AG5"/>
    <mergeCell ref="A9:AG9"/>
    <mergeCell ref="A6:AG6"/>
    <mergeCell ref="A7:AG7"/>
    <mergeCell ref="A8:AG8"/>
    <mergeCell ref="AC10:AD12"/>
    <mergeCell ref="AE10:AG12"/>
    <mergeCell ref="Y12:Z12"/>
    <mergeCell ref="K12:L12"/>
    <mergeCell ref="E10:G12"/>
    <mergeCell ref="H10:J12"/>
    <mergeCell ref="O12:P12"/>
    <mergeCell ref="AA13:AB13"/>
    <mergeCell ref="A1:AH1"/>
    <mergeCell ref="A2:AH2"/>
    <mergeCell ref="A3:AH3"/>
    <mergeCell ref="A13:A15"/>
    <mergeCell ref="B13:B15"/>
    <mergeCell ref="C13:C15"/>
    <mergeCell ref="D13:D15"/>
    <mergeCell ref="E13:G13"/>
    <mergeCell ref="H13:J13"/>
    <mergeCell ref="E14:F15"/>
    <mergeCell ref="G14:G15"/>
    <mergeCell ref="H14:I15"/>
    <mergeCell ref="J14:J15"/>
    <mergeCell ref="C10:C12"/>
    <mergeCell ref="D10:D12"/>
    <mergeCell ref="AC13:AD13"/>
    <mergeCell ref="A156:T156"/>
    <mergeCell ref="AF14:AF15"/>
    <mergeCell ref="AC14:AC15"/>
    <mergeCell ref="AD14:AD15"/>
    <mergeCell ref="O13:P13"/>
    <mergeCell ref="O14:O15"/>
    <mergeCell ref="P14:P15"/>
    <mergeCell ref="Q13:R13"/>
    <mergeCell ref="S13:T13"/>
    <mergeCell ref="W13:X13"/>
    <mergeCell ref="Y13:Z13"/>
    <mergeCell ref="M14:M15"/>
    <mergeCell ref="N14:N15"/>
    <mergeCell ref="Q14:Q15"/>
    <mergeCell ref="R14:R15"/>
    <mergeCell ref="S14:S15"/>
    <mergeCell ref="A157:T157"/>
    <mergeCell ref="A158:AG158"/>
    <mergeCell ref="A159:AG159"/>
    <mergeCell ref="A160:AG160"/>
    <mergeCell ref="A161:AG161"/>
  </mergeCells>
  <printOptions horizontalCentered="1"/>
  <pageMargins left="0.23622047244094491" right="0.23622047244094491" top="3.937007874015748E-2" bottom="3.937007874015748E-2" header="0" footer="0"/>
  <pageSetup paperSize="256" scale="36" orientation="landscape"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Misi I</vt:lpstr>
      <vt:lpstr>Misi II</vt:lpstr>
      <vt:lpstr>Misi III</vt:lpstr>
      <vt:lpstr>Misi IV</vt:lpstr>
      <vt:lpstr>Misi V</vt:lpstr>
      <vt:lpstr>'Misi I'!Print_Area</vt:lpstr>
      <vt:lpstr>'Misi II'!Print_Area</vt:lpstr>
      <vt:lpstr>'Misi III'!Print_Area</vt:lpstr>
      <vt:lpstr>'Misi IV'!Print_Area</vt:lpstr>
      <vt:lpstr>'Misi V'!Print_Area</vt:lpstr>
      <vt:lpstr>'Misi I'!Print_Titles</vt:lpstr>
      <vt:lpstr>'Misi II'!Print_Titles</vt:lpstr>
      <vt:lpstr>'Misi III'!Print_Titles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dc:creator>
  <cp:lastModifiedBy>W10 PRO</cp:lastModifiedBy>
  <cp:lastPrinted>2022-07-05T04:34:00Z</cp:lastPrinted>
  <dcterms:created xsi:type="dcterms:W3CDTF">2019-07-24T23:56:17Z</dcterms:created>
  <dcterms:modified xsi:type="dcterms:W3CDTF">2022-08-23T03:09:34Z</dcterms:modified>
</cp:coreProperties>
</file>