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-120" yWindow="-120" windowWidth="20730" windowHeight="11160"/>
  </bookViews>
  <sheets>
    <sheet name="Disporapar" sheetId="1" r:id="rId1"/>
  </sheets>
  <definedNames>
    <definedName name="_xlnm.Print_Area" localSheetId="0">Disporapar!$A$1:$AM$92</definedName>
    <definedName name="_xlnm.Print_Titles" localSheetId="0">Disporapar!$7:$12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5" i="1" l="1"/>
  <c r="AB35" i="1"/>
  <c r="AB37" i="1"/>
  <c r="Z37" i="1"/>
  <c r="Q56" i="1"/>
  <c r="K56" i="1"/>
  <c r="K68" i="1"/>
  <c r="K69" i="1"/>
  <c r="W70" i="1"/>
  <c r="T70" i="1"/>
  <c r="Q70" i="1"/>
  <c r="N70" i="1"/>
  <c r="W62" i="1"/>
  <c r="T62" i="1"/>
  <c r="Q62" i="1"/>
  <c r="N62" i="1"/>
  <c r="Y65" i="1"/>
  <c r="Y64" i="1" s="1"/>
  <c r="AB57" i="1"/>
  <c r="W60" i="1"/>
  <c r="T60" i="1"/>
  <c r="Q60" i="1"/>
  <c r="N60" i="1"/>
  <c r="AB48" i="1"/>
  <c r="AB47" i="1"/>
  <c r="Y22" i="1"/>
  <c r="Y17" i="1"/>
  <c r="X73" i="1"/>
  <c r="X72" i="1"/>
  <c r="X71" i="1"/>
  <c r="Y70" i="1"/>
  <c r="X70" i="1"/>
  <c r="X69" i="1"/>
  <c r="W69" i="1"/>
  <c r="Y68" i="1"/>
  <c r="X68" i="1"/>
  <c r="X67" i="1"/>
  <c r="X66" i="1"/>
  <c r="X65" i="1"/>
  <c r="W65" i="1"/>
  <c r="X64" i="1"/>
  <c r="W64" i="1"/>
  <c r="X63" i="1"/>
  <c r="Y62" i="1"/>
  <c r="Y59" i="1" s="1"/>
  <c r="X62" i="1"/>
  <c r="X61" i="1"/>
  <c r="Y60" i="1"/>
  <c r="X60" i="1"/>
  <c r="X59" i="1"/>
  <c r="X58" i="1"/>
  <c r="Y57" i="1"/>
  <c r="X57" i="1"/>
  <c r="Y56" i="1"/>
  <c r="X56" i="1"/>
  <c r="W56" i="1"/>
  <c r="X55" i="1"/>
  <c r="Y54" i="1"/>
  <c r="X54" i="1"/>
  <c r="W54" i="1"/>
  <c r="X53" i="1"/>
  <c r="X52" i="1"/>
  <c r="X51" i="1"/>
  <c r="X50" i="1"/>
  <c r="Y49" i="1"/>
  <c r="X49" i="1"/>
  <c r="W49" i="1"/>
  <c r="X48" i="1"/>
  <c r="X47" i="1"/>
  <c r="X46" i="1"/>
  <c r="Y45" i="1"/>
  <c r="X45" i="1"/>
  <c r="W45" i="1"/>
  <c r="X44" i="1"/>
  <c r="X43" i="1"/>
  <c r="X42" i="1"/>
  <c r="Y41" i="1"/>
  <c r="X41" i="1"/>
  <c r="W41" i="1"/>
  <c r="X40" i="1"/>
  <c r="X39" i="1"/>
  <c r="X38" i="1"/>
  <c r="W38" i="1"/>
  <c r="Y37" i="1"/>
  <c r="Y35" i="1" s="1"/>
  <c r="X37" i="1"/>
  <c r="X36" i="1"/>
  <c r="W36" i="1"/>
  <c r="X35" i="1"/>
  <c r="W35" i="1"/>
  <c r="X34" i="1"/>
  <c r="X33" i="1"/>
  <c r="X32" i="1"/>
  <c r="Y31" i="1"/>
  <c r="X31" i="1"/>
  <c r="X30" i="1"/>
  <c r="Y29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W17" i="1"/>
  <c r="X16" i="1"/>
  <c r="X15" i="1"/>
  <c r="Y14" i="1"/>
  <c r="X14" i="1"/>
  <c r="W14" i="1"/>
  <c r="X13" i="1"/>
  <c r="Y43" i="1" l="1"/>
  <c r="Y13" i="1"/>
  <c r="E34" i="1"/>
  <c r="E33" i="1"/>
  <c r="E32" i="1"/>
  <c r="E30" i="1"/>
  <c r="E28" i="1"/>
  <c r="E27" i="1"/>
  <c r="E26" i="1"/>
  <c r="E25" i="1"/>
  <c r="E24" i="1"/>
  <c r="E23" i="1"/>
  <c r="E22" i="1"/>
  <c r="E21" i="1"/>
  <c r="E20" i="1"/>
  <c r="E19" i="1"/>
  <c r="E18" i="1"/>
  <c r="E16" i="1"/>
  <c r="E15" i="1"/>
  <c r="E17" i="1"/>
  <c r="E14" i="1"/>
  <c r="H17" i="1"/>
  <c r="H14" i="1"/>
  <c r="G58" i="1" l="1"/>
  <c r="G57" i="1" s="1"/>
  <c r="G56" i="1" s="1"/>
  <c r="E58" i="1"/>
  <c r="J57" i="1"/>
  <c r="J56" i="1" s="1"/>
  <c r="E56" i="1"/>
  <c r="T56" i="1"/>
  <c r="N56" i="1"/>
  <c r="H56" i="1"/>
  <c r="T36" i="1"/>
  <c r="Q36" i="1"/>
  <c r="N36" i="1"/>
  <c r="H36" i="1"/>
  <c r="K36" i="1"/>
  <c r="AA36" i="1"/>
  <c r="U36" i="1"/>
  <c r="R36" i="1"/>
  <c r="O36" i="1"/>
  <c r="AH36" i="1" s="1"/>
  <c r="E41" i="1"/>
  <c r="H41" i="1"/>
  <c r="T41" i="1"/>
  <c r="Q41" i="1"/>
  <c r="N41" i="1"/>
  <c r="K41" i="1"/>
  <c r="G42" i="1"/>
  <c r="J41" i="1"/>
  <c r="E42" i="1"/>
  <c r="G37" i="1"/>
  <c r="G40" i="1"/>
  <c r="E40" i="1"/>
  <c r="H40" i="1"/>
  <c r="K40" i="1"/>
  <c r="Q38" i="1"/>
  <c r="Z36" i="1" s="1"/>
  <c r="T39" i="1"/>
  <c r="T38" i="1" s="1"/>
  <c r="Q39" i="1"/>
  <c r="Q35" i="1"/>
  <c r="N35" i="1"/>
  <c r="E35" i="1"/>
  <c r="H35" i="1"/>
  <c r="K35" i="1"/>
  <c r="J37" i="1"/>
  <c r="J35" i="1" s="1"/>
  <c r="E44" i="1"/>
  <c r="E43" i="1"/>
  <c r="K44" i="1"/>
  <c r="AA44" i="1"/>
  <c r="Z44" i="1"/>
  <c r="U44" i="1"/>
  <c r="R44" i="1"/>
  <c r="O44" i="1"/>
  <c r="AH44" i="1" s="1"/>
  <c r="Q46" i="1"/>
  <c r="Z46" i="1" s="1"/>
  <c r="AB46" i="1" s="1"/>
  <c r="T45" i="1"/>
  <c r="Q45" i="1"/>
  <c r="N45" i="1"/>
  <c r="J45" i="1"/>
  <c r="J43" i="1" s="1"/>
  <c r="H45" i="1"/>
  <c r="K45" i="1"/>
  <c r="K43" i="1" s="1"/>
  <c r="AA46" i="1"/>
  <c r="U46" i="1"/>
  <c r="R46" i="1"/>
  <c r="O46" i="1"/>
  <c r="AH46" i="1" s="1"/>
  <c r="G47" i="1"/>
  <c r="E47" i="1"/>
  <c r="E45" i="1" s="1"/>
  <c r="G48" i="1"/>
  <c r="G45" i="1" s="1"/>
  <c r="G54" i="1"/>
  <c r="J54" i="1"/>
  <c r="G55" i="1"/>
  <c r="E55" i="1"/>
  <c r="T54" i="1"/>
  <c r="Q54" i="1"/>
  <c r="N54" i="1"/>
  <c r="E54" i="1"/>
  <c r="H54" i="1"/>
  <c r="K54" i="1"/>
  <c r="M49" i="1"/>
  <c r="H49" i="1"/>
  <c r="T49" i="1"/>
  <c r="Q49" i="1"/>
  <c r="N49" i="1"/>
  <c r="K49" i="1"/>
  <c r="N50" i="1"/>
  <c r="Z50" i="1" s="1"/>
  <c r="K50" i="1"/>
  <c r="J49" i="1"/>
  <c r="E50" i="1"/>
  <c r="H50" i="1"/>
  <c r="AA50" i="1"/>
  <c r="U50" i="1"/>
  <c r="R50" i="1"/>
  <c r="O50" i="1"/>
  <c r="AH50" i="1" s="1"/>
  <c r="E51" i="1"/>
  <c r="E49" i="1" s="1"/>
  <c r="E53" i="1"/>
  <c r="G53" i="1"/>
  <c r="G52" i="1"/>
  <c r="AA38" i="1"/>
  <c r="U38" i="1"/>
  <c r="R38" i="1"/>
  <c r="O38" i="1"/>
  <c r="AH38" i="1" s="1"/>
  <c r="E68" i="1"/>
  <c r="H68" i="1"/>
  <c r="Q68" i="1"/>
  <c r="N68" i="1"/>
  <c r="T69" i="1"/>
  <c r="Q69" i="1"/>
  <c r="N69" i="1"/>
  <c r="E69" i="1"/>
  <c r="H72" i="1"/>
  <c r="H70" i="1" s="1"/>
  <c r="K70" i="1"/>
  <c r="K71" i="1"/>
  <c r="H71" i="1"/>
  <c r="J70" i="1"/>
  <c r="J68" i="1" s="1"/>
  <c r="G73" i="1"/>
  <c r="E73" i="1"/>
  <c r="E71" i="1" s="1"/>
  <c r="G72" i="1"/>
  <c r="E72" i="1"/>
  <c r="E70" i="1" s="1"/>
  <c r="G67" i="1"/>
  <c r="T65" i="1"/>
  <c r="Q65" i="1"/>
  <c r="N65" i="1"/>
  <c r="T64" i="1"/>
  <c r="Q64" i="1"/>
  <c r="N64" i="1"/>
  <c r="E63" i="1"/>
  <c r="E62" i="1" s="1"/>
  <c r="K64" i="1"/>
  <c r="H64" i="1"/>
  <c r="E64" i="1"/>
  <c r="AA71" i="1"/>
  <c r="Z71" i="1"/>
  <c r="U71" i="1"/>
  <c r="R71" i="1"/>
  <c r="O71" i="1"/>
  <c r="AH71" i="1" s="1"/>
  <c r="AA69" i="1"/>
  <c r="U69" i="1"/>
  <c r="R69" i="1"/>
  <c r="O69" i="1"/>
  <c r="AH69" i="1" s="1"/>
  <c r="G66" i="1"/>
  <c r="J65" i="1"/>
  <c r="J64" i="1" s="1"/>
  <c r="E65" i="1"/>
  <c r="H65" i="1"/>
  <c r="K65" i="1"/>
  <c r="J62" i="1"/>
  <c r="G63" i="1"/>
  <c r="G62" i="1" s="1"/>
  <c r="H62" i="1"/>
  <c r="K62" i="1"/>
  <c r="K60" i="1"/>
  <c r="E60" i="1"/>
  <c r="H60" i="1"/>
  <c r="J60" i="1"/>
  <c r="G61" i="1"/>
  <c r="G60" i="1" s="1"/>
  <c r="U73" i="1"/>
  <c r="U72" i="1"/>
  <c r="U70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49" i="1"/>
  <c r="U48" i="1"/>
  <c r="U47" i="1"/>
  <c r="U45" i="1"/>
  <c r="U43" i="1"/>
  <c r="U42" i="1"/>
  <c r="U41" i="1"/>
  <c r="U40" i="1"/>
  <c r="U39" i="1"/>
  <c r="U37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R73" i="1"/>
  <c r="R72" i="1"/>
  <c r="R70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49" i="1"/>
  <c r="R48" i="1"/>
  <c r="R47" i="1"/>
  <c r="R45" i="1"/>
  <c r="R43" i="1"/>
  <c r="R42" i="1"/>
  <c r="R41" i="1"/>
  <c r="R40" i="1"/>
  <c r="R39" i="1"/>
  <c r="R37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O73" i="1"/>
  <c r="O72" i="1"/>
  <c r="O70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49" i="1"/>
  <c r="O48" i="1"/>
  <c r="O47" i="1"/>
  <c r="O45" i="1"/>
  <c r="O43" i="1"/>
  <c r="O42" i="1"/>
  <c r="O41" i="1"/>
  <c r="O40" i="1"/>
  <c r="O39" i="1"/>
  <c r="O37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U13" i="1"/>
  <c r="R13" i="1"/>
  <c r="O13" i="1"/>
  <c r="V65" i="1"/>
  <c r="V64" i="1" s="1"/>
  <c r="V60" i="1"/>
  <c r="V45" i="1"/>
  <c r="V37" i="1"/>
  <c r="V70" i="1"/>
  <c r="V68" i="1" s="1"/>
  <c r="V62" i="1"/>
  <c r="V57" i="1"/>
  <c r="V56" i="1" s="1"/>
  <c r="V54" i="1"/>
  <c r="V49" i="1"/>
  <c r="V41" i="1"/>
  <c r="V31" i="1"/>
  <c r="V29" i="1"/>
  <c r="V22" i="1"/>
  <c r="V17" i="1"/>
  <c r="T17" i="1"/>
  <c r="V14" i="1"/>
  <c r="T14" i="1"/>
  <c r="AA66" i="1"/>
  <c r="AG36" i="1" l="1"/>
  <c r="AB36" i="1" s="1"/>
  <c r="Z38" i="1"/>
  <c r="AB38" i="1" s="1"/>
  <c r="AB44" i="1"/>
  <c r="G41" i="1"/>
  <c r="G35" i="1" s="1"/>
  <c r="AG44" i="1"/>
  <c r="G49" i="1"/>
  <c r="G43" i="1" s="1"/>
  <c r="AG50" i="1"/>
  <c r="AG46" i="1"/>
  <c r="G70" i="1"/>
  <c r="G68" i="1" s="1"/>
  <c r="AB50" i="1"/>
  <c r="Z69" i="1"/>
  <c r="AB69" i="1" s="1"/>
  <c r="AB71" i="1"/>
  <c r="G65" i="1"/>
  <c r="G64" i="1" s="1"/>
  <c r="AG71" i="1"/>
  <c r="V13" i="1"/>
  <c r="G59" i="1"/>
  <c r="J59" i="1"/>
  <c r="V59" i="1"/>
  <c r="V43" i="1"/>
  <c r="V35" i="1"/>
  <c r="AH73" i="1"/>
  <c r="AD73" i="1"/>
  <c r="AI73" i="1" s="1"/>
  <c r="AA73" i="1"/>
  <c r="Z73" i="1"/>
  <c r="AG73" i="1" s="1"/>
  <c r="AH72" i="1"/>
  <c r="AD72" i="1"/>
  <c r="AE72" i="1" s="1"/>
  <c r="AA72" i="1"/>
  <c r="Z72" i="1"/>
  <c r="AB72" i="1" s="1"/>
  <c r="AH70" i="1"/>
  <c r="AA70" i="1"/>
  <c r="Z70" i="1"/>
  <c r="AB70" i="1" s="1"/>
  <c r="AH68" i="1"/>
  <c r="AA68" i="1"/>
  <c r="Z68" i="1"/>
  <c r="AB68" i="1" s="1"/>
  <c r="AH67" i="1"/>
  <c r="AD67" i="1"/>
  <c r="AI67" i="1" s="1"/>
  <c r="AA67" i="1"/>
  <c r="Z67" i="1"/>
  <c r="AG67" i="1" s="1"/>
  <c r="AH66" i="1"/>
  <c r="AD66" i="1"/>
  <c r="AI66" i="1" s="1"/>
  <c r="Z66" i="1"/>
  <c r="AH65" i="1"/>
  <c r="AA65" i="1"/>
  <c r="Z65" i="1"/>
  <c r="AB65" i="1" s="1"/>
  <c r="AH64" i="1"/>
  <c r="AA64" i="1"/>
  <c r="Z64" i="1"/>
  <c r="AB64" i="1" s="1"/>
  <c r="S65" i="1"/>
  <c r="S64" i="1" s="1"/>
  <c r="S60" i="1"/>
  <c r="S45" i="1"/>
  <c r="S70" i="1"/>
  <c r="S68" i="1" s="1"/>
  <c r="S62" i="1"/>
  <c r="S57" i="1"/>
  <c r="S56" i="1" s="1"/>
  <c r="S54" i="1"/>
  <c r="S49" i="1"/>
  <c r="S41" i="1"/>
  <c r="S37" i="1"/>
  <c r="S31" i="1"/>
  <c r="P31" i="1"/>
  <c r="M31" i="1"/>
  <c r="S29" i="1"/>
  <c r="P29" i="1"/>
  <c r="M29" i="1"/>
  <c r="AH31" i="1"/>
  <c r="AA31" i="1"/>
  <c r="Z31" i="1"/>
  <c r="AB31" i="1" s="1"/>
  <c r="AG38" i="1" l="1"/>
  <c r="AG69" i="1"/>
  <c r="AD31" i="1"/>
  <c r="AI31" i="1" s="1"/>
  <c r="AE66" i="1"/>
  <c r="AE73" i="1"/>
  <c r="AG66" i="1"/>
  <c r="AB66" i="1"/>
  <c r="AE67" i="1"/>
  <c r="AG72" i="1"/>
  <c r="AB73" i="1"/>
  <c r="AI72" i="1"/>
  <c r="AG68" i="1"/>
  <c r="AG70" i="1"/>
  <c r="AB67" i="1"/>
  <c r="AG65" i="1"/>
  <c r="AG64" i="1"/>
  <c r="S59" i="1"/>
  <c r="S43" i="1"/>
  <c r="S35" i="1"/>
  <c r="AG31" i="1"/>
  <c r="AE31" i="1" l="1"/>
  <c r="S22" i="1"/>
  <c r="S17" i="1"/>
  <c r="Q17" i="1"/>
  <c r="S14" i="1"/>
  <c r="Q14" i="1"/>
  <c r="S13" i="1" l="1"/>
  <c r="N14" i="1"/>
  <c r="AH63" i="1" l="1"/>
  <c r="AD63" i="1"/>
  <c r="AI63" i="1" s="1"/>
  <c r="AC63" i="1"/>
  <c r="AA63" i="1"/>
  <c r="Z63" i="1"/>
  <c r="AG63" i="1" s="1"/>
  <c r="AH62" i="1"/>
  <c r="AA62" i="1"/>
  <c r="Z62" i="1"/>
  <c r="AB62" i="1" s="1"/>
  <c r="AH61" i="1"/>
  <c r="AD61" i="1"/>
  <c r="AI61" i="1" s="1"/>
  <c r="AA61" i="1"/>
  <c r="Z61" i="1"/>
  <c r="AB61" i="1" s="1"/>
  <c r="AH60" i="1"/>
  <c r="AA60" i="1"/>
  <c r="Z60" i="1"/>
  <c r="AB60" i="1" s="1"/>
  <c r="AH59" i="1"/>
  <c r="AA59" i="1"/>
  <c r="Z59" i="1"/>
  <c r="AB59" i="1" s="1"/>
  <c r="AH58" i="1"/>
  <c r="AD58" i="1"/>
  <c r="AI58" i="1" s="1"/>
  <c r="AA58" i="1"/>
  <c r="Z58" i="1"/>
  <c r="AB58" i="1" s="1"/>
  <c r="AH57" i="1"/>
  <c r="AA57" i="1"/>
  <c r="Z57" i="1"/>
  <c r="AH56" i="1"/>
  <c r="AA56" i="1"/>
  <c r="Z56" i="1"/>
  <c r="AH55" i="1"/>
  <c r="AD55" i="1"/>
  <c r="AI55" i="1" s="1"/>
  <c r="AA55" i="1"/>
  <c r="Z55" i="1"/>
  <c r="AB55" i="1" s="1"/>
  <c r="AH54" i="1"/>
  <c r="AA54" i="1"/>
  <c r="Z54" i="1"/>
  <c r="AB54" i="1" s="1"/>
  <c r="AH53" i="1"/>
  <c r="AD53" i="1"/>
  <c r="AI53" i="1" s="1"/>
  <c r="AA53" i="1"/>
  <c r="Z53" i="1"/>
  <c r="AB53" i="1" s="1"/>
  <c r="AH52" i="1"/>
  <c r="AD52" i="1"/>
  <c r="AI52" i="1" s="1"/>
  <c r="AA52" i="1"/>
  <c r="Z52" i="1"/>
  <c r="AB52" i="1" s="1"/>
  <c r="AH51" i="1"/>
  <c r="AD51" i="1"/>
  <c r="AI51" i="1" s="1"/>
  <c r="AA51" i="1"/>
  <c r="Z51" i="1"/>
  <c r="AB51" i="1" s="1"/>
  <c r="AH49" i="1"/>
  <c r="AA49" i="1"/>
  <c r="Z49" i="1"/>
  <c r="AB49" i="1" s="1"/>
  <c r="AH48" i="1"/>
  <c r="AD48" i="1"/>
  <c r="AI48" i="1" s="1"/>
  <c r="AA48" i="1"/>
  <c r="Z48" i="1"/>
  <c r="AH47" i="1"/>
  <c r="AD47" i="1"/>
  <c r="AI47" i="1" s="1"/>
  <c r="AA47" i="1"/>
  <c r="Z47" i="1"/>
  <c r="AH45" i="1"/>
  <c r="AA45" i="1"/>
  <c r="Z45" i="1"/>
  <c r="AB45" i="1" s="1"/>
  <c r="AH43" i="1"/>
  <c r="AA43" i="1"/>
  <c r="Z43" i="1"/>
  <c r="AB43" i="1" s="1"/>
  <c r="AH42" i="1"/>
  <c r="AD42" i="1"/>
  <c r="AI42" i="1" s="1"/>
  <c r="AA42" i="1"/>
  <c r="Z42" i="1"/>
  <c r="AB42" i="1" s="1"/>
  <c r="AH41" i="1"/>
  <c r="AA41" i="1"/>
  <c r="Z41" i="1"/>
  <c r="AB41" i="1" s="1"/>
  <c r="AH40" i="1"/>
  <c r="AD40" i="1"/>
  <c r="AI40" i="1" s="1"/>
  <c r="AA40" i="1"/>
  <c r="Z40" i="1"/>
  <c r="AB40" i="1" s="1"/>
  <c r="AH39" i="1"/>
  <c r="AD39" i="1"/>
  <c r="AI39" i="1" s="1"/>
  <c r="AA39" i="1"/>
  <c r="Z39" i="1"/>
  <c r="AB39" i="1" s="1"/>
  <c r="AH37" i="1"/>
  <c r="AA37" i="1"/>
  <c r="AH35" i="1"/>
  <c r="AA35" i="1"/>
  <c r="Z35" i="1"/>
  <c r="AH34" i="1"/>
  <c r="AD34" i="1"/>
  <c r="AI34" i="1" s="1"/>
  <c r="AA34" i="1"/>
  <c r="Z34" i="1"/>
  <c r="AB34" i="1" s="1"/>
  <c r="AH33" i="1"/>
  <c r="AD33" i="1"/>
  <c r="AI33" i="1" s="1"/>
  <c r="AA33" i="1"/>
  <c r="Z33" i="1"/>
  <c r="AB33" i="1" s="1"/>
  <c r="AH32" i="1"/>
  <c r="AD32" i="1"/>
  <c r="AI32" i="1" s="1"/>
  <c r="AA32" i="1"/>
  <c r="Z32" i="1"/>
  <c r="AB32" i="1" s="1"/>
  <c r="AH30" i="1"/>
  <c r="AD30" i="1"/>
  <c r="AI30" i="1" s="1"/>
  <c r="AA30" i="1"/>
  <c r="Z30" i="1"/>
  <c r="AB30" i="1" s="1"/>
  <c r="AH29" i="1"/>
  <c r="AA29" i="1"/>
  <c r="Z29" i="1"/>
  <c r="AB29" i="1" s="1"/>
  <c r="AH28" i="1"/>
  <c r="AD28" i="1"/>
  <c r="AI28" i="1" s="1"/>
  <c r="AA28" i="1"/>
  <c r="Z28" i="1"/>
  <c r="AB28" i="1" s="1"/>
  <c r="AH27" i="1"/>
  <c r="AD27" i="1"/>
  <c r="AI27" i="1" s="1"/>
  <c r="AA27" i="1"/>
  <c r="Z27" i="1"/>
  <c r="AB27" i="1" s="1"/>
  <c r="AH26" i="1"/>
  <c r="AD26" i="1"/>
  <c r="AI26" i="1" s="1"/>
  <c r="AA26" i="1"/>
  <c r="Z26" i="1"/>
  <c r="AB26" i="1" s="1"/>
  <c r="AH25" i="1"/>
  <c r="AD25" i="1"/>
  <c r="AI25" i="1" s="1"/>
  <c r="AA25" i="1"/>
  <c r="Z25" i="1"/>
  <c r="AB25" i="1" s="1"/>
  <c r="AH24" i="1"/>
  <c r="AD24" i="1"/>
  <c r="AI24" i="1" s="1"/>
  <c r="AA24" i="1"/>
  <c r="Z24" i="1"/>
  <c r="AB24" i="1" s="1"/>
  <c r="AH23" i="1"/>
  <c r="AD23" i="1"/>
  <c r="AI23" i="1" s="1"/>
  <c r="AA23" i="1"/>
  <c r="Z23" i="1"/>
  <c r="AB23" i="1" s="1"/>
  <c r="AH22" i="1"/>
  <c r="AA22" i="1"/>
  <c r="Z22" i="1"/>
  <c r="AB22" i="1" s="1"/>
  <c r="AH21" i="1"/>
  <c r="AD21" i="1"/>
  <c r="AI21" i="1" s="1"/>
  <c r="AA21" i="1"/>
  <c r="Z21" i="1"/>
  <c r="AB21" i="1" s="1"/>
  <c r="AH20" i="1"/>
  <c r="AD20" i="1"/>
  <c r="AI20" i="1" s="1"/>
  <c r="AA20" i="1"/>
  <c r="Z20" i="1"/>
  <c r="AB20" i="1" s="1"/>
  <c r="AH19" i="1"/>
  <c r="AD19" i="1"/>
  <c r="AI19" i="1" s="1"/>
  <c r="AA19" i="1"/>
  <c r="Z19" i="1"/>
  <c r="AB19" i="1" s="1"/>
  <c r="AH18" i="1"/>
  <c r="AD18" i="1"/>
  <c r="AI18" i="1" s="1"/>
  <c r="AA18" i="1"/>
  <c r="Z18" i="1"/>
  <c r="AG18" i="1" s="1"/>
  <c r="AH17" i="1"/>
  <c r="AA17" i="1"/>
  <c r="AH16" i="1"/>
  <c r="AD16" i="1"/>
  <c r="AI16" i="1" s="1"/>
  <c r="AA16" i="1"/>
  <c r="Z16" i="1"/>
  <c r="AG16" i="1" s="1"/>
  <c r="AH15" i="1"/>
  <c r="AD15" i="1"/>
  <c r="AE15" i="1" s="1"/>
  <c r="AA15" i="1"/>
  <c r="Z15" i="1"/>
  <c r="AB15" i="1" s="1"/>
  <c r="AH14" i="1"/>
  <c r="AA14" i="1"/>
  <c r="Z14" i="1"/>
  <c r="AH13" i="1"/>
  <c r="AA13" i="1"/>
  <c r="Z13" i="1"/>
  <c r="AG13" i="1" s="1"/>
  <c r="AE32" i="1" l="1"/>
  <c r="AE47" i="1"/>
  <c r="AE53" i="1"/>
  <c r="AE61" i="1"/>
  <c r="AE23" i="1"/>
  <c r="AE20" i="1"/>
  <c r="AG15" i="1"/>
  <c r="AE27" i="1"/>
  <c r="AE24" i="1"/>
  <c r="AE40" i="1"/>
  <c r="AE42" i="1"/>
  <c r="AE48" i="1"/>
  <c r="AE52" i="1"/>
  <c r="AE19" i="1"/>
  <c r="AE28" i="1"/>
  <c r="AE21" i="1"/>
  <c r="AE25" i="1"/>
  <c r="AE33" i="1"/>
  <c r="AE39" i="1"/>
  <c r="AE58" i="1"/>
  <c r="AE18" i="1"/>
  <c r="AE26" i="1"/>
  <c r="AE30" i="1"/>
  <c r="AE34" i="1"/>
  <c r="AE51" i="1"/>
  <c r="AE55" i="1"/>
  <c r="AG14" i="1"/>
  <c r="AI15" i="1"/>
  <c r="AB16" i="1"/>
  <c r="AE16" i="1"/>
  <c r="AB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2" i="1"/>
  <c r="AG33" i="1"/>
  <c r="AG34" i="1"/>
  <c r="AG35" i="1"/>
  <c r="AG37" i="1"/>
  <c r="AG39" i="1"/>
  <c r="AG40" i="1"/>
  <c r="AG41" i="1"/>
  <c r="AG42" i="1"/>
  <c r="AG43" i="1"/>
  <c r="AG45" i="1"/>
  <c r="AG47" i="1"/>
  <c r="AG48" i="1"/>
  <c r="AG49" i="1"/>
  <c r="AG51" i="1"/>
  <c r="AG52" i="1"/>
  <c r="AG53" i="1"/>
  <c r="AG54" i="1"/>
  <c r="AG55" i="1"/>
  <c r="AG56" i="1"/>
  <c r="AB56" i="1" s="1"/>
  <c r="AG57" i="1"/>
  <c r="AG58" i="1"/>
  <c r="AG59" i="1"/>
  <c r="AG60" i="1"/>
  <c r="AG61" i="1"/>
  <c r="AG62" i="1"/>
  <c r="AE63" i="1"/>
  <c r="AB63" i="1"/>
  <c r="AB13" i="1"/>
  <c r="N17" i="1"/>
  <c r="Z17" i="1" s="1"/>
  <c r="AG17" i="1" s="1"/>
  <c r="K17" i="1"/>
  <c r="AB17" i="1" l="1"/>
  <c r="K14" i="1"/>
  <c r="AB14" i="1" s="1"/>
  <c r="M41" i="1" l="1"/>
  <c r="P70" i="1"/>
  <c r="M70" i="1"/>
  <c r="M68" i="1" s="1"/>
  <c r="P60" i="1"/>
  <c r="P65" i="1"/>
  <c r="M65" i="1"/>
  <c r="M64" i="1" s="1"/>
  <c r="M62" i="1"/>
  <c r="P62" i="1"/>
  <c r="AD62" i="1" s="1"/>
  <c r="M60" i="1"/>
  <c r="P57" i="1"/>
  <c r="M57" i="1"/>
  <c r="M56" i="1" s="1"/>
  <c r="P54" i="1"/>
  <c r="M54" i="1"/>
  <c r="P49" i="1"/>
  <c r="P45" i="1"/>
  <c r="AD45" i="1" s="1"/>
  <c r="M45" i="1"/>
  <c r="P41" i="1"/>
  <c r="P37" i="1"/>
  <c r="AD37" i="1" s="1"/>
  <c r="M37" i="1"/>
  <c r="AP21" i="1"/>
  <c r="AD29" i="1"/>
  <c r="P22" i="1"/>
  <c r="AD22" i="1" s="1"/>
  <c r="M22" i="1"/>
  <c r="P17" i="1"/>
  <c r="AD17" i="1" s="1"/>
  <c r="M17" i="1"/>
  <c r="P14" i="1"/>
  <c r="M14" i="1"/>
  <c r="M13" i="1" s="1"/>
  <c r="AD49" i="1" l="1"/>
  <c r="AI49" i="1" s="1"/>
  <c r="AD54" i="1"/>
  <c r="AE54" i="1" s="1"/>
  <c r="AD14" i="1"/>
  <c r="AE14" i="1" s="1"/>
  <c r="P13" i="1"/>
  <c r="AD13" i="1" s="1"/>
  <c r="P68" i="1"/>
  <c r="AD68" i="1" s="1"/>
  <c r="AD70" i="1"/>
  <c r="M43" i="1"/>
  <c r="P64" i="1"/>
  <c r="AD64" i="1" s="1"/>
  <c r="AD65" i="1"/>
  <c r="AI45" i="1"/>
  <c r="AE45" i="1"/>
  <c r="P59" i="1"/>
  <c r="AD59" i="1" s="1"/>
  <c r="AD60" i="1"/>
  <c r="AI37" i="1"/>
  <c r="AE37" i="1"/>
  <c r="AE49" i="1"/>
  <c r="P43" i="1"/>
  <c r="AD43" i="1" s="1"/>
  <c r="AI62" i="1"/>
  <c r="AE62" i="1"/>
  <c r="AI22" i="1"/>
  <c r="AE22" i="1"/>
  <c r="P35" i="1"/>
  <c r="AD35" i="1" s="1"/>
  <c r="AD41" i="1"/>
  <c r="P56" i="1"/>
  <c r="AD56" i="1" s="1"/>
  <c r="AD57" i="1"/>
  <c r="AI17" i="1"/>
  <c r="AE17" i="1"/>
  <c r="AI54" i="1"/>
  <c r="AI29" i="1"/>
  <c r="AE29" i="1"/>
  <c r="M59" i="1"/>
  <c r="M35" i="1"/>
  <c r="AI14" i="1" l="1"/>
  <c r="AI70" i="1"/>
  <c r="AE70" i="1"/>
  <c r="AI65" i="1"/>
  <c r="AE65" i="1"/>
  <c r="AI68" i="1"/>
  <c r="AE68" i="1"/>
  <c r="AI64" i="1"/>
  <c r="AE64" i="1"/>
  <c r="AI41" i="1"/>
  <c r="AE41" i="1"/>
  <c r="AI59" i="1"/>
  <c r="AE59" i="1"/>
  <c r="AI13" i="1"/>
  <c r="AE13" i="1"/>
  <c r="AI35" i="1"/>
  <c r="AE35" i="1"/>
  <c r="AI56" i="1"/>
  <c r="AE56" i="1"/>
  <c r="AI60" i="1"/>
  <c r="AE60" i="1"/>
  <c r="AI57" i="1"/>
  <c r="AE57" i="1"/>
  <c r="AI43" i="1"/>
  <c r="AE43" i="1"/>
  <c r="AP20" i="1"/>
  <c r="AP19" i="1"/>
  <c r="AP18" i="1"/>
  <c r="AP17" i="1"/>
  <c r="AP13" i="1"/>
  <c r="AE74" i="1" l="1"/>
  <c r="AE75" i="1" s="1"/>
  <c r="AB74" i="1" l="1"/>
  <c r="AB75" i="1" s="1"/>
</calcChain>
</file>

<file path=xl/comments1.xml><?xml version="1.0" encoding="utf-8"?>
<comments xmlns="http://schemas.openxmlformats.org/spreadsheetml/2006/main">
  <authors>
    <author>USER</author>
  </authors>
  <commentList>
    <comment ref="Q38" authorId="0" shapeId="0">
      <text>
        <r>
          <rPr>
            <b/>
            <sz val="12"/>
            <color indexed="81"/>
            <rFont val="Tahoma"/>
            <family val="2"/>
          </rPr>
          <t>Drumband, Paduan Suara, Paskibraka</t>
        </r>
      </text>
    </comment>
    <comment ref="T38" authorId="0" shapeId="0">
      <text>
        <r>
          <rPr>
            <b/>
            <sz val="12"/>
            <color indexed="81"/>
            <rFont val="Tahoma"/>
            <family val="2"/>
          </rPr>
          <t>Paskibraka Prov, Pepelingasih</t>
        </r>
      </text>
    </comment>
    <comment ref="W38" authorId="0" shapeId="0">
      <text>
        <r>
          <rPr>
            <b/>
            <sz val="12"/>
            <color indexed="81"/>
            <rFont val="Tahoma"/>
            <family val="2"/>
          </rPr>
          <t>Paskibraka Prov, Pepelingasih</t>
        </r>
      </text>
    </comment>
    <comment ref="E39" authorId="0" shapeId="0">
      <text>
        <r>
          <rPr>
            <b/>
            <sz val="12"/>
            <color indexed="81"/>
            <rFont val="Tahoma"/>
            <family val="2"/>
          </rPr>
          <t>156, 163, 167</t>
        </r>
      </text>
    </comment>
    <comment ref="K47" authorId="0" shapeId="0">
      <text>
        <r>
          <rPr>
            <b/>
            <sz val="12"/>
            <color indexed="81"/>
            <rFont val="Tahoma"/>
            <family val="2"/>
          </rPr>
          <t>Atletik, Gulat, Karate, Panahan, Taekwondo, Tinju, Volly Pasir, Judo, Kempo, Brif, Dayung, Renang</t>
        </r>
      </text>
    </comment>
    <comment ref="E48" authorId="0" shapeId="0">
      <text>
        <r>
          <rPr>
            <b/>
            <sz val="12"/>
            <color indexed="81"/>
            <rFont val="Tahoma"/>
            <family val="2"/>
          </rPr>
          <t>7, 5, 5</t>
        </r>
      </text>
    </comment>
    <comment ref="AB48" authorId="0" shapeId="0">
      <text>
        <r>
          <rPr>
            <b/>
            <sz val="9"/>
            <color indexed="81"/>
            <rFont val="Tahoma"/>
            <family val="2"/>
          </rPr>
          <t>Negatif</t>
        </r>
      </text>
    </comment>
    <comment ref="E51" authorId="0" shapeId="0">
      <text>
        <r>
          <rPr>
            <b/>
            <sz val="12"/>
            <color indexed="81"/>
            <rFont val="Tahoma"/>
            <family val="2"/>
          </rPr>
          <t>Dayung, HAORNAS, Sepeda Santai</t>
        </r>
      </text>
    </comment>
    <comment ref="K51" authorId="0" shapeId="0">
      <text>
        <r>
          <rPr>
            <b/>
            <sz val="12"/>
            <color indexed="81"/>
            <rFont val="Tahoma"/>
            <family val="2"/>
          </rPr>
          <t>Dayung, HAORNAS, Sepeda Santai</t>
        </r>
      </text>
    </comment>
    <comment ref="E52" authorId="0" shapeId="0">
      <text>
        <r>
          <rPr>
            <b/>
            <sz val="12"/>
            <color indexed="81"/>
            <rFont val="Tahoma"/>
            <family val="2"/>
          </rPr>
          <t>Panjat Tebing, GOS, Lapangan Tenis Antaludin, Lap Tenis Tumpang Talu, Lap Basket, Kolam Renang AAC, Stadion 2 Des, Gedung Serbaguna, Duta Futsal, Venue IODI, Lapangan Volly (2)</t>
        </r>
      </text>
    </comment>
    <comment ref="H52" authorId="0" shapeId="0">
      <text>
        <r>
          <rPr>
            <b/>
            <sz val="12"/>
            <color indexed="81"/>
            <rFont val="Tahoma"/>
            <family val="2"/>
          </rPr>
          <t>Kolam Renang, 6 Venue anggaran di Setda Bag. Umun</t>
        </r>
      </text>
    </comment>
    <comment ref="K52" authorId="0" shapeId="0">
      <text>
        <r>
          <rPr>
            <b/>
            <sz val="12"/>
            <color indexed="81"/>
            <rFont val="Tahoma"/>
            <family val="2"/>
          </rPr>
          <t>Panjat Tebing, GOS, Lapangan Tenis Antaludin, Lap Tenis Tumpang Talu, Lap Basket, Kolam Renang AAC, Stadion 2 Des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</rPr>
          <t>Kolam Renang</t>
        </r>
      </text>
    </comment>
    <comment ref="K53" authorId="0" shapeId="0">
      <text>
        <r>
          <rPr>
            <b/>
            <sz val="12"/>
            <color indexed="81"/>
            <rFont val="Tahoma"/>
            <family val="2"/>
          </rPr>
          <t>Terjal, Goes Sehati</t>
        </r>
      </text>
    </comment>
    <comment ref="E55" authorId="0" shapeId="0">
      <text>
        <r>
          <rPr>
            <b/>
            <sz val="12"/>
            <color indexed="81"/>
            <rFont val="Tahoma"/>
            <family val="2"/>
          </rPr>
          <t>KONI, NPC, KORMI</t>
        </r>
      </text>
    </comment>
    <comment ref="H55" authorId="0" shapeId="0">
      <text>
        <r>
          <rPr>
            <b/>
            <sz val="12"/>
            <color indexed="81"/>
            <rFont val="Tahoma"/>
            <family val="2"/>
          </rPr>
          <t>KONI, NPC
Anggaran masih di BPKPD</t>
        </r>
      </text>
    </comment>
    <comment ref="K55" authorId="0" shapeId="0">
      <text>
        <r>
          <rPr>
            <b/>
            <sz val="12"/>
            <color indexed="81"/>
            <rFont val="Tahoma"/>
            <family val="2"/>
          </rPr>
          <t>KONI, NPC</t>
        </r>
      </text>
    </comment>
    <comment ref="T59" authorId="0" shapeId="0">
      <text>
        <r>
          <rPr>
            <b/>
            <sz val="12"/>
            <color indexed="81"/>
            <rFont val="Tahoma"/>
            <family val="2"/>
          </rPr>
          <t>PPKM LV 3</t>
        </r>
      </text>
    </comment>
    <comment ref="W59" authorId="0" shapeId="0">
      <text>
        <r>
          <rPr>
            <b/>
            <sz val="12"/>
            <color indexed="81"/>
            <rFont val="Tahoma"/>
            <family val="2"/>
          </rPr>
          <t>PPKM LV 3</t>
        </r>
      </text>
    </comment>
    <comment ref="H60" authorId="0" shapeId="0">
      <text>
        <r>
          <rPr>
            <b/>
            <sz val="12"/>
            <color indexed="81"/>
            <rFont val="Tahoma"/>
            <family val="2"/>
          </rPr>
          <t>Tanuhi, Dermaga Ni'ih, Green House Loksado</t>
        </r>
      </text>
    </comment>
    <comment ref="K60" authorId="0" shapeId="0">
      <text>
        <r>
          <rPr>
            <b/>
            <sz val="12"/>
            <color indexed="81"/>
            <rFont val="Tahoma"/>
            <family val="2"/>
          </rPr>
          <t>Tanuhi, Dermaga Ni'ih, Green House Loksado, Hotel Ramu, Dermaga Loksado</t>
        </r>
      </text>
    </comment>
    <comment ref="E63" authorId="0" shapeId="0">
      <text>
        <r>
          <rPr>
            <b/>
            <sz val="12"/>
            <color theme="1"/>
            <rFont val="Calibri"/>
            <family val="2"/>
            <scheme val="minor"/>
          </rPr>
          <t>Kalang Hadangan Paharangan, Tanuhi</t>
        </r>
      </text>
    </comment>
    <comment ref="K63" authorId="0" shapeId="0">
      <text>
        <r>
          <rPr>
            <b/>
            <sz val="12"/>
            <color indexed="81"/>
            <rFont val="Tahoma"/>
            <family val="2"/>
          </rPr>
          <t>Bukit Langara, Tanuhi, Dermaga Ni'ih, Hotel Ramu</t>
        </r>
      </text>
    </comment>
    <comment ref="E66" authorId="0" shapeId="0">
      <text>
        <r>
          <rPr>
            <b/>
            <sz val="12"/>
            <color indexed="81"/>
            <rFont val="Tahoma"/>
            <family val="2"/>
          </rPr>
          <t>Spanduk dan Baliho, Sticker, Video, Tas Kain, Map Promosi, Kalender Dinding dan Meja, Payung, Topi, Mug dan Piring, Lanting, Roll Banner, Umbul Umbul</t>
        </r>
      </text>
    </comment>
    <comment ref="K66" authorId="0" shapeId="0">
      <text>
        <r>
          <rPr>
            <b/>
            <sz val="12"/>
            <color indexed="81"/>
            <rFont val="Tahoma"/>
            <family val="2"/>
          </rPr>
          <t>Spanduk dan Baliho, Sticker, Video, Tas Kain, Map Promosi, Kalender Dinding dan Meja, Payung, Topi, Mug dan Piring, Lanting, Roll Banner, Umbul Umbul</t>
        </r>
      </text>
    </comment>
    <comment ref="N66" authorId="0" shapeId="0">
      <text>
        <r>
          <rPr>
            <b/>
            <sz val="12"/>
            <color indexed="81"/>
            <rFont val="Tahoma"/>
            <family val="2"/>
          </rPr>
          <t>Spanduk dan Baliho, Sticker, Umbul umbu</t>
        </r>
        <r>
          <rPr>
            <b/>
            <sz val="9"/>
            <color indexed="81"/>
            <rFont val="Tahoma"/>
            <family val="2"/>
          </rPr>
          <t>l</t>
        </r>
      </text>
    </comment>
    <comment ref="Q66" authorId="0" shapeId="0">
      <text>
        <r>
          <rPr>
            <b/>
            <sz val="12"/>
            <color indexed="81"/>
            <rFont val="Tahoma"/>
            <family val="2"/>
          </rPr>
          <t>Roll Banner, Mug dan Piring, Lanting, Topi</t>
        </r>
      </text>
    </comment>
    <comment ref="T66" authorId="0" shapeId="0">
      <text>
        <r>
          <rPr>
            <b/>
            <sz val="12"/>
            <color indexed="81"/>
            <rFont val="Tahoma"/>
            <family val="2"/>
          </rPr>
          <t>Map Promosi, Tas Kain, Payung, Video</t>
        </r>
      </text>
    </comment>
    <comment ref="E67" authorId="0" shapeId="0">
      <text>
        <r>
          <rPr>
            <b/>
            <sz val="12"/>
            <color indexed="81"/>
            <rFont val="Tahoma"/>
            <family val="2"/>
          </rPr>
          <t>Festival Loksado, Burung Berkicau, Tour de Loksado, Temu Komunitas Pecinta Wisata Alam, Pemilihan Duta Pariwisata HSS</t>
        </r>
      </text>
    </comment>
    <comment ref="K67" authorId="0" shapeId="0">
      <text>
        <r>
          <rPr>
            <b/>
            <sz val="12"/>
            <color indexed="81"/>
            <rFont val="Tahoma"/>
            <family val="2"/>
          </rPr>
          <t>Festival Loksado, Burung Berkicau, Tour de Loksado, Temu Komunitas Pecinta Wisata Alam, Pemilihan Duta Pariwisata HSS</t>
        </r>
      </text>
    </comment>
    <comment ref="N69" authorId="0" shapeId="0">
      <text>
        <r>
          <rPr>
            <b/>
            <sz val="12"/>
            <color indexed="81"/>
            <rFont val="Tahoma"/>
            <family val="2"/>
          </rPr>
          <t>Fotografi</t>
        </r>
      </text>
    </comment>
    <comment ref="Q69" authorId="0" shapeId="0">
      <text>
        <r>
          <rPr>
            <b/>
            <sz val="12"/>
            <color indexed="81"/>
            <rFont val="Tahoma"/>
            <family val="2"/>
          </rPr>
          <t>Kuliner, Grafis</t>
        </r>
      </text>
    </comment>
    <comment ref="T69" authorId="0" shapeId="0">
      <text>
        <r>
          <rPr>
            <b/>
            <sz val="12"/>
            <color indexed="81"/>
            <rFont val="Tahoma"/>
            <family val="2"/>
          </rPr>
          <t>Kriya</t>
        </r>
      </text>
    </comment>
    <comment ref="W69" authorId="0" shapeId="0">
      <text>
        <r>
          <rPr>
            <b/>
            <sz val="12"/>
            <color indexed="81"/>
            <rFont val="Tahoma"/>
            <family val="2"/>
          </rPr>
          <t>Kriya</t>
        </r>
      </text>
    </comment>
  </commentList>
</comments>
</file>

<file path=xl/sharedStrings.xml><?xml version="1.0" encoding="utf-8"?>
<sst xmlns="http://schemas.openxmlformats.org/spreadsheetml/2006/main" count="567" uniqueCount="187">
  <si>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</si>
  <si>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</si>
  <si>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</si>
  <si>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</si>
  <si>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</si>
  <si>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</si>
  <si>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</si>
  <si>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</si>
  <si>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</si>
  <si>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</si>
  <si>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</si>
  <si>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</si>
  <si>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</si>
  <si>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</si>
  <si>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</si>
  <si>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</si>
  <si>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</si>
  <si>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</si>
  <si>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</si>
  <si>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</si>
  <si>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</si>
  <si>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</si>
  <si>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</si>
  <si>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Meningkatnya Kinerja Keuangan dan Kinerja Birokrasi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</si>
  <si>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</si>
  <si>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</si>
  <si>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</si>
  <si>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</si>
  <si>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</si>
  <si>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</si>
  <si>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</si>
  <si>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</si>
  <si>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</si>
  <si>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</si>
  <si>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</si>
  <si>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</si>
  <si>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</si>
  <si>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</si>
  <si>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</si>
  <si>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</si>
  <si>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</si>
  <si>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</si>
  <si>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</si>
  <si>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</si>
  <si>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</si>
  <si>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</si>
  <si>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</si>
  <si>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</si>
  <si>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</si>
  <si>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Bln</t>
  </si>
  <si>
    <t>%</t>
  </si>
  <si>
    <t>Laporan Keuangan yang Memenuhi Aspek Kualitas</t>
  </si>
  <si>
    <t>Pelayanan administrasi sesuai standar</t>
  </si>
  <si>
    <t>Meningkatnya Kapasitas Pemberdayaan Kelompok Masyarakat</t>
  </si>
  <si>
    <t>Meningkatnya Pemanfaatan Potensi Pariwisata dan Kebudayaan Bagi Masyarakat</t>
  </si>
  <si>
    <t>DINAS PEMUDA, OLAHRAGA DAN PARIWISATA</t>
  </si>
  <si>
    <t>Dinas Pemuda, Olahraga, dan Pariwisata</t>
  </si>
  <si>
    <t>[kolom (12)(K) : kolom (7)(K)] x 100%</t>
  </si>
  <si>
    <t>[kolom (12)(Rp) : kolom (7)(Rp)] x 100%</t>
  </si>
  <si>
    <t>Realisasi dan Tingkat Capaian Kinerja dan Anggaran Renja Perangkat Daerah yang Dievaluasi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</si>
  <si>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</si>
  <si>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</si>
  <si>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</si>
  <si>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</si>
  <si>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</si>
  <si>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</si>
  <si>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Pemuda, Olahraga dan Pariwisata</t>
  </si>
  <si>
    <t>HMK. Saputra, SH, M.IP</t>
  </si>
  <si>
    <t>NIP. 19631024 199203 1 006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</si>
  <si>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</si>
  <si>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</si>
  <si>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</si>
  <si>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</si>
  <si>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Program Penunjang Urusan Pemerintahan Daerah Kabupaten/Kota</t>
  </si>
  <si>
    <t>Perencanaan, Pengangnggaran dan Evaluasi Kinerja Perangkat Daerah</t>
  </si>
  <si>
    <t>Penyusunan Dokumen Perencanaan Perangkat Daerah</t>
  </si>
  <si>
    <t>Evaluasi Kinerja Perangkat Daerah</t>
  </si>
  <si>
    <t>Administrasi Keuangan Perangkat Daerah</t>
  </si>
  <si>
    <t>Penyedian Gaji dan Tunjangan ASN</t>
  </si>
  <si>
    <t>Koordinasi dan Penyusunan Laporan Keuangan Akhir Tahun SKPD</t>
  </si>
  <si>
    <t>Lap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</si>
  <si>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</si>
  <si>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</si>
  <si>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</si>
  <si>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Penyedian Komponen Instalasi Listrik/Penerangan Bangunan kantor</t>
  </si>
  <si>
    <t>Peralatan dan perlengkapan kantor dalam kondisi baik</t>
  </si>
  <si>
    <t>Penyedian Peralatan dan Perlengkapan Kantor</t>
  </si>
  <si>
    <t>Penyedian Bahan Logistik Kantor</t>
  </si>
  <si>
    <t>Penyedian Barang Cetakan dan Penggandaan</t>
  </si>
  <si>
    <t>Penyediaan Bahan Bacaan dan Peraturan Perundang-undangan</t>
  </si>
  <si>
    <t>Penyelenggaraan Rapat Koordinasi dan Konsultasi SKPD</t>
  </si>
  <si>
    <t>Penyediaan Jasa Penunjang Urusan Pemerintahan Daerah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</si>
  <si>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</si>
  <si>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</si>
  <si>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</si>
  <si>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</si>
  <si>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</si>
  <si>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Program Pengembangan Kapasitas Daya Saing Kepemudaan</t>
  </si>
  <si>
    <t>Penyadaran, Pemberdayaan, dan Pengembangan Pemuda dan Kepemudaan terhadap Pemuda Pelopor Kabupaten/Kota, Wirausaha Muda Pemula, dan Pemuda Kader Kabupaten/Kota</t>
  </si>
  <si>
    <t>Pelaksanaan Koordinasi Strategis Lintas Sektor Penyelenggaraan Pelayanan Kepemudaan melalui Implementasi Rencana Aksi Daerah/RAD Tingkat Kabupaten/Kota</t>
  </si>
  <si>
    <t>Peningkatan Kepemimpinan, Kepeloporan dan Kesukarelawanan Pemuda</t>
  </si>
  <si>
    <t>Pemberdayaan dan Pengembangan Organisasi Kepemudaan Tingkat Daerah Kabupaten/Kota</t>
  </si>
  <si>
    <t xml:space="preserve">Peningkatan Kapasitas Pemuda dan Organisasi Kepemudaan Kabupaten/Kota </t>
  </si>
  <si>
    <t>Pembinaan dan Pengembangan Olahraga Prestasi Tingkat Daerah Provinsi</t>
  </si>
  <si>
    <t>Pembinaan dan Pengembangan Atlet Berprestasi Kabupaten/Kota</t>
  </si>
  <si>
    <t>Pemberian Penghargaan Olahraga Kabupaten/Kota</t>
  </si>
  <si>
    <t>Pembinaan dan Pengembangan Olahraga Rekreasi</t>
  </si>
  <si>
    <t>Penyediaan, Pengembangan dan Pemeliharaan Sarana dan Prasarana Olahraga Rekreasi</t>
  </si>
  <si>
    <t>Pengembangan Olahraga Wisata, Tantangan dan Petualangan</t>
  </si>
  <si>
    <t>Pembinaan dan Pengembangan Organisasi Olahraga</t>
  </si>
  <si>
    <t>Pengembangan Organisasi Keolahragaan</t>
  </si>
  <si>
    <t>Pembinaan dan Pengembangan Organisasi Kepramukaan</t>
  </si>
  <si>
    <t>Partisipasi dan Keikutsertaan Dalam Kegiatan Kepramukaan</t>
  </si>
  <si>
    <t>Pengleolaan Daya Tarik Wisata Kabupaten/Kota</t>
  </si>
  <si>
    <t>Pengembangan Daya Tarik Wisata Kabupaten /Kota</t>
  </si>
  <si>
    <t>Pengelolaan Destinasi Pariwisata Kabupaten/Kota</t>
  </si>
  <si>
    <t>Pengadaan/Pemeliharaan/Rehabiilitasi Sarana dan Prasarana dalam Pengelolaan Destinasi Pariwisata Kabupaten/Kota</t>
  </si>
  <si>
    <t>Program Pemasaran Pariwisata</t>
  </si>
  <si>
    <t>Fasilitasi Kegiatan Pemasaran Pariwisata Baik Dalam dan Luar Negeri Pariwisata Kabupaten/Kota</t>
  </si>
  <si>
    <t xml:space="preserve">Program Pengembangan Sumber Daya Pariwisata dan Ekonomi Kreatif </t>
  </si>
  <si>
    <t>Pengembangan Kompetensi SDM Pariwisata dan Ekonomi Kreatif Tingkat Dasar</t>
  </si>
  <si>
    <t>Fasilitasi Proses Kreasi, Produksi, Distribusi Konsumsi dan Konservasi Ekonomi Kreatif</t>
  </si>
  <si>
    <t>Jumlah dokumen administrasi Keuangan sesuai standar</t>
  </si>
  <si>
    <t>Jumlah dokumen administrasi umum sesuai standar</t>
  </si>
  <si>
    <t>Tingkat Pelayanan Adminstrasi Umum sesuai Standar</t>
  </si>
  <si>
    <t>Program Pengembangan Kapasitas Daya Saing Keolahragaan</t>
  </si>
  <si>
    <t>Besar</t>
  </si>
  <si>
    <t>Event</t>
  </si>
  <si>
    <t>Organisasi</t>
  </si>
  <si>
    <t>Keg</t>
  </si>
  <si>
    <t>Persentase Organisasi Kepramukaan Yang Aktif</t>
  </si>
  <si>
    <t>Jumlah dokumen Perencanaan dan Evaluasi Kinerja yang berkualitas</t>
  </si>
  <si>
    <t>Tingkat kepuasan pelayanan</t>
  </si>
  <si>
    <t>Dokumen Perencanaan yang Memenuhi Aspek Kualitas</t>
  </si>
  <si>
    <t>Dokumen Evaluasi yang Memenuhi Aspek Kualitas</t>
  </si>
  <si>
    <t>Org</t>
  </si>
  <si>
    <t>OKP</t>
  </si>
  <si>
    <t>Cabor</t>
  </si>
  <si>
    <t xml:space="preserve">Program Peningkatan Daya Tarik Destinasi Pariwisata </t>
  </si>
  <si>
    <t>Jumlah Peningkatan Pergerakan Wisatawan Nusantara</t>
  </si>
  <si>
    <t>Jumlah Layanan Wisata yang Memenuhi Standar</t>
  </si>
  <si>
    <t>DTW</t>
  </si>
  <si>
    <t>Jumlah Daya Tarik Wisata yang Dikembangkan</t>
  </si>
  <si>
    <t>Jumlah Destinasi Pariwisata Yang Didukung Untuk Memenuhi Kriteria Sapta Pesona</t>
  </si>
  <si>
    <t>Kawasan Wisata</t>
  </si>
  <si>
    <t>Jumlah Objek Wisata Yang Didukung Untuk Memenuhi Kriteria</t>
  </si>
  <si>
    <t>Pemasaran Pariwisata Dalam dan Luar Negeri Daya Tarik Destinasi dan Kawasan Strategis Pariwisata Kabupaten/Kota</t>
  </si>
  <si>
    <t>Jumlah Kunjungan Wisatawan</t>
  </si>
  <si>
    <t>Penguatan Promosi Melalui Media Cetak, Elektronik, dan Media Lainnya Baik Dalam dan Luar Negeri</t>
  </si>
  <si>
    <t>Jumlah Media Promosi yang Digunakan</t>
  </si>
  <si>
    <t>Media</t>
  </si>
  <si>
    <t>Jumlah Event Pariwisata dan Difasilitasi/dilaksanakan</t>
  </si>
  <si>
    <t>Persentase Pokdarwis Yang Dikembangkan</t>
  </si>
  <si>
    <t>Persentase Sub Sektor Ekonomi Kreatif yang Difasilitasi dalam Pendistribusian Produk Kreatif</t>
  </si>
  <si>
    <t>Pelaksanaan Peningkatan Kapasitas Sumber Daya Manusia Pariwisata dan Ekonomi Kreatif Tingkat Dasar</t>
  </si>
  <si>
    <t>Jumlah SDM Pariwisata dan Pelaku Ekonomi Kreatif yang Dikembangkan</t>
  </si>
  <si>
    <t>Jumlah Event Ekonomi Kreatif yang Dilaksanakan</t>
  </si>
  <si>
    <t>Persentase Pemuda Yang Terlibat Dalam Kegiatan Ekonomi Mandiri</t>
  </si>
  <si>
    <t>Jumlah Pemuda Wirausaha</t>
  </si>
  <si>
    <t>Jumlah Pemuda Yang Dibina Untuk Mempunyai Keterampilan dan Kecakapan Hidup</t>
  </si>
  <si>
    <t>Jumlah Pemuda Yang Memiliki Keterampilan Dan Kecakapan Hidup Serta Yang Berpartisipasi Ke Tingkat Provinsi Maupun Nasional</t>
  </si>
  <si>
    <t>Jumlah Event Olahraga Rekreasi dan Olahraga Tradisional Yang Dilaksanakan</t>
  </si>
  <si>
    <t>Jumlah Sarana dan Prasarana Olahraga Yang Dikelola Sesuai Standar</t>
  </si>
  <si>
    <t>Venue</t>
  </si>
  <si>
    <t>Jumlah Event Olahraga Wisata, Tantangan, dan Petualangan Yang Digelar</t>
  </si>
  <si>
    <t>Penyelenggaraan, Pengembangan dan Pemassalan Festival dan Olahraga Rekreasi</t>
  </si>
  <si>
    <t>Jumlah Penyelenggaraan, Pengembangan, dan Pemassalan Festival dan Olahraga Rekreasi</t>
  </si>
  <si>
    <t>Persentase Sarana dan Prasarana Olahraga Yang Dikelola Sesuai Standar</t>
  </si>
  <si>
    <t>Jumlah Induk Organisasi Olahraga Yang Dibina</t>
  </si>
  <si>
    <t>Organisasi Olahraga</t>
  </si>
  <si>
    <t>Jumlah Induk Organisasi Olahraga Kabupaten Yang Dibina</t>
  </si>
  <si>
    <t>Jumlah Pemberian Penghargaan Kabupaten</t>
  </si>
  <si>
    <t>Jumlah Cabang Olahraga Pelajar yang Berprestasi</t>
  </si>
  <si>
    <t>Persentase Atlet Berprestasi Yang Mendapat Penghargaan</t>
  </si>
  <si>
    <t>Nomor Cabang Olahraga yang Mengikuti POPDA Tingkat Provinsi</t>
  </si>
  <si>
    <t>Jumlah Medali Yang Diperoleh Atlet Muda/Pelajar dalam POPDA</t>
  </si>
  <si>
    <t>Jumlah Medali Yang Diperoleh Dalam Cabang Olahraga Dalam Kejuaraan/Kompetisi Tingkat Provinsi</t>
  </si>
  <si>
    <t>Medali</t>
  </si>
  <si>
    <t>Jumlah Pemuda yang Memiliki Keterampilan dan Kecakapan Hidup</t>
  </si>
  <si>
    <t>Jumlah Organisasi Pemuda yang dibina</t>
  </si>
  <si>
    <t>Jumlah Organisasi Kepemudaan yang dibina</t>
  </si>
  <si>
    <t>Program Pengembangan Kapasitas Kepramukaan</t>
  </si>
  <si>
    <t>Persentase Organisasi Kepemudaan Yang Aktif</t>
  </si>
  <si>
    <t>Jumlah Organisasi Kepramukaan yang Aktif</t>
  </si>
  <si>
    <t>jumlah kegiatan kepramukaan yang diselenggarakan dan diikuti</t>
  </si>
  <si>
    <t>PERIODE PELAKSANAAN TRIWULAN IV TAHUN 2021</t>
  </si>
  <si>
    <t>Kandangan,         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</si>
</sst>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_);_(* \(#,##0.00\);_(* &quot;-&quot;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</cellStyleXfs>
  <cellXfs count="15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6" fontId="8" fillId="0" borderId="2" xfId="1" applyNumberFormat="1" applyFont="1" applyFill="1" applyBorder="1" applyAlignment="1">
      <alignment vertical="top"/>
    </xf>
    <xf numFmtId="166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6" fontId="8" fillId="0" borderId="15" xfId="1" applyNumberFormat="1" applyFont="1" applyFill="1" applyBorder="1" applyAlignment="1">
      <alignment vertical="top"/>
    </xf>
    <xf numFmtId="166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vertical="top"/>
    </xf>
    <xf numFmtId="166" fontId="6" fillId="0" borderId="15" xfId="1" quotePrefix="1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64" fontId="8" fillId="0" borderId="2" xfId="2" applyFont="1" applyFill="1" applyBorder="1" applyAlignment="1">
      <alignment vertical="top"/>
    </xf>
    <xf numFmtId="3" fontId="6" fillId="0" borderId="2" xfId="0" applyNumberFormat="1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vertical="top"/>
    </xf>
    <xf numFmtId="2" fontId="8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2" xfId="0" quotePrefix="1" applyFont="1" applyFill="1" applyBorder="1" applyAlignment="1">
      <alignment horizontal="center" vertical="top" wrapText="1"/>
    </xf>
    <xf numFmtId="164" fontId="6" fillId="0" borderId="2" xfId="2" applyFont="1" applyFill="1" applyBorder="1" applyAlignment="1">
      <alignment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6" fontId="6" fillId="0" borderId="6" xfId="1" quotePrefix="1" applyNumberFormat="1" applyFont="1" applyFill="1" applyBorder="1" applyAlignment="1">
      <alignment vertical="top"/>
    </xf>
    <xf numFmtId="164" fontId="6" fillId="0" borderId="6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vertical="top"/>
    </xf>
    <xf numFmtId="2" fontId="8" fillId="0" borderId="6" xfId="0" applyNumberFormat="1" applyFont="1" applyFill="1" applyBorder="1" applyAlignment="1">
      <alignment horizontal="center" vertical="top"/>
    </xf>
    <xf numFmtId="3" fontId="6" fillId="0" borderId="2" xfId="0" quotePrefix="1" applyNumberFormat="1" applyFont="1" applyFill="1" applyBorder="1" applyAlignment="1">
      <alignment horizontal="center" vertical="top" wrapText="1"/>
    </xf>
    <xf numFmtId="164" fontId="6" fillId="0" borderId="2" xfId="2" applyFont="1" applyFill="1" applyBorder="1" applyAlignment="1">
      <alignment horizontal="center" vertical="top"/>
    </xf>
    <xf numFmtId="167" fontId="6" fillId="0" borderId="2" xfId="2" applyNumberFormat="1" applyFont="1" applyFill="1" applyBorder="1" applyAlignment="1">
      <alignment horizontal="center" vertical="top"/>
    </xf>
    <xf numFmtId="0" fontId="4" fillId="3" borderId="15" xfId="0" applyFont="1" applyFill="1" applyBorder="1"/>
    <xf numFmtId="0" fontId="13" fillId="0" borderId="15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2" fontId="8" fillId="4" borderId="2" xfId="0" applyNumberFormat="1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horizontal="center" vertical="top" wrapText="1"/>
    </xf>
    <xf numFmtId="0" fontId="8" fillId="0" borderId="15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Alignment="1">
      <alignment horizontal="center" wrapText="1"/>
    </xf>
    <xf numFmtId="0" fontId="4" fillId="0" borderId="0" xfId="0" applyNumberFormat="1" applyFont="1" applyFill="1" applyAlignment="1">
      <alignment horizontal="center" wrapText="1"/>
    </xf>
    <xf numFmtId="0" fontId="8" fillId="4" borderId="13" xfId="0" applyNumberFormat="1" applyFont="1" applyFill="1" applyBorder="1" applyAlignment="1">
      <alignment horizontal="center" wrapText="1"/>
    </xf>
    <xf numFmtId="0" fontId="8" fillId="0" borderId="0" xfId="0" applyNumberFormat="1" applyFont="1" applyFill="1" applyAlignment="1">
      <alignment wrapText="1"/>
    </xf>
    <xf numFmtId="0" fontId="8" fillId="0" borderId="11" xfId="0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>
      <alignment horizontal="center" vertical="top"/>
    </xf>
    <xf numFmtId="0" fontId="15" fillId="0" borderId="0" xfId="0" applyFont="1" applyFill="1"/>
    <xf numFmtId="166" fontId="6" fillId="0" borderId="0" xfId="1" quotePrefix="1" applyNumberFormat="1" applyFont="1" applyFill="1" applyBorder="1" applyAlignment="1">
      <alignment vertical="top"/>
    </xf>
    <xf numFmtId="0" fontId="15" fillId="0" borderId="11" xfId="0" applyFont="1" applyFill="1" applyBorder="1"/>
    <xf numFmtId="1" fontId="6" fillId="0" borderId="2" xfId="0" applyNumberFormat="1" applyFont="1" applyFill="1" applyBorder="1" applyAlignment="1">
      <alignment horizontal="center" vertical="top" wrapText="1"/>
    </xf>
    <xf numFmtId="0" fontId="6" fillId="0" borderId="2" xfId="2" applyNumberFormat="1" applyFont="1" applyFill="1" applyBorder="1" applyAlignment="1">
      <alignment horizontal="center" vertical="top"/>
    </xf>
    <xf numFmtId="164" fontId="6" fillId="0" borderId="6" xfId="2" applyFont="1" applyFill="1" applyBorder="1" applyAlignment="1">
      <alignment vertical="top"/>
    </xf>
    <xf numFmtId="164" fontId="6" fillId="0" borderId="15" xfId="2" applyFont="1" applyFill="1" applyBorder="1" applyAlignment="1">
      <alignment vertical="top"/>
    </xf>
    <xf numFmtId="164" fontId="6" fillId="0" borderId="15" xfId="0" applyNumberFormat="1" applyFont="1" applyFill="1" applyBorder="1" applyAlignment="1">
      <alignment vertical="top"/>
    </xf>
    <xf numFmtId="2" fontId="6" fillId="0" borderId="15" xfId="0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4" fontId="6" fillId="0" borderId="2" xfId="0" applyNumberFormat="1" applyFont="1" applyFill="1" applyBorder="1" applyAlignment="1">
      <alignment horizontal="center" vertical="top" wrapText="1"/>
    </xf>
    <xf numFmtId="1" fontId="6" fillId="0" borderId="2" xfId="2" applyNumberFormat="1" applyFont="1" applyFill="1" applyBorder="1" applyAlignment="1">
      <alignment horizontal="center" vertical="top"/>
    </xf>
    <xf numFmtId="4" fontId="6" fillId="0" borderId="2" xfId="0" quotePrefix="1" applyNumberFormat="1" applyFont="1" applyFill="1" applyBorder="1" applyAlignment="1">
      <alignment horizontal="center" vertical="top" wrapText="1"/>
    </xf>
    <xf numFmtId="166" fontId="6" fillId="0" borderId="15" xfId="1" applyNumberFormat="1" applyFont="1" applyFill="1" applyBorder="1" applyAlignment="1">
      <alignment vertical="top"/>
    </xf>
    <xf numFmtId="2" fontId="6" fillId="0" borderId="2" xfId="2" applyNumberFormat="1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center" vertical="top"/>
    </xf>
    <xf numFmtId="3" fontId="6" fillId="0" borderId="2" xfId="2" applyNumberFormat="1" applyFont="1" applyFill="1" applyBorder="1" applyAlignment="1">
      <alignment horizontal="center" vertical="top"/>
    </xf>
    <xf numFmtId="3" fontId="6" fillId="0" borderId="2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90"/>
  <sheetViews>
    <sheetView tabSelected="1" showRuler="0" view="pageBreakPreview" zoomScale="70" zoomScaleNormal="40" zoomScaleSheetLayoutView="70" zoomScalePageLayoutView="55" workbookViewId="0">
      <selection activeCell="V36" sqref="V36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5" width="9.85546875" style="2" bestFit="1" customWidth="1"/>
    <col min="6" max="6" width="10.5703125" style="2" customWidth="1"/>
    <col min="7" max="7" width="20" style="2" bestFit="1" customWidth="1"/>
    <col min="8" max="8" width="9.85546875" style="2" bestFit="1" customWidth="1"/>
    <col min="9" max="9" width="9.5703125" style="2" customWidth="1"/>
    <col min="10" max="10" width="21.42578125" style="2" customWidth="1"/>
    <col min="11" max="11" width="9.85546875" style="2" bestFit="1" customWidth="1"/>
    <col min="12" max="12" width="9" style="2" customWidth="1"/>
    <col min="13" max="13" width="19.28515625" style="2" customWidth="1"/>
    <col min="14" max="14" width="8.5703125" style="2" bestFit="1" customWidth="1"/>
    <col min="15" max="15" width="8" style="2" customWidth="1"/>
    <col min="16" max="16" width="18.28515625" style="2" customWidth="1"/>
    <col min="17" max="17" width="8.5703125" style="2" bestFit="1" customWidth="1"/>
    <col min="18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10.7109375" style="2" customWidth="1"/>
    <col min="27" max="27" width="5.5703125" style="85" customWidth="1"/>
    <col min="28" max="28" width="10.85546875" style="2" customWidth="1"/>
    <col min="29" max="29" width="5.5703125" style="4" customWidth="1"/>
    <col min="30" max="30" width="18.5703125" style="2" bestFit="1" customWidth="1"/>
    <col min="31" max="31" width="9" style="2" customWidth="1"/>
    <col min="32" max="32" width="5.5703125" style="4" customWidth="1"/>
    <col min="33" max="33" width="10.5703125" style="2" customWidth="1"/>
    <col min="34" max="34" width="5.5703125" style="85" customWidth="1"/>
    <col min="35" max="35" width="16.7109375" style="2" customWidth="1"/>
    <col min="36" max="36" width="8" style="2" customWidth="1"/>
    <col min="37" max="37" width="5.5703125" style="4" customWidth="1"/>
    <col min="38" max="38" width="9.8554687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"/>
    </row>
    <row r="2" spans="1:45" ht="23.25" x14ac:dyDescent="0.35">
      <c r="A2" s="150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3"/>
    </row>
    <row r="3" spans="1:45" ht="23.25" x14ac:dyDescent="0.35">
      <c r="A3" s="150" t="s">
        <v>55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3"/>
    </row>
    <row r="4" spans="1:45" ht="23.25" x14ac:dyDescent="0.35">
      <c r="A4" s="151" t="s">
        <v>185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"/>
    </row>
    <row r="5" spans="1:45" ht="18" x14ac:dyDescent="0.2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</row>
    <row r="6" spans="1:45" ht="18" x14ac:dyDescent="0.25">
      <c r="A6" s="153" t="s">
        <v>55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</row>
    <row r="7" spans="1:45" ht="81" customHeight="1" x14ac:dyDescent="0.2">
      <c r="A7" s="154" t="s">
        <v>3</v>
      </c>
      <c r="B7" s="154" t="s">
        <v>4</v>
      </c>
      <c r="C7" s="155" t="s">
        <v>5</v>
      </c>
      <c r="D7" s="155" t="s">
        <v>6</v>
      </c>
      <c r="E7" s="141" t="s">
        <v>7</v>
      </c>
      <c r="F7" s="142"/>
      <c r="G7" s="145"/>
      <c r="H7" s="141" t="s">
        <v>69</v>
      </c>
      <c r="I7" s="142"/>
      <c r="J7" s="145"/>
      <c r="K7" s="141" t="s">
        <v>70</v>
      </c>
      <c r="L7" s="142"/>
      <c r="M7" s="142"/>
      <c r="N7" s="141" t="s">
        <v>8</v>
      </c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5"/>
      <c r="Z7" s="141" t="s">
        <v>59</v>
      </c>
      <c r="AA7" s="142"/>
      <c r="AB7" s="142"/>
      <c r="AC7" s="142"/>
      <c r="AD7" s="142"/>
      <c r="AE7" s="142"/>
      <c r="AF7" s="145"/>
      <c r="AG7" s="141" t="s">
        <v>71</v>
      </c>
      <c r="AH7" s="142"/>
      <c r="AI7" s="145"/>
      <c r="AJ7" s="141" t="s">
        <v>72</v>
      </c>
      <c r="AK7" s="142"/>
      <c r="AL7" s="142"/>
      <c r="AM7" s="133" t="s">
        <v>9</v>
      </c>
      <c r="AO7" s="4"/>
      <c r="AP7" s="4"/>
      <c r="AQ7" s="4"/>
      <c r="AR7" s="4"/>
      <c r="AS7" s="4"/>
    </row>
    <row r="8" spans="1:45" ht="18" customHeight="1" x14ac:dyDescent="0.2">
      <c r="A8" s="154"/>
      <c r="B8" s="154"/>
      <c r="C8" s="155"/>
      <c r="D8" s="155"/>
      <c r="E8" s="147"/>
      <c r="F8" s="148"/>
      <c r="G8" s="149"/>
      <c r="H8" s="147"/>
      <c r="I8" s="148"/>
      <c r="J8" s="149"/>
      <c r="K8" s="143"/>
      <c r="L8" s="144"/>
      <c r="M8" s="144"/>
      <c r="N8" s="143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6"/>
      <c r="Z8" s="143"/>
      <c r="AA8" s="144"/>
      <c r="AB8" s="144"/>
      <c r="AC8" s="144"/>
      <c r="AD8" s="144"/>
      <c r="AE8" s="144"/>
      <c r="AF8" s="146"/>
      <c r="AG8" s="143"/>
      <c r="AH8" s="144"/>
      <c r="AI8" s="146"/>
      <c r="AJ8" s="143"/>
      <c r="AK8" s="144"/>
      <c r="AL8" s="144"/>
      <c r="AM8" s="134"/>
    </row>
    <row r="9" spans="1:45" ht="15.75" customHeight="1" x14ac:dyDescent="0.2">
      <c r="A9" s="154"/>
      <c r="B9" s="154"/>
      <c r="C9" s="155"/>
      <c r="D9" s="155"/>
      <c r="E9" s="143"/>
      <c r="F9" s="144"/>
      <c r="G9" s="146"/>
      <c r="H9" s="143"/>
      <c r="I9" s="144"/>
      <c r="J9" s="146"/>
      <c r="K9" s="135">
        <v>2021</v>
      </c>
      <c r="L9" s="136"/>
      <c r="M9" s="137"/>
      <c r="N9" s="138" t="s">
        <v>10</v>
      </c>
      <c r="O9" s="139"/>
      <c r="P9" s="140"/>
      <c r="Q9" s="138" t="s">
        <v>11</v>
      </c>
      <c r="R9" s="139"/>
      <c r="S9" s="140"/>
      <c r="T9" s="138" t="s">
        <v>12</v>
      </c>
      <c r="U9" s="139"/>
      <c r="V9" s="140"/>
      <c r="W9" s="138" t="s">
        <v>13</v>
      </c>
      <c r="X9" s="139"/>
      <c r="Y9" s="140"/>
      <c r="Z9" s="138">
        <v>2021</v>
      </c>
      <c r="AA9" s="139"/>
      <c r="AB9" s="139"/>
      <c r="AC9" s="139"/>
      <c r="AD9" s="139"/>
      <c r="AE9" s="139"/>
      <c r="AF9" s="140"/>
      <c r="AG9" s="138">
        <v>2021</v>
      </c>
      <c r="AH9" s="139"/>
      <c r="AI9" s="140"/>
      <c r="AJ9" s="138">
        <v>2021</v>
      </c>
      <c r="AK9" s="139"/>
      <c r="AL9" s="140"/>
      <c r="AM9" s="5"/>
    </row>
    <row r="10" spans="1:45" s="7" customFormat="1" ht="15.75" x14ac:dyDescent="0.25">
      <c r="A10" s="116">
        <v>1</v>
      </c>
      <c r="B10" s="116">
        <v>2</v>
      </c>
      <c r="C10" s="116">
        <v>3</v>
      </c>
      <c r="D10" s="116">
        <v>4</v>
      </c>
      <c r="E10" s="123">
        <v>5</v>
      </c>
      <c r="F10" s="132"/>
      <c r="G10" s="124"/>
      <c r="H10" s="123">
        <v>6</v>
      </c>
      <c r="I10" s="132"/>
      <c r="J10" s="124"/>
      <c r="K10" s="128">
        <v>7</v>
      </c>
      <c r="L10" s="129"/>
      <c r="M10" s="130"/>
      <c r="N10" s="128">
        <v>8</v>
      </c>
      <c r="O10" s="129"/>
      <c r="P10" s="130"/>
      <c r="Q10" s="128">
        <v>9</v>
      </c>
      <c r="R10" s="129"/>
      <c r="S10" s="130"/>
      <c r="T10" s="128">
        <v>10</v>
      </c>
      <c r="U10" s="129"/>
      <c r="V10" s="130"/>
      <c r="W10" s="128">
        <v>11</v>
      </c>
      <c r="X10" s="129"/>
      <c r="Y10" s="130"/>
      <c r="Z10" s="125">
        <v>12</v>
      </c>
      <c r="AA10" s="126"/>
      <c r="AB10" s="126"/>
      <c r="AC10" s="126"/>
      <c r="AD10" s="126"/>
      <c r="AE10" s="126"/>
      <c r="AF10" s="127"/>
      <c r="AG10" s="125">
        <v>13</v>
      </c>
      <c r="AH10" s="126"/>
      <c r="AI10" s="127"/>
      <c r="AJ10" s="125">
        <v>14</v>
      </c>
      <c r="AK10" s="126"/>
      <c r="AL10" s="127"/>
      <c r="AM10" s="6">
        <v>15</v>
      </c>
    </row>
    <row r="11" spans="1:45" s="7" customFormat="1" ht="87" customHeight="1" x14ac:dyDescent="0.2">
      <c r="A11" s="117"/>
      <c r="B11" s="117"/>
      <c r="C11" s="117"/>
      <c r="D11" s="117"/>
      <c r="E11" s="119" t="s">
        <v>14</v>
      </c>
      <c r="F11" s="120"/>
      <c r="G11" s="118" t="s">
        <v>15</v>
      </c>
      <c r="H11" s="119" t="s">
        <v>14</v>
      </c>
      <c r="I11" s="120"/>
      <c r="J11" s="118" t="s">
        <v>15</v>
      </c>
      <c r="K11" s="119" t="s">
        <v>14</v>
      </c>
      <c r="L11" s="120"/>
      <c r="M11" s="116" t="s">
        <v>15</v>
      </c>
      <c r="N11" s="119" t="s">
        <v>14</v>
      </c>
      <c r="O11" s="120"/>
      <c r="P11" s="116" t="s">
        <v>15</v>
      </c>
      <c r="Q11" s="119" t="s">
        <v>14</v>
      </c>
      <c r="R11" s="120"/>
      <c r="S11" s="116" t="s">
        <v>15</v>
      </c>
      <c r="T11" s="119" t="s">
        <v>14</v>
      </c>
      <c r="U11" s="120"/>
      <c r="V11" s="116" t="s">
        <v>15</v>
      </c>
      <c r="W11" s="119" t="s">
        <v>14</v>
      </c>
      <c r="X11" s="120"/>
      <c r="Y11" s="116" t="s">
        <v>15</v>
      </c>
      <c r="Z11" s="123" t="s">
        <v>16</v>
      </c>
      <c r="AA11" s="124"/>
      <c r="AB11" s="123" t="s">
        <v>57</v>
      </c>
      <c r="AC11" s="124"/>
      <c r="AD11" s="8" t="s">
        <v>17</v>
      </c>
      <c r="AE11" s="123" t="s">
        <v>58</v>
      </c>
      <c r="AF11" s="124"/>
      <c r="AG11" s="123" t="s">
        <v>18</v>
      </c>
      <c r="AH11" s="124"/>
      <c r="AI11" s="8" t="s">
        <v>19</v>
      </c>
      <c r="AJ11" s="123" t="s">
        <v>20</v>
      </c>
      <c r="AK11" s="124"/>
      <c r="AL11" s="8" t="s">
        <v>21</v>
      </c>
      <c r="AM11" s="9"/>
    </row>
    <row r="12" spans="1:45" s="7" customFormat="1" ht="15.75" x14ac:dyDescent="0.2">
      <c r="A12" s="118"/>
      <c r="B12" s="118"/>
      <c r="C12" s="118"/>
      <c r="D12" s="118"/>
      <c r="E12" s="121"/>
      <c r="F12" s="122"/>
      <c r="G12" s="131"/>
      <c r="H12" s="121"/>
      <c r="I12" s="122"/>
      <c r="J12" s="131"/>
      <c r="K12" s="121"/>
      <c r="L12" s="122"/>
      <c r="M12" s="118"/>
      <c r="N12" s="121"/>
      <c r="O12" s="122"/>
      <c r="P12" s="118"/>
      <c r="Q12" s="121"/>
      <c r="R12" s="122"/>
      <c r="S12" s="118"/>
      <c r="T12" s="121"/>
      <c r="U12" s="122"/>
      <c r="V12" s="118"/>
      <c r="W12" s="121"/>
      <c r="X12" s="122"/>
      <c r="Y12" s="118"/>
      <c r="Z12" s="121" t="s">
        <v>14</v>
      </c>
      <c r="AA12" s="122"/>
      <c r="AB12" s="121" t="s">
        <v>14</v>
      </c>
      <c r="AC12" s="122"/>
      <c r="AD12" s="10" t="s">
        <v>15</v>
      </c>
      <c r="AE12" s="121" t="s">
        <v>15</v>
      </c>
      <c r="AF12" s="122"/>
      <c r="AG12" s="121" t="s">
        <v>14</v>
      </c>
      <c r="AH12" s="122"/>
      <c r="AI12" s="10" t="s">
        <v>15</v>
      </c>
      <c r="AJ12" s="121" t="s">
        <v>14</v>
      </c>
      <c r="AK12" s="122"/>
      <c r="AL12" s="10" t="s">
        <v>15</v>
      </c>
      <c r="AM12" s="75"/>
    </row>
    <row r="13" spans="1:45" ht="110.25" x14ac:dyDescent="0.2">
      <c r="A13" s="45">
        <v>1</v>
      </c>
      <c r="B13" s="13" t="s">
        <v>22</v>
      </c>
      <c r="C13" s="46" t="s">
        <v>73</v>
      </c>
      <c r="D13" s="15" t="s">
        <v>132</v>
      </c>
      <c r="E13" s="42">
        <v>100</v>
      </c>
      <c r="F13" s="43" t="s">
        <v>50</v>
      </c>
      <c r="G13" s="67"/>
      <c r="H13" s="42">
        <v>100</v>
      </c>
      <c r="I13" s="43" t="s">
        <v>50</v>
      </c>
      <c r="J13" s="67"/>
      <c r="K13" s="42">
        <v>100</v>
      </c>
      <c r="L13" s="43" t="s">
        <v>50</v>
      </c>
      <c r="M13" s="67">
        <f>M14+M17+M22+M29+M31</f>
        <v>3681561360</v>
      </c>
      <c r="N13" s="42">
        <v>25</v>
      </c>
      <c r="O13" s="43" t="str">
        <f>L13</f>
        <v>%</v>
      </c>
      <c r="P13" s="67">
        <f>P14+P17+P22+P29+P31</f>
        <v>604733018</v>
      </c>
      <c r="Q13" s="42">
        <v>25</v>
      </c>
      <c r="R13" s="43" t="str">
        <f>L13</f>
        <v>%</v>
      </c>
      <c r="S13" s="67">
        <f>S14+S17+S22+S29+S31</f>
        <v>874771807</v>
      </c>
      <c r="T13" s="42">
        <v>25</v>
      </c>
      <c r="U13" s="43" t="str">
        <f>L13</f>
        <v>%</v>
      </c>
      <c r="V13" s="67">
        <f>V14+V17+V22+V29+V31</f>
        <v>728853526</v>
      </c>
      <c r="W13" s="42">
        <v>25</v>
      </c>
      <c r="X13" s="43" t="str">
        <f>O13</f>
        <v>%</v>
      </c>
      <c r="Y13" s="67">
        <f>Y14+Y17+Y22+Y29+Y31</f>
        <v>720682306</v>
      </c>
      <c r="Z13" s="90">
        <f>SUM(N13,Q13,T13,W13)</f>
        <v>100</v>
      </c>
      <c r="AA13" s="80" t="str">
        <f>L13</f>
        <v>%</v>
      </c>
      <c r="AB13" s="90">
        <f>Z13/K13*100</f>
        <v>100</v>
      </c>
      <c r="AC13" s="54" t="s">
        <v>50</v>
      </c>
      <c r="AD13" s="68">
        <f>SUM(P13,S13,V13,Y13)</f>
        <v>2929040657</v>
      </c>
      <c r="AE13" s="69">
        <f>AD13/M13*100</f>
        <v>79.559740299968823</v>
      </c>
      <c r="AF13" s="45" t="s">
        <v>50</v>
      </c>
      <c r="AG13" s="90">
        <f>SUM(H13,Z13)</f>
        <v>200</v>
      </c>
      <c r="AH13" s="80" t="str">
        <f>O13</f>
        <v>%</v>
      </c>
      <c r="AI13" s="68">
        <f>SUM(J13,AD13)</f>
        <v>2929040657</v>
      </c>
      <c r="AJ13" s="53"/>
      <c r="AK13" s="54" t="s">
        <v>50</v>
      </c>
      <c r="AL13" s="69"/>
      <c r="AM13" s="20" t="s">
        <v>56</v>
      </c>
      <c r="AP13" s="21">
        <f t="shared" ref="AP13:AP21" si="0">P13+S13+V13+Y13</f>
        <v>2929040657</v>
      </c>
    </row>
    <row r="14" spans="1:45" ht="126" x14ac:dyDescent="0.2">
      <c r="A14" s="45">
        <v>2</v>
      </c>
      <c r="B14" s="46" t="s">
        <v>23</v>
      </c>
      <c r="C14" s="15" t="s">
        <v>74</v>
      </c>
      <c r="D14" s="15" t="s">
        <v>131</v>
      </c>
      <c r="E14" s="42">
        <f>SUM(E15:E16)</f>
        <v>45</v>
      </c>
      <c r="F14" s="43" t="s">
        <v>48</v>
      </c>
      <c r="G14" s="19"/>
      <c r="H14" s="42">
        <f>SUM(H15:H16)</f>
        <v>15</v>
      </c>
      <c r="I14" s="43" t="s">
        <v>48</v>
      </c>
      <c r="J14" s="19"/>
      <c r="K14" s="42">
        <f>SUM(K15:K16)</f>
        <v>15</v>
      </c>
      <c r="L14" s="43" t="s">
        <v>48</v>
      </c>
      <c r="M14" s="39">
        <f>SUM(M15:M16)</f>
        <v>7028000</v>
      </c>
      <c r="N14" s="42">
        <f>SUM(N15:N16)</f>
        <v>1</v>
      </c>
      <c r="O14" s="43" t="str">
        <f t="shared" ref="O14:O73" si="1">L14</f>
        <v>Dok</v>
      </c>
      <c r="P14" s="39">
        <f>SUM(P15:P16)</f>
        <v>1768500</v>
      </c>
      <c r="Q14" s="42">
        <f>SUM(Q15:Q16)</f>
        <v>3</v>
      </c>
      <c r="R14" s="43" t="str">
        <f t="shared" ref="R14:R73" si="2">L14</f>
        <v>Dok</v>
      </c>
      <c r="S14" s="39">
        <f>SUM(S15:S16)</f>
        <v>0</v>
      </c>
      <c r="T14" s="42">
        <f>SUM(T15:T16)</f>
        <v>3</v>
      </c>
      <c r="U14" s="43" t="str">
        <f t="shared" ref="U14:U73" si="3">L14</f>
        <v>Dok</v>
      </c>
      <c r="V14" s="39">
        <f>SUM(V15:V16)</f>
        <v>1743500</v>
      </c>
      <c r="W14" s="42">
        <f>SUM(W15:W16)</f>
        <v>8</v>
      </c>
      <c r="X14" s="43" t="str">
        <f t="shared" ref="X14:X73" si="4">O14</f>
        <v>Dok</v>
      </c>
      <c r="Y14" s="39">
        <f>SUM(Y15:Y16)</f>
        <v>3224500</v>
      </c>
      <c r="Z14" s="90">
        <f t="shared" ref="Z14:Z63" si="5">SUM(N14,Q14,T14,W14)</f>
        <v>15</v>
      </c>
      <c r="AA14" s="94" t="str">
        <f t="shared" ref="AA14:AA63" si="6">L14</f>
        <v>Dok</v>
      </c>
      <c r="AB14" s="90">
        <f t="shared" ref="AB14:AB63" si="7">Z14/K14*100</f>
        <v>100</v>
      </c>
      <c r="AC14" s="54" t="s">
        <v>50</v>
      </c>
      <c r="AD14" s="51">
        <f t="shared" ref="AD14:AD63" si="8">SUM(P14,S14,V14,Y14)</f>
        <v>6736500</v>
      </c>
      <c r="AE14" s="56">
        <f t="shared" ref="AE14:AE63" si="9">AD14/M14*100</f>
        <v>95.852305065452484</v>
      </c>
      <c r="AF14" s="54" t="s">
        <v>50</v>
      </c>
      <c r="AG14" s="90">
        <f t="shared" ref="AG14:AG63" si="10">SUM(H14,Z14)</f>
        <v>30</v>
      </c>
      <c r="AH14" s="80" t="str">
        <f t="shared" ref="AH14:AH63" si="11">O14</f>
        <v>Dok</v>
      </c>
      <c r="AI14" s="51">
        <f t="shared" ref="AI14:AI63" si="12">SUM(J14,AD14)</f>
        <v>6736500</v>
      </c>
      <c r="AJ14" s="56"/>
      <c r="AK14" s="54" t="s">
        <v>50</v>
      </c>
      <c r="AL14" s="56"/>
      <c r="AM14" s="11"/>
      <c r="AP14" s="21"/>
    </row>
    <row r="15" spans="1:45" ht="90" x14ac:dyDescent="0.2">
      <c r="A15" s="12"/>
      <c r="B15" s="13"/>
      <c r="C15" s="22" t="s">
        <v>75</v>
      </c>
      <c r="D15" s="26" t="s">
        <v>133</v>
      </c>
      <c r="E15" s="16">
        <f>5*3</f>
        <v>15</v>
      </c>
      <c r="F15" s="17" t="s">
        <v>48</v>
      </c>
      <c r="G15" s="19"/>
      <c r="H15" s="16">
        <v>5</v>
      </c>
      <c r="I15" s="17" t="s">
        <v>48</v>
      </c>
      <c r="J15" s="19"/>
      <c r="K15" s="16">
        <v>5</v>
      </c>
      <c r="L15" s="17" t="s">
        <v>48</v>
      </c>
      <c r="M15" s="19">
        <v>5928000</v>
      </c>
      <c r="N15" s="16">
        <v>0</v>
      </c>
      <c r="O15" s="17" t="str">
        <f t="shared" si="1"/>
        <v>Dok</v>
      </c>
      <c r="P15" s="19">
        <v>1481000</v>
      </c>
      <c r="Q15" s="16">
        <v>1</v>
      </c>
      <c r="R15" s="17" t="str">
        <f t="shared" si="2"/>
        <v>Dok</v>
      </c>
      <c r="S15" s="19">
        <v>0</v>
      </c>
      <c r="T15" s="16">
        <v>1</v>
      </c>
      <c r="U15" s="17" t="str">
        <f t="shared" si="3"/>
        <v>Dok</v>
      </c>
      <c r="V15" s="19">
        <v>1481000</v>
      </c>
      <c r="W15" s="16">
        <v>3</v>
      </c>
      <c r="X15" s="17" t="str">
        <f t="shared" si="4"/>
        <v>Dok</v>
      </c>
      <c r="Y15" s="19">
        <v>2962000</v>
      </c>
      <c r="Z15" s="55">
        <f t="shared" si="5"/>
        <v>5</v>
      </c>
      <c r="AA15" s="41" t="str">
        <f t="shared" si="6"/>
        <v>Dok</v>
      </c>
      <c r="AB15" s="55">
        <f t="shared" si="7"/>
        <v>100</v>
      </c>
      <c r="AC15" s="31" t="s">
        <v>50</v>
      </c>
      <c r="AD15" s="37">
        <f t="shared" si="8"/>
        <v>5924000</v>
      </c>
      <c r="AE15" s="52">
        <f t="shared" si="9"/>
        <v>99.932523616734144</v>
      </c>
      <c r="AF15" s="31" t="s">
        <v>50</v>
      </c>
      <c r="AG15" s="55">
        <f t="shared" si="10"/>
        <v>10</v>
      </c>
      <c r="AH15" s="81" t="str">
        <f t="shared" si="11"/>
        <v>Dok</v>
      </c>
      <c r="AI15" s="37">
        <f t="shared" si="12"/>
        <v>5924000</v>
      </c>
      <c r="AJ15" s="52"/>
      <c r="AK15" s="31" t="s">
        <v>50</v>
      </c>
      <c r="AL15" s="52"/>
      <c r="AM15" s="11"/>
      <c r="AP15" s="21"/>
    </row>
    <row r="16" spans="1:45" ht="85.5" customHeight="1" x14ac:dyDescent="0.2">
      <c r="A16" s="12"/>
      <c r="B16" s="13"/>
      <c r="C16" s="22" t="s">
        <v>76</v>
      </c>
      <c r="D16" s="26" t="s">
        <v>134</v>
      </c>
      <c r="E16" s="16">
        <f>10*3</f>
        <v>30</v>
      </c>
      <c r="F16" s="17" t="s">
        <v>48</v>
      </c>
      <c r="G16" s="38"/>
      <c r="H16" s="16">
        <v>10</v>
      </c>
      <c r="I16" s="17" t="s">
        <v>48</v>
      </c>
      <c r="J16" s="38"/>
      <c r="K16" s="16">
        <v>10</v>
      </c>
      <c r="L16" s="17" t="s">
        <v>48</v>
      </c>
      <c r="M16" s="25">
        <v>1100000</v>
      </c>
      <c r="N16" s="16">
        <v>1</v>
      </c>
      <c r="O16" s="17" t="str">
        <f t="shared" si="1"/>
        <v>Dok</v>
      </c>
      <c r="P16" s="25">
        <v>287500</v>
      </c>
      <c r="Q16" s="16">
        <v>2</v>
      </c>
      <c r="R16" s="17" t="str">
        <f t="shared" si="2"/>
        <v>Dok</v>
      </c>
      <c r="S16" s="25">
        <v>0</v>
      </c>
      <c r="T16" s="16">
        <v>2</v>
      </c>
      <c r="U16" s="17" t="str">
        <f t="shared" si="3"/>
        <v>Dok</v>
      </c>
      <c r="V16" s="25">
        <v>262500</v>
      </c>
      <c r="W16" s="16">
        <v>5</v>
      </c>
      <c r="X16" s="17" t="str">
        <f t="shared" si="4"/>
        <v>Dok</v>
      </c>
      <c r="Y16" s="25">
        <v>262500</v>
      </c>
      <c r="Z16" s="55">
        <f t="shared" si="5"/>
        <v>10</v>
      </c>
      <c r="AA16" s="40" t="str">
        <f t="shared" si="6"/>
        <v>Dok</v>
      </c>
      <c r="AB16" s="55">
        <f t="shared" si="7"/>
        <v>100</v>
      </c>
      <c r="AC16" s="31" t="s">
        <v>50</v>
      </c>
      <c r="AD16" s="37">
        <f t="shared" si="8"/>
        <v>812500</v>
      </c>
      <c r="AE16" s="52">
        <f t="shared" si="9"/>
        <v>73.86363636363636</v>
      </c>
      <c r="AF16" s="31" t="s">
        <v>50</v>
      </c>
      <c r="AG16" s="55">
        <f t="shared" si="10"/>
        <v>20</v>
      </c>
      <c r="AH16" s="83" t="str">
        <f t="shared" si="11"/>
        <v>Dok</v>
      </c>
      <c r="AI16" s="37">
        <f t="shared" si="12"/>
        <v>812500</v>
      </c>
      <c r="AJ16" s="52"/>
      <c r="AK16" s="31" t="s">
        <v>50</v>
      </c>
      <c r="AL16" s="56"/>
      <c r="AM16" s="11"/>
      <c r="AP16" s="21"/>
    </row>
    <row r="17" spans="1:42" s="91" customFormat="1" ht="94.5" x14ac:dyDescent="0.25">
      <c r="A17" s="12"/>
      <c r="B17" s="13"/>
      <c r="C17" s="14" t="s">
        <v>77</v>
      </c>
      <c r="D17" s="15" t="s">
        <v>122</v>
      </c>
      <c r="E17" s="79">
        <f>SUM(E19:E21)</f>
        <v>42</v>
      </c>
      <c r="F17" s="50" t="s">
        <v>48</v>
      </c>
      <c r="G17" s="38"/>
      <c r="H17" s="79">
        <f>SUM(H19:H21)</f>
        <v>14</v>
      </c>
      <c r="I17" s="50" t="s">
        <v>48</v>
      </c>
      <c r="J17" s="38"/>
      <c r="K17" s="79">
        <f>SUM(K19:K21)</f>
        <v>14</v>
      </c>
      <c r="L17" s="50" t="s">
        <v>48</v>
      </c>
      <c r="M17" s="39">
        <f>SUM(M18:M21)</f>
        <v>2691511660</v>
      </c>
      <c r="N17" s="79">
        <f>SUM(N19:N21)</f>
        <v>3</v>
      </c>
      <c r="O17" s="50" t="str">
        <f t="shared" si="1"/>
        <v>Dok</v>
      </c>
      <c r="P17" s="39">
        <f>SUM(P18:P21)</f>
        <v>450445025</v>
      </c>
      <c r="Q17" s="79">
        <f>SUM(Q19:Q21)</f>
        <v>4</v>
      </c>
      <c r="R17" s="50" t="str">
        <f t="shared" si="2"/>
        <v>Dok</v>
      </c>
      <c r="S17" s="39">
        <f>SUM(S18:S21)</f>
        <v>794491195</v>
      </c>
      <c r="T17" s="79">
        <f>SUM(T19:T21)</f>
        <v>3</v>
      </c>
      <c r="U17" s="50" t="str">
        <f t="shared" si="3"/>
        <v>Dok</v>
      </c>
      <c r="V17" s="39">
        <f>SUM(V18:V21)</f>
        <v>504516266</v>
      </c>
      <c r="W17" s="79">
        <f>SUM(W19:W21)</f>
        <v>4</v>
      </c>
      <c r="X17" s="50" t="str">
        <f t="shared" si="4"/>
        <v>Dok</v>
      </c>
      <c r="Y17" s="39">
        <f>SUM(Y18:Y21)</f>
        <v>440159293</v>
      </c>
      <c r="Z17" s="90">
        <f t="shared" si="5"/>
        <v>14</v>
      </c>
      <c r="AA17" s="82" t="str">
        <f t="shared" si="6"/>
        <v>Dok</v>
      </c>
      <c r="AB17" s="56">
        <f t="shared" si="7"/>
        <v>100</v>
      </c>
      <c r="AC17" s="54" t="s">
        <v>50</v>
      </c>
      <c r="AD17" s="51">
        <f t="shared" si="8"/>
        <v>2189611779</v>
      </c>
      <c r="AE17" s="56">
        <f t="shared" si="9"/>
        <v>81.35249092697596</v>
      </c>
      <c r="AF17" s="54" t="s">
        <v>50</v>
      </c>
      <c r="AG17" s="90">
        <f t="shared" si="10"/>
        <v>28</v>
      </c>
      <c r="AH17" s="82" t="str">
        <f t="shared" si="11"/>
        <v>Dok</v>
      </c>
      <c r="AI17" s="51">
        <f t="shared" si="12"/>
        <v>2189611779</v>
      </c>
      <c r="AJ17" s="56"/>
      <c r="AK17" s="54" t="s">
        <v>50</v>
      </c>
      <c r="AL17" s="56"/>
      <c r="AM17" s="20"/>
      <c r="AP17" s="92">
        <f t="shared" si="0"/>
        <v>2189611779</v>
      </c>
    </row>
    <row r="18" spans="1:42" ht="93" customHeight="1" x14ac:dyDescent="0.2">
      <c r="A18" s="12"/>
      <c r="B18" s="13"/>
      <c r="C18" s="22" t="s">
        <v>78</v>
      </c>
      <c r="D18" s="22" t="s">
        <v>52</v>
      </c>
      <c r="E18" s="40">
        <f>12*3</f>
        <v>36</v>
      </c>
      <c r="F18" s="23" t="s">
        <v>49</v>
      </c>
      <c r="G18" s="19"/>
      <c r="H18" s="40">
        <v>12</v>
      </c>
      <c r="I18" s="23" t="s">
        <v>49</v>
      </c>
      <c r="J18" s="19"/>
      <c r="K18" s="40">
        <v>12</v>
      </c>
      <c r="L18" s="23" t="s">
        <v>49</v>
      </c>
      <c r="M18" s="19">
        <v>2687831660</v>
      </c>
      <c r="N18" s="40">
        <v>3</v>
      </c>
      <c r="O18" s="23" t="str">
        <f t="shared" si="1"/>
        <v>Bln</v>
      </c>
      <c r="P18" s="19">
        <v>448692525</v>
      </c>
      <c r="Q18" s="40">
        <v>3</v>
      </c>
      <c r="R18" s="23" t="str">
        <f t="shared" si="2"/>
        <v>Bln</v>
      </c>
      <c r="S18" s="19">
        <v>794491195</v>
      </c>
      <c r="T18" s="40">
        <v>3</v>
      </c>
      <c r="U18" s="23" t="str">
        <f t="shared" si="3"/>
        <v>Bln</v>
      </c>
      <c r="V18" s="19">
        <v>503406266</v>
      </c>
      <c r="W18" s="40">
        <v>3</v>
      </c>
      <c r="X18" s="23" t="str">
        <f t="shared" si="4"/>
        <v>Bln</v>
      </c>
      <c r="Y18" s="19">
        <v>439341793</v>
      </c>
      <c r="Z18" s="55">
        <f t="shared" si="5"/>
        <v>12</v>
      </c>
      <c r="AA18" s="81" t="str">
        <f t="shared" si="6"/>
        <v>Bln</v>
      </c>
      <c r="AB18" s="55">
        <f t="shared" si="7"/>
        <v>100</v>
      </c>
      <c r="AC18" s="31" t="s">
        <v>50</v>
      </c>
      <c r="AD18" s="37">
        <f t="shared" si="8"/>
        <v>2185931779</v>
      </c>
      <c r="AE18" s="52">
        <f t="shared" si="9"/>
        <v>81.326960000166082</v>
      </c>
      <c r="AF18" s="31" t="s">
        <v>50</v>
      </c>
      <c r="AG18" s="55">
        <f t="shared" si="10"/>
        <v>24</v>
      </c>
      <c r="AH18" s="81" t="str">
        <f t="shared" si="11"/>
        <v>Bln</v>
      </c>
      <c r="AI18" s="37">
        <f t="shared" si="12"/>
        <v>2185931779</v>
      </c>
      <c r="AJ18" s="52"/>
      <c r="AK18" s="31" t="s">
        <v>50</v>
      </c>
      <c r="AL18" s="52"/>
      <c r="AM18" s="11"/>
      <c r="AP18" s="21">
        <f t="shared" si="0"/>
        <v>2185931779</v>
      </c>
    </row>
    <row r="19" spans="1:42" ht="116.25" customHeight="1" x14ac:dyDescent="0.2">
      <c r="A19" s="12"/>
      <c r="B19" s="13"/>
      <c r="C19" s="22" t="s">
        <v>79</v>
      </c>
      <c r="D19" s="26" t="s">
        <v>51</v>
      </c>
      <c r="E19" s="40">
        <f>1*3</f>
        <v>3</v>
      </c>
      <c r="F19" s="23" t="s">
        <v>80</v>
      </c>
      <c r="G19" s="19"/>
      <c r="H19" s="40">
        <v>1</v>
      </c>
      <c r="I19" s="23" t="s">
        <v>80</v>
      </c>
      <c r="J19" s="19"/>
      <c r="K19" s="40">
        <v>1</v>
      </c>
      <c r="L19" s="23" t="s">
        <v>80</v>
      </c>
      <c r="M19" s="19">
        <v>1480000</v>
      </c>
      <c r="N19" s="40">
        <v>0</v>
      </c>
      <c r="O19" s="23" t="str">
        <f t="shared" si="1"/>
        <v>Lap</v>
      </c>
      <c r="P19" s="19">
        <v>1480000</v>
      </c>
      <c r="Q19" s="40">
        <v>0</v>
      </c>
      <c r="R19" s="23" t="str">
        <f t="shared" si="2"/>
        <v>Lap</v>
      </c>
      <c r="S19" s="19">
        <v>0</v>
      </c>
      <c r="T19" s="40">
        <v>0</v>
      </c>
      <c r="U19" s="23" t="str">
        <f t="shared" si="3"/>
        <v>Lap</v>
      </c>
      <c r="V19" s="19">
        <v>0</v>
      </c>
      <c r="W19" s="40">
        <v>1</v>
      </c>
      <c r="X19" s="23" t="str">
        <f t="shared" si="4"/>
        <v>Lap</v>
      </c>
      <c r="Y19" s="19">
        <v>0</v>
      </c>
      <c r="Z19" s="55">
        <f t="shared" si="5"/>
        <v>1</v>
      </c>
      <c r="AA19" s="81" t="str">
        <f t="shared" si="6"/>
        <v>Lap</v>
      </c>
      <c r="AB19" s="55">
        <f t="shared" si="7"/>
        <v>100</v>
      </c>
      <c r="AC19" s="31" t="s">
        <v>50</v>
      </c>
      <c r="AD19" s="37">
        <f t="shared" si="8"/>
        <v>1480000</v>
      </c>
      <c r="AE19" s="52">
        <f t="shared" si="9"/>
        <v>100</v>
      </c>
      <c r="AF19" s="31" t="s">
        <v>50</v>
      </c>
      <c r="AG19" s="55">
        <f t="shared" si="10"/>
        <v>2</v>
      </c>
      <c r="AH19" s="81" t="str">
        <f t="shared" si="11"/>
        <v>Lap</v>
      </c>
      <c r="AI19" s="37">
        <f t="shared" si="12"/>
        <v>1480000</v>
      </c>
      <c r="AJ19" s="52"/>
      <c r="AK19" s="31" t="s">
        <v>50</v>
      </c>
      <c r="AL19" s="52"/>
      <c r="AM19" s="11"/>
      <c r="AP19" s="21">
        <f t="shared" si="0"/>
        <v>1480000</v>
      </c>
    </row>
    <row r="20" spans="1:42" ht="120" x14ac:dyDescent="0.2">
      <c r="A20" s="12"/>
      <c r="B20" s="13"/>
      <c r="C20" s="22" t="s">
        <v>81</v>
      </c>
      <c r="D20" s="26" t="s">
        <v>51</v>
      </c>
      <c r="E20" s="40">
        <f>12*3</f>
        <v>36</v>
      </c>
      <c r="F20" s="23" t="s">
        <v>80</v>
      </c>
      <c r="G20" s="19"/>
      <c r="H20" s="40">
        <v>12</v>
      </c>
      <c r="I20" s="23" t="s">
        <v>80</v>
      </c>
      <c r="J20" s="19"/>
      <c r="K20" s="40">
        <v>12</v>
      </c>
      <c r="L20" s="23" t="s">
        <v>80</v>
      </c>
      <c r="M20" s="19">
        <v>1100000</v>
      </c>
      <c r="N20" s="40">
        <v>3</v>
      </c>
      <c r="O20" s="23" t="str">
        <f t="shared" si="1"/>
        <v>Lap</v>
      </c>
      <c r="P20" s="19">
        <v>272500</v>
      </c>
      <c r="Q20" s="40">
        <v>3</v>
      </c>
      <c r="R20" s="23" t="str">
        <f t="shared" si="2"/>
        <v>Lap</v>
      </c>
      <c r="S20" s="19">
        <v>0</v>
      </c>
      <c r="T20" s="40">
        <v>3</v>
      </c>
      <c r="U20" s="23" t="str">
        <f t="shared" si="3"/>
        <v>Lap</v>
      </c>
      <c r="V20" s="19">
        <v>272500</v>
      </c>
      <c r="W20" s="40">
        <v>3</v>
      </c>
      <c r="X20" s="23" t="str">
        <f t="shared" si="4"/>
        <v>Lap</v>
      </c>
      <c r="Y20" s="19">
        <v>555000</v>
      </c>
      <c r="Z20" s="55">
        <f t="shared" si="5"/>
        <v>12</v>
      </c>
      <c r="AA20" s="81" t="str">
        <f t="shared" si="6"/>
        <v>Lap</v>
      </c>
      <c r="AB20" s="55">
        <f t="shared" si="7"/>
        <v>100</v>
      </c>
      <c r="AC20" s="31" t="s">
        <v>50</v>
      </c>
      <c r="AD20" s="37">
        <f t="shared" si="8"/>
        <v>1100000</v>
      </c>
      <c r="AE20" s="52">
        <f t="shared" si="9"/>
        <v>100</v>
      </c>
      <c r="AF20" s="31" t="s">
        <v>50</v>
      </c>
      <c r="AG20" s="55">
        <f t="shared" si="10"/>
        <v>24</v>
      </c>
      <c r="AH20" s="81" t="str">
        <f t="shared" si="11"/>
        <v>Lap</v>
      </c>
      <c r="AI20" s="37">
        <f t="shared" si="12"/>
        <v>1100000</v>
      </c>
      <c r="AJ20" s="52"/>
      <c r="AK20" s="31" t="s">
        <v>50</v>
      </c>
      <c r="AL20" s="52"/>
      <c r="AM20" s="11"/>
      <c r="AP20" s="21">
        <f t="shared" si="0"/>
        <v>1100000</v>
      </c>
    </row>
    <row r="21" spans="1:42" ht="111.75" customHeight="1" x14ac:dyDescent="0.2">
      <c r="A21" s="12"/>
      <c r="B21" s="13"/>
      <c r="C21" s="22" t="s">
        <v>82</v>
      </c>
      <c r="D21" s="26" t="s">
        <v>51</v>
      </c>
      <c r="E21" s="40">
        <f>1*3</f>
        <v>3</v>
      </c>
      <c r="F21" s="23" t="s">
        <v>80</v>
      </c>
      <c r="G21" s="19"/>
      <c r="H21" s="40">
        <v>1</v>
      </c>
      <c r="I21" s="23" t="s">
        <v>80</v>
      </c>
      <c r="J21" s="19"/>
      <c r="K21" s="40">
        <v>1</v>
      </c>
      <c r="L21" s="23" t="s">
        <v>80</v>
      </c>
      <c r="M21" s="19">
        <v>1100000</v>
      </c>
      <c r="N21" s="40">
        <v>0</v>
      </c>
      <c r="O21" s="23" t="str">
        <f t="shared" si="1"/>
        <v>Lap</v>
      </c>
      <c r="P21" s="19">
        <v>0</v>
      </c>
      <c r="Q21" s="40">
        <v>1</v>
      </c>
      <c r="R21" s="23" t="str">
        <f t="shared" si="2"/>
        <v>Lap</v>
      </c>
      <c r="S21" s="19">
        <v>0</v>
      </c>
      <c r="T21" s="40">
        <v>0</v>
      </c>
      <c r="U21" s="23" t="str">
        <f t="shared" si="3"/>
        <v>Lap</v>
      </c>
      <c r="V21" s="19">
        <v>837500</v>
      </c>
      <c r="W21" s="40">
        <v>0</v>
      </c>
      <c r="X21" s="23" t="str">
        <f t="shared" si="4"/>
        <v>Lap</v>
      </c>
      <c r="Y21" s="19">
        <v>262500</v>
      </c>
      <c r="Z21" s="55">
        <f t="shared" si="5"/>
        <v>1</v>
      </c>
      <c r="AA21" s="81" t="str">
        <f t="shared" si="6"/>
        <v>Lap</v>
      </c>
      <c r="AB21" s="55">
        <f t="shared" si="7"/>
        <v>100</v>
      </c>
      <c r="AC21" s="31" t="s">
        <v>50</v>
      </c>
      <c r="AD21" s="37">
        <f t="shared" si="8"/>
        <v>1100000</v>
      </c>
      <c r="AE21" s="52">
        <f t="shared" si="9"/>
        <v>100</v>
      </c>
      <c r="AF21" s="31" t="s">
        <v>50</v>
      </c>
      <c r="AG21" s="55">
        <f t="shared" si="10"/>
        <v>2</v>
      </c>
      <c r="AH21" s="81" t="str">
        <f t="shared" si="11"/>
        <v>Lap</v>
      </c>
      <c r="AI21" s="37">
        <f t="shared" si="12"/>
        <v>1100000</v>
      </c>
      <c r="AJ21" s="52"/>
      <c r="AK21" s="31" t="s">
        <v>50</v>
      </c>
      <c r="AL21" s="52"/>
      <c r="AM21" s="11"/>
      <c r="AP21" s="21">
        <f t="shared" si="0"/>
        <v>1100000</v>
      </c>
    </row>
    <row r="22" spans="1:42" s="91" customFormat="1" ht="94.5" x14ac:dyDescent="0.25">
      <c r="A22" s="12"/>
      <c r="B22" s="13"/>
      <c r="C22" s="13" t="s">
        <v>83</v>
      </c>
      <c r="D22" s="15" t="s">
        <v>123</v>
      </c>
      <c r="E22" s="79">
        <f>1*3</f>
        <v>3</v>
      </c>
      <c r="F22" s="50" t="s">
        <v>48</v>
      </c>
      <c r="G22" s="38"/>
      <c r="H22" s="79">
        <v>1</v>
      </c>
      <c r="I22" s="50" t="s">
        <v>48</v>
      </c>
      <c r="J22" s="38"/>
      <c r="K22" s="79">
        <v>1</v>
      </c>
      <c r="L22" s="50" t="s">
        <v>48</v>
      </c>
      <c r="M22" s="39">
        <f>SUM(M23:M28)</f>
        <v>832939700</v>
      </c>
      <c r="N22" s="79">
        <v>0</v>
      </c>
      <c r="O22" s="50" t="str">
        <f t="shared" si="1"/>
        <v>Dok</v>
      </c>
      <c r="P22" s="39">
        <f>SUM(P23:P28)</f>
        <v>138519493</v>
      </c>
      <c r="Q22" s="79">
        <v>0</v>
      </c>
      <c r="R22" s="50" t="str">
        <f t="shared" si="2"/>
        <v>Dok</v>
      </c>
      <c r="S22" s="39">
        <f>SUM(S23:S28)</f>
        <v>55186312</v>
      </c>
      <c r="T22" s="79">
        <v>0</v>
      </c>
      <c r="U22" s="50" t="str">
        <f t="shared" si="3"/>
        <v>Dok</v>
      </c>
      <c r="V22" s="39">
        <f>SUM(V23:V28)</f>
        <v>203505940</v>
      </c>
      <c r="W22" s="79">
        <v>0</v>
      </c>
      <c r="X22" s="50" t="str">
        <f t="shared" si="4"/>
        <v>Dok</v>
      </c>
      <c r="Y22" s="39">
        <f>SUM(Y23:Y28)</f>
        <v>235550869</v>
      </c>
      <c r="Z22" s="90">
        <f t="shared" si="5"/>
        <v>0</v>
      </c>
      <c r="AA22" s="80" t="str">
        <f t="shared" si="6"/>
        <v>Dok</v>
      </c>
      <c r="AB22" s="90">
        <f t="shared" si="7"/>
        <v>0</v>
      </c>
      <c r="AC22" s="54" t="s">
        <v>50</v>
      </c>
      <c r="AD22" s="51">
        <f t="shared" si="8"/>
        <v>632762614</v>
      </c>
      <c r="AE22" s="56">
        <f>AD22/M22*100</f>
        <v>75.967397639949212</v>
      </c>
      <c r="AF22" s="54" t="s">
        <v>50</v>
      </c>
      <c r="AG22" s="90">
        <f t="shared" si="10"/>
        <v>1</v>
      </c>
      <c r="AH22" s="80" t="str">
        <f t="shared" si="11"/>
        <v>Dok</v>
      </c>
      <c r="AI22" s="51">
        <f t="shared" si="12"/>
        <v>632762614</v>
      </c>
      <c r="AJ22" s="56"/>
      <c r="AK22" s="54" t="s">
        <v>50</v>
      </c>
      <c r="AL22" s="56"/>
      <c r="AM22" s="93"/>
      <c r="AP22" s="92"/>
    </row>
    <row r="23" spans="1:42" ht="114.75" customHeight="1" x14ac:dyDescent="0.2">
      <c r="A23" s="12"/>
      <c r="B23" s="13"/>
      <c r="C23" s="26" t="s">
        <v>84</v>
      </c>
      <c r="D23" s="26" t="s">
        <v>85</v>
      </c>
      <c r="E23" s="40">
        <f>12*3</f>
        <v>36</v>
      </c>
      <c r="F23" s="23" t="s">
        <v>49</v>
      </c>
      <c r="G23" s="39"/>
      <c r="H23" s="40">
        <v>12</v>
      </c>
      <c r="I23" s="23" t="s">
        <v>49</v>
      </c>
      <c r="J23" s="39"/>
      <c r="K23" s="40">
        <v>12</v>
      </c>
      <c r="L23" s="23" t="s">
        <v>49</v>
      </c>
      <c r="M23" s="19">
        <v>522036000</v>
      </c>
      <c r="N23" s="40">
        <v>3</v>
      </c>
      <c r="O23" s="23" t="str">
        <f t="shared" si="1"/>
        <v>Bln</v>
      </c>
      <c r="P23" s="19">
        <v>93317289</v>
      </c>
      <c r="Q23" s="40">
        <v>3</v>
      </c>
      <c r="R23" s="23" t="str">
        <f t="shared" si="2"/>
        <v>Bln</v>
      </c>
      <c r="S23" s="19">
        <v>34287703</v>
      </c>
      <c r="T23" s="40">
        <v>3</v>
      </c>
      <c r="U23" s="23" t="str">
        <f t="shared" si="3"/>
        <v>Bln</v>
      </c>
      <c r="V23" s="19">
        <v>130716462</v>
      </c>
      <c r="W23" s="40">
        <v>3</v>
      </c>
      <c r="X23" s="23" t="str">
        <f t="shared" si="4"/>
        <v>Bln</v>
      </c>
      <c r="Y23" s="19">
        <v>129764786</v>
      </c>
      <c r="Z23" s="55">
        <f t="shared" si="5"/>
        <v>12</v>
      </c>
      <c r="AA23" s="83" t="str">
        <f t="shared" si="6"/>
        <v>Bln</v>
      </c>
      <c r="AB23" s="55">
        <f t="shared" si="7"/>
        <v>100</v>
      </c>
      <c r="AC23" s="31" t="s">
        <v>50</v>
      </c>
      <c r="AD23" s="37">
        <f t="shared" si="8"/>
        <v>388086240</v>
      </c>
      <c r="AE23" s="52">
        <f t="shared" si="9"/>
        <v>74.340896030158845</v>
      </c>
      <c r="AF23" s="31" t="s">
        <v>50</v>
      </c>
      <c r="AG23" s="55">
        <f t="shared" si="10"/>
        <v>24</v>
      </c>
      <c r="AH23" s="83" t="str">
        <f t="shared" si="11"/>
        <v>Bln</v>
      </c>
      <c r="AI23" s="37">
        <f t="shared" si="12"/>
        <v>388086240</v>
      </c>
      <c r="AJ23" s="52"/>
      <c r="AK23" s="31" t="s">
        <v>50</v>
      </c>
      <c r="AL23" s="52"/>
      <c r="AM23" s="11"/>
      <c r="AP23" s="21"/>
    </row>
    <row r="24" spans="1:42" ht="65.25" customHeight="1" x14ac:dyDescent="0.2">
      <c r="A24" s="12"/>
      <c r="B24" s="13"/>
      <c r="C24" s="26" t="s">
        <v>86</v>
      </c>
      <c r="D24" s="26" t="s">
        <v>85</v>
      </c>
      <c r="E24" s="40">
        <f t="shared" ref="E24:E34" si="13">12*3</f>
        <v>36</v>
      </c>
      <c r="F24" s="23" t="s">
        <v>49</v>
      </c>
      <c r="G24" s="19"/>
      <c r="H24" s="40">
        <v>12</v>
      </c>
      <c r="I24" s="23" t="s">
        <v>49</v>
      </c>
      <c r="J24" s="19"/>
      <c r="K24" s="40">
        <v>12</v>
      </c>
      <c r="L24" s="23" t="s">
        <v>49</v>
      </c>
      <c r="M24" s="19">
        <v>52896200</v>
      </c>
      <c r="N24" s="40">
        <v>3</v>
      </c>
      <c r="O24" s="23" t="str">
        <f t="shared" si="1"/>
        <v>Bln</v>
      </c>
      <c r="P24" s="19">
        <v>29472100</v>
      </c>
      <c r="Q24" s="40">
        <v>3</v>
      </c>
      <c r="R24" s="23" t="str">
        <f t="shared" si="2"/>
        <v>Bln</v>
      </c>
      <c r="S24" s="19">
        <v>6771250</v>
      </c>
      <c r="T24" s="40">
        <v>3</v>
      </c>
      <c r="U24" s="23" t="str">
        <f t="shared" si="3"/>
        <v>Bln</v>
      </c>
      <c r="V24" s="19">
        <v>13680850</v>
      </c>
      <c r="W24" s="40">
        <v>3</v>
      </c>
      <c r="X24" s="23" t="str">
        <f t="shared" si="4"/>
        <v>Bln</v>
      </c>
      <c r="Y24" s="19">
        <v>0</v>
      </c>
      <c r="Z24" s="55">
        <f t="shared" si="5"/>
        <v>12</v>
      </c>
      <c r="AA24" s="83" t="str">
        <f t="shared" si="6"/>
        <v>Bln</v>
      </c>
      <c r="AB24" s="55">
        <f t="shared" si="7"/>
        <v>100</v>
      </c>
      <c r="AC24" s="31" t="s">
        <v>50</v>
      </c>
      <c r="AD24" s="37">
        <f t="shared" si="8"/>
        <v>49924200</v>
      </c>
      <c r="AE24" s="52">
        <f t="shared" si="9"/>
        <v>94.381448950964341</v>
      </c>
      <c r="AF24" s="31" t="s">
        <v>50</v>
      </c>
      <c r="AG24" s="55">
        <f t="shared" si="10"/>
        <v>24</v>
      </c>
      <c r="AH24" s="83" t="str">
        <f t="shared" si="11"/>
        <v>Bln</v>
      </c>
      <c r="AI24" s="37">
        <f t="shared" si="12"/>
        <v>49924200</v>
      </c>
      <c r="AJ24" s="52"/>
      <c r="AK24" s="31" t="s">
        <v>50</v>
      </c>
      <c r="AL24" s="52"/>
      <c r="AM24" s="11"/>
      <c r="AP24" s="21"/>
    </row>
    <row r="25" spans="1:42" ht="64.5" customHeight="1" x14ac:dyDescent="0.2">
      <c r="A25" s="12"/>
      <c r="B25" s="13"/>
      <c r="C25" s="26" t="s">
        <v>87</v>
      </c>
      <c r="D25" s="22" t="s">
        <v>52</v>
      </c>
      <c r="E25" s="40">
        <f t="shared" si="13"/>
        <v>36</v>
      </c>
      <c r="F25" s="23" t="s">
        <v>49</v>
      </c>
      <c r="G25" s="19"/>
      <c r="H25" s="40">
        <v>12</v>
      </c>
      <c r="I25" s="23" t="s">
        <v>49</v>
      </c>
      <c r="J25" s="19"/>
      <c r="K25" s="40">
        <v>12</v>
      </c>
      <c r="L25" s="23" t="s">
        <v>49</v>
      </c>
      <c r="M25" s="19">
        <v>37300000</v>
      </c>
      <c r="N25" s="40">
        <v>3</v>
      </c>
      <c r="O25" s="23" t="str">
        <f t="shared" si="1"/>
        <v>Bln</v>
      </c>
      <c r="P25" s="19">
        <v>2000000</v>
      </c>
      <c r="Q25" s="40">
        <v>3</v>
      </c>
      <c r="R25" s="23" t="str">
        <f t="shared" si="2"/>
        <v>Bln</v>
      </c>
      <c r="S25" s="19">
        <v>600000</v>
      </c>
      <c r="T25" s="40">
        <v>3</v>
      </c>
      <c r="U25" s="23" t="str">
        <f t="shared" si="3"/>
        <v>Bln</v>
      </c>
      <c r="V25" s="19">
        <v>11300000</v>
      </c>
      <c r="W25" s="40">
        <v>3</v>
      </c>
      <c r="X25" s="23" t="str">
        <f t="shared" si="4"/>
        <v>Bln</v>
      </c>
      <c r="Y25" s="19">
        <v>7600000</v>
      </c>
      <c r="Z25" s="55">
        <f t="shared" si="5"/>
        <v>12</v>
      </c>
      <c r="AA25" s="81" t="str">
        <f t="shared" si="6"/>
        <v>Bln</v>
      </c>
      <c r="AB25" s="55">
        <f t="shared" si="7"/>
        <v>100</v>
      </c>
      <c r="AC25" s="31" t="s">
        <v>50</v>
      </c>
      <c r="AD25" s="37">
        <f t="shared" si="8"/>
        <v>21500000</v>
      </c>
      <c r="AE25" s="52">
        <f t="shared" si="9"/>
        <v>57.640750670241289</v>
      </c>
      <c r="AF25" s="31" t="s">
        <v>50</v>
      </c>
      <c r="AG25" s="55">
        <f t="shared" si="10"/>
        <v>24</v>
      </c>
      <c r="AH25" s="81" t="str">
        <f t="shared" si="11"/>
        <v>Bln</v>
      </c>
      <c r="AI25" s="37">
        <f t="shared" si="12"/>
        <v>21500000</v>
      </c>
      <c r="AJ25" s="52"/>
      <c r="AK25" s="31" t="s">
        <v>50</v>
      </c>
      <c r="AL25" s="52"/>
      <c r="AM25" s="11"/>
      <c r="AP25" s="21"/>
    </row>
    <row r="26" spans="1:42" ht="83.25" customHeight="1" x14ac:dyDescent="0.2">
      <c r="A26" s="12"/>
      <c r="B26" s="13"/>
      <c r="C26" s="26" t="s">
        <v>88</v>
      </c>
      <c r="D26" s="22" t="s">
        <v>52</v>
      </c>
      <c r="E26" s="40">
        <f t="shared" si="13"/>
        <v>36</v>
      </c>
      <c r="F26" s="23" t="s">
        <v>49</v>
      </c>
      <c r="G26" s="19"/>
      <c r="H26" s="40">
        <v>12</v>
      </c>
      <c r="I26" s="23" t="s">
        <v>49</v>
      </c>
      <c r="J26" s="19"/>
      <c r="K26" s="40">
        <v>12</v>
      </c>
      <c r="L26" s="23" t="s">
        <v>49</v>
      </c>
      <c r="M26" s="19">
        <v>23607500</v>
      </c>
      <c r="N26" s="40">
        <v>3</v>
      </c>
      <c r="O26" s="23" t="str">
        <f t="shared" si="1"/>
        <v>Bln</v>
      </c>
      <c r="P26" s="19">
        <v>4020000</v>
      </c>
      <c r="Q26" s="40">
        <v>3</v>
      </c>
      <c r="R26" s="23" t="str">
        <f t="shared" si="2"/>
        <v>Bln</v>
      </c>
      <c r="S26" s="19">
        <v>1750000</v>
      </c>
      <c r="T26" s="40">
        <v>3</v>
      </c>
      <c r="U26" s="23" t="str">
        <f t="shared" si="3"/>
        <v>Bln</v>
      </c>
      <c r="V26" s="19">
        <v>2137500</v>
      </c>
      <c r="W26" s="40">
        <v>3</v>
      </c>
      <c r="X26" s="23" t="str">
        <f t="shared" si="4"/>
        <v>Bln</v>
      </c>
      <c r="Y26" s="19">
        <v>14987500</v>
      </c>
      <c r="Z26" s="55">
        <f t="shared" si="5"/>
        <v>12</v>
      </c>
      <c r="AA26" s="81" t="str">
        <f t="shared" si="6"/>
        <v>Bln</v>
      </c>
      <c r="AB26" s="55">
        <f t="shared" si="7"/>
        <v>100</v>
      </c>
      <c r="AC26" s="31" t="s">
        <v>50</v>
      </c>
      <c r="AD26" s="37">
        <f t="shared" si="8"/>
        <v>22895000</v>
      </c>
      <c r="AE26" s="52">
        <f t="shared" si="9"/>
        <v>96.981891348088539</v>
      </c>
      <c r="AF26" s="31" t="s">
        <v>50</v>
      </c>
      <c r="AG26" s="55">
        <f t="shared" si="10"/>
        <v>24</v>
      </c>
      <c r="AH26" s="81" t="str">
        <f t="shared" si="11"/>
        <v>Bln</v>
      </c>
      <c r="AI26" s="37">
        <f t="shared" si="12"/>
        <v>22895000</v>
      </c>
      <c r="AJ26" s="52"/>
      <c r="AK26" s="31" t="s">
        <v>50</v>
      </c>
      <c r="AL26" s="52"/>
      <c r="AM26" s="11"/>
      <c r="AP26" s="21"/>
    </row>
    <row r="27" spans="1:42" ht="77.25" customHeight="1" x14ac:dyDescent="0.2">
      <c r="A27" s="12"/>
      <c r="B27" s="13"/>
      <c r="C27" s="26" t="s">
        <v>89</v>
      </c>
      <c r="D27" s="22" t="s">
        <v>52</v>
      </c>
      <c r="E27" s="40">
        <f t="shared" si="13"/>
        <v>36</v>
      </c>
      <c r="F27" s="23" t="s">
        <v>49</v>
      </c>
      <c r="G27" s="39"/>
      <c r="H27" s="40">
        <v>12</v>
      </c>
      <c r="I27" s="23" t="s">
        <v>49</v>
      </c>
      <c r="J27" s="39"/>
      <c r="K27" s="40">
        <v>12</v>
      </c>
      <c r="L27" s="23" t="s">
        <v>49</v>
      </c>
      <c r="M27" s="19">
        <v>3600000</v>
      </c>
      <c r="N27" s="40">
        <v>3</v>
      </c>
      <c r="O27" s="23" t="str">
        <f t="shared" si="1"/>
        <v>Bln</v>
      </c>
      <c r="P27" s="19">
        <v>0</v>
      </c>
      <c r="Q27" s="40">
        <v>3</v>
      </c>
      <c r="R27" s="23" t="str">
        <f t="shared" si="2"/>
        <v>Bln</v>
      </c>
      <c r="S27" s="19">
        <v>1025000</v>
      </c>
      <c r="T27" s="40">
        <v>3</v>
      </c>
      <c r="U27" s="23" t="str">
        <f t="shared" si="3"/>
        <v>Bln</v>
      </c>
      <c r="V27" s="19">
        <v>615000</v>
      </c>
      <c r="W27" s="40">
        <v>3</v>
      </c>
      <c r="X27" s="23" t="str">
        <f t="shared" si="4"/>
        <v>Bln</v>
      </c>
      <c r="Y27" s="19">
        <v>820000</v>
      </c>
      <c r="Z27" s="55">
        <f t="shared" si="5"/>
        <v>12</v>
      </c>
      <c r="AA27" s="81" t="str">
        <f t="shared" si="6"/>
        <v>Bln</v>
      </c>
      <c r="AB27" s="55">
        <f t="shared" si="7"/>
        <v>100</v>
      </c>
      <c r="AC27" s="31" t="s">
        <v>50</v>
      </c>
      <c r="AD27" s="37">
        <f t="shared" si="8"/>
        <v>2460000</v>
      </c>
      <c r="AE27" s="52">
        <f t="shared" si="9"/>
        <v>68.333333333333329</v>
      </c>
      <c r="AF27" s="31" t="s">
        <v>50</v>
      </c>
      <c r="AG27" s="55">
        <f t="shared" si="10"/>
        <v>24</v>
      </c>
      <c r="AH27" s="81" t="str">
        <f t="shared" si="11"/>
        <v>Bln</v>
      </c>
      <c r="AI27" s="37">
        <f t="shared" si="12"/>
        <v>2460000</v>
      </c>
      <c r="AJ27" s="52"/>
      <c r="AK27" s="31" t="s">
        <v>50</v>
      </c>
      <c r="AL27" s="52"/>
      <c r="AM27" s="11"/>
      <c r="AP27" s="21"/>
    </row>
    <row r="28" spans="1:42" ht="102" customHeight="1" x14ac:dyDescent="0.2">
      <c r="A28" s="12"/>
      <c r="B28" s="13"/>
      <c r="C28" s="26" t="s">
        <v>90</v>
      </c>
      <c r="D28" s="22" t="s">
        <v>52</v>
      </c>
      <c r="E28" s="40">
        <f t="shared" si="13"/>
        <v>36</v>
      </c>
      <c r="F28" s="23" t="s">
        <v>49</v>
      </c>
      <c r="G28" s="39"/>
      <c r="H28" s="40">
        <v>12</v>
      </c>
      <c r="I28" s="23" t="s">
        <v>49</v>
      </c>
      <c r="J28" s="39"/>
      <c r="K28" s="40">
        <v>12</v>
      </c>
      <c r="L28" s="23" t="s">
        <v>49</v>
      </c>
      <c r="M28" s="19">
        <v>193500000</v>
      </c>
      <c r="N28" s="40">
        <v>3</v>
      </c>
      <c r="O28" s="23" t="str">
        <f t="shared" si="1"/>
        <v>Bln</v>
      </c>
      <c r="P28" s="19">
        <v>9710104</v>
      </c>
      <c r="Q28" s="40">
        <v>3</v>
      </c>
      <c r="R28" s="23" t="str">
        <f t="shared" si="2"/>
        <v>Bln</v>
      </c>
      <c r="S28" s="19">
        <v>10752359</v>
      </c>
      <c r="T28" s="40">
        <v>3</v>
      </c>
      <c r="U28" s="23" t="str">
        <f t="shared" si="3"/>
        <v>Bln</v>
      </c>
      <c r="V28" s="19">
        <v>45056128</v>
      </c>
      <c r="W28" s="40">
        <v>3</v>
      </c>
      <c r="X28" s="23" t="str">
        <f t="shared" si="4"/>
        <v>Bln</v>
      </c>
      <c r="Y28" s="19">
        <v>82378583</v>
      </c>
      <c r="Z28" s="55">
        <f t="shared" si="5"/>
        <v>12</v>
      </c>
      <c r="AA28" s="83" t="str">
        <f t="shared" si="6"/>
        <v>Bln</v>
      </c>
      <c r="AB28" s="55">
        <f t="shared" si="7"/>
        <v>100</v>
      </c>
      <c r="AC28" s="31" t="s">
        <v>50</v>
      </c>
      <c r="AD28" s="37">
        <f t="shared" si="8"/>
        <v>147897174</v>
      </c>
      <c r="AE28" s="52">
        <f t="shared" si="9"/>
        <v>76.432648062015502</v>
      </c>
      <c r="AF28" s="31" t="s">
        <v>50</v>
      </c>
      <c r="AG28" s="55">
        <f t="shared" si="10"/>
        <v>24</v>
      </c>
      <c r="AH28" s="83" t="str">
        <f t="shared" si="11"/>
        <v>Bln</v>
      </c>
      <c r="AI28" s="37">
        <f t="shared" si="12"/>
        <v>147897174</v>
      </c>
      <c r="AJ28" s="52"/>
      <c r="AK28" s="31" t="s">
        <v>50</v>
      </c>
      <c r="AL28" s="52"/>
      <c r="AM28" s="11"/>
      <c r="AP28" s="21"/>
    </row>
    <row r="29" spans="1:42" ht="102.75" customHeight="1" x14ac:dyDescent="0.2">
      <c r="A29" s="12"/>
      <c r="B29" s="13"/>
      <c r="C29" s="15" t="s">
        <v>91</v>
      </c>
      <c r="D29" s="15" t="s">
        <v>124</v>
      </c>
      <c r="E29" s="79">
        <v>100</v>
      </c>
      <c r="F29" s="50" t="s">
        <v>50</v>
      </c>
      <c r="G29" s="25"/>
      <c r="H29" s="79">
        <v>100</v>
      </c>
      <c r="I29" s="50" t="s">
        <v>50</v>
      </c>
      <c r="J29" s="25"/>
      <c r="K29" s="79">
        <v>100</v>
      </c>
      <c r="L29" s="50" t="s">
        <v>50</v>
      </c>
      <c r="M29" s="39">
        <f>SUM(M30:M30)</f>
        <v>22644000</v>
      </c>
      <c r="N29" s="79">
        <v>25</v>
      </c>
      <c r="O29" s="50" t="str">
        <f t="shared" si="1"/>
        <v>%</v>
      </c>
      <c r="P29" s="39">
        <f>SUM(P30:P30)</f>
        <v>4500000</v>
      </c>
      <c r="Q29" s="79">
        <v>25</v>
      </c>
      <c r="R29" s="50" t="str">
        <f t="shared" si="2"/>
        <v>%</v>
      </c>
      <c r="S29" s="39">
        <f>SUM(S30:S30)</f>
        <v>6008100</v>
      </c>
      <c r="T29" s="79">
        <v>25</v>
      </c>
      <c r="U29" s="50" t="str">
        <f t="shared" si="3"/>
        <v>%</v>
      </c>
      <c r="V29" s="39">
        <f>SUM(V30:V30)</f>
        <v>3032400</v>
      </c>
      <c r="W29" s="79">
        <v>25</v>
      </c>
      <c r="X29" s="50" t="str">
        <f t="shared" si="4"/>
        <v>%</v>
      </c>
      <c r="Y29" s="39">
        <f>SUM(Y30:Y30)</f>
        <v>4782400</v>
      </c>
      <c r="Z29" s="90">
        <f t="shared" si="5"/>
        <v>100</v>
      </c>
      <c r="AA29" s="80" t="str">
        <f t="shared" si="6"/>
        <v>%</v>
      </c>
      <c r="AB29" s="90">
        <f t="shared" si="7"/>
        <v>100</v>
      </c>
      <c r="AC29" s="54" t="s">
        <v>50</v>
      </c>
      <c r="AD29" s="51">
        <f t="shared" si="8"/>
        <v>18322900</v>
      </c>
      <c r="AE29" s="56">
        <f t="shared" si="9"/>
        <v>80.917240770181948</v>
      </c>
      <c r="AF29" s="54" t="s">
        <v>50</v>
      </c>
      <c r="AG29" s="90">
        <f t="shared" si="10"/>
        <v>200</v>
      </c>
      <c r="AH29" s="80" t="str">
        <f t="shared" si="11"/>
        <v>%</v>
      </c>
      <c r="AI29" s="51">
        <f t="shared" si="12"/>
        <v>18322900</v>
      </c>
      <c r="AJ29" s="56"/>
      <c r="AK29" s="54" t="s">
        <v>50</v>
      </c>
      <c r="AL29" s="56"/>
      <c r="AM29" s="11"/>
      <c r="AP29" s="21"/>
    </row>
    <row r="30" spans="1:42" ht="76.5" customHeight="1" x14ac:dyDescent="0.2">
      <c r="A30" s="88"/>
      <c r="B30" s="89"/>
      <c r="C30" s="26" t="s">
        <v>92</v>
      </c>
      <c r="D30" s="26" t="s">
        <v>52</v>
      </c>
      <c r="E30" s="41">
        <f t="shared" si="13"/>
        <v>36</v>
      </c>
      <c r="F30" s="17" t="s">
        <v>49</v>
      </c>
      <c r="G30" s="19"/>
      <c r="H30" s="41">
        <v>12</v>
      </c>
      <c r="I30" s="17" t="s">
        <v>49</v>
      </c>
      <c r="J30" s="19"/>
      <c r="K30" s="41">
        <v>12</v>
      </c>
      <c r="L30" s="17" t="s">
        <v>49</v>
      </c>
      <c r="M30" s="19">
        <v>22644000</v>
      </c>
      <c r="N30" s="41">
        <v>3</v>
      </c>
      <c r="O30" s="17" t="str">
        <f t="shared" si="1"/>
        <v>Bln</v>
      </c>
      <c r="P30" s="19">
        <v>4500000</v>
      </c>
      <c r="Q30" s="41">
        <v>3</v>
      </c>
      <c r="R30" s="17" t="str">
        <f t="shared" si="2"/>
        <v>Bln</v>
      </c>
      <c r="S30" s="19">
        <v>6008100</v>
      </c>
      <c r="T30" s="41">
        <v>3</v>
      </c>
      <c r="U30" s="17" t="str">
        <f t="shared" si="3"/>
        <v>Bln</v>
      </c>
      <c r="V30" s="19">
        <v>3032400</v>
      </c>
      <c r="W30" s="41">
        <v>3</v>
      </c>
      <c r="X30" s="17" t="str">
        <f t="shared" si="4"/>
        <v>Bln</v>
      </c>
      <c r="Y30" s="19">
        <v>4782400</v>
      </c>
      <c r="Z30" s="52">
        <f t="shared" si="5"/>
        <v>12</v>
      </c>
      <c r="AA30" s="81" t="str">
        <f t="shared" si="6"/>
        <v>Bln</v>
      </c>
      <c r="AB30" s="55">
        <f t="shared" si="7"/>
        <v>100</v>
      </c>
      <c r="AC30" s="31" t="s">
        <v>50</v>
      </c>
      <c r="AD30" s="37">
        <f t="shared" si="8"/>
        <v>18322900</v>
      </c>
      <c r="AE30" s="52">
        <f t="shared" si="9"/>
        <v>80.917240770181948</v>
      </c>
      <c r="AF30" s="31" t="s">
        <v>50</v>
      </c>
      <c r="AG30" s="55">
        <f t="shared" si="10"/>
        <v>24</v>
      </c>
      <c r="AH30" s="81" t="str">
        <f t="shared" si="11"/>
        <v>Bln</v>
      </c>
      <c r="AI30" s="37">
        <f t="shared" si="12"/>
        <v>18322900</v>
      </c>
      <c r="AJ30" s="52"/>
      <c r="AK30" s="31" t="s">
        <v>50</v>
      </c>
      <c r="AL30" s="52"/>
      <c r="AM30" s="11"/>
      <c r="AP30" s="21"/>
    </row>
    <row r="31" spans="1:42" s="91" customFormat="1" ht="120" customHeight="1" x14ac:dyDescent="0.25">
      <c r="A31" s="12"/>
      <c r="B31" s="13"/>
      <c r="C31" s="15" t="s">
        <v>93</v>
      </c>
      <c r="D31" s="15" t="s">
        <v>124</v>
      </c>
      <c r="E31" s="79">
        <v>100</v>
      </c>
      <c r="F31" s="50" t="s">
        <v>50</v>
      </c>
      <c r="G31" s="38"/>
      <c r="H31" s="79">
        <v>100</v>
      </c>
      <c r="I31" s="50" t="s">
        <v>50</v>
      </c>
      <c r="J31" s="38"/>
      <c r="K31" s="79">
        <v>100</v>
      </c>
      <c r="L31" s="50" t="s">
        <v>50</v>
      </c>
      <c r="M31" s="39">
        <f>SUM(M32:M34)</f>
        <v>127438000</v>
      </c>
      <c r="N31" s="79">
        <v>25</v>
      </c>
      <c r="O31" s="50" t="str">
        <f t="shared" si="1"/>
        <v>%</v>
      </c>
      <c r="P31" s="39">
        <f>SUM(P32:P34)</f>
        <v>9500000</v>
      </c>
      <c r="Q31" s="79">
        <v>25</v>
      </c>
      <c r="R31" s="50" t="str">
        <f t="shared" si="2"/>
        <v>%</v>
      </c>
      <c r="S31" s="39">
        <f>SUM(S32:S34)</f>
        <v>19086200</v>
      </c>
      <c r="T31" s="79">
        <v>25</v>
      </c>
      <c r="U31" s="50" t="str">
        <f t="shared" si="3"/>
        <v>%</v>
      </c>
      <c r="V31" s="39">
        <f>SUM(V32:V34)</f>
        <v>16055420</v>
      </c>
      <c r="W31" s="79">
        <v>25</v>
      </c>
      <c r="X31" s="50" t="str">
        <f t="shared" si="4"/>
        <v>%</v>
      </c>
      <c r="Y31" s="39">
        <f>SUM(Y32:Y34)</f>
        <v>36965244</v>
      </c>
      <c r="Z31" s="90">
        <f t="shared" si="5"/>
        <v>100</v>
      </c>
      <c r="AA31" s="80" t="str">
        <f t="shared" si="6"/>
        <v>%</v>
      </c>
      <c r="AB31" s="90">
        <f t="shared" si="7"/>
        <v>100</v>
      </c>
      <c r="AC31" s="54" t="s">
        <v>50</v>
      </c>
      <c r="AD31" s="51">
        <f t="shared" si="8"/>
        <v>81606864</v>
      </c>
      <c r="AE31" s="56">
        <f t="shared" si="9"/>
        <v>64.036522858174166</v>
      </c>
      <c r="AF31" s="54" t="s">
        <v>50</v>
      </c>
      <c r="AG31" s="90">
        <f t="shared" si="10"/>
        <v>200</v>
      </c>
      <c r="AH31" s="80" t="str">
        <f t="shared" si="11"/>
        <v>%</v>
      </c>
      <c r="AI31" s="51">
        <f t="shared" si="12"/>
        <v>81606864</v>
      </c>
      <c r="AJ31" s="56"/>
      <c r="AK31" s="54" t="s">
        <v>50</v>
      </c>
      <c r="AL31" s="56"/>
      <c r="AM31" s="93"/>
      <c r="AP31" s="92"/>
    </row>
    <row r="32" spans="1:42" ht="180" x14ac:dyDescent="0.2">
      <c r="A32" s="12"/>
      <c r="B32" s="13"/>
      <c r="C32" s="26" t="s">
        <v>94</v>
      </c>
      <c r="D32" s="26" t="s">
        <v>52</v>
      </c>
      <c r="E32" s="41">
        <f t="shared" si="13"/>
        <v>36</v>
      </c>
      <c r="F32" s="17" t="s">
        <v>49</v>
      </c>
      <c r="G32" s="19"/>
      <c r="H32" s="41">
        <v>12</v>
      </c>
      <c r="I32" s="17" t="s">
        <v>49</v>
      </c>
      <c r="J32" s="19"/>
      <c r="K32" s="41">
        <v>12</v>
      </c>
      <c r="L32" s="17" t="s">
        <v>49</v>
      </c>
      <c r="M32" s="19">
        <v>82550000</v>
      </c>
      <c r="N32" s="41">
        <v>3</v>
      </c>
      <c r="O32" s="17" t="str">
        <f t="shared" si="1"/>
        <v>Bln</v>
      </c>
      <c r="P32" s="19">
        <v>0</v>
      </c>
      <c r="Q32" s="41">
        <v>3</v>
      </c>
      <c r="R32" s="17" t="str">
        <f t="shared" si="2"/>
        <v>Bln</v>
      </c>
      <c r="S32" s="19">
        <v>5820000</v>
      </c>
      <c r="T32" s="41">
        <v>3</v>
      </c>
      <c r="U32" s="17" t="str">
        <f t="shared" si="3"/>
        <v>Bln</v>
      </c>
      <c r="V32" s="19">
        <v>9240620</v>
      </c>
      <c r="W32" s="41">
        <v>3</v>
      </c>
      <c r="X32" s="17" t="str">
        <f t="shared" si="4"/>
        <v>Bln</v>
      </c>
      <c r="Y32" s="19">
        <v>25900444</v>
      </c>
      <c r="Z32" s="55">
        <f t="shared" si="5"/>
        <v>12</v>
      </c>
      <c r="AA32" s="81" t="str">
        <f t="shared" si="6"/>
        <v>Bln</v>
      </c>
      <c r="AB32" s="55">
        <f t="shared" si="7"/>
        <v>100</v>
      </c>
      <c r="AC32" s="31" t="s">
        <v>50</v>
      </c>
      <c r="AD32" s="37">
        <f t="shared" si="8"/>
        <v>40961064</v>
      </c>
      <c r="AE32" s="52">
        <f t="shared" si="9"/>
        <v>49.619701998788614</v>
      </c>
      <c r="AF32" s="31" t="s">
        <v>50</v>
      </c>
      <c r="AG32" s="55">
        <f t="shared" si="10"/>
        <v>24</v>
      </c>
      <c r="AH32" s="81" t="str">
        <f t="shared" si="11"/>
        <v>Bln</v>
      </c>
      <c r="AI32" s="37">
        <f t="shared" si="12"/>
        <v>40961064</v>
      </c>
      <c r="AJ32" s="52"/>
      <c r="AK32" s="31" t="s">
        <v>50</v>
      </c>
      <c r="AL32" s="52"/>
      <c r="AM32" s="11"/>
      <c r="AP32" s="21"/>
    </row>
    <row r="33" spans="1:42" ht="104.25" customHeight="1" x14ac:dyDescent="0.2">
      <c r="A33" s="12"/>
      <c r="B33" s="13"/>
      <c r="C33" s="22" t="s">
        <v>95</v>
      </c>
      <c r="D33" s="26" t="s">
        <v>52</v>
      </c>
      <c r="E33" s="41">
        <f t="shared" si="13"/>
        <v>36</v>
      </c>
      <c r="F33" s="17" t="s">
        <v>49</v>
      </c>
      <c r="G33" s="19"/>
      <c r="H33" s="41">
        <v>12</v>
      </c>
      <c r="I33" s="17" t="s">
        <v>49</v>
      </c>
      <c r="J33" s="19"/>
      <c r="K33" s="41">
        <v>12</v>
      </c>
      <c r="L33" s="17" t="s">
        <v>49</v>
      </c>
      <c r="M33" s="19">
        <v>19644000</v>
      </c>
      <c r="N33" s="41">
        <v>3</v>
      </c>
      <c r="O33" s="17" t="str">
        <f t="shared" si="1"/>
        <v>Bln</v>
      </c>
      <c r="P33" s="19">
        <v>4500000</v>
      </c>
      <c r="Q33" s="41">
        <v>3</v>
      </c>
      <c r="R33" s="17" t="str">
        <f t="shared" si="2"/>
        <v>Bln</v>
      </c>
      <c r="S33" s="19">
        <v>6008100</v>
      </c>
      <c r="T33" s="41">
        <v>3</v>
      </c>
      <c r="U33" s="17" t="str">
        <f t="shared" si="3"/>
        <v>Bln</v>
      </c>
      <c r="V33" s="19">
        <v>3032400</v>
      </c>
      <c r="W33" s="41">
        <v>3</v>
      </c>
      <c r="X33" s="17" t="str">
        <f t="shared" si="4"/>
        <v>Bln</v>
      </c>
      <c r="Y33" s="19">
        <v>4532400</v>
      </c>
      <c r="Z33" s="55">
        <f t="shared" si="5"/>
        <v>12</v>
      </c>
      <c r="AA33" s="81" t="str">
        <f t="shared" si="6"/>
        <v>Bln</v>
      </c>
      <c r="AB33" s="55">
        <f t="shared" si="7"/>
        <v>100</v>
      </c>
      <c r="AC33" s="31" t="s">
        <v>50</v>
      </c>
      <c r="AD33" s="37">
        <f t="shared" si="8"/>
        <v>18072900</v>
      </c>
      <c r="AE33" s="52">
        <f t="shared" si="9"/>
        <v>92.002138057422115</v>
      </c>
      <c r="AF33" s="31" t="s">
        <v>50</v>
      </c>
      <c r="AG33" s="55">
        <f t="shared" si="10"/>
        <v>24</v>
      </c>
      <c r="AH33" s="81" t="str">
        <f t="shared" si="11"/>
        <v>Bln</v>
      </c>
      <c r="AI33" s="37">
        <f t="shared" si="12"/>
        <v>18072900</v>
      </c>
      <c r="AJ33" s="52"/>
      <c r="AK33" s="31" t="s">
        <v>50</v>
      </c>
      <c r="AL33" s="52"/>
      <c r="AM33" s="11"/>
      <c r="AP33" s="21"/>
    </row>
    <row r="34" spans="1:42" ht="120" x14ac:dyDescent="0.2">
      <c r="A34" s="12"/>
      <c r="B34" s="13"/>
      <c r="C34" s="22" t="s">
        <v>96</v>
      </c>
      <c r="D34" s="26" t="s">
        <v>52</v>
      </c>
      <c r="E34" s="41">
        <f t="shared" si="13"/>
        <v>36</v>
      </c>
      <c r="F34" s="17" t="s">
        <v>49</v>
      </c>
      <c r="G34" s="19"/>
      <c r="H34" s="41">
        <v>12</v>
      </c>
      <c r="I34" s="17" t="s">
        <v>49</v>
      </c>
      <c r="J34" s="19"/>
      <c r="K34" s="41">
        <v>12</v>
      </c>
      <c r="L34" s="17" t="s">
        <v>49</v>
      </c>
      <c r="M34" s="19">
        <v>25244000</v>
      </c>
      <c r="N34" s="41">
        <v>3</v>
      </c>
      <c r="O34" s="17" t="str">
        <f t="shared" si="1"/>
        <v>Bln</v>
      </c>
      <c r="P34" s="19">
        <v>5000000</v>
      </c>
      <c r="Q34" s="41">
        <v>3</v>
      </c>
      <c r="R34" s="17" t="str">
        <f t="shared" si="2"/>
        <v>Bln</v>
      </c>
      <c r="S34" s="19">
        <v>7258100</v>
      </c>
      <c r="T34" s="41">
        <v>3</v>
      </c>
      <c r="U34" s="17" t="str">
        <f t="shared" si="3"/>
        <v>Bln</v>
      </c>
      <c r="V34" s="19">
        <v>3782400</v>
      </c>
      <c r="W34" s="41">
        <v>3</v>
      </c>
      <c r="X34" s="17" t="str">
        <f t="shared" si="4"/>
        <v>Bln</v>
      </c>
      <c r="Y34" s="19">
        <v>6532400</v>
      </c>
      <c r="Z34" s="55">
        <f t="shared" si="5"/>
        <v>12</v>
      </c>
      <c r="AA34" s="81" t="str">
        <f t="shared" si="6"/>
        <v>Bln</v>
      </c>
      <c r="AB34" s="55">
        <f t="shared" si="7"/>
        <v>100</v>
      </c>
      <c r="AC34" s="31" t="s">
        <v>50</v>
      </c>
      <c r="AD34" s="37">
        <f t="shared" si="8"/>
        <v>22572900</v>
      </c>
      <c r="AE34" s="52">
        <f t="shared" si="9"/>
        <v>89.418871811123438</v>
      </c>
      <c r="AF34" s="31" t="s">
        <v>50</v>
      </c>
      <c r="AG34" s="55">
        <f t="shared" si="10"/>
        <v>24</v>
      </c>
      <c r="AH34" s="81" t="str">
        <f t="shared" si="11"/>
        <v>Bln</v>
      </c>
      <c r="AI34" s="37">
        <f t="shared" si="12"/>
        <v>22572900</v>
      </c>
      <c r="AJ34" s="52"/>
      <c r="AK34" s="31" t="s">
        <v>50</v>
      </c>
      <c r="AL34" s="52"/>
      <c r="AM34" s="11"/>
      <c r="AP34" s="21"/>
    </row>
    <row r="35" spans="1:42" ht="126" x14ac:dyDescent="0.2">
      <c r="A35" s="45">
        <v>17</v>
      </c>
      <c r="B35" s="46" t="s">
        <v>53</v>
      </c>
      <c r="C35" s="13" t="s">
        <v>97</v>
      </c>
      <c r="D35" s="15" t="s">
        <v>157</v>
      </c>
      <c r="E35" s="101">
        <f>E37/69263*100</f>
        <v>8.116887804455482</v>
      </c>
      <c r="F35" s="49" t="s">
        <v>50</v>
      </c>
      <c r="G35" s="96">
        <f>G37+G41</f>
        <v>2377630750</v>
      </c>
      <c r="H35" s="101">
        <f>H37/64223*100</f>
        <v>5.9122121358391855</v>
      </c>
      <c r="I35" s="49" t="s">
        <v>50</v>
      </c>
      <c r="J35" s="96">
        <f>J37+J41</f>
        <v>0</v>
      </c>
      <c r="K35" s="101">
        <f>K37/65897*100</f>
        <v>6.953275566414252</v>
      </c>
      <c r="L35" s="49" t="s">
        <v>50</v>
      </c>
      <c r="M35" s="96">
        <f>M37+M41</f>
        <v>826680750</v>
      </c>
      <c r="N35" s="101">
        <f>N37/65897*100</f>
        <v>0</v>
      </c>
      <c r="O35" s="49" t="str">
        <f t="shared" si="1"/>
        <v>%</v>
      </c>
      <c r="P35" s="96">
        <f>P37+P41</f>
        <v>14250000</v>
      </c>
      <c r="Q35" s="101">
        <f>Q37/65897*100</f>
        <v>0.4552559297084845</v>
      </c>
      <c r="R35" s="49" t="str">
        <f t="shared" si="2"/>
        <v>%</v>
      </c>
      <c r="S35" s="96">
        <f>S37+S41</f>
        <v>210480000</v>
      </c>
      <c r="T35" s="101">
        <f>T37/65897*100</f>
        <v>0.4552559297084845</v>
      </c>
      <c r="U35" s="49" t="str">
        <f t="shared" si="3"/>
        <v>%</v>
      </c>
      <c r="V35" s="96">
        <f>V37+V41</f>
        <v>341925000</v>
      </c>
      <c r="W35" s="101">
        <f>W37/65897*100</f>
        <v>0</v>
      </c>
      <c r="X35" s="49" t="str">
        <f t="shared" si="4"/>
        <v>%</v>
      </c>
      <c r="Y35" s="96">
        <f>Y37+Y41</f>
        <v>117007500</v>
      </c>
      <c r="Z35" s="105">
        <f t="shared" si="5"/>
        <v>0.91051185941696899</v>
      </c>
      <c r="AA35" s="80" t="str">
        <f t="shared" si="6"/>
        <v>%</v>
      </c>
      <c r="AB35" s="56">
        <f>AG35/K35*100</f>
        <v>98.122445027366851</v>
      </c>
      <c r="AC35" s="54" t="s">
        <v>50</v>
      </c>
      <c r="AD35" s="68">
        <f t="shared" si="8"/>
        <v>683662500</v>
      </c>
      <c r="AE35" s="69">
        <f t="shared" si="9"/>
        <v>82.699699974869375</v>
      </c>
      <c r="AF35" s="45" t="s">
        <v>50</v>
      </c>
      <c r="AG35" s="105">
        <f t="shared" si="10"/>
        <v>6.8227239952561547</v>
      </c>
      <c r="AH35" s="80" t="str">
        <f t="shared" si="11"/>
        <v>%</v>
      </c>
      <c r="AI35" s="68">
        <f t="shared" si="12"/>
        <v>683662500</v>
      </c>
      <c r="AJ35" s="56"/>
      <c r="AK35" s="54" t="s">
        <v>50</v>
      </c>
      <c r="AL35" s="69"/>
      <c r="AM35" s="11"/>
      <c r="AP35" s="21"/>
    </row>
    <row r="36" spans="1:42" ht="78.75" x14ac:dyDescent="0.2">
      <c r="A36" s="45">
        <v>17</v>
      </c>
      <c r="B36" s="46" t="s">
        <v>53</v>
      </c>
      <c r="C36" s="14"/>
      <c r="D36" s="15" t="s">
        <v>182</v>
      </c>
      <c r="E36" s="101">
        <v>67.739999999999995</v>
      </c>
      <c r="F36" s="49" t="s">
        <v>50</v>
      </c>
      <c r="G36" s="97"/>
      <c r="H36" s="101">
        <f>15/31*100</f>
        <v>48.387096774193552</v>
      </c>
      <c r="I36" s="49" t="s">
        <v>50</v>
      </c>
      <c r="J36" s="97"/>
      <c r="K36" s="101">
        <f>18/31*100</f>
        <v>58.064516129032263</v>
      </c>
      <c r="L36" s="49" t="s">
        <v>50</v>
      </c>
      <c r="M36" s="97"/>
      <c r="N36" s="101">
        <f>0/31*100</f>
        <v>0</v>
      </c>
      <c r="O36" s="49" t="str">
        <f t="shared" ref="O36" si="14">L36</f>
        <v>%</v>
      </c>
      <c r="P36" s="97"/>
      <c r="Q36" s="101">
        <f>1/31*100</f>
        <v>3.225806451612903</v>
      </c>
      <c r="R36" s="49" t="str">
        <f t="shared" ref="R36" si="15">L36</f>
        <v>%</v>
      </c>
      <c r="S36" s="97"/>
      <c r="T36" s="101">
        <f>1/31*100</f>
        <v>3.225806451612903</v>
      </c>
      <c r="U36" s="49" t="str">
        <f t="shared" ref="U36" si="16">L36</f>
        <v>%</v>
      </c>
      <c r="V36" s="97"/>
      <c r="W36" s="101">
        <f>1/31*100</f>
        <v>3.225806451612903</v>
      </c>
      <c r="X36" s="49" t="str">
        <f t="shared" si="4"/>
        <v>%</v>
      </c>
      <c r="Y36" s="97"/>
      <c r="Z36" s="105">
        <f t="shared" ref="Z36" si="17">SUM(N36,Q36,T36,W36)</f>
        <v>9.6774193548387082</v>
      </c>
      <c r="AA36" s="80" t="str">
        <f t="shared" ref="AA36" si="18">L36</f>
        <v>%</v>
      </c>
      <c r="AB36" s="90">
        <f>AG36/K36*100</f>
        <v>99.999999999999986</v>
      </c>
      <c r="AC36" s="54" t="s">
        <v>50</v>
      </c>
      <c r="AD36" s="98"/>
      <c r="AE36" s="99"/>
      <c r="AF36" s="100"/>
      <c r="AG36" s="105">
        <f t="shared" ref="AG36" si="19">SUM(H36,Z36)</f>
        <v>58.064516129032256</v>
      </c>
      <c r="AH36" s="80" t="str">
        <f t="shared" ref="AH36" si="20">O36</f>
        <v>%</v>
      </c>
      <c r="AI36" s="98"/>
      <c r="AJ36" s="56"/>
      <c r="AK36" s="54" t="s">
        <v>50</v>
      </c>
      <c r="AL36" s="99"/>
      <c r="AM36" s="11"/>
      <c r="AP36" s="21"/>
    </row>
    <row r="37" spans="1:42" ht="316.5" customHeight="1" x14ac:dyDescent="0.2">
      <c r="A37" s="12"/>
      <c r="B37" s="13"/>
      <c r="C37" s="13" t="s">
        <v>98</v>
      </c>
      <c r="D37" s="15" t="s">
        <v>158</v>
      </c>
      <c r="E37" s="48">
        <v>5622</v>
      </c>
      <c r="F37" s="43" t="s">
        <v>135</v>
      </c>
      <c r="G37" s="67">
        <f>SUM(G39:G40)</f>
        <v>1797130750</v>
      </c>
      <c r="H37" s="48">
        <v>3797</v>
      </c>
      <c r="I37" s="43" t="s">
        <v>135</v>
      </c>
      <c r="J37" s="67">
        <f>SUM(J39:J40)</f>
        <v>0</v>
      </c>
      <c r="K37" s="48">
        <v>4582</v>
      </c>
      <c r="L37" s="43" t="s">
        <v>135</v>
      </c>
      <c r="M37" s="67">
        <f>SUM(M39:M40)</f>
        <v>646180750</v>
      </c>
      <c r="N37" s="42">
        <v>0</v>
      </c>
      <c r="O37" s="43" t="str">
        <f t="shared" si="1"/>
        <v>Org</v>
      </c>
      <c r="P37" s="67">
        <f>SUM(P39:P40)</f>
        <v>14250000</v>
      </c>
      <c r="Q37" s="42">
        <v>300</v>
      </c>
      <c r="R37" s="43" t="str">
        <f t="shared" si="2"/>
        <v>Org</v>
      </c>
      <c r="S37" s="67">
        <f>SUM(S39:S40)</f>
        <v>29980000</v>
      </c>
      <c r="T37" s="42">
        <v>300</v>
      </c>
      <c r="U37" s="43" t="str">
        <f t="shared" si="3"/>
        <v>Org</v>
      </c>
      <c r="V37" s="67">
        <f>SUM(V39:V40)</f>
        <v>341925000</v>
      </c>
      <c r="W37" s="42">
        <v>0</v>
      </c>
      <c r="X37" s="43" t="str">
        <f t="shared" si="4"/>
        <v>Org</v>
      </c>
      <c r="Y37" s="67">
        <f>SUM(Y39:Y40)</f>
        <v>117007500</v>
      </c>
      <c r="Z37" s="90">
        <f>SUM(N37,Q37,T37,W37)</f>
        <v>600</v>
      </c>
      <c r="AA37" s="80" t="str">
        <f t="shared" si="6"/>
        <v>Org</v>
      </c>
      <c r="AB37" s="56">
        <f>AG37/K37*100</f>
        <v>95.962461807071151</v>
      </c>
      <c r="AC37" s="54" t="s">
        <v>50</v>
      </c>
      <c r="AD37" s="68">
        <f t="shared" si="8"/>
        <v>503162500</v>
      </c>
      <c r="AE37" s="69">
        <f t="shared" si="9"/>
        <v>77.867144757871543</v>
      </c>
      <c r="AF37" s="45" t="s">
        <v>50</v>
      </c>
      <c r="AG37" s="108">
        <f t="shared" si="10"/>
        <v>4397</v>
      </c>
      <c r="AH37" s="80" t="str">
        <f t="shared" si="11"/>
        <v>Org</v>
      </c>
      <c r="AI37" s="68">
        <f t="shared" si="12"/>
        <v>503162500</v>
      </c>
      <c r="AJ37" s="56"/>
      <c r="AK37" s="54" t="s">
        <v>50</v>
      </c>
      <c r="AL37" s="69"/>
      <c r="AM37" s="11"/>
      <c r="AP37" s="21"/>
    </row>
    <row r="38" spans="1:42" ht="141.75" x14ac:dyDescent="0.2">
      <c r="A38" s="12"/>
      <c r="B38" s="13"/>
      <c r="C38" s="14"/>
      <c r="D38" s="15" t="s">
        <v>159</v>
      </c>
      <c r="E38" s="42">
        <v>167</v>
      </c>
      <c r="F38" s="43" t="s">
        <v>135</v>
      </c>
      <c r="G38" s="106"/>
      <c r="H38" s="94">
        <v>150</v>
      </c>
      <c r="I38" s="43" t="s">
        <v>135</v>
      </c>
      <c r="J38" s="24"/>
      <c r="K38" s="42">
        <v>156</v>
      </c>
      <c r="L38" s="43" t="s">
        <v>135</v>
      </c>
      <c r="M38" s="38"/>
      <c r="N38" s="42">
        <v>0</v>
      </c>
      <c r="O38" s="43" t="str">
        <f t="shared" ref="O38" si="21">L38</f>
        <v>Org</v>
      </c>
      <c r="P38" s="38"/>
      <c r="Q38" s="42">
        <f>Q39</f>
        <v>134</v>
      </c>
      <c r="R38" s="43" t="str">
        <f t="shared" ref="R38" si="22">L38</f>
        <v>Org</v>
      </c>
      <c r="S38" s="38"/>
      <c r="T38" s="42">
        <f>T39</f>
        <v>5</v>
      </c>
      <c r="U38" s="43" t="str">
        <f t="shared" ref="U38" si="23">L38</f>
        <v>Org</v>
      </c>
      <c r="V38" s="38"/>
      <c r="W38" s="42">
        <f>W39</f>
        <v>17</v>
      </c>
      <c r="X38" s="43" t="str">
        <f t="shared" si="4"/>
        <v>Org</v>
      </c>
      <c r="Y38" s="38"/>
      <c r="Z38" s="90">
        <f t="shared" ref="Z38" si="24">SUM(N38,Q38,T38,W38)</f>
        <v>156</v>
      </c>
      <c r="AA38" s="80" t="str">
        <f t="shared" ref="AA38" si="25">L38</f>
        <v>Org</v>
      </c>
      <c r="AB38" s="90">
        <f t="shared" ref="AB38" si="26">Z38/K38*100</f>
        <v>100</v>
      </c>
      <c r="AC38" s="54" t="s">
        <v>50</v>
      </c>
      <c r="AD38" s="98"/>
      <c r="AE38" s="99"/>
      <c r="AF38" s="100"/>
      <c r="AG38" s="90">
        <f t="shared" ref="AG38" si="27">SUM(H38,Z38)</f>
        <v>306</v>
      </c>
      <c r="AH38" s="80" t="str">
        <f t="shared" ref="AH38" si="28">O38</f>
        <v>Org</v>
      </c>
      <c r="AI38" s="98"/>
      <c r="AJ38" s="56"/>
      <c r="AK38" s="54" t="s">
        <v>50</v>
      </c>
      <c r="AL38" s="99"/>
      <c r="AM38" s="11"/>
      <c r="AP38" s="21"/>
    </row>
    <row r="39" spans="1:42" ht="240" x14ac:dyDescent="0.2">
      <c r="A39" s="12"/>
      <c r="B39" s="13"/>
      <c r="C39" s="22" t="s">
        <v>99</v>
      </c>
      <c r="D39" s="26" t="s">
        <v>178</v>
      </c>
      <c r="E39" s="16">
        <v>156</v>
      </c>
      <c r="F39" s="44" t="s">
        <v>135</v>
      </c>
      <c r="G39" s="19">
        <v>290450000</v>
      </c>
      <c r="H39" s="41">
        <v>150</v>
      </c>
      <c r="I39" s="44" t="s">
        <v>135</v>
      </c>
      <c r="J39" s="18"/>
      <c r="K39" s="16">
        <v>156</v>
      </c>
      <c r="L39" s="44" t="s">
        <v>135</v>
      </c>
      <c r="M39" s="19">
        <v>290450000</v>
      </c>
      <c r="N39" s="16">
        <v>0</v>
      </c>
      <c r="O39" s="44" t="str">
        <f t="shared" si="1"/>
        <v>Org</v>
      </c>
      <c r="P39" s="19">
        <v>5750000</v>
      </c>
      <c r="Q39" s="16">
        <f>50+50+34</f>
        <v>134</v>
      </c>
      <c r="R39" s="44" t="str">
        <f t="shared" si="2"/>
        <v>Org</v>
      </c>
      <c r="S39" s="19">
        <v>26100000</v>
      </c>
      <c r="T39" s="16">
        <f>3+2</f>
        <v>5</v>
      </c>
      <c r="U39" s="44" t="str">
        <f t="shared" si="3"/>
        <v>Org</v>
      </c>
      <c r="V39" s="19">
        <v>67010000</v>
      </c>
      <c r="W39" s="16">
        <v>17</v>
      </c>
      <c r="X39" s="44" t="str">
        <f t="shared" si="4"/>
        <v>Org</v>
      </c>
      <c r="Y39" s="19">
        <v>46745000</v>
      </c>
      <c r="Z39" s="55">
        <f t="shared" si="5"/>
        <v>156</v>
      </c>
      <c r="AA39" s="81" t="str">
        <f t="shared" si="6"/>
        <v>Org</v>
      </c>
      <c r="AB39" s="55">
        <f t="shared" si="7"/>
        <v>100</v>
      </c>
      <c r="AC39" s="31" t="s">
        <v>50</v>
      </c>
      <c r="AD39" s="37">
        <f t="shared" si="8"/>
        <v>145605000</v>
      </c>
      <c r="AE39" s="52">
        <f t="shared" si="9"/>
        <v>50.130831468411088</v>
      </c>
      <c r="AF39" s="31" t="s">
        <v>50</v>
      </c>
      <c r="AG39" s="55">
        <f t="shared" si="10"/>
        <v>306</v>
      </c>
      <c r="AH39" s="81" t="str">
        <f t="shared" si="11"/>
        <v>Org</v>
      </c>
      <c r="AI39" s="37">
        <f t="shared" si="12"/>
        <v>145605000</v>
      </c>
      <c r="AJ39" s="52"/>
      <c r="AK39" s="31" t="s">
        <v>50</v>
      </c>
      <c r="AL39" s="52"/>
      <c r="AM39" s="11"/>
      <c r="AP39" s="21"/>
    </row>
    <row r="40" spans="1:42" ht="210" x14ac:dyDescent="0.2">
      <c r="A40" s="12"/>
      <c r="B40" s="13"/>
      <c r="C40" s="76" t="s">
        <v>100</v>
      </c>
      <c r="D40" s="77" t="s">
        <v>160</v>
      </c>
      <c r="E40" s="16">
        <f>E39</f>
        <v>156</v>
      </c>
      <c r="F40" s="44" t="s">
        <v>135</v>
      </c>
      <c r="G40" s="19">
        <f>355730750+575475000*2</f>
        <v>1506680750</v>
      </c>
      <c r="H40" s="41">
        <f>H39</f>
        <v>150</v>
      </c>
      <c r="I40" s="44" t="s">
        <v>135</v>
      </c>
      <c r="J40" s="18"/>
      <c r="K40" s="16">
        <f>K39</f>
        <v>156</v>
      </c>
      <c r="L40" s="44" t="s">
        <v>135</v>
      </c>
      <c r="M40" s="19">
        <v>355730750</v>
      </c>
      <c r="N40" s="16">
        <v>0</v>
      </c>
      <c r="O40" s="44" t="str">
        <f t="shared" si="1"/>
        <v>Org</v>
      </c>
      <c r="P40" s="19">
        <v>8500000</v>
      </c>
      <c r="Q40" s="16">
        <v>37</v>
      </c>
      <c r="R40" s="44" t="str">
        <f t="shared" si="2"/>
        <v>Org</v>
      </c>
      <c r="S40" s="19">
        <v>3880000</v>
      </c>
      <c r="T40" s="16">
        <v>0</v>
      </c>
      <c r="U40" s="44" t="str">
        <f t="shared" si="3"/>
        <v>Org</v>
      </c>
      <c r="V40" s="19">
        <v>274915000</v>
      </c>
      <c r="W40" s="16">
        <v>119</v>
      </c>
      <c r="X40" s="44" t="str">
        <f t="shared" si="4"/>
        <v>Org</v>
      </c>
      <c r="Y40" s="19">
        <v>70262500</v>
      </c>
      <c r="Z40" s="55">
        <f t="shared" si="5"/>
        <v>156</v>
      </c>
      <c r="AA40" s="81" t="str">
        <f t="shared" si="6"/>
        <v>Org</v>
      </c>
      <c r="AB40" s="55">
        <f t="shared" si="7"/>
        <v>100</v>
      </c>
      <c r="AC40" s="31" t="s">
        <v>50</v>
      </c>
      <c r="AD40" s="37">
        <f t="shared" si="8"/>
        <v>357557500</v>
      </c>
      <c r="AE40" s="52">
        <f t="shared" si="9"/>
        <v>100.51352040834254</v>
      </c>
      <c r="AF40" s="31" t="s">
        <v>50</v>
      </c>
      <c r="AG40" s="55">
        <f t="shared" si="10"/>
        <v>306</v>
      </c>
      <c r="AH40" s="81" t="str">
        <f t="shared" si="11"/>
        <v>Org</v>
      </c>
      <c r="AI40" s="37">
        <f t="shared" si="12"/>
        <v>357557500</v>
      </c>
      <c r="AJ40" s="52"/>
      <c r="AK40" s="31" t="s">
        <v>50</v>
      </c>
      <c r="AL40" s="52"/>
      <c r="AM40" s="11"/>
      <c r="AP40" s="21"/>
    </row>
    <row r="41" spans="1:42" ht="160.5" customHeight="1" x14ac:dyDescent="0.2">
      <c r="A41" s="12"/>
      <c r="B41" s="13"/>
      <c r="C41" s="14" t="s">
        <v>101</v>
      </c>
      <c r="D41" s="15" t="s">
        <v>179</v>
      </c>
      <c r="E41" s="48">
        <f>E42</f>
        <v>24</v>
      </c>
      <c r="F41" s="49" t="s">
        <v>136</v>
      </c>
      <c r="G41" s="39">
        <f>G42</f>
        <v>580500000</v>
      </c>
      <c r="H41" s="48">
        <f>H42</f>
        <v>19</v>
      </c>
      <c r="I41" s="49" t="s">
        <v>136</v>
      </c>
      <c r="J41" s="39">
        <f>J42</f>
        <v>0</v>
      </c>
      <c r="K41" s="48">
        <f>K42</f>
        <v>5</v>
      </c>
      <c r="L41" s="49" t="s">
        <v>136</v>
      </c>
      <c r="M41" s="39">
        <f>M42</f>
        <v>180500000</v>
      </c>
      <c r="N41" s="48">
        <f>N42</f>
        <v>0</v>
      </c>
      <c r="O41" s="49" t="str">
        <f t="shared" si="1"/>
        <v>OKP</v>
      </c>
      <c r="P41" s="39">
        <f>P42</f>
        <v>0</v>
      </c>
      <c r="Q41" s="48">
        <f>Q42</f>
        <v>5</v>
      </c>
      <c r="R41" s="49" t="str">
        <f t="shared" si="2"/>
        <v>OKP</v>
      </c>
      <c r="S41" s="39">
        <f>S42</f>
        <v>180500000</v>
      </c>
      <c r="T41" s="48">
        <f>T42</f>
        <v>0</v>
      </c>
      <c r="U41" s="49" t="str">
        <f t="shared" si="3"/>
        <v>OKP</v>
      </c>
      <c r="V41" s="39">
        <f>V42</f>
        <v>0</v>
      </c>
      <c r="W41" s="48">
        <f>W42</f>
        <v>0</v>
      </c>
      <c r="X41" s="49" t="str">
        <f t="shared" si="4"/>
        <v>OKP</v>
      </c>
      <c r="Y41" s="39">
        <f>Y42</f>
        <v>0</v>
      </c>
      <c r="Z41" s="95">
        <f t="shared" si="5"/>
        <v>5</v>
      </c>
      <c r="AA41" s="80" t="str">
        <f t="shared" si="6"/>
        <v>OKP</v>
      </c>
      <c r="AB41" s="90">
        <f t="shared" si="7"/>
        <v>100</v>
      </c>
      <c r="AC41" s="54" t="s">
        <v>50</v>
      </c>
      <c r="AD41" s="51">
        <f t="shared" si="8"/>
        <v>180500000</v>
      </c>
      <c r="AE41" s="56">
        <f t="shared" si="9"/>
        <v>100</v>
      </c>
      <c r="AF41" s="54" t="s">
        <v>50</v>
      </c>
      <c r="AG41" s="73">
        <f t="shared" si="10"/>
        <v>24</v>
      </c>
      <c r="AH41" s="80" t="str">
        <f t="shared" si="11"/>
        <v>OKP</v>
      </c>
      <c r="AI41" s="51">
        <f t="shared" si="12"/>
        <v>180500000</v>
      </c>
      <c r="AJ41" s="56"/>
      <c r="AK41" s="54" t="s">
        <v>50</v>
      </c>
      <c r="AL41" s="56"/>
      <c r="AM41" s="11"/>
      <c r="AP41" s="21"/>
    </row>
    <row r="42" spans="1:42" ht="125.25" customHeight="1" x14ac:dyDescent="0.2">
      <c r="A42" s="12"/>
      <c r="B42" s="13"/>
      <c r="C42" s="22" t="s">
        <v>102</v>
      </c>
      <c r="D42" s="26" t="s">
        <v>180</v>
      </c>
      <c r="E42" s="16">
        <f>5+8+11</f>
        <v>24</v>
      </c>
      <c r="F42" s="44" t="s">
        <v>136</v>
      </c>
      <c r="G42" s="19">
        <f>180500000+200000000*2</f>
        <v>580500000</v>
      </c>
      <c r="H42" s="16">
        <v>19</v>
      </c>
      <c r="I42" s="44" t="s">
        <v>136</v>
      </c>
      <c r="J42" s="18">
        <v>0</v>
      </c>
      <c r="K42" s="16">
        <v>5</v>
      </c>
      <c r="L42" s="44" t="s">
        <v>136</v>
      </c>
      <c r="M42" s="19">
        <v>180500000</v>
      </c>
      <c r="N42" s="16">
        <v>0</v>
      </c>
      <c r="O42" s="44" t="str">
        <f t="shared" si="1"/>
        <v>OKP</v>
      </c>
      <c r="P42" s="19">
        <v>0</v>
      </c>
      <c r="Q42" s="16">
        <v>5</v>
      </c>
      <c r="R42" s="44" t="str">
        <f t="shared" si="2"/>
        <v>OKP</v>
      </c>
      <c r="S42" s="19">
        <v>180500000</v>
      </c>
      <c r="T42" s="16">
        <v>0</v>
      </c>
      <c r="U42" s="44" t="str">
        <f t="shared" si="3"/>
        <v>OKP</v>
      </c>
      <c r="V42" s="19">
        <v>0</v>
      </c>
      <c r="W42" s="16">
        <v>0</v>
      </c>
      <c r="X42" s="44" t="str">
        <f t="shared" si="4"/>
        <v>OKP</v>
      </c>
      <c r="Y42" s="19">
        <v>0</v>
      </c>
      <c r="Z42" s="55">
        <f t="shared" si="5"/>
        <v>5</v>
      </c>
      <c r="AA42" s="81" t="str">
        <f t="shared" si="6"/>
        <v>OKP</v>
      </c>
      <c r="AB42" s="55">
        <f t="shared" si="7"/>
        <v>100</v>
      </c>
      <c r="AC42" s="31" t="s">
        <v>50</v>
      </c>
      <c r="AD42" s="37">
        <f t="shared" si="8"/>
        <v>180500000</v>
      </c>
      <c r="AE42" s="52">
        <f t="shared" si="9"/>
        <v>100</v>
      </c>
      <c r="AF42" s="31" t="s">
        <v>50</v>
      </c>
      <c r="AG42" s="55">
        <f t="shared" si="10"/>
        <v>24</v>
      </c>
      <c r="AH42" s="81" t="str">
        <f t="shared" si="11"/>
        <v>OKP</v>
      </c>
      <c r="AI42" s="37">
        <f t="shared" si="12"/>
        <v>180500000</v>
      </c>
      <c r="AJ42" s="52"/>
      <c r="AK42" s="31" t="s">
        <v>50</v>
      </c>
      <c r="AL42" s="52"/>
      <c r="AM42" s="11"/>
      <c r="AP42" s="21"/>
    </row>
    <row r="43" spans="1:42" s="91" customFormat="1" ht="136.5" customHeight="1" x14ac:dyDescent="0.25">
      <c r="A43" s="12"/>
      <c r="B43" s="13"/>
      <c r="C43" s="13" t="s">
        <v>125</v>
      </c>
      <c r="D43" s="15" t="s">
        <v>175</v>
      </c>
      <c r="E43" s="57">
        <f>12+6+12</f>
        <v>30</v>
      </c>
      <c r="F43" s="49" t="s">
        <v>177</v>
      </c>
      <c r="G43" s="96">
        <f>G45+G49+G54</f>
        <v>29036602659</v>
      </c>
      <c r="H43" s="72">
        <v>4</v>
      </c>
      <c r="I43" s="49" t="s">
        <v>177</v>
      </c>
      <c r="J43" s="96">
        <f>J45+J49+J54</f>
        <v>0</v>
      </c>
      <c r="K43" s="48">
        <f>K45</f>
        <v>12</v>
      </c>
      <c r="L43" s="49" t="s">
        <v>177</v>
      </c>
      <c r="M43" s="96">
        <f>M45+M49+M54</f>
        <v>4664813250</v>
      </c>
      <c r="N43" s="48">
        <v>0</v>
      </c>
      <c r="O43" s="49" t="str">
        <f t="shared" si="1"/>
        <v>Medali</v>
      </c>
      <c r="P43" s="96">
        <f>P45+P49+P54</f>
        <v>230737500</v>
      </c>
      <c r="Q43" s="48">
        <v>0</v>
      </c>
      <c r="R43" s="49" t="str">
        <f t="shared" si="2"/>
        <v>Medali</v>
      </c>
      <c r="S43" s="96">
        <f>S45+S49+S54</f>
        <v>3008274900</v>
      </c>
      <c r="T43" s="48">
        <v>0</v>
      </c>
      <c r="U43" s="49" t="str">
        <f t="shared" si="3"/>
        <v>Medali</v>
      </c>
      <c r="V43" s="96">
        <f>V45+V49+V54</f>
        <v>757119800</v>
      </c>
      <c r="W43" s="48">
        <v>0</v>
      </c>
      <c r="X43" s="49" t="str">
        <f t="shared" si="4"/>
        <v>Medali</v>
      </c>
      <c r="Y43" s="96">
        <f>Y45+Y49+Y54</f>
        <v>310637250</v>
      </c>
      <c r="Z43" s="90">
        <f t="shared" si="5"/>
        <v>0</v>
      </c>
      <c r="AA43" s="80" t="str">
        <f t="shared" si="6"/>
        <v>Medali</v>
      </c>
      <c r="AB43" s="90">
        <f t="shared" si="7"/>
        <v>0</v>
      </c>
      <c r="AC43" s="54" t="s">
        <v>50</v>
      </c>
      <c r="AD43" s="68">
        <f t="shared" si="8"/>
        <v>4306769450</v>
      </c>
      <c r="AE43" s="69">
        <f t="shared" si="9"/>
        <v>92.324584483633942</v>
      </c>
      <c r="AF43" s="45" t="s">
        <v>50</v>
      </c>
      <c r="AG43" s="90">
        <f t="shared" si="10"/>
        <v>4</v>
      </c>
      <c r="AH43" s="80" t="str">
        <f t="shared" si="11"/>
        <v>Medali</v>
      </c>
      <c r="AI43" s="68">
        <f t="shared" si="12"/>
        <v>4306769450</v>
      </c>
      <c r="AJ43" s="56"/>
      <c r="AK43" s="54" t="s">
        <v>50</v>
      </c>
      <c r="AL43" s="69"/>
      <c r="AM43" s="93"/>
      <c r="AP43" s="92"/>
    </row>
    <row r="44" spans="1:42" s="91" customFormat="1" ht="198.75" customHeight="1" x14ac:dyDescent="0.25">
      <c r="A44" s="12"/>
      <c r="B44" s="13"/>
      <c r="C44" s="14"/>
      <c r="D44" s="15" t="s">
        <v>176</v>
      </c>
      <c r="E44" s="57">
        <f>7+8+9</f>
        <v>24</v>
      </c>
      <c r="F44" s="49" t="s">
        <v>177</v>
      </c>
      <c r="G44" s="97"/>
      <c r="H44" s="72"/>
      <c r="I44" s="49" t="s">
        <v>177</v>
      </c>
      <c r="J44" s="97"/>
      <c r="K44" s="48">
        <f>K48</f>
        <v>7</v>
      </c>
      <c r="L44" s="49" t="s">
        <v>177</v>
      </c>
      <c r="M44" s="97"/>
      <c r="N44" s="48">
        <v>0</v>
      </c>
      <c r="O44" s="49" t="str">
        <f t="shared" ref="O44" si="29">L44</f>
        <v>Medali</v>
      </c>
      <c r="P44" s="97"/>
      <c r="Q44" s="48">
        <v>5</v>
      </c>
      <c r="R44" s="49" t="str">
        <f t="shared" ref="R44" si="30">L44</f>
        <v>Medali</v>
      </c>
      <c r="S44" s="97"/>
      <c r="T44" s="48">
        <v>0</v>
      </c>
      <c r="U44" s="49" t="str">
        <f t="shared" ref="U44" si="31">L44</f>
        <v>Medali</v>
      </c>
      <c r="V44" s="97"/>
      <c r="W44" s="48">
        <v>0</v>
      </c>
      <c r="X44" s="49" t="str">
        <f t="shared" si="4"/>
        <v>Medali</v>
      </c>
      <c r="Y44" s="97"/>
      <c r="Z44" s="90">
        <f t="shared" ref="Z44" si="32">SUM(N44,Q44,T44,W44)</f>
        <v>5</v>
      </c>
      <c r="AA44" s="80" t="str">
        <f t="shared" ref="AA44" si="33">L44</f>
        <v>Medali</v>
      </c>
      <c r="AB44" s="90">
        <f t="shared" ref="AB44" si="34">Z44/K44*100</f>
        <v>71.428571428571431</v>
      </c>
      <c r="AC44" s="54" t="s">
        <v>50</v>
      </c>
      <c r="AD44" s="98"/>
      <c r="AE44" s="99"/>
      <c r="AF44" s="100"/>
      <c r="AG44" s="90">
        <f t="shared" ref="AG44" si="35">SUM(H44,Z44)</f>
        <v>5</v>
      </c>
      <c r="AH44" s="80" t="str">
        <f t="shared" ref="AH44" si="36">O44</f>
        <v>Medali</v>
      </c>
      <c r="AI44" s="98"/>
      <c r="AJ44" s="56"/>
      <c r="AK44" s="54" t="s">
        <v>50</v>
      </c>
      <c r="AL44" s="99"/>
      <c r="AM44" s="93"/>
      <c r="AP44" s="92"/>
    </row>
    <row r="45" spans="1:42" s="91" customFormat="1" ht="149.25" customHeight="1" x14ac:dyDescent="0.25">
      <c r="A45" s="12"/>
      <c r="B45" s="13"/>
      <c r="C45" s="13" t="s">
        <v>103</v>
      </c>
      <c r="D45" s="15" t="s">
        <v>172</v>
      </c>
      <c r="E45" s="42">
        <f>E47</f>
        <v>32</v>
      </c>
      <c r="F45" s="49" t="s">
        <v>137</v>
      </c>
      <c r="G45" s="67">
        <f>SUM(G47:G48)</f>
        <v>3163096000</v>
      </c>
      <c r="H45" s="42">
        <f>H47</f>
        <v>2</v>
      </c>
      <c r="I45" s="49" t="s">
        <v>137</v>
      </c>
      <c r="J45" s="67">
        <f>SUM(J47:J48)</f>
        <v>0</v>
      </c>
      <c r="K45" s="42">
        <f>K47</f>
        <v>12</v>
      </c>
      <c r="L45" s="49" t="s">
        <v>137</v>
      </c>
      <c r="M45" s="67">
        <f>SUM(M47:M48)</f>
        <v>753527500</v>
      </c>
      <c r="N45" s="42">
        <f>N47</f>
        <v>0</v>
      </c>
      <c r="O45" s="49" t="str">
        <f t="shared" si="1"/>
        <v>Cabor</v>
      </c>
      <c r="P45" s="67">
        <f>SUM(P47:P48)</f>
        <v>9734500</v>
      </c>
      <c r="Q45" s="42">
        <f>Q47</f>
        <v>12</v>
      </c>
      <c r="R45" s="49" t="str">
        <f t="shared" si="2"/>
        <v>Cabor</v>
      </c>
      <c r="S45" s="67">
        <f>SUM(S47:S48)</f>
        <v>144716200</v>
      </c>
      <c r="T45" s="42">
        <f>T47</f>
        <v>0</v>
      </c>
      <c r="U45" s="49" t="str">
        <f t="shared" si="3"/>
        <v>Cabor</v>
      </c>
      <c r="V45" s="67">
        <f>SUM(V47:V48)</f>
        <v>571876800</v>
      </c>
      <c r="W45" s="42">
        <f>W47</f>
        <v>0</v>
      </c>
      <c r="X45" s="49" t="str">
        <f t="shared" si="4"/>
        <v>Cabor</v>
      </c>
      <c r="Y45" s="67">
        <f>SUM(Y47:Y48)</f>
        <v>26900000</v>
      </c>
      <c r="Z45" s="90">
        <f t="shared" si="5"/>
        <v>12</v>
      </c>
      <c r="AA45" s="80" t="str">
        <f t="shared" si="6"/>
        <v>Cabor</v>
      </c>
      <c r="AB45" s="90">
        <f t="shared" si="7"/>
        <v>100</v>
      </c>
      <c r="AC45" s="54" t="s">
        <v>50</v>
      </c>
      <c r="AD45" s="68">
        <f t="shared" si="8"/>
        <v>753227500</v>
      </c>
      <c r="AE45" s="69">
        <f t="shared" si="9"/>
        <v>99.960187252621836</v>
      </c>
      <c r="AF45" s="45" t="s">
        <v>50</v>
      </c>
      <c r="AG45" s="90">
        <f t="shared" si="10"/>
        <v>14</v>
      </c>
      <c r="AH45" s="80" t="str">
        <f t="shared" si="11"/>
        <v>Cabor</v>
      </c>
      <c r="AI45" s="68">
        <f t="shared" si="12"/>
        <v>753227500</v>
      </c>
      <c r="AJ45" s="56"/>
      <c r="AK45" s="54" t="s">
        <v>50</v>
      </c>
      <c r="AL45" s="69"/>
      <c r="AM45" s="93"/>
      <c r="AP45" s="92"/>
    </row>
    <row r="46" spans="1:42" s="91" customFormat="1" ht="110.25" x14ac:dyDescent="0.25">
      <c r="A46" s="12"/>
      <c r="B46" s="13"/>
      <c r="C46" s="14"/>
      <c r="D46" s="15" t="s">
        <v>173</v>
      </c>
      <c r="E46" s="42">
        <v>100</v>
      </c>
      <c r="F46" s="49" t="s">
        <v>50</v>
      </c>
      <c r="G46" s="100"/>
      <c r="H46" s="42">
        <v>0</v>
      </c>
      <c r="I46" s="49" t="s">
        <v>50</v>
      </c>
      <c r="J46" s="104"/>
      <c r="K46" s="42">
        <v>100</v>
      </c>
      <c r="L46" s="49" t="s">
        <v>50</v>
      </c>
      <c r="M46" s="38"/>
      <c r="N46" s="42">
        <v>0</v>
      </c>
      <c r="O46" s="49" t="str">
        <f t="shared" ref="O46" si="37">L46</f>
        <v>%</v>
      </c>
      <c r="P46" s="38"/>
      <c r="Q46" s="42">
        <f>26/26*100</f>
        <v>100</v>
      </c>
      <c r="R46" s="49" t="str">
        <f t="shared" ref="R46" si="38">L46</f>
        <v>%</v>
      </c>
      <c r="S46" s="38"/>
      <c r="T46" s="42">
        <v>0</v>
      </c>
      <c r="U46" s="49" t="str">
        <f t="shared" ref="U46" si="39">L46</f>
        <v>%</v>
      </c>
      <c r="V46" s="38"/>
      <c r="W46" s="42">
        <v>0</v>
      </c>
      <c r="X46" s="49" t="str">
        <f t="shared" si="4"/>
        <v>%</v>
      </c>
      <c r="Y46" s="38"/>
      <c r="Z46" s="90">
        <f t="shared" ref="Z46" si="40">SUM(N46,Q46,T46,W46)</f>
        <v>100</v>
      </c>
      <c r="AA46" s="80" t="str">
        <f t="shared" ref="AA46" si="41">L46</f>
        <v>%</v>
      </c>
      <c r="AB46" s="90">
        <f t="shared" ref="AB46" si="42">Z46/K46*100</f>
        <v>100</v>
      </c>
      <c r="AC46" s="54" t="s">
        <v>50</v>
      </c>
      <c r="AD46" s="98"/>
      <c r="AE46" s="99"/>
      <c r="AF46" s="100"/>
      <c r="AG46" s="90">
        <f t="shared" ref="AG46" si="43">SUM(H46,Z46)</f>
        <v>100</v>
      </c>
      <c r="AH46" s="80" t="str">
        <f t="shared" ref="AH46" si="44">O46</f>
        <v>%</v>
      </c>
      <c r="AI46" s="98"/>
      <c r="AJ46" s="56"/>
      <c r="AK46" s="54" t="s">
        <v>50</v>
      </c>
      <c r="AL46" s="99"/>
      <c r="AM46" s="93"/>
      <c r="AP46" s="92"/>
    </row>
    <row r="47" spans="1:42" ht="120" x14ac:dyDescent="0.2">
      <c r="A47" s="12"/>
      <c r="B47" s="13"/>
      <c r="C47" s="22" t="s">
        <v>104</v>
      </c>
      <c r="D47" s="26" t="s">
        <v>174</v>
      </c>
      <c r="E47" s="16">
        <f>12+8+12</f>
        <v>32</v>
      </c>
      <c r="F47" s="44" t="s">
        <v>137</v>
      </c>
      <c r="G47" s="19">
        <f>674527500+904784250*2</f>
        <v>2484096000</v>
      </c>
      <c r="H47" s="16">
        <v>2</v>
      </c>
      <c r="I47" s="44" t="s">
        <v>137</v>
      </c>
      <c r="J47" s="18"/>
      <c r="K47" s="16">
        <v>12</v>
      </c>
      <c r="L47" s="44" t="s">
        <v>137</v>
      </c>
      <c r="M47" s="19">
        <v>674527500</v>
      </c>
      <c r="N47" s="16">
        <v>0</v>
      </c>
      <c r="O47" s="44" t="str">
        <f t="shared" si="1"/>
        <v>Cabor</v>
      </c>
      <c r="P47" s="19">
        <v>9734500</v>
      </c>
      <c r="Q47" s="16">
        <v>12</v>
      </c>
      <c r="R47" s="44" t="str">
        <f t="shared" si="2"/>
        <v>Cabor</v>
      </c>
      <c r="S47" s="19">
        <v>128716200</v>
      </c>
      <c r="T47" s="16">
        <v>0</v>
      </c>
      <c r="U47" s="44" t="str">
        <f t="shared" si="3"/>
        <v>Cabor</v>
      </c>
      <c r="V47" s="19">
        <v>536076800</v>
      </c>
      <c r="W47" s="16">
        <v>0</v>
      </c>
      <c r="X47" s="44" t="str">
        <f t="shared" si="4"/>
        <v>Cabor</v>
      </c>
      <c r="Y47" s="19">
        <v>0</v>
      </c>
      <c r="Z47" s="55">
        <f t="shared" si="5"/>
        <v>12</v>
      </c>
      <c r="AA47" s="81" t="str">
        <f t="shared" si="6"/>
        <v>Cabor</v>
      </c>
      <c r="AB47" s="55">
        <f>Z47/K47*100</f>
        <v>100</v>
      </c>
      <c r="AC47" s="31" t="s">
        <v>50</v>
      </c>
      <c r="AD47" s="37">
        <f t="shared" si="8"/>
        <v>674527500</v>
      </c>
      <c r="AE47" s="52">
        <f t="shared" si="9"/>
        <v>100</v>
      </c>
      <c r="AF47" s="31" t="s">
        <v>50</v>
      </c>
      <c r="AG47" s="55">
        <f t="shared" si="10"/>
        <v>14</v>
      </c>
      <c r="AH47" s="81" t="str">
        <f t="shared" si="11"/>
        <v>Cabor</v>
      </c>
      <c r="AI47" s="37">
        <f t="shared" si="12"/>
        <v>674527500</v>
      </c>
      <c r="AJ47" s="52"/>
      <c r="AK47" s="31" t="s">
        <v>50</v>
      </c>
      <c r="AL47" s="52"/>
      <c r="AM47" s="11"/>
      <c r="AP47" s="21"/>
    </row>
    <row r="48" spans="1:42" ht="75" x14ac:dyDescent="0.2">
      <c r="A48" s="12"/>
      <c r="B48" s="13"/>
      <c r="C48" s="76" t="s">
        <v>105</v>
      </c>
      <c r="D48" s="77" t="s">
        <v>171</v>
      </c>
      <c r="E48" s="16">
        <v>5</v>
      </c>
      <c r="F48" s="44" t="s">
        <v>126</v>
      </c>
      <c r="G48" s="19">
        <f>79000000+300000000+300000000</f>
        <v>679000000</v>
      </c>
      <c r="H48" s="16">
        <v>0</v>
      </c>
      <c r="I48" s="44" t="s">
        <v>126</v>
      </c>
      <c r="J48" s="18"/>
      <c r="K48" s="16">
        <v>7</v>
      </c>
      <c r="L48" s="44" t="s">
        <v>126</v>
      </c>
      <c r="M48" s="19">
        <v>79000000</v>
      </c>
      <c r="N48" s="16">
        <v>0</v>
      </c>
      <c r="O48" s="44" t="str">
        <f t="shared" si="1"/>
        <v>Besar</v>
      </c>
      <c r="P48" s="19">
        <v>0</v>
      </c>
      <c r="Q48" s="16">
        <v>11</v>
      </c>
      <c r="R48" s="44" t="str">
        <f t="shared" si="2"/>
        <v>Besar</v>
      </c>
      <c r="S48" s="19">
        <v>16000000</v>
      </c>
      <c r="T48" s="16">
        <v>0</v>
      </c>
      <c r="U48" s="44" t="str">
        <f t="shared" si="3"/>
        <v>Besar</v>
      </c>
      <c r="V48" s="19">
        <v>35800000</v>
      </c>
      <c r="W48" s="16">
        <v>0</v>
      </c>
      <c r="X48" s="44" t="str">
        <f t="shared" si="4"/>
        <v>Besar</v>
      </c>
      <c r="Y48" s="19">
        <v>26900000</v>
      </c>
      <c r="Z48" s="55">
        <f t="shared" si="5"/>
        <v>11</v>
      </c>
      <c r="AA48" s="81" t="str">
        <f t="shared" si="6"/>
        <v>Besar</v>
      </c>
      <c r="AB48" s="55">
        <f>Z48/K48*100</f>
        <v>157.14285714285714</v>
      </c>
      <c r="AC48" s="31" t="s">
        <v>50</v>
      </c>
      <c r="AD48" s="37">
        <f t="shared" si="8"/>
        <v>78700000</v>
      </c>
      <c r="AE48" s="52">
        <f t="shared" si="9"/>
        <v>99.620253164556956</v>
      </c>
      <c r="AF48" s="31" t="s">
        <v>50</v>
      </c>
      <c r="AG48" s="55">
        <f t="shared" si="10"/>
        <v>11</v>
      </c>
      <c r="AH48" s="81" t="str">
        <f t="shared" si="11"/>
        <v>Besar</v>
      </c>
      <c r="AI48" s="37">
        <f t="shared" si="12"/>
        <v>78700000</v>
      </c>
      <c r="AJ48" s="52"/>
      <c r="AK48" s="31" t="s">
        <v>50</v>
      </c>
      <c r="AL48" s="52"/>
      <c r="AM48" s="11"/>
      <c r="AP48" s="21"/>
    </row>
    <row r="49" spans="1:42" s="91" customFormat="1" ht="157.5" x14ac:dyDescent="0.25">
      <c r="A49" s="12"/>
      <c r="B49" s="13"/>
      <c r="C49" s="14" t="s">
        <v>106</v>
      </c>
      <c r="D49" s="15" t="s">
        <v>161</v>
      </c>
      <c r="E49" s="42">
        <f>SUM(E51,E53)</f>
        <v>15</v>
      </c>
      <c r="F49" s="43" t="s">
        <v>127</v>
      </c>
      <c r="G49" s="67">
        <f>SUM(G51:G53)</f>
        <v>8773506659</v>
      </c>
      <c r="H49" s="42">
        <f>SUM(H51,H53)</f>
        <v>0</v>
      </c>
      <c r="I49" s="43" t="s">
        <v>127</v>
      </c>
      <c r="J49" s="67">
        <f>SUM(J51:J53)</f>
        <v>0</v>
      </c>
      <c r="K49" s="42">
        <f>SUM(K51,K53)</f>
        <v>5</v>
      </c>
      <c r="L49" s="49" t="s">
        <v>127</v>
      </c>
      <c r="M49" s="67">
        <f>SUM(M51:M53)</f>
        <v>1251285750</v>
      </c>
      <c r="N49" s="42">
        <f>SUM(N51,N53)</f>
        <v>0</v>
      </c>
      <c r="O49" s="49" t="str">
        <f t="shared" si="1"/>
        <v>Event</v>
      </c>
      <c r="P49" s="67">
        <f>SUM(P51:P53)</f>
        <v>221003000</v>
      </c>
      <c r="Q49" s="42">
        <f>SUM(Q51,Q53)</f>
        <v>0</v>
      </c>
      <c r="R49" s="49" t="str">
        <f t="shared" si="2"/>
        <v>Event</v>
      </c>
      <c r="S49" s="67">
        <f>SUM(S51:S53)</f>
        <v>203558700</v>
      </c>
      <c r="T49" s="42">
        <f>SUM(T51,T53)</f>
        <v>0</v>
      </c>
      <c r="U49" s="49" t="str">
        <f t="shared" si="3"/>
        <v>Event</v>
      </c>
      <c r="V49" s="67">
        <f>SUM(V51:V53)</f>
        <v>185243000</v>
      </c>
      <c r="W49" s="42">
        <f>SUM(W51,W53)</f>
        <v>3</v>
      </c>
      <c r="X49" s="49" t="str">
        <f t="shared" si="4"/>
        <v>Event</v>
      </c>
      <c r="Y49" s="67">
        <f>SUM(Y51:Y53)</f>
        <v>283737250</v>
      </c>
      <c r="Z49" s="90">
        <f t="shared" si="5"/>
        <v>3</v>
      </c>
      <c r="AA49" s="80" t="str">
        <f t="shared" si="6"/>
        <v>Event</v>
      </c>
      <c r="AB49" s="90">
        <f t="shared" si="7"/>
        <v>60</v>
      </c>
      <c r="AC49" s="54" t="s">
        <v>50</v>
      </c>
      <c r="AD49" s="68">
        <f t="shared" si="8"/>
        <v>893541950</v>
      </c>
      <c r="AE49" s="69">
        <f t="shared" si="9"/>
        <v>71.409903772979106</v>
      </c>
      <c r="AF49" s="45" t="s">
        <v>50</v>
      </c>
      <c r="AG49" s="90">
        <f t="shared" si="10"/>
        <v>3</v>
      </c>
      <c r="AH49" s="80" t="str">
        <f t="shared" si="11"/>
        <v>Event</v>
      </c>
      <c r="AI49" s="68">
        <f t="shared" si="12"/>
        <v>893541950</v>
      </c>
      <c r="AJ49" s="56"/>
      <c r="AK49" s="54" t="s">
        <v>50</v>
      </c>
      <c r="AL49" s="69"/>
      <c r="AM49" s="93"/>
      <c r="AP49" s="92"/>
    </row>
    <row r="50" spans="1:42" s="91" customFormat="1" ht="126" x14ac:dyDescent="0.25">
      <c r="A50" s="12"/>
      <c r="B50" s="13"/>
      <c r="C50" s="14"/>
      <c r="D50" s="15" t="s">
        <v>167</v>
      </c>
      <c r="E50" s="94">
        <f>1/1*100</f>
        <v>100</v>
      </c>
      <c r="F50" s="49" t="s">
        <v>50</v>
      </c>
      <c r="G50" s="100"/>
      <c r="H50" s="94">
        <f>1/1*100</f>
        <v>100</v>
      </c>
      <c r="I50" s="49" t="s">
        <v>50</v>
      </c>
      <c r="J50" s="104"/>
      <c r="K50" s="42">
        <f>K52/K52*100</f>
        <v>100</v>
      </c>
      <c r="L50" s="49" t="s">
        <v>50</v>
      </c>
      <c r="M50" s="38"/>
      <c r="N50" s="42">
        <f>N52/N52*100</f>
        <v>100</v>
      </c>
      <c r="O50" s="49" t="str">
        <f t="shared" ref="O50" si="45">L50</f>
        <v>%</v>
      </c>
      <c r="P50" s="38"/>
      <c r="Q50" s="42">
        <v>0</v>
      </c>
      <c r="R50" s="49" t="str">
        <f t="shared" ref="R50" si="46">L50</f>
        <v>%</v>
      </c>
      <c r="S50" s="38"/>
      <c r="T50" s="42">
        <v>0</v>
      </c>
      <c r="U50" s="49" t="str">
        <f t="shared" ref="U50" si="47">L50</f>
        <v>%</v>
      </c>
      <c r="V50" s="38"/>
      <c r="W50" s="42">
        <v>0</v>
      </c>
      <c r="X50" s="49" t="str">
        <f t="shared" si="4"/>
        <v>%</v>
      </c>
      <c r="Y50" s="38"/>
      <c r="Z50" s="90">
        <f t="shared" ref="Z50" si="48">SUM(N50,Q50,T50,W50)</f>
        <v>100</v>
      </c>
      <c r="AA50" s="80" t="str">
        <f t="shared" ref="AA50" si="49">L50</f>
        <v>%</v>
      </c>
      <c r="AB50" s="90">
        <f t="shared" ref="AB50" si="50">Z50/K50*100</f>
        <v>100</v>
      </c>
      <c r="AC50" s="54" t="s">
        <v>50</v>
      </c>
      <c r="AD50" s="98"/>
      <c r="AE50" s="99"/>
      <c r="AF50" s="100"/>
      <c r="AG50" s="90">
        <f t="shared" ref="AG50" si="51">SUM(H50,Z50)</f>
        <v>200</v>
      </c>
      <c r="AH50" s="80" t="str">
        <f t="shared" ref="AH50" si="52">O50</f>
        <v>%</v>
      </c>
      <c r="AI50" s="98"/>
      <c r="AJ50" s="56"/>
      <c r="AK50" s="54" t="s">
        <v>50</v>
      </c>
      <c r="AL50" s="99"/>
      <c r="AM50" s="93"/>
      <c r="AP50" s="92"/>
    </row>
    <row r="51" spans="1:42" ht="135" x14ac:dyDescent="0.2">
      <c r="A51" s="12"/>
      <c r="B51" s="13"/>
      <c r="C51" s="22" t="s">
        <v>165</v>
      </c>
      <c r="D51" s="26" t="s">
        <v>166</v>
      </c>
      <c r="E51" s="16">
        <f>3*3</f>
        <v>9</v>
      </c>
      <c r="F51" s="44" t="s">
        <v>127</v>
      </c>
      <c r="G51" s="47"/>
      <c r="H51" s="41">
        <v>0</v>
      </c>
      <c r="I51" s="44" t="s">
        <v>127</v>
      </c>
      <c r="J51" s="18"/>
      <c r="K51" s="16">
        <v>3</v>
      </c>
      <c r="L51" s="44" t="s">
        <v>127</v>
      </c>
      <c r="M51" s="19">
        <v>78646750</v>
      </c>
      <c r="N51" s="16">
        <v>0</v>
      </c>
      <c r="O51" s="44" t="str">
        <f t="shared" si="1"/>
        <v>Event</v>
      </c>
      <c r="P51" s="19">
        <v>0</v>
      </c>
      <c r="Q51" s="16">
        <v>0</v>
      </c>
      <c r="R51" s="44" t="str">
        <f t="shared" si="2"/>
        <v>Event</v>
      </c>
      <c r="S51" s="19">
        <v>0</v>
      </c>
      <c r="T51" s="16">
        <v>0</v>
      </c>
      <c r="U51" s="44" t="str">
        <f t="shared" si="3"/>
        <v>Event</v>
      </c>
      <c r="V51" s="19">
        <v>0</v>
      </c>
      <c r="W51" s="16">
        <v>3</v>
      </c>
      <c r="X51" s="44" t="str">
        <f t="shared" si="4"/>
        <v>Event</v>
      </c>
      <c r="Y51" s="19">
        <v>54386250</v>
      </c>
      <c r="Z51" s="55">
        <f t="shared" si="5"/>
        <v>3</v>
      </c>
      <c r="AA51" s="81" t="str">
        <f t="shared" si="6"/>
        <v>Event</v>
      </c>
      <c r="AB51" s="55">
        <f t="shared" si="7"/>
        <v>100</v>
      </c>
      <c r="AC51" s="31" t="s">
        <v>50</v>
      </c>
      <c r="AD51" s="37">
        <f t="shared" si="8"/>
        <v>54386250</v>
      </c>
      <c r="AE51" s="52">
        <f t="shared" si="9"/>
        <v>69.15257146671668</v>
      </c>
      <c r="AF51" s="31" t="s">
        <v>50</v>
      </c>
      <c r="AG51" s="55">
        <f t="shared" si="10"/>
        <v>3</v>
      </c>
      <c r="AH51" s="81" t="str">
        <f t="shared" si="11"/>
        <v>Event</v>
      </c>
      <c r="AI51" s="37">
        <f t="shared" si="12"/>
        <v>54386250</v>
      </c>
      <c r="AJ51" s="52"/>
      <c r="AK51" s="31" t="s">
        <v>50</v>
      </c>
      <c r="AL51" s="52"/>
      <c r="AM51" s="11"/>
      <c r="AP51" s="21"/>
    </row>
    <row r="52" spans="1:42" ht="138" customHeight="1" x14ac:dyDescent="0.2">
      <c r="A52" s="12"/>
      <c r="B52" s="13"/>
      <c r="C52" s="76" t="s">
        <v>107</v>
      </c>
      <c r="D52" s="26" t="s">
        <v>162</v>
      </c>
      <c r="E52" s="16">
        <v>12</v>
      </c>
      <c r="F52" s="44" t="s">
        <v>163</v>
      </c>
      <c r="G52" s="19">
        <f>943639000+5963232959+943639000</f>
        <v>7850510959</v>
      </c>
      <c r="H52" s="16">
        <v>1</v>
      </c>
      <c r="I52" s="44" t="s">
        <v>163</v>
      </c>
      <c r="J52" s="18"/>
      <c r="K52" s="16">
        <v>7</v>
      </c>
      <c r="L52" s="44" t="s">
        <v>163</v>
      </c>
      <c r="M52" s="19">
        <v>943639000</v>
      </c>
      <c r="N52" s="16">
        <v>7</v>
      </c>
      <c r="O52" s="44" t="str">
        <f t="shared" si="1"/>
        <v>Venue</v>
      </c>
      <c r="P52" s="19">
        <v>221003000</v>
      </c>
      <c r="Q52" s="16">
        <v>0</v>
      </c>
      <c r="R52" s="44" t="str">
        <f t="shared" si="2"/>
        <v>Venue</v>
      </c>
      <c r="S52" s="19">
        <v>203558700</v>
      </c>
      <c r="T52" s="16">
        <v>0</v>
      </c>
      <c r="U52" s="44" t="str">
        <f t="shared" si="3"/>
        <v>Venue</v>
      </c>
      <c r="V52" s="19">
        <v>185243000</v>
      </c>
      <c r="W52" s="16">
        <v>0</v>
      </c>
      <c r="X52" s="44" t="str">
        <f t="shared" si="4"/>
        <v>Venue</v>
      </c>
      <c r="Y52" s="19">
        <v>229351000</v>
      </c>
      <c r="Z52" s="55">
        <f t="shared" si="5"/>
        <v>7</v>
      </c>
      <c r="AA52" s="81" t="str">
        <f t="shared" si="6"/>
        <v>Venue</v>
      </c>
      <c r="AB52" s="55">
        <f t="shared" si="7"/>
        <v>100</v>
      </c>
      <c r="AC52" s="31" t="s">
        <v>50</v>
      </c>
      <c r="AD52" s="37">
        <f t="shared" si="8"/>
        <v>839155700</v>
      </c>
      <c r="AE52" s="52">
        <f t="shared" si="9"/>
        <v>88.927619566380784</v>
      </c>
      <c r="AF52" s="31" t="s">
        <v>50</v>
      </c>
      <c r="AG52" s="55">
        <f t="shared" si="10"/>
        <v>8</v>
      </c>
      <c r="AH52" s="81" t="str">
        <f t="shared" si="11"/>
        <v>Venue</v>
      </c>
      <c r="AI52" s="37">
        <f t="shared" si="12"/>
        <v>839155700</v>
      </c>
      <c r="AJ52" s="52"/>
      <c r="AK52" s="31" t="s">
        <v>50</v>
      </c>
      <c r="AL52" s="52"/>
      <c r="AM52" s="11"/>
      <c r="AP52" s="21"/>
    </row>
    <row r="53" spans="1:42" ht="105.75" customHeight="1" x14ac:dyDescent="0.2">
      <c r="A53" s="12"/>
      <c r="B53" s="13"/>
      <c r="C53" s="76" t="s">
        <v>108</v>
      </c>
      <c r="D53" s="77" t="s">
        <v>164</v>
      </c>
      <c r="E53" s="16">
        <f>2*3</f>
        <v>6</v>
      </c>
      <c r="F53" s="44" t="s">
        <v>127</v>
      </c>
      <c r="G53" s="19">
        <f>229000000+346997850*2</f>
        <v>922995700</v>
      </c>
      <c r="H53" s="41">
        <v>0</v>
      </c>
      <c r="I53" s="44" t="s">
        <v>127</v>
      </c>
      <c r="J53" s="18"/>
      <c r="K53" s="16">
        <v>2</v>
      </c>
      <c r="L53" s="44" t="s">
        <v>127</v>
      </c>
      <c r="M53" s="19">
        <v>229000000</v>
      </c>
      <c r="N53" s="16">
        <v>0</v>
      </c>
      <c r="O53" s="44" t="str">
        <f t="shared" si="1"/>
        <v>Event</v>
      </c>
      <c r="P53" s="19">
        <v>0</v>
      </c>
      <c r="Q53" s="16">
        <v>0</v>
      </c>
      <c r="R53" s="44" t="str">
        <f t="shared" si="2"/>
        <v>Event</v>
      </c>
      <c r="S53" s="19">
        <v>0</v>
      </c>
      <c r="T53" s="16">
        <v>0</v>
      </c>
      <c r="U53" s="44" t="str">
        <f t="shared" si="3"/>
        <v>Event</v>
      </c>
      <c r="V53" s="19">
        <v>0</v>
      </c>
      <c r="W53" s="16">
        <v>0</v>
      </c>
      <c r="X53" s="44" t="str">
        <f t="shared" si="4"/>
        <v>Event</v>
      </c>
      <c r="Y53" s="19">
        <v>0</v>
      </c>
      <c r="Z53" s="55">
        <f t="shared" si="5"/>
        <v>0</v>
      </c>
      <c r="AA53" s="81" t="str">
        <f t="shared" si="6"/>
        <v>Event</v>
      </c>
      <c r="AB53" s="55">
        <f t="shared" si="7"/>
        <v>0</v>
      </c>
      <c r="AC53" s="31" t="s">
        <v>50</v>
      </c>
      <c r="AD53" s="37">
        <f t="shared" si="8"/>
        <v>0</v>
      </c>
      <c r="AE53" s="52">
        <f t="shared" si="9"/>
        <v>0</v>
      </c>
      <c r="AF53" s="31" t="s">
        <v>50</v>
      </c>
      <c r="AG53" s="55">
        <f t="shared" si="10"/>
        <v>0</v>
      </c>
      <c r="AH53" s="81" t="str">
        <f t="shared" si="11"/>
        <v>Event</v>
      </c>
      <c r="AI53" s="37">
        <f t="shared" si="12"/>
        <v>0</v>
      </c>
      <c r="AJ53" s="52"/>
      <c r="AK53" s="31" t="s">
        <v>50</v>
      </c>
      <c r="AL53" s="52"/>
      <c r="AM53" s="11"/>
      <c r="AP53" s="21"/>
    </row>
    <row r="54" spans="1:42" s="91" customFormat="1" ht="97.5" customHeight="1" x14ac:dyDescent="0.25">
      <c r="A54" s="12"/>
      <c r="B54" s="13"/>
      <c r="C54" s="14" t="s">
        <v>109</v>
      </c>
      <c r="D54" s="15" t="s">
        <v>170</v>
      </c>
      <c r="E54" s="42">
        <f>E55</f>
        <v>8</v>
      </c>
      <c r="F54" s="49" t="s">
        <v>169</v>
      </c>
      <c r="G54" s="39">
        <f>G55</f>
        <v>17100000000</v>
      </c>
      <c r="H54" s="42">
        <f>H55</f>
        <v>2</v>
      </c>
      <c r="I54" s="49" t="s">
        <v>169</v>
      </c>
      <c r="J54" s="39">
        <f>J55</f>
        <v>0</v>
      </c>
      <c r="K54" s="42">
        <f>K55</f>
        <v>2</v>
      </c>
      <c r="L54" s="49" t="s">
        <v>169</v>
      </c>
      <c r="M54" s="39">
        <f>M55</f>
        <v>2660000000</v>
      </c>
      <c r="N54" s="42">
        <f>N55</f>
        <v>0</v>
      </c>
      <c r="O54" s="49" t="str">
        <f t="shared" si="1"/>
        <v>Organisasi Olahraga</v>
      </c>
      <c r="P54" s="39">
        <f>P55</f>
        <v>0</v>
      </c>
      <c r="Q54" s="42">
        <f>Q55</f>
        <v>2</v>
      </c>
      <c r="R54" s="49" t="str">
        <f t="shared" si="2"/>
        <v>Organisasi Olahraga</v>
      </c>
      <c r="S54" s="39">
        <f>S55</f>
        <v>2660000000</v>
      </c>
      <c r="T54" s="42">
        <f>T55</f>
        <v>0</v>
      </c>
      <c r="U54" s="49" t="str">
        <f t="shared" si="3"/>
        <v>Organisasi Olahraga</v>
      </c>
      <c r="V54" s="39">
        <f>V55</f>
        <v>0</v>
      </c>
      <c r="W54" s="42">
        <f>W55</f>
        <v>0</v>
      </c>
      <c r="X54" s="49" t="str">
        <f t="shared" si="4"/>
        <v>Organisasi Olahraga</v>
      </c>
      <c r="Y54" s="39">
        <f>Y55</f>
        <v>0</v>
      </c>
      <c r="Z54" s="90">
        <f t="shared" si="5"/>
        <v>2</v>
      </c>
      <c r="AA54" s="80" t="str">
        <f t="shared" si="6"/>
        <v>Organisasi Olahraga</v>
      </c>
      <c r="AB54" s="90">
        <f t="shared" si="7"/>
        <v>100</v>
      </c>
      <c r="AC54" s="54" t="s">
        <v>50</v>
      </c>
      <c r="AD54" s="51">
        <f t="shared" si="8"/>
        <v>2660000000</v>
      </c>
      <c r="AE54" s="56">
        <f t="shared" si="9"/>
        <v>100</v>
      </c>
      <c r="AF54" s="54" t="s">
        <v>50</v>
      </c>
      <c r="AG54" s="90">
        <f t="shared" si="10"/>
        <v>4</v>
      </c>
      <c r="AH54" s="80" t="str">
        <f t="shared" si="11"/>
        <v>Organisasi Olahraga</v>
      </c>
      <c r="AI54" s="51">
        <f t="shared" si="12"/>
        <v>2660000000</v>
      </c>
      <c r="AJ54" s="56"/>
      <c r="AK54" s="54" t="s">
        <v>50</v>
      </c>
      <c r="AL54" s="56"/>
      <c r="AM54" s="93"/>
      <c r="AP54" s="92"/>
    </row>
    <row r="55" spans="1:42" ht="90" x14ac:dyDescent="0.2">
      <c r="A55" s="12"/>
      <c r="B55" s="13"/>
      <c r="C55" s="22" t="s">
        <v>110</v>
      </c>
      <c r="D55" s="26" t="s">
        <v>168</v>
      </c>
      <c r="E55" s="16">
        <f>2+3+3</f>
        <v>8</v>
      </c>
      <c r="F55" s="44" t="s">
        <v>169</v>
      </c>
      <c r="G55" s="19">
        <f>2660000000+7220000000+7220000000</f>
        <v>17100000000</v>
      </c>
      <c r="H55" s="16">
        <v>2</v>
      </c>
      <c r="I55" s="44" t="s">
        <v>169</v>
      </c>
      <c r="J55" s="18"/>
      <c r="K55" s="16">
        <v>2</v>
      </c>
      <c r="L55" s="44" t="s">
        <v>169</v>
      </c>
      <c r="M55" s="19">
        <v>2660000000</v>
      </c>
      <c r="N55" s="16">
        <v>0</v>
      </c>
      <c r="O55" s="44" t="str">
        <f t="shared" si="1"/>
        <v>Organisasi Olahraga</v>
      </c>
      <c r="P55" s="19">
        <v>0</v>
      </c>
      <c r="Q55" s="16">
        <v>2</v>
      </c>
      <c r="R55" s="44" t="str">
        <f t="shared" si="2"/>
        <v>Organisasi Olahraga</v>
      </c>
      <c r="S55" s="19">
        <v>2660000000</v>
      </c>
      <c r="T55" s="16">
        <v>0</v>
      </c>
      <c r="U55" s="44" t="str">
        <f t="shared" si="3"/>
        <v>Organisasi Olahraga</v>
      </c>
      <c r="V55" s="19">
        <v>0</v>
      </c>
      <c r="W55" s="16">
        <v>0</v>
      </c>
      <c r="X55" s="44" t="str">
        <f t="shared" si="4"/>
        <v>Organisasi Olahraga</v>
      </c>
      <c r="Y55" s="19">
        <v>0</v>
      </c>
      <c r="Z55" s="55">
        <f t="shared" si="5"/>
        <v>2</v>
      </c>
      <c r="AA55" s="81" t="str">
        <f t="shared" si="6"/>
        <v>Organisasi Olahraga</v>
      </c>
      <c r="AB55" s="55">
        <f t="shared" si="7"/>
        <v>100</v>
      </c>
      <c r="AC55" s="31" t="s">
        <v>50</v>
      </c>
      <c r="AD55" s="37">
        <f t="shared" si="8"/>
        <v>2660000000</v>
      </c>
      <c r="AE55" s="52">
        <f t="shared" si="9"/>
        <v>100</v>
      </c>
      <c r="AF55" s="31" t="s">
        <v>50</v>
      </c>
      <c r="AG55" s="55">
        <f t="shared" si="10"/>
        <v>4</v>
      </c>
      <c r="AH55" s="81" t="str">
        <f t="shared" si="11"/>
        <v>Organisasi Olahraga</v>
      </c>
      <c r="AI55" s="37">
        <f t="shared" si="12"/>
        <v>2660000000</v>
      </c>
      <c r="AJ55" s="52"/>
      <c r="AK55" s="31" t="s">
        <v>50</v>
      </c>
      <c r="AL55" s="52"/>
      <c r="AM55" s="11"/>
      <c r="AP55" s="21"/>
    </row>
    <row r="56" spans="1:42" s="91" customFormat="1" ht="94.5" x14ac:dyDescent="0.25">
      <c r="A56" s="12"/>
      <c r="B56" s="13"/>
      <c r="C56" s="14" t="s">
        <v>181</v>
      </c>
      <c r="D56" s="15" t="s">
        <v>130</v>
      </c>
      <c r="E56" s="101">
        <f>E57/409*100</f>
        <v>97.066014669926645</v>
      </c>
      <c r="F56" s="49" t="s">
        <v>50</v>
      </c>
      <c r="G56" s="58">
        <f>G57</f>
        <v>1037500000</v>
      </c>
      <c r="H56" s="101">
        <f>392/409*100</f>
        <v>95.843520782396084</v>
      </c>
      <c r="I56" s="49" t="s">
        <v>50</v>
      </c>
      <c r="J56" s="58">
        <f>J57</f>
        <v>0</v>
      </c>
      <c r="K56" s="101">
        <f>K57/409*100</f>
        <v>96.332518337408317</v>
      </c>
      <c r="L56" s="49" t="s">
        <v>50</v>
      </c>
      <c r="M56" s="58">
        <f>M57</f>
        <v>237500000</v>
      </c>
      <c r="N56" s="101">
        <f>N57/409*100</f>
        <v>0</v>
      </c>
      <c r="O56" s="49" t="str">
        <f t="shared" si="1"/>
        <v>%</v>
      </c>
      <c r="P56" s="58">
        <f>P57</f>
        <v>0</v>
      </c>
      <c r="Q56" s="101">
        <f>Q57/409*100</f>
        <v>0.48899755501222492</v>
      </c>
      <c r="R56" s="49" t="str">
        <f t="shared" si="2"/>
        <v>%</v>
      </c>
      <c r="S56" s="58">
        <f>S57</f>
        <v>237500000</v>
      </c>
      <c r="T56" s="101">
        <f>T57/409*100</f>
        <v>0</v>
      </c>
      <c r="U56" s="49" t="str">
        <f t="shared" si="3"/>
        <v>%</v>
      </c>
      <c r="V56" s="58">
        <f>V57</f>
        <v>0</v>
      </c>
      <c r="W56" s="101">
        <f>W57/409*100</f>
        <v>0</v>
      </c>
      <c r="X56" s="49" t="str">
        <f t="shared" si="4"/>
        <v>%</v>
      </c>
      <c r="Y56" s="58">
        <f>Y57</f>
        <v>0</v>
      </c>
      <c r="Z56" s="56">
        <f t="shared" si="5"/>
        <v>0.48899755501222492</v>
      </c>
      <c r="AA56" s="80" t="str">
        <f t="shared" si="6"/>
        <v>%</v>
      </c>
      <c r="AB56" s="90">
        <f>AG56/K56*100</f>
        <v>99.999999999999986</v>
      </c>
      <c r="AC56" s="54" t="s">
        <v>50</v>
      </c>
      <c r="AD56" s="51">
        <f t="shared" si="8"/>
        <v>237500000</v>
      </c>
      <c r="AE56" s="90">
        <f t="shared" si="9"/>
        <v>100</v>
      </c>
      <c r="AF56" s="54" t="s">
        <v>50</v>
      </c>
      <c r="AG56" s="56">
        <f t="shared" si="10"/>
        <v>96.332518337408303</v>
      </c>
      <c r="AH56" s="80" t="str">
        <f t="shared" si="11"/>
        <v>%</v>
      </c>
      <c r="AI56" s="51">
        <f t="shared" si="12"/>
        <v>237500000</v>
      </c>
      <c r="AJ56" s="56"/>
      <c r="AK56" s="54" t="s">
        <v>50</v>
      </c>
      <c r="AL56" s="56"/>
      <c r="AM56" s="93"/>
      <c r="AP56" s="92"/>
    </row>
    <row r="57" spans="1:42" s="91" customFormat="1" ht="110.25" x14ac:dyDescent="0.25">
      <c r="A57" s="12"/>
      <c r="B57" s="13"/>
      <c r="C57" s="14" t="s">
        <v>111</v>
      </c>
      <c r="D57" s="15" t="s">
        <v>183</v>
      </c>
      <c r="E57" s="42">
        <v>397</v>
      </c>
      <c r="F57" s="49" t="s">
        <v>128</v>
      </c>
      <c r="G57" s="39">
        <f>SUM(G58)</f>
        <v>1037500000</v>
      </c>
      <c r="H57" s="94">
        <v>392</v>
      </c>
      <c r="I57" s="49" t="s">
        <v>128</v>
      </c>
      <c r="J57" s="39">
        <f>SUM(J58)</f>
        <v>0</v>
      </c>
      <c r="K57" s="42">
        <v>394</v>
      </c>
      <c r="L57" s="49" t="s">
        <v>128</v>
      </c>
      <c r="M57" s="39">
        <f>SUM(M58)</f>
        <v>237500000</v>
      </c>
      <c r="N57" s="42">
        <v>0</v>
      </c>
      <c r="O57" s="49" t="str">
        <f t="shared" si="1"/>
        <v>Organisasi</v>
      </c>
      <c r="P57" s="39">
        <f>SUM(P58)</f>
        <v>0</v>
      </c>
      <c r="Q57" s="42">
        <v>2</v>
      </c>
      <c r="R57" s="49" t="str">
        <f t="shared" si="2"/>
        <v>Organisasi</v>
      </c>
      <c r="S57" s="39">
        <f>SUM(S58)</f>
        <v>237500000</v>
      </c>
      <c r="T57" s="42">
        <v>0</v>
      </c>
      <c r="U57" s="49" t="str">
        <f t="shared" si="3"/>
        <v>Organisasi</v>
      </c>
      <c r="V57" s="39">
        <f>SUM(V58)</f>
        <v>0</v>
      </c>
      <c r="W57" s="42">
        <v>0</v>
      </c>
      <c r="X57" s="49" t="str">
        <f t="shared" si="4"/>
        <v>Organisasi</v>
      </c>
      <c r="Y57" s="39">
        <f>SUM(Y58)</f>
        <v>0</v>
      </c>
      <c r="Z57" s="90">
        <f t="shared" si="5"/>
        <v>2</v>
      </c>
      <c r="AA57" s="80" t="str">
        <f t="shared" si="6"/>
        <v>Organisasi</v>
      </c>
      <c r="AB57" s="90">
        <f>AG57/K57*100</f>
        <v>100</v>
      </c>
      <c r="AC57" s="54" t="s">
        <v>50</v>
      </c>
      <c r="AD57" s="51">
        <f t="shared" si="8"/>
        <v>237500000</v>
      </c>
      <c r="AE57" s="90">
        <f t="shared" si="9"/>
        <v>100</v>
      </c>
      <c r="AF57" s="54" t="s">
        <v>50</v>
      </c>
      <c r="AG57" s="102">
        <f t="shared" si="10"/>
        <v>394</v>
      </c>
      <c r="AH57" s="80" t="str">
        <f t="shared" si="11"/>
        <v>Organisasi</v>
      </c>
      <c r="AI57" s="51">
        <f t="shared" si="12"/>
        <v>237500000</v>
      </c>
      <c r="AJ57" s="56"/>
      <c r="AK57" s="54" t="s">
        <v>50</v>
      </c>
      <c r="AL57" s="56"/>
      <c r="AM57" s="93"/>
      <c r="AP57" s="92"/>
    </row>
    <row r="58" spans="1:42" ht="105" x14ac:dyDescent="0.2">
      <c r="A58" s="12"/>
      <c r="B58" s="13"/>
      <c r="C58" s="22" t="s">
        <v>112</v>
      </c>
      <c r="D58" s="26" t="s">
        <v>184</v>
      </c>
      <c r="E58" s="16">
        <f>1+4+4</f>
        <v>9</v>
      </c>
      <c r="F58" s="44" t="s">
        <v>129</v>
      </c>
      <c r="G58" s="19">
        <f>237500000+400000000*2</f>
        <v>1037500000</v>
      </c>
      <c r="H58" s="41">
        <v>0</v>
      </c>
      <c r="I58" s="44" t="s">
        <v>129</v>
      </c>
      <c r="J58" s="18">
        <v>0</v>
      </c>
      <c r="K58" s="16">
        <v>4</v>
      </c>
      <c r="L58" s="44" t="s">
        <v>129</v>
      </c>
      <c r="M58" s="19">
        <v>237500000</v>
      </c>
      <c r="N58" s="16">
        <v>0</v>
      </c>
      <c r="O58" s="44" t="str">
        <f t="shared" si="1"/>
        <v>Keg</v>
      </c>
      <c r="P58" s="19">
        <v>0</v>
      </c>
      <c r="Q58" s="16">
        <v>1</v>
      </c>
      <c r="R58" s="44" t="str">
        <f t="shared" si="2"/>
        <v>Keg</v>
      </c>
      <c r="S58" s="19">
        <v>237500000</v>
      </c>
      <c r="T58" s="16">
        <v>0</v>
      </c>
      <c r="U58" s="44" t="str">
        <f t="shared" si="3"/>
        <v>Keg</v>
      </c>
      <c r="V58" s="19">
        <v>0</v>
      </c>
      <c r="W58" s="16">
        <v>0</v>
      </c>
      <c r="X58" s="44" t="str">
        <f t="shared" si="4"/>
        <v>Keg</v>
      </c>
      <c r="Y58" s="19">
        <v>0</v>
      </c>
      <c r="Z58" s="55">
        <f t="shared" si="5"/>
        <v>1</v>
      </c>
      <c r="AA58" s="81" t="str">
        <f t="shared" si="6"/>
        <v>Keg</v>
      </c>
      <c r="AB58" s="55">
        <f t="shared" si="7"/>
        <v>25</v>
      </c>
      <c r="AC58" s="31" t="s">
        <v>50</v>
      </c>
      <c r="AD58" s="70">
        <f t="shared" si="8"/>
        <v>237500000</v>
      </c>
      <c r="AE58" s="55">
        <f t="shared" si="9"/>
        <v>100</v>
      </c>
      <c r="AF58" s="31" t="s">
        <v>50</v>
      </c>
      <c r="AG58" s="55">
        <f t="shared" si="10"/>
        <v>1</v>
      </c>
      <c r="AH58" s="81" t="str">
        <f t="shared" si="11"/>
        <v>Keg</v>
      </c>
      <c r="AI58" s="70">
        <f t="shared" si="12"/>
        <v>237500000</v>
      </c>
      <c r="AJ58" s="52"/>
      <c r="AK58" s="31" t="s">
        <v>50</v>
      </c>
      <c r="AL58" s="71"/>
      <c r="AM58" s="11"/>
      <c r="AP58" s="21"/>
    </row>
    <row r="59" spans="1:42" s="91" customFormat="1" ht="110.25" x14ac:dyDescent="0.25">
      <c r="A59" s="45">
        <v>26</v>
      </c>
      <c r="B59" s="46" t="s">
        <v>54</v>
      </c>
      <c r="C59" s="14" t="s">
        <v>138</v>
      </c>
      <c r="D59" s="15" t="s">
        <v>139</v>
      </c>
      <c r="E59" s="72">
        <v>316878</v>
      </c>
      <c r="F59" s="49" t="s">
        <v>135</v>
      </c>
      <c r="G59" s="58">
        <f>G60+G62</f>
        <v>7140375200</v>
      </c>
      <c r="H59" s="72">
        <v>267029</v>
      </c>
      <c r="I59" s="49" t="s">
        <v>135</v>
      </c>
      <c r="J59" s="58">
        <f>J60+J62</f>
        <v>0</v>
      </c>
      <c r="K59" s="48">
        <v>281656</v>
      </c>
      <c r="L59" s="49" t="s">
        <v>135</v>
      </c>
      <c r="M59" s="58">
        <f>M60+M62</f>
        <v>3195901000</v>
      </c>
      <c r="N59" s="48">
        <v>55828</v>
      </c>
      <c r="O59" s="49" t="str">
        <f t="shared" si="1"/>
        <v>Org</v>
      </c>
      <c r="P59" s="58">
        <f>P60+P62</f>
        <v>120000000</v>
      </c>
      <c r="Q59" s="48">
        <v>79710</v>
      </c>
      <c r="R59" s="49" t="str">
        <f t="shared" si="2"/>
        <v>Org</v>
      </c>
      <c r="S59" s="58">
        <f>S60+S62</f>
        <v>409863000</v>
      </c>
      <c r="T59" s="48">
        <v>0</v>
      </c>
      <c r="U59" s="49" t="str">
        <f t="shared" si="3"/>
        <v>Org</v>
      </c>
      <c r="V59" s="58">
        <f>V60+V62</f>
        <v>478532328</v>
      </c>
      <c r="W59" s="48">
        <v>0</v>
      </c>
      <c r="X59" s="49" t="str">
        <f t="shared" si="4"/>
        <v>Org</v>
      </c>
      <c r="Y59" s="58">
        <f>Y60+Y62</f>
        <v>1205298580</v>
      </c>
      <c r="Z59" s="108">
        <f t="shared" si="5"/>
        <v>135538</v>
      </c>
      <c r="AA59" s="80" t="str">
        <f t="shared" si="6"/>
        <v>Org</v>
      </c>
      <c r="AB59" s="90">
        <f t="shared" si="7"/>
        <v>48.121822364870617</v>
      </c>
      <c r="AC59" s="54" t="s">
        <v>50</v>
      </c>
      <c r="AD59" s="51">
        <f t="shared" si="8"/>
        <v>2213693908</v>
      </c>
      <c r="AE59" s="56">
        <f t="shared" si="9"/>
        <v>69.266660888431772</v>
      </c>
      <c r="AF59" s="54" t="s">
        <v>50</v>
      </c>
      <c r="AG59" s="108">
        <f t="shared" si="10"/>
        <v>402567</v>
      </c>
      <c r="AH59" s="80" t="str">
        <f t="shared" si="11"/>
        <v>Org</v>
      </c>
      <c r="AI59" s="51">
        <f t="shared" si="12"/>
        <v>2213693908</v>
      </c>
      <c r="AJ59" s="56"/>
      <c r="AK59" s="54" t="s">
        <v>50</v>
      </c>
      <c r="AL59" s="56"/>
      <c r="AM59" s="93"/>
      <c r="AP59" s="92"/>
    </row>
    <row r="60" spans="1:42" s="91" customFormat="1" ht="99" customHeight="1" x14ac:dyDescent="0.25">
      <c r="A60" s="12"/>
      <c r="B60" s="13"/>
      <c r="C60" s="14" t="s">
        <v>113</v>
      </c>
      <c r="D60" s="15" t="s">
        <v>140</v>
      </c>
      <c r="E60" s="42">
        <f>E61</f>
        <v>5</v>
      </c>
      <c r="F60" s="43" t="s">
        <v>141</v>
      </c>
      <c r="G60" s="39">
        <f>SUM(G61)</f>
        <v>2061625200</v>
      </c>
      <c r="H60" s="94">
        <f>H61</f>
        <v>3</v>
      </c>
      <c r="I60" s="43" t="s">
        <v>141</v>
      </c>
      <c r="J60" s="39">
        <f>SUM(J61)</f>
        <v>0</v>
      </c>
      <c r="K60" s="94">
        <f>K61</f>
        <v>5</v>
      </c>
      <c r="L60" s="43" t="s">
        <v>141</v>
      </c>
      <c r="M60" s="39">
        <f>SUM(M61)</f>
        <v>656526000</v>
      </c>
      <c r="N60" s="94">
        <f>N61</f>
        <v>5</v>
      </c>
      <c r="O60" s="43" t="str">
        <f t="shared" si="1"/>
        <v>DTW</v>
      </c>
      <c r="P60" s="39">
        <f>SUM(P61)</f>
        <v>120000000</v>
      </c>
      <c r="Q60" s="94">
        <f>Q61</f>
        <v>0</v>
      </c>
      <c r="R60" s="43" t="str">
        <f t="shared" si="2"/>
        <v>DTW</v>
      </c>
      <c r="S60" s="39">
        <f>SUM(S61)</f>
        <v>157216000</v>
      </c>
      <c r="T60" s="94">
        <f>T61</f>
        <v>0</v>
      </c>
      <c r="U60" s="43" t="str">
        <f t="shared" si="3"/>
        <v>DTW</v>
      </c>
      <c r="V60" s="39">
        <f>SUM(V61)</f>
        <v>106811600</v>
      </c>
      <c r="W60" s="94">
        <f>W61</f>
        <v>0</v>
      </c>
      <c r="X60" s="43" t="str">
        <f t="shared" si="4"/>
        <v>DTW</v>
      </c>
      <c r="Y60" s="39">
        <f>SUM(Y61)</f>
        <v>248898580</v>
      </c>
      <c r="Z60" s="90">
        <f t="shared" si="5"/>
        <v>5</v>
      </c>
      <c r="AA60" s="80" t="str">
        <f t="shared" si="6"/>
        <v>DTW</v>
      </c>
      <c r="AB60" s="90">
        <f t="shared" si="7"/>
        <v>100</v>
      </c>
      <c r="AC60" s="54" t="s">
        <v>50</v>
      </c>
      <c r="AD60" s="51">
        <f t="shared" si="8"/>
        <v>632926180</v>
      </c>
      <c r="AE60" s="56">
        <f t="shared" si="9"/>
        <v>96.405348759988186</v>
      </c>
      <c r="AF60" s="54" t="s">
        <v>50</v>
      </c>
      <c r="AG60" s="102">
        <f t="shared" si="10"/>
        <v>8</v>
      </c>
      <c r="AH60" s="80" t="str">
        <f t="shared" si="11"/>
        <v>DTW</v>
      </c>
      <c r="AI60" s="51">
        <f t="shared" si="12"/>
        <v>632926180</v>
      </c>
      <c r="AJ60" s="56"/>
      <c r="AK60" s="54" t="s">
        <v>50</v>
      </c>
      <c r="AL60" s="56"/>
      <c r="AM60" s="93"/>
      <c r="AP60" s="92"/>
    </row>
    <row r="61" spans="1:42" ht="75" x14ac:dyDescent="0.2">
      <c r="A61" s="12"/>
      <c r="B61" s="13"/>
      <c r="C61" s="22" t="s">
        <v>114</v>
      </c>
      <c r="D61" s="26" t="s">
        <v>142</v>
      </c>
      <c r="E61" s="16">
        <v>5</v>
      </c>
      <c r="F61" s="44" t="s">
        <v>141</v>
      </c>
      <c r="G61" s="19">
        <f>656526000+702549600*2</f>
        <v>2061625200</v>
      </c>
      <c r="H61" s="41">
        <v>3</v>
      </c>
      <c r="I61" s="44" t="s">
        <v>141</v>
      </c>
      <c r="J61" s="18">
        <v>0</v>
      </c>
      <c r="K61" s="16">
        <v>5</v>
      </c>
      <c r="L61" s="44" t="s">
        <v>141</v>
      </c>
      <c r="M61" s="19">
        <v>656526000</v>
      </c>
      <c r="N61" s="16">
        <v>5</v>
      </c>
      <c r="O61" s="44" t="str">
        <f t="shared" si="1"/>
        <v>DTW</v>
      </c>
      <c r="P61" s="19">
        <v>120000000</v>
      </c>
      <c r="Q61" s="16">
        <v>0</v>
      </c>
      <c r="R61" s="44" t="str">
        <f t="shared" si="2"/>
        <v>DTW</v>
      </c>
      <c r="S61" s="19">
        <v>157216000</v>
      </c>
      <c r="T61" s="16">
        <v>0</v>
      </c>
      <c r="U61" s="44" t="str">
        <f t="shared" si="3"/>
        <v>DTW</v>
      </c>
      <c r="V61" s="19">
        <v>106811600</v>
      </c>
      <c r="W61" s="16">
        <v>0</v>
      </c>
      <c r="X61" s="44" t="str">
        <f t="shared" si="4"/>
        <v>DTW</v>
      </c>
      <c r="Y61" s="19">
        <v>248898580</v>
      </c>
      <c r="Z61" s="55">
        <f t="shared" si="5"/>
        <v>5</v>
      </c>
      <c r="AA61" s="81" t="str">
        <f t="shared" si="6"/>
        <v>DTW</v>
      </c>
      <c r="AB61" s="55">
        <f t="shared" si="7"/>
        <v>100</v>
      </c>
      <c r="AC61" s="31" t="s">
        <v>50</v>
      </c>
      <c r="AD61" s="70">
        <f t="shared" si="8"/>
        <v>632926180</v>
      </c>
      <c r="AE61" s="52">
        <f t="shared" si="9"/>
        <v>96.405348759988186</v>
      </c>
      <c r="AF61" s="31" t="s">
        <v>50</v>
      </c>
      <c r="AG61" s="55">
        <f t="shared" si="10"/>
        <v>8</v>
      </c>
      <c r="AH61" s="81" t="str">
        <f t="shared" si="11"/>
        <v>DTW</v>
      </c>
      <c r="AI61" s="70">
        <f t="shared" si="12"/>
        <v>632926180</v>
      </c>
      <c r="AJ61" s="52"/>
      <c r="AK61" s="31" t="s">
        <v>50</v>
      </c>
      <c r="AL61" s="71"/>
      <c r="AM61" s="11"/>
      <c r="AP61" s="21"/>
    </row>
    <row r="62" spans="1:42" s="91" customFormat="1" ht="157.5" x14ac:dyDescent="0.25">
      <c r="A62" s="12"/>
      <c r="B62" s="13"/>
      <c r="C62" s="14" t="s">
        <v>115</v>
      </c>
      <c r="D62" s="15" t="s">
        <v>143</v>
      </c>
      <c r="E62" s="42">
        <f>E63</f>
        <v>6</v>
      </c>
      <c r="F62" s="49" t="s">
        <v>144</v>
      </c>
      <c r="G62" s="39">
        <f>SUM(G63)</f>
        <v>5078750000</v>
      </c>
      <c r="H62" s="94">
        <f>H63</f>
        <v>0</v>
      </c>
      <c r="I62" s="49" t="s">
        <v>144</v>
      </c>
      <c r="J62" s="39">
        <f>SUM(J63)</f>
        <v>0</v>
      </c>
      <c r="K62" s="94">
        <f>K63</f>
        <v>4</v>
      </c>
      <c r="L62" s="49" t="s">
        <v>144</v>
      </c>
      <c r="M62" s="39">
        <f>SUM(M63)</f>
        <v>2539375000</v>
      </c>
      <c r="N62" s="94">
        <f>N63</f>
        <v>0</v>
      </c>
      <c r="O62" s="49" t="str">
        <f t="shared" si="1"/>
        <v>Kawasan Wisata</v>
      </c>
      <c r="P62" s="39">
        <f>SUM(P63)</f>
        <v>0</v>
      </c>
      <c r="Q62" s="94">
        <f>Q63</f>
        <v>3</v>
      </c>
      <c r="R62" s="49" t="str">
        <f t="shared" si="2"/>
        <v>Kawasan Wisata</v>
      </c>
      <c r="S62" s="39">
        <f>SUM(S63)</f>
        <v>252647000</v>
      </c>
      <c r="T62" s="94">
        <f>T63</f>
        <v>0</v>
      </c>
      <c r="U62" s="49" t="str">
        <f t="shared" si="3"/>
        <v>Kawasan Wisata</v>
      </c>
      <c r="V62" s="39">
        <f>SUM(V63)</f>
        <v>371720728</v>
      </c>
      <c r="W62" s="94">
        <f>W63</f>
        <v>1</v>
      </c>
      <c r="X62" s="49" t="str">
        <f t="shared" si="4"/>
        <v>Kawasan Wisata</v>
      </c>
      <c r="Y62" s="39">
        <f>SUM(Y63)</f>
        <v>956400000</v>
      </c>
      <c r="Z62" s="90">
        <f t="shared" si="5"/>
        <v>4</v>
      </c>
      <c r="AA62" s="80" t="str">
        <f t="shared" si="6"/>
        <v>Kawasan Wisata</v>
      </c>
      <c r="AB62" s="90">
        <f t="shared" si="7"/>
        <v>100</v>
      </c>
      <c r="AC62" s="54" t="s">
        <v>50</v>
      </c>
      <c r="AD62" s="51">
        <f t="shared" si="8"/>
        <v>1580767728</v>
      </c>
      <c r="AE62" s="56">
        <f t="shared" si="9"/>
        <v>62.250267408318969</v>
      </c>
      <c r="AF62" s="54" t="s">
        <v>50</v>
      </c>
      <c r="AG62" s="74">
        <f t="shared" si="10"/>
        <v>4</v>
      </c>
      <c r="AH62" s="80" t="str">
        <f t="shared" si="11"/>
        <v>Kawasan Wisata</v>
      </c>
      <c r="AI62" s="51">
        <f t="shared" si="12"/>
        <v>1580767728</v>
      </c>
      <c r="AJ62" s="56"/>
      <c r="AK62" s="54" t="s">
        <v>50</v>
      </c>
      <c r="AL62" s="56"/>
      <c r="AM62" s="93"/>
      <c r="AP62" s="92"/>
    </row>
    <row r="63" spans="1:42" ht="165" x14ac:dyDescent="0.2">
      <c r="A63" s="12"/>
      <c r="B63" s="13"/>
      <c r="C63" s="22" t="s">
        <v>116</v>
      </c>
      <c r="D63" s="26" t="s">
        <v>145</v>
      </c>
      <c r="E63" s="16">
        <f>4+2</f>
        <v>6</v>
      </c>
      <c r="F63" s="44" t="s">
        <v>144</v>
      </c>
      <c r="G63" s="47">
        <f>M63*2</f>
        <v>5078750000</v>
      </c>
      <c r="H63" s="41">
        <v>0</v>
      </c>
      <c r="I63" s="44" t="s">
        <v>144</v>
      </c>
      <c r="J63" s="18">
        <v>0</v>
      </c>
      <c r="K63" s="16">
        <v>4</v>
      </c>
      <c r="L63" s="44" t="s">
        <v>144</v>
      </c>
      <c r="M63" s="19">
        <v>2539375000</v>
      </c>
      <c r="N63" s="16">
        <v>0</v>
      </c>
      <c r="O63" s="44" t="str">
        <f t="shared" si="1"/>
        <v>Kawasan Wisata</v>
      </c>
      <c r="P63" s="19">
        <v>0</v>
      </c>
      <c r="Q63" s="16">
        <v>3</v>
      </c>
      <c r="R63" s="44" t="str">
        <f t="shared" si="2"/>
        <v>Kawasan Wisata</v>
      </c>
      <c r="S63" s="19">
        <v>252647000</v>
      </c>
      <c r="T63" s="16">
        <v>0</v>
      </c>
      <c r="U63" s="44" t="str">
        <f t="shared" si="3"/>
        <v>Kawasan Wisata</v>
      </c>
      <c r="V63" s="19">
        <v>371720728</v>
      </c>
      <c r="W63" s="16">
        <v>1</v>
      </c>
      <c r="X63" s="44" t="str">
        <f t="shared" si="4"/>
        <v>Kawasan Wisata</v>
      </c>
      <c r="Y63" s="19">
        <v>956400000</v>
      </c>
      <c r="Z63" s="55">
        <f t="shared" si="5"/>
        <v>4</v>
      </c>
      <c r="AA63" s="81" t="str">
        <f t="shared" si="6"/>
        <v>Kawasan Wisata</v>
      </c>
      <c r="AB63" s="55">
        <f t="shared" si="7"/>
        <v>100</v>
      </c>
      <c r="AC63" s="16" t="str">
        <f t="shared" ref="AC63" si="53">O63</f>
        <v>Kawasan Wisata</v>
      </c>
      <c r="AD63" s="70">
        <f t="shared" si="8"/>
        <v>1580767728</v>
      </c>
      <c r="AE63" s="52">
        <f t="shared" si="9"/>
        <v>62.250267408318969</v>
      </c>
      <c r="AF63" s="31" t="s">
        <v>50</v>
      </c>
      <c r="AG63" s="55">
        <f t="shared" si="10"/>
        <v>4</v>
      </c>
      <c r="AH63" s="81" t="str">
        <f t="shared" si="11"/>
        <v>Kawasan Wisata</v>
      </c>
      <c r="AI63" s="70">
        <f t="shared" si="12"/>
        <v>1580767728</v>
      </c>
      <c r="AJ63" s="52"/>
      <c r="AK63" s="31" t="s">
        <v>50</v>
      </c>
      <c r="AL63" s="71"/>
      <c r="AM63" s="11"/>
      <c r="AP63" s="21"/>
    </row>
    <row r="64" spans="1:42" s="91" customFormat="1" ht="94.5" x14ac:dyDescent="0.25">
      <c r="A64" s="12"/>
      <c r="B64" s="13"/>
      <c r="C64" s="14" t="s">
        <v>117</v>
      </c>
      <c r="D64" s="15" t="s">
        <v>139</v>
      </c>
      <c r="E64" s="48">
        <f>E59</f>
        <v>316878</v>
      </c>
      <c r="F64" s="49" t="s">
        <v>135</v>
      </c>
      <c r="G64" s="58">
        <f>G65</f>
        <v>4283351414</v>
      </c>
      <c r="H64" s="48">
        <f>H59</f>
        <v>267029</v>
      </c>
      <c r="I64" s="49" t="s">
        <v>135</v>
      </c>
      <c r="J64" s="58">
        <f>J65</f>
        <v>0</v>
      </c>
      <c r="K64" s="48">
        <f>K59</f>
        <v>281656</v>
      </c>
      <c r="L64" s="49" t="s">
        <v>135</v>
      </c>
      <c r="M64" s="58">
        <f>M65</f>
        <v>1667032707</v>
      </c>
      <c r="N64" s="48">
        <f>N59</f>
        <v>55828</v>
      </c>
      <c r="O64" s="49" t="str">
        <f t="shared" si="1"/>
        <v>Org</v>
      </c>
      <c r="P64" s="58">
        <f>P65</f>
        <v>23650000</v>
      </c>
      <c r="Q64" s="48">
        <f>Q59</f>
        <v>79710</v>
      </c>
      <c r="R64" s="49" t="str">
        <f t="shared" si="2"/>
        <v>Org</v>
      </c>
      <c r="S64" s="58">
        <f>S65</f>
        <v>30696200</v>
      </c>
      <c r="T64" s="48">
        <f>T59</f>
        <v>0</v>
      </c>
      <c r="U64" s="49" t="str">
        <f t="shared" si="3"/>
        <v>Org</v>
      </c>
      <c r="V64" s="58">
        <f>V65</f>
        <v>138234700</v>
      </c>
      <c r="W64" s="48">
        <f>W59</f>
        <v>0</v>
      </c>
      <c r="X64" s="49" t="str">
        <f t="shared" si="4"/>
        <v>Org</v>
      </c>
      <c r="Y64" s="58">
        <f>Y65</f>
        <v>393333800</v>
      </c>
      <c r="Z64" s="108">
        <f t="shared" ref="Z64:Z67" si="54">SUM(N64,Q64,T64,W64)</f>
        <v>135538</v>
      </c>
      <c r="AA64" s="80" t="str">
        <f t="shared" ref="AA64:AA67" si="55">L64</f>
        <v>Org</v>
      </c>
      <c r="AB64" s="56">
        <f t="shared" ref="AB64:AB67" si="56">Z64/K64*100</f>
        <v>48.121822364870617</v>
      </c>
      <c r="AC64" s="54" t="s">
        <v>50</v>
      </c>
      <c r="AD64" s="51">
        <f t="shared" ref="AD64:AD67" si="57">SUM(P64,S64,V64,Y64)</f>
        <v>585914700</v>
      </c>
      <c r="AE64" s="56">
        <f t="shared" ref="AE64:AE67" si="58">AD64/M64*100</f>
        <v>35.147162832480646</v>
      </c>
      <c r="AF64" s="54" t="s">
        <v>50</v>
      </c>
      <c r="AG64" s="107">
        <f t="shared" ref="AG64:AG67" si="59">SUM(H64,Z64)</f>
        <v>402567</v>
      </c>
      <c r="AH64" s="80" t="str">
        <f t="shared" ref="AH64:AH67" si="60">O64</f>
        <v>Org</v>
      </c>
      <c r="AI64" s="51">
        <f t="shared" ref="AI64:AI67" si="61">SUM(J64,AD64)</f>
        <v>585914700</v>
      </c>
      <c r="AJ64" s="56"/>
      <c r="AK64" s="54" t="s">
        <v>50</v>
      </c>
      <c r="AL64" s="56"/>
      <c r="AM64" s="93"/>
      <c r="AP64" s="92"/>
    </row>
    <row r="65" spans="1:42" s="91" customFormat="1" ht="201.75" customHeight="1" x14ac:dyDescent="0.25">
      <c r="A65" s="12"/>
      <c r="B65" s="13"/>
      <c r="C65" s="14" t="s">
        <v>146</v>
      </c>
      <c r="D65" s="15" t="s">
        <v>147</v>
      </c>
      <c r="E65" s="48">
        <f>E59</f>
        <v>316878</v>
      </c>
      <c r="F65" s="49" t="s">
        <v>135</v>
      </c>
      <c r="G65" s="39">
        <f>SUM(G66:G67)</f>
        <v>4283351414</v>
      </c>
      <c r="H65" s="48">
        <f>H59</f>
        <v>267029</v>
      </c>
      <c r="I65" s="49" t="s">
        <v>135</v>
      </c>
      <c r="J65" s="39">
        <f>SUM(J66:J67)</f>
        <v>0</v>
      </c>
      <c r="K65" s="48">
        <f>K59</f>
        <v>281656</v>
      </c>
      <c r="L65" s="49" t="s">
        <v>135</v>
      </c>
      <c r="M65" s="39">
        <f>SUM(M66:M67)</f>
        <v>1667032707</v>
      </c>
      <c r="N65" s="48">
        <f>N59</f>
        <v>55828</v>
      </c>
      <c r="O65" s="49" t="str">
        <f t="shared" si="1"/>
        <v>Org</v>
      </c>
      <c r="P65" s="39">
        <f>SUM(P66:P67)</f>
        <v>23650000</v>
      </c>
      <c r="Q65" s="48">
        <f>Q59</f>
        <v>79710</v>
      </c>
      <c r="R65" s="49" t="str">
        <f t="shared" si="2"/>
        <v>Org</v>
      </c>
      <c r="S65" s="39">
        <f>SUM(S66:S67)</f>
        <v>30696200</v>
      </c>
      <c r="T65" s="48">
        <f>T59</f>
        <v>0</v>
      </c>
      <c r="U65" s="49" t="str">
        <f t="shared" si="3"/>
        <v>Org</v>
      </c>
      <c r="V65" s="39">
        <f>SUM(V66:V67)</f>
        <v>138234700</v>
      </c>
      <c r="W65" s="48">
        <f>W59</f>
        <v>0</v>
      </c>
      <c r="X65" s="49" t="str">
        <f t="shared" si="4"/>
        <v>Org</v>
      </c>
      <c r="Y65" s="39">
        <f>SUM(Y66:Y67)</f>
        <v>393333800</v>
      </c>
      <c r="Z65" s="108">
        <f t="shared" si="54"/>
        <v>135538</v>
      </c>
      <c r="AA65" s="80" t="str">
        <f t="shared" si="55"/>
        <v>Org</v>
      </c>
      <c r="AB65" s="56">
        <f t="shared" si="56"/>
        <v>48.121822364870617</v>
      </c>
      <c r="AC65" s="54" t="s">
        <v>50</v>
      </c>
      <c r="AD65" s="51">
        <f t="shared" si="57"/>
        <v>585914700</v>
      </c>
      <c r="AE65" s="56">
        <f t="shared" si="58"/>
        <v>35.147162832480646</v>
      </c>
      <c r="AF65" s="54" t="s">
        <v>50</v>
      </c>
      <c r="AG65" s="107">
        <f t="shared" si="59"/>
        <v>402567</v>
      </c>
      <c r="AH65" s="80" t="str">
        <f t="shared" si="60"/>
        <v>Org</v>
      </c>
      <c r="AI65" s="51">
        <f t="shared" si="61"/>
        <v>585914700</v>
      </c>
      <c r="AJ65" s="56"/>
      <c r="AK65" s="54" t="s">
        <v>50</v>
      </c>
      <c r="AL65" s="56"/>
      <c r="AM65" s="93"/>
      <c r="AP65" s="92"/>
    </row>
    <row r="66" spans="1:42" ht="135" x14ac:dyDescent="0.2">
      <c r="A66" s="12"/>
      <c r="B66" s="13"/>
      <c r="C66" s="22" t="s">
        <v>148</v>
      </c>
      <c r="D66" s="26" t="s">
        <v>149</v>
      </c>
      <c r="E66" s="16">
        <v>12</v>
      </c>
      <c r="F66" s="44" t="s">
        <v>150</v>
      </c>
      <c r="G66" s="19">
        <f>387238000+225944000+387238000</f>
        <v>1000420000</v>
      </c>
      <c r="H66" s="16">
        <v>12</v>
      </c>
      <c r="I66" s="44" t="s">
        <v>150</v>
      </c>
      <c r="J66" s="18"/>
      <c r="K66" s="16">
        <v>12</v>
      </c>
      <c r="L66" s="44" t="s">
        <v>150</v>
      </c>
      <c r="M66" s="19">
        <v>387238000</v>
      </c>
      <c r="N66" s="16">
        <v>3</v>
      </c>
      <c r="O66" s="44" t="str">
        <f t="shared" si="1"/>
        <v>Media</v>
      </c>
      <c r="P66" s="19">
        <v>23650000</v>
      </c>
      <c r="Q66" s="16">
        <v>4</v>
      </c>
      <c r="R66" s="44" t="str">
        <f t="shared" si="2"/>
        <v>Media</v>
      </c>
      <c r="S66" s="19">
        <v>15546200</v>
      </c>
      <c r="T66" s="16">
        <v>4</v>
      </c>
      <c r="U66" s="44" t="str">
        <f t="shared" si="3"/>
        <v>Media</v>
      </c>
      <c r="V66" s="19">
        <v>134234700</v>
      </c>
      <c r="W66" s="16">
        <v>1</v>
      </c>
      <c r="X66" s="44" t="str">
        <f t="shared" si="4"/>
        <v>Media</v>
      </c>
      <c r="Y66" s="19">
        <v>39164800</v>
      </c>
      <c r="Z66" s="55">
        <f t="shared" si="54"/>
        <v>12</v>
      </c>
      <c r="AA66" s="44" t="str">
        <f>L66</f>
        <v>Media</v>
      </c>
      <c r="AB66" s="55">
        <f>Z66/K66*100</f>
        <v>100</v>
      </c>
      <c r="AC66" s="31" t="s">
        <v>50</v>
      </c>
      <c r="AD66" s="70">
        <f t="shared" si="57"/>
        <v>212595700</v>
      </c>
      <c r="AE66" s="52">
        <f t="shared" si="58"/>
        <v>54.900526291324717</v>
      </c>
      <c r="AF66" s="31" t="s">
        <v>50</v>
      </c>
      <c r="AG66" s="55">
        <f t="shared" si="59"/>
        <v>24</v>
      </c>
      <c r="AH66" s="81" t="str">
        <f t="shared" si="60"/>
        <v>Media</v>
      </c>
      <c r="AI66" s="70">
        <f t="shared" si="61"/>
        <v>212595700</v>
      </c>
      <c r="AJ66" s="52"/>
      <c r="AK66" s="31" t="s">
        <v>50</v>
      </c>
      <c r="AL66" s="71"/>
      <c r="AM66" s="11"/>
      <c r="AP66" s="21"/>
    </row>
    <row r="67" spans="1:42" ht="150" x14ac:dyDescent="0.2">
      <c r="A67" s="12"/>
      <c r="B67" s="13"/>
      <c r="C67" s="76" t="s">
        <v>118</v>
      </c>
      <c r="D67" s="26" t="s">
        <v>151</v>
      </c>
      <c r="E67" s="16">
        <v>5</v>
      </c>
      <c r="F67" s="44" t="s">
        <v>127</v>
      </c>
      <c r="G67" s="19">
        <f>1279794707+723342000+1279794707</f>
        <v>3282931414</v>
      </c>
      <c r="H67" s="16">
        <v>0</v>
      </c>
      <c r="I67" s="44" t="s">
        <v>127</v>
      </c>
      <c r="J67" s="24"/>
      <c r="K67" s="16">
        <v>5</v>
      </c>
      <c r="L67" s="44" t="s">
        <v>127</v>
      </c>
      <c r="M67" s="19">
        <v>1279794707</v>
      </c>
      <c r="N67" s="16">
        <v>0</v>
      </c>
      <c r="O67" s="44" t="str">
        <f t="shared" si="1"/>
        <v>Event</v>
      </c>
      <c r="P67" s="19">
        <v>0</v>
      </c>
      <c r="Q67" s="16">
        <v>0</v>
      </c>
      <c r="R67" s="44" t="str">
        <f t="shared" si="2"/>
        <v>Event</v>
      </c>
      <c r="S67" s="19">
        <v>15150000</v>
      </c>
      <c r="T67" s="16">
        <v>0</v>
      </c>
      <c r="U67" s="44" t="str">
        <f t="shared" si="3"/>
        <v>Event</v>
      </c>
      <c r="V67" s="19">
        <v>4000000</v>
      </c>
      <c r="W67" s="16">
        <v>0</v>
      </c>
      <c r="X67" s="44" t="str">
        <f t="shared" si="4"/>
        <v>Event</v>
      </c>
      <c r="Y67" s="19">
        <v>354169000</v>
      </c>
      <c r="Z67" s="55">
        <f t="shared" si="54"/>
        <v>0</v>
      </c>
      <c r="AA67" s="81" t="str">
        <f t="shared" si="55"/>
        <v>Event</v>
      </c>
      <c r="AB67" s="55">
        <f t="shared" si="56"/>
        <v>0</v>
      </c>
      <c r="AC67" s="31" t="s">
        <v>50</v>
      </c>
      <c r="AD67" s="70">
        <f t="shared" si="57"/>
        <v>373319000</v>
      </c>
      <c r="AE67" s="52">
        <f t="shared" si="58"/>
        <v>29.170225346149991</v>
      </c>
      <c r="AF67" s="31" t="s">
        <v>50</v>
      </c>
      <c r="AG67" s="55">
        <f t="shared" si="59"/>
        <v>0</v>
      </c>
      <c r="AH67" s="81" t="str">
        <f t="shared" si="60"/>
        <v>Event</v>
      </c>
      <c r="AI67" s="70">
        <f t="shared" si="61"/>
        <v>373319000</v>
      </c>
      <c r="AJ67" s="52"/>
      <c r="AK67" s="31" t="s">
        <v>50</v>
      </c>
      <c r="AL67" s="71"/>
      <c r="AM67" s="11"/>
      <c r="AP67" s="21"/>
    </row>
    <row r="68" spans="1:42" s="91" customFormat="1" ht="145.5" customHeight="1" x14ac:dyDescent="0.25">
      <c r="A68" s="12"/>
      <c r="B68" s="13"/>
      <c r="C68" s="46" t="s">
        <v>119</v>
      </c>
      <c r="D68" s="15" t="s">
        <v>152</v>
      </c>
      <c r="E68" s="57">
        <f>32/32*100</f>
        <v>100</v>
      </c>
      <c r="F68" s="49" t="s">
        <v>50</v>
      </c>
      <c r="G68" s="96">
        <f>G70</f>
        <v>1897536400</v>
      </c>
      <c r="H68" s="103">
        <f>15/32*100</f>
        <v>46.875</v>
      </c>
      <c r="I68" s="49" t="s">
        <v>50</v>
      </c>
      <c r="J68" s="96">
        <f>J70</f>
        <v>0</v>
      </c>
      <c r="K68" s="101">
        <f>20/32*100</f>
        <v>62.5</v>
      </c>
      <c r="L68" s="49" t="s">
        <v>50</v>
      </c>
      <c r="M68" s="96">
        <f>M70</f>
        <v>129375000</v>
      </c>
      <c r="N68" s="101">
        <f>3/32*100</f>
        <v>9.375</v>
      </c>
      <c r="O68" s="49" t="str">
        <f t="shared" si="1"/>
        <v>%</v>
      </c>
      <c r="P68" s="96">
        <f>P70</f>
        <v>0</v>
      </c>
      <c r="Q68" s="101">
        <f>7/32*100</f>
        <v>21.875</v>
      </c>
      <c r="R68" s="49" t="str">
        <f t="shared" si="2"/>
        <v>%</v>
      </c>
      <c r="S68" s="96">
        <f>S70</f>
        <v>5300000</v>
      </c>
      <c r="T68" s="48"/>
      <c r="U68" s="49" t="str">
        <f t="shared" si="3"/>
        <v>%</v>
      </c>
      <c r="V68" s="96">
        <f>V70</f>
        <v>24867500</v>
      </c>
      <c r="W68" s="48"/>
      <c r="X68" s="49" t="str">
        <f t="shared" si="4"/>
        <v>%</v>
      </c>
      <c r="Y68" s="96">
        <f>Y70</f>
        <v>0</v>
      </c>
      <c r="Z68" s="56">
        <f t="shared" ref="Z68:Z73" si="62">SUM(N68,Q68,T68,W68)</f>
        <v>31.25</v>
      </c>
      <c r="AA68" s="80" t="str">
        <f t="shared" ref="AA68:AA73" si="63">L68</f>
        <v>%</v>
      </c>
      <c r="AB68" s="90">
        <f t="shared" ref="AB68:AB73" si="64">Z68/K68*100</f>
        <v>50</v>
      </c>
      <c r="AC68" s="54" t="s">
        <v>50</v>
      </c>
      <c r="AD68" s="68">
        <f t="shared" ref="AD68:AD73" si="65">SUM(P68,S68,V68,Y68)</f>
        <v>30167500</v>
      </c>
      <c r="AE68" s="69">
        <f t="shared" ref="AE68:AE73" si="66">AD68/M68*100</f>
        <v>23.317874396135267</v>
      </c>
      <c r="AF68" s="45" t="s">
        <v>50</v>
      </c>
      <c r="AG68" s="74">
        <f t="shared" ref="AG68:AG73" si="67">SUM(H68,Z68)</f>
        <v>78.125</v>
      </c>
      <c r="AH68" s="80" t="str">
        <f t="shared" ref="AH68:AH73" si="68">O68</f>
        <v>%</v>
      </c>
      <c r="AI68" s="68">
        <f t="shared" ref="AI68:AI73" si="69">SUM(J68,AD68)</f>
        <v>30167500</v>
      </c>
      <c r="AJ68" s="56"/>
      <c r="AK68" s="54" t="s">
        <v>50</v>
      </c>
      <c r="AL68" s="69"/>
      <c r="AM68" s="93"/>
      <c r="AP68" s="92"/>
    </row>
    <row r="69" spans="1:42" s="91" customFormat="1" ht="145.5" customHeight="1" x14ac:dyDescent="0.25">
      <c r="A69" s="12"/>
      <c r="B69" s="13"/>
      <c r="C69" s="14"/>
      <c r="D69" s="15" t="s">
        <v>153</v>
      </c>
      <c r="E69" s="101">
        <f>12/17*100</f>
        <v>70.588235294117652</v>
      </c>
      <c r="F69" s="49" t="s">
        <v>50</v>
      </c>
      <c r="G69" s="97"/>
      <c r="H69" s="101">
        <v>0</v>
      </c>
      <c r="I69" s="49" t="s">
        <v>50</v>
      </c>
      <c r="J69" s="97"/>
      <c r="K69" s="101">
        <f>5/17*100</f>
        <v>29.411764705882355</v>
      </c>
      <c r="L69" s="49" t="s">
        <v>50</v>
      </c>
      <c r="M69" s="97"/>
      <c r="N69" s="101">
        <f>1/17*100</f>
        <v>5.8823529411764701</v>
      </c>
      <c r="O69" s="49" t="str">
        <f t="shared" ref="O69" si="70">L69</f>
        <v>%</v>
      </c>
      <c r="P69" s="97"/>
      <c r="Q69" s="101">
        <f>2/17*100</f>
        <v>11.76470588235294</v>
      </c>
      <c r="R69" s="49" t="str">
        <f t="shared" ref="R69" si="71">L69</f>
        <v>%</v>
      </c>
      <c r="S69" s="97"/>
      <c r="T69" s="101">
        <f>1/17*100</f>
        <v>5.8823529411764701</v>
      </c>
      <c r="U69" s="49" t="str">
        <f t="shared" ref="U69" si="72">L69</f>
        <v>%</v>
      </c>
      <c r="V69" s="97"/>
      <c r="W69" s="101">
        <f>1/17*100</f>
        <v>5.8823529411764701</v>
      </c>
      <c r="X69" s="49" t="str">
        <f t="shared" si="4"/>
        <v>%</v>
      </c>
      <c r="Y69" s="97"/>
      <c r="Z69" s="56">
        <f t="shared" ref="Z69" si="73">SUM(N69,Q69,T69,W69)</f>
        <v>29.411764705882351</v>
      </c>
      <c r="AA69" s="80" t="str">
        <f t="shared" ref="AA69" si="74">L69</f>
        <v>%</v>
      </c>
      <c r="AB69" s="90">
        <f t="shared" ref="AB69" si="75">Z69/K69*100</f>
        <v>99.999999999999986</v>
      </c>
      <c r="AC69" s="54" t="s">
        <v>50</v>
      </c>
      <c r="AD69" s="98"/>
      <c r="AE69" s="99"/>
      <c r="AF69" s="100"/>
      <c r="AG69" s="74">
        <f t="shared" ref="AG69" si="76">SUM(H69,Z69)</f>
        <v>29.411764705882351</v>
      </c>
      <c r="AH69" s="80" t="str">
        <f t="shared" ref="AH69" si="77">O69</f>
        <v>%</v>
      </c>
      <c r="AI69" s="98"/>
      <c r="AJ69" s="56"/>
      <c r="AK69" s="54" t="s">
        <v>50</v>
      </c>
      <c r="AL69" s="99"/>
      <c r="AM69" s="93"/>
      <c r="AP69" s="92"/>
    </row>
    <row r="70" spans="1:42" s="91" customFormat="1" ht="204.75" x14ac:dyDescent="0.25">
      <c r="A70" s="12"/>
      <c r="B70" s="13"/>
      <c r="C70" s="13" t="s">
        <v>154</v>
      </c>
      <c r="D70" s="15" t="s">
        <v>155</v>
      </c>
      <c r="E70" s="42">
        <f>E72</f>
        <v>260</v>
      </c>
      <c r="F70" s="43" t="s">
        <v>135</v>
      </c>
      <c r="G70" s="67">
        <f>SUM(G72:G73)</f>
        <v>1897536400</v>
      </c>
      <c r="H70" s="94">
        <f>H72</f>
        <v>220</v>
      </c>
      <c r="I70" s="43" t="s">
        <v>135</v>
      </c>
      <c r="J70" s="67">
        <f>SUM(J72:J73)</f>
        <v>0</v>
      </c>
      <c r="K70" s="42">
        <f>K72</f>
        <v>50</v>
      </c>
      <c r="L70" s="49" t="s">
        <v>135</v>
      </c>
      <c r="M70" s="67">
        <f>SUM(M72:M73)</f>
        <v>129375000</v>
      </c>
      <c r="N70" s="42">
        <f>N72</f>
        <v>0</v>
      </c>
      <c r="O70" s="49" t="str">
        <f t="shared" si="1"/>
        <v>Org</v>
      </c>
      <c r="P70" s="67">
        <f>SUM(P72:P73)</f>
        <v>0</v>
      </c>
      <c r="Q70" s="42">
        <f>Q72</f>
        <v>50</v>
      </c>
      <c r="R70" s="49" t="str">
        <f t="shared" si="2"/>
        <v>Org</v>
      </c>
      <c r="S70" s="67">
        <f>SUM(S72:S73)</f>
        <v>5300000</v>
      </c>
      <c r="T70" s="42">
        <f>T72</f>
        <v>0</v>
      </c>
      <c r="U70" s="49" t="str">
        <f t="shared" si="3"/>
        <v>Org</v>
      </c>
      <c r="V70" s="67">
        <f>SUM(V72:V73)</f>
        <v>24867500</v>
      </c>
      <c r="W70" s="42">
        <f>W72</f>
        <v>0</v>
      </c>
      <c r="X70" s="49" t="str">
        <f t="shared" si="4"/>
        <v>Org</v>
      </c>
      <c r="Y70" s="67">
        <f>SUM(Y72:Y73)</f>
        <v>0</v>
      </c>
      <c r="Z70" s="90">
        <f t="shared" si="62"/>
        <v>50</v>
      </c>
      <c r="AA70" s="80" t="str">
        <f t="shared" si="63"/>
        <v>Org</v>
      </c>
      <c r="AB70" s="90">
        <f t="shared" si="64"/>
        <v>100</v>
      </c>
      <c r="AC70" s="54" t="s">
        <v>50</v>
      </c>
      <c r="AD70" s="68">
        <f t="shared" si="65"/>
        <v>30167500</v>
      </c>
      <c r="AE70" s="69">
        <f t="shared" si="66"/>
        <v>23.317874396135267</v>
      </c>
      <c r="AF70" s="45" t="s">
        <v>50</v>
      </c>
      <c r="AG70" s="102">
        <f t="shared" si="67"/>
        <v>270</v>
      </c>
      <c r="AH70" s="80" t="str">
        <f t="shared" si="68"/>
        <v>Org</v>
      </c>
      <c r="AI70" s="68">
        <f t="shared" si="69"/>
        <v>30167500</v>
      </c>
      <c r="AJ70" s="56"/>
      <c r="AK70" s="54" t="s">
        <v>50</v>
      </c>
      <c r="AL70" s="69"/>
      <c r="AM70" s="93"/>
      <c r="AP70" s="92"/>
    </row>
    <row r="71" spans="1:42" s="91" customFormat="1" ht="94.5" x14ac:dyDescent="0.25">
      <c r="A71" s="12"/>
      <c r="B71" s="13"/>
      <c r="C71" s="14"/>
      <c r="D71" s="15" t="s">
        <v>156</v>
      </c>
      <c r="E71" s="42">
        <f>E73</f>
        <v>18</v>
      </c>
      <c r="F71" s="43" t="s">
        <v>127</v>
      </c>
      <c r="G71" s="38"/>
      <c r="H71" s="94">
        <f>H73</f>
        <v>0</v>
      </c>
      <c r="I71" s="43" t="s">
        <v>127</v>
      </c>
      <c r="J71" s="38"/>
      <c r="K71" s="42">
        <f>K73</f>
        <v>1</v>
      </c>
      <c r="L71" s="49" t="s">
        <v>127</v>
      </c>
      <c r="M71" s="38"/>
      <c r="N71" s="42">
        <v>0</v>
      </c>
      <c r="O71" s="49" t="str">
        <f t="shared" ref="O71" si="78">L71</f>
        <v>Event</v>
      </c>
      <c r="P71" s="38"/>
      <c r="Q71" s="42">
        <v>0</v>
      </c>
      <c r="R71" s="49" t="str">
        <f t="shared" ref="R71" si="79">L71</f>
        <v>Event</v>
      </c>
      <c r="S71" s="38"/>
      <c r="T71" s="42">
        <v>0</v>
      </c>
      <c r="U71" s="49" t="str">
        <f t="shared" ref="U71" si="80">L71</f>
        <v>Event</v>
      </c>
      <c r="V71" s="38"/>
      <c r="W71" s="42">
        <v>0</v>
      </c>
      <c r="X71" s="49" t="str">
        <f t="shared" si="4"/>
        <v>Event</v>
      </c>
      <c r="Y71" s="38"/>
      <c r="Z71" s="90">
        <f t="shared" ref="Z71" si="81">SUM(N71,Q71,T71,W71)</f>
        <v>0</v>
      </c>
      <c r="AA71" s="80" t="str">
        <f t="shared" ref="AA71" si="82">L71</f>
        <v>Event</v>
      </c>
      <c r="AB71" s="90">
        <f t="shared" ref="AB71" si="83">Z71/K71*100</f>
        <v>0</v>
      </c>
      <c r="AC71" s="54" t="s">
        <v>50</v>
      </c>
      <c r="AD71" s="98"/>
      <c r="AE71" s="99"/>
      <c r="AF71" s="100"/>
      <c r="AG71" s="102">
        <f t="shared" ref="AG71" si="84">SUM(H71,Z71)</f>
        <v>0</v>
      </c>
      <c r="AH71" s="80" t="str">
        <f t="shared" ref="AH71" si="85">O71</f>
        <v>Event</v>
      </c>
      <c r="AI71" s="98"/>
      <c r="AJ71" s="56"/>
      <c r="AK71" s="54" t="s">
        <v>50</v>
      </c>
      <c r="AL71" s="99"/>
      <c r="AM71" s="93"/>
      <c r="AP71" s="92"/>
    </row>
    <row r="72" spans="1:42" ht="138" customHeight="1" x14ac:dyDescent="0.2">
      <c r="A72" s="12"/>
      <c r="B72" s="13"/>
      <c r="C72" s="22" t="s">
        <v>120</v>
      </c>
      <c r="D72" s="26" t="s">
        <v>155</v>
      </c>
      <c r="E72" s="16">
        <f>50+110+100</f>
        <v>260</v>
      </c>
      <c r="F72" s="44" t="s">
        <v>135</v>
      </c>
      <c r="G72" s="19">
        <f>30175000+83215700*2</f>
        <v>196606400</v>
      </c>
      <c r="H72" s="16">
        <f>100+120</f>
        <v>220</v>
      </c>
      <c r="I72" s="44" t="s">
        <v>135</v>
      </c>
      <c r="J72" s="18">
        <v>0</v>
      </c>
      <c r="K72" s="16">
        <v>50</v>
      </c>
      <c r="L72" s="44" t="s">
        <v>135</v>
      </c>
      <c r="M72" s="19">
        <v>30175000</v>
      </c>
      <c r="N72" s="16">
        <v>0</v>
      </c>
      <c r="O72" s="44" t="str">
        <f t="shared" si="1"/>
        <v>Org</v>
      </c>
      <c r="P72" s="19">
        <v>0</v>
      </c>
      <c r="Q72" s="16">
        <v>50</v>
      </c>
      <c r="R72" s="44" t="str">
        <f t="shared" si="2"/>
        <v>Org</v>
      </c>
      <c r="S72" s="19">
        <v>5300000</v>
      </c>
      <c r="T72" s="16">
        <v>0</v>
      </c>
      <c r="U72" s="44" t="str">
        <f t="shared" si="3"/>
        <v>Org</v>
      </c>
      <c r="V72" s="19">
        <v>24867500</v>
      </c>
      <c r="W72" s="16">
        <v>0</v>
      </c>
      <c r="X72" s="44" t="str">
        <f t="shared" si="4"/>
        <v>Org</v>
      </c>
      <c r="Y72" s="19">
        <v>0</v>
      </c>
      <c r="Z72" s="55">
        <f t="shared" si="62"/>
        <v>50</v>
      </c>
      <c r="AA72" s="81" t="str">
        <f t="shared" si="63"/>
        <v>Org</v>
      </c>
      <c r="AB72" s="55">
        <f t="shared" si="64"/>
        <v>100</v>
      </c>
      <c r="AC72" s="31" t="s">
        <v>50</v>
      </c>
      <c r="AD72" s="70">
        <f t="shared" si="65"/>
        <v>30167500</v>
      </c>
      <c r="AE72" s="52">
        <f t="shared" si="66"/>
        <v>99.975144987572492</v>
      </c>
      <c r="AF72" s="31" t="s">
        <v>50</v>
      </c>
      <c r="AG72" s="55">
        <f t="shared" si="67"/>
        <v>270</v>
      </c>
      <c r="AH72" s="81" t="str">
        <f t="shared" si="68"/>
        <v>Org</v>
      </c>
      <c r="AI72" s="70">
        <f t="shared" si="69"/>
        <v>30167500</v>
      </c>
      <c r="AJ72" s="52"/>
      <c r="AK72" s="31" t="s">
        <v>50</v>
      </c>
      <c r="AL72" s="71"/>
      <c r="AM72" s="11"/>
      <c r="AP72" s="21"/>
    </row>
    <row r="73" spans="1:42" ht="150" x14ac:dyDescent="0.2">
      <c r="A73" s="12"/>
      <c r="B73" s="13"/>
      <c r="C73" s="76" t="s">
        <v>121</v>
      </c>
      <c r="D73" s="26" t="s">
        <v>156</v>
      </c>
      <c r="E73" s="16">
        <f>1+7+10</f>
        <v>18</v>
      </c>
      <c r="F73" s="44" t="s">
        <v>127</v>
      </c>
      <c r="G73" s="19">
        <f>99200000+800865000*2</f>
        <v>1700930000</v>
      </c>
      <c r="H73" s="16">
        <v>0</v>
      </c>
      <c r="I73" s="44" t="s">
        <v>127</v>
      </c>
      <c r="J73" s="24">
        <v>0</v>
      </c>
      <c r="K73" s="16">
        <v>1</v>
      </c>
      <c r="L73" s="44" t="s">
        <v>127</v>
      </c>
      <c r="M73" s="19">
        <v>99200000</v>
      </c>
      <c r="N73" s="16">
        <v>0</v>
      </c>
      <c r="O73" s="44" t="str">
        <f t="shared" si="1"/>
        <v>Event</v>
      </c>
      <c r="P73" s="19">
        <v>0</v>
      </c>
      <c r="Q73" s="16">
        <v>0</v>
      </c>
      <c r="R73" s="44" t="str">
        <f t="shared" si="2"/>
        <v>Event</v>
      </c>
      <c r="S73" s="19">
        <v>0</v>
      </c>
      <c r="T73" s="16">
        <v>0</v>
      </c>
      <c r="U73" s="44" t="str">
        <f t="shared" si="3"/>
        <v>Event</v>
      </c>
      <c r="V73" s="19">
        <v>0</v>
      </c>
      <c r="W73" s="16">
        <v>0</v>
      </c>
      <c r="X73" s="44" t="str">
        <f t="shared" si="4"/>
        <v>Event</v>
      </c>
      <c r="Y73" s="19">
        <v>0</v>
      </c>
      <c r="Z73" s="55">
        <f t="shared" si="62"/>
        <v>0</v>
      </c>
      <c r="AA73" s="81" t="str">
        <f t="shared" si="63"/>
        <v>Event</v>
      </c>
      <c r="AB73" s="55">
        <f t="shared" si="64"/>
        <v>0</v>
      </c>
      <c r="AC73" s="31" t="s">
        <v>50</v>
      </c>
      <c r="AD73" s="70">
        <f t="shared" si="65"/>
        <v>0</v>
      </c>
      <c r="AE73" s="52">
        <f t="shared" si="66"/>
        <v>0</v>
      </c>
      <c r="AF73" s="31" t="s">
        <v>50</v>
      </c>
      <c r="AG73" s="55">
        <f t="shared" si="67"/>
        <v>0</v>
      </c>
      <c r="AH73" s="81" t="str">
        <f t="shared" si="68"/>
        <v>Event</v>
      </c>
      <c r="AI73" s="70">
        <f t="shared" si="69"/>
        <v>0</v>
      </c>
      <c r="AJ73" s="52"/>
      <c r="AK73" s="31" t="s">
        <v>50</v>
      </c>
      <c r="AL73" s="71"/>
      <c r="AM73" s="11"/>
      <c r="AP73" s="21"/>
    </row>
    <row r="74" spans="1:42" ht="15" x14ac:dyDescent="0.2">
      <c r="A74" s="113" t="s">
        <v>24</v>
      </c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5"/>
      <c r="AB74" s="78">
        <f>AVERAGE(AB13:AB73)</f>
        <v>85.279045942630788</v>
      </c>
      <c r="AC74" s="61"/>
      <c r="AD74" s="59"/>
      <c r="AE74" s="78">
        <f>AVERAGE(AE13,AE35,AE43,AE56,AE59,AE64,AE68)</f>
        <v>68.902246125074257</v>
      </c>
      <c r="AF74" s="61"/>
      <c r="AG74" s="60"/>
      <c r="AH74" s="86"/>
      <c r="AI74" s="60"/>
      <c r="AJ74" s="60"/>
      <c r="AK74" s="61"/>
      <c r="AL74" s="62"/>
      <c r="AM74" s="11"/>
    </row>
    <row r="75" spans="1:42" ht="15" x14ac:dyDescent="0.2">
      <c r="A75" s="113" t="s">
        <v>25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5"/>
      <c r="AB75" s="27" t="str">
        <f>IF(AB74&gt;=91,"Sangat Tinggi",IF(AB74&gt;=76,"Tinggi",IF(AB74&gt;=66,"Sedang",IF(AB74&gt;=51,"Rendah",IF(AB74&lt;=50,"Sangat Rendah")))))</f>
        <v>Tinggi</v>
      </c>
      <c r="AC75" s="61"/>
      <c r="AD75" s="63"/>
      <c r="AE75" s="27" t="str">
        <f>IF(AE74&gt;=91,"Sangat Tinggi",IF(AE74&gt;=76,"Tinggi",IF(AE74&gt;=66,"Sedang",IF(AE74&gt;=51,"Rendah",IF(AE74&lt;=50,"Sangat Rendah")))))</f>
        <v>Sedang</v>
      </c>
      <c r="AF75" s="61"/>
      <c r="AG75" s="64"/>
      <c r="AH75" s="86"/>
      <c r="AI75" s="65"/>
      <c r="AJ75" s="64"/>
      <c r="AK75" s="61"/>
      <c r="AL75" s="66"/>
      <c r="AM75" s="11"/>
    </row>
    <row r="76" spans="1:42" ht="15" x14ac:dyDescent="0.2">
      <c r="A76" s="112" t="s">
        <v>26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"/>
    </row>
    <row r="77" spans="1:42" ht="15" x14ac:dyDescent="0.2">
      <c r="A77" s="112" t="s">
        <v>27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"/>
    </row>
    <row r="78" spans="1:42" ht="15" x14ac:dyDescent="0.2">
      <c r="A78" s="112" t="s">
        <v>28</v>
      </c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"/>
    </row>
    <row r="79" spans="1:42" ht="15" x14ac:dyDescent="0.2">
      <c r="A79" s="112" t="s">
        <v>29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28"/>
    </row>
    <row r="80" spans="1:42" ht="15" x14ac:dyDescent="0.2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84"/>
      <c r="AB80" s="29"/>
      <c r="AC80" s="30"/>
      <c r="AD80" s="29"/>
      <c r="AE80" s="29"/>
      <c r="AF80" s="30"/>
      <c r="AG80" s="29"/>
      <c r="AH80" s="84"/>
      <c r="AI80" s="29"/>
      <c r="AJ80" s="29"/>
      <c r="AK80" s="30"/>
      <c r="AL80" s="29"/>
    </row>
    <row r="81" spans="1:39" ht="15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109" t="s">
        <v>60</v>
      </c>
      <c r="AA81" s="109"/>
      <c r="AB81" s="109"/>
      <c r="AC81" s="109"/>
      <c r="AD81" s="109"/>
      <c r="AE81" s="109"/>
      <c r="AF81" s="30"/>
      <c r="AG81" s="29"/>
      <c r="AH81" s="109" t="s">
        <v>61</v>
      </c>
      <c r="AI81" s="109"/>
      <c r="AJ81" s="109"/>
      <c r="AK81" s="109"/>
      <c r="AL81" s="109"/>
      <c r="AM81" s="109"/>
    </row>
    <row r="82" spans="1:39" ht="15.75" x14ac:dyDescent="0.25">
      <c r="A82" s="35"/>
      <c r="B82" s="36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109" t="s">
        <v>186</v>
      </c>
      <c r="AA82" s="109"/>
      <c r="AB82" s="109"/>
      <c r="AC82" s="109"/>
      <c r="AD82" s="109"/>
      <c r="AE82" s="109"/>
      <c r="AF82" s="30"/>
      <c r="AG82" s="29"/>
      <c r="AH82" s="109" t="s">
        <v>186</v>
      </c>
      <c r="AI82" s="109"/>
      <c r="AJ82" s="109"/>
      <c r="AK82" s="109"/>
      <c r="AL82" s="109"/>
      <c r="AM82" s="109"/>
    </row>
    <row r="83" spans="1:39" ht="15" x14ac:dyDescent="0.2">
      <c r="Z83" s="109" t="s">
        <v>66</v>
      </c>
      <c r="AA83" s="109"/>
      <c r="AB83" s="109"/>
      <c r="AC83" s="109"/>
      <c r="AD83" s="109"/>
      <c r="AE83" s="109"/>
      <c r="AH83" s="109" t="s">
        <v>62</v>
      </c>
      <c r="AI83" s="109"/>
      <c r="AJ83" s="109"/>
      <c r="AK83" s="109"/>
      <c r="AL83" s="109"/>
      <c r="AM83" s="109"/>
    </row>
    <row r="84" spans="1:39" ht="15" x14ac:dyDescent="0.2">
      <c r="Z84" s="109" t="s">
        <v>63</v>
      </c>
      <c r="AA84" s="109"/>
      <c r="AB84" s="109"/>
      <c r="AC84" s="109"/>
      <c r="AD84" s="109"/>
      <c r="AE84" s="109"/>
      <c r="AH84" s="109" t="s">
        <v>63</v>
      </c>
      <c r="AI84" s="109"/>
      <c r="AJ84" s="109"/>
      <c r="AK84" s="109"/>
      <c r="AL84" s="109"/>
      <c r="AM84" s="109"/>
    </row>
    <row r="85" spans="1:39" ht="51" x14ac:dyDescent="0.2">
      <c r="A85" s="32" t="s">
        <v>30</v>
      </c>
      <c r="B85" s="32" t="s">
        <v>31</v>
      </c>
      <c r="C85" s="32" t="s">
        <v>32</v>
      </c>
      <c r="Z85" s="29"/>
      <c r="AA85" s="84"/>
      <c r="AB85" s="29"/>
      <c r="AC85" s="30"/>
      <c r="AD85" s="29"/>
      <c r="AH85" s="87"/>
      <c r="AI85" s="30"/>
      <c r="AJ85" s="29"/>
      <c r="AK85" s="30"/>
      <c r="AL85" s="29"/>
    </row>
    <row r="86" spans="1:39" ht="25.5" x14ac:dyDescent="0.25">
      <c r="A86" s="33" t="s">
        <v>33</v>
      </c>
      <c r="B86" s="33" t="s">
        <v>34</v>
      </c>
      <c r="C86" s="33" t="s">
        <v>35</v>
      </c>
      <c r="Z86" s="110" t="s">
        <v>67</v>
      </c>
      <c r="AA86" s="110"/>
      <c r="AB86" s="110"/>
      <c r="AC86" s="110"/>
      <c r="AD86" s="110"/>
      <c r="AE86" s="110"/>
      <c r="AH86" s="110" t="s">
        <v>64</v>
      </c>
      <c r="AI86" s="110"/>
      <c r="AJ86" s="110"/>
      <c r="AK86" s="110"/>
      <c r="AL86" s="110"/>
      <c r="AM86" s="110"/>
    </row>
    <row r="87" spans="1:39" ht="25.5" x14ac:dyDescent="0.2">
      <c r="A87" s="33" t="s">
        <v>36</v>
      </c>
      <c r="B87" s="33" t="s">
        <v>37</v>
      </c>
      <c r="C87" s="33" t="s">
        <v>38</v>
      </c>
      <c r="Z87" s="111" t="s">
        <v>68</v>
      </c>
      <c r="AA87" s="111"/>
      <c r="AB87" s="111"/>
      <c r="AC87" s="111"/>
      <c r="AD87" s="111"/>
      <c r="AE87" s="111"/>
      <c r="AH87" s="111" t="s">
        <v>65</v>
      </c>
      <c r="AI87" s="111"/>
      <c r="AJ87" s="111"/>
      <c r="AK87" s="111"/>
      <c r="AL87" s="111"/>
      <c r="AM87" s="111"/>
    </row>
    <row r="88" spans="1:39" ht="25.5" x14ac:dyDescent="0.2">
      <c r="A88" s="33" t="s">
        <v>39</v>
      </c>
      <c r="B88" s="33" t="s">
        <v>40</v>
      </c>
      <c r="C88" s="33" t="s">
        <v>41</v>
      </c>
    </row>
    <row r="89" spans="1:39" ht="25.5" x14ac:dyDescent="0.2">
      <c r="A89" s="33" t="s">
        <v>42</v>
      </c>
      <c r="B89" s="33" t="s">
        <v>43</v>
      </c>
      <c r="C89" s="33" t="s">
        <v>44</v>
      </c>
    </row>
    <row r="90" spans="1:39" ht="25.5" x14ac:dyDescent="0.2">
      <c r="A90" s="33" t="s">
        <v>45</v>
      </c>
      <c r="B90" s="34" t="s">
        <v>46</v>
      </c>
      <c r="C90" s="33" t="s">
        <v>47</v>
      </c>
    </row>
  </sheetData>
  <mergeCells count="82">
    <mergeCell ref="A6:AL6"/>
    <mergeCell ref="Z7:AF8"/>
    <mergeCell ref="Z9:AF9"/>
    <mergeCell ref="A7:A9"/>
    <mergeCell ref="B7:B9"/>
    <mergeCell ref="C7:C9"/>
    <mergeCell ref="D7:D9"/>
    <mergeCell ref="E7:G9"/>
    <mergeCell ref="A1:AL1"/>
    <mergeCell ref="A2:AL2"/>
    <mergeCell ref="A3:AL3"/>
    <mergeCell ref="A4:AL4"/>
    <mergeCell ref="A5:AL5"/>
    <mergeCell ref="E10:G10"/>
    <mergeCell ref="H10:J10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10:AF10"/>
    <mergeCell ref="H7:J9"/>
    <mergeCell ref="E11:F12"/>
    <mergeCell ref="G11:G12"/>
    <mergeCell ref="H11:I12"/>
    <mergeCell ref="J11:J12"/>
    <mergeCell ref="K11:L12"/>
    <mergeCell ref="P11:P12"/>
    <mergeCell ref="AG10:AI10"/>
    <mergeCell ref="AJ10:AL10"/>
    <mergeCell ref="K10:M10"/>
    <mergeCell ref="N10:P10"/>
    <mergeCell ref="Q10:S10"/>
    <mergeCell ref="T10:V10"/>
    <mergeCell ref="AG12:AH12"/>
    <mergeCell ref="AJ12:AK12"/>
    <mergeCell ref="Z11:AA11"/>
    <mergeCell ref="AG11:AH11"/>
    <mergeCell ref="AJ11:AK11"/>
    <mergeCell ref="AB11:AC11"/>
    <mergeCell ref="AB12:AC12"/>
    <mergeCell ref="W10:Y10"/>
    <mergeCell ref="A10:A12"/>
    <mergeCell ref="B10:B12"/>
    <mergeCell ref="C10:C12"/>
    <mergeCell ref="D10:D12"/>
    <mergeCell ref="A76:AL76"/>
    <mergeCell ref="Q11:R12"/>
    <mergeCell ref="S11:S12"/>
    <mergeCell ref="Z12:AA12"/>
    <mergeCell ref="AE11:AF11"/>
    <mergeCell ref="AE12:AF12"/>
    <mergeCell ref="T11:U12"/>
    <mergeCell ref="V11:V12"/>
    <mergeCell ref="W11:X12"/>
    <mergeCell ref="Y11:Y12"/>
    <mergeCell ref="M11:M12"/>
    <mergeCell ref="N11:O12"/>
    <mergeCell ref="A77:AL77"/>
    <mergeCell ref="A78:AL78"/>
    <mergeCell ref="A79:AL79"/>
    <mergeCell ref="A74:AA74"/>
    <mergeCell ref="A75:AA75"/>
    <mergeCell ref="Z81:AE81"/>
    <mergeCell ref="AH81:AM81"/>
    <mergeCell ref="Z82:AE82"/>
    <mergeCell ref="AH82:AM82"/>
    <mergeCell ref="Z83:AE83"/>
    <mergeCell ref="AH83:AM83"/>
    <mergeCell ref="Z84:AE84"/>
    <mergeCell ref="AH84:AM84"/>
    <mergeCell ref="Z86:AE86"/>
    <mergeCell ref="AH86:AM86"/>
    <mergeCell ref="Z87:AE87"/>
    <mergeCell ref="AH87:AM87"/>
  </mergeCells>
  <printOptions horizontalCentered="1"/>
  <pageMargins left="0.23622047244094491" right="0.23622047244094491" top="3.937007874015748E-2" bottom="3.937007874015748E-2" header="0" footer="0"/>
  <pageSetup paperSize="9" scale="32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Disporapar</vt:lpstr>
      <vt:lpstr>Disporapar!Print_Area</vt:lpstr>
      <vt:lpstr>Disporapar!Print_Titles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cp:lastPrinted>2020-06-02T00:38:31Z</cp:lastPrinted>
  <dcterms:created xsi:type="dcterms:W3CDTF">2020-03-18T05:59:44Z</dcterms:created>
  <dcterms:modified xsi:type="dcterms:W3CDTF">2021-12-27T03:42:10Z</dcterms:modified>
</cp:coreProperties>
</file>