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6950"/>
  </bookViews>
  <sheets>
    <sheet name="Daha Utara" sheetId="1" r:id="rId1"/>
  </sheets>
  <definedNames>
    <definedName name="_xlnm.Print_Area" localSheetId="0">'Daha Utara'!$A$1:$AE$83</definedName>
    <definedName name="_xlnm.Print_Titles" localSheetId="0">'Daha Utara'!$7:$12</definedName>
  </definedNames>
  <calcPr calcId="144525" fullCalcOnLoad="1"/>
</workbook>
</file>

<file path=xl/sharedStrings.xml><?xml version="1.0" encoding="utf-8"?>
<sst xmlns="http://schemas.openxmlformats.org/spreadsheetml/2006/main" count="374" uniqueCount="167">
  <si>
    <t>EVALUASI TERHADAP HASIL RENCANA KERJA PERANGKAT DAERAH LINGKUP KABUPATEN</t>
  </si>
  <si>
    <t>RENCANA KERJA PERANGKAT DAERAH</t>
  </si>
  <si>
    <t>KECAMATAN DAHA UTARA</t>
  </si>
  <si>
    <t>PERIODE PELAKSANAAN TRIWULAN IV TAHUN 2022</t>
  </si>
  <si>
    <t>Indikator dan Target Kinerja Perangkat Daerah Kabupaten yang Mengacu Pada Sasaran RKPD Kabupaten</t>
  </si>
  <si>
    <t>No</t>
  </si>
  <si>
    <t>Sasaran</t>
  </si>
  <si>
    <t>Program/Kegiatan</t>
  </si>
  <si>
    <r>
      <rPr>
        <b/>
        <sz val="12"/>
        <color indexed="8"/>
        <rFont val="Arial"/>
        <family val="2"/>
        <charset val="0"/>
      </rPr>
      <t>Indikator Kinerja Program (</t>
    </r>
    <r>
      <rPr>
        <b/>
        <i/>
        <sz val="12"/>
        <color indexed="8"/>
        <rFont val="Arial"/>
        <family val="2"/>
        <charset val="0"/>
      </rPr>
      <t>Outcome</t>
    </r>
    <r>
      <rPr>
        <b/>
        <sz val="12"/>
        <color indexed="8"/>
        <rFont val="Arial"/>
        <family val="2"/>
        <charset val="0"/>
      </rPr>
      <t>)/Kegiatan (</t>
    </r>
    <r>
      <rPr>
        <b/>
        <i/>
        <sz val="12"/>
        <color indexed="8"/>
        <rFont val="Arial"/>
        <family val="2"/>
        <charset val="0"/>
      </rPr>
      <t>Output</t>
    </r>
    <r>
      <rPr>
        <b/>
        <sz val="12"/>
        <color indexed="8"/>
        <rFont val="Arial"/>
        <family val="2"/>
        <charset val="0"/>
      </rPr>
      <t>)</t>
    </r>
  </si>
  <si>
    <t>Target Renstra Perangkat Daerah Pada Tahun 2023</t>
  </si>
  <si>
    <t>Realisasi Capaian Kinerja Renstra Perangkat Daerah sampai dengan Renja Perangkat Daerah Tahun Lalu (2021)</t>
  </si>
  <si>
    <t>Target Kinerja dan Anggaran Renja Perangkat Daerah Tahun Berjalan (Tahun 2022) yang Dievaluasi</t>
  </si>
  <si>
    <t>Realisasi Kinerja Pada Triwulan</t>
  </si>
  <si>
    <t>Realisasi dan Tingkat Capaian Kinerja dan Anggaran Renja Perangkat Daerah yang Dievaluasi</t>
  </si>
  <si>
    <t>Realisasi Kinerja dan Anggaran Renstra Perangkat Daerah s/d Tahun 2022</t>
  </si>
  <si>
    <t>Tingkat Capaian Kinerja dan Realisasi Anggaran Renstra Perangkat Daerah s/d Tahun 2022 (%)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</si>
  <si>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</si>
  <si>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</si>
  <si>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</si>
  <si>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</si>
  <si>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</si>
  <si>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</si>
  <si>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</si>
  <si>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</si>
  <si>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(12)(K) : kolom (7)(K)] x 100%</t>
  </si>
  <si>
    <t>[kolom (8-11)(Rp)]</t>
  </si>
  <si>
    <t>[kolom (12)(Rp) : kolom (7)(Rp)] x 100%</t>
  </si>
  <si>
    <t>[kolom (6)(K) + kolom (12)(K)]</t>
  </si>
  <si>
    <t>[kolom (6)(Rp) + kolom (12)(Rp)]</t>
  </si>
  <si>
    <t>[kolom (13)(K) : kolom (5)(K)] x 100%</t>
  </si>
  <si>
    <t>[Kolom (13)(Rp) : Kolom (5)(Rp)] x 100%</t>
  </si>
  <si>
    <t>Meningkatnya akuntabilitas Instansi Pemerintah dan Kualitas Pelayanan Publik</t>
  </si>
  <si>
    <t>Program Penunjang Urusan Pemerintahan Daerah Kabupaten/Kota</t>
  </si>
  <si>
    <t>Tingkat kepuasan pelayanan</t>
  </si>
  <si>
    <t>%</t>
  </si>
  <si>
    <t>Kecamatan Daha Utara</t>
  </si>
  <si>
    <t>Meningkatnya Kinerja Keuangan dan Kinerja Birokrasi</t>
  </si>
  <si>
    <t>Perencanaan, Penganggaran, dan Evaluasi Kinerja Perangkat Daerah</t>
  </si>
  <si>
    <t>Persentase Dokumen Perencanaan dan Evaluasi Kinerja Kecamatan yang berkualitas</t>
  </si>
  <si>
    <t>Dok</t>
  </si>
  <si>
    <t>Penyusunan Dokumen Perencanaan Perangkat Daerah</t>
  </si>
  <si>
    <t>Jumlah Dokumen Perencanaan Perangkat Daerah</t>
  </si>
  <si>
    <t>Evaluasi Kinerja Perangkat Daerah</t>
  </si>
  <si>
    <t>Jumlah Laporan Evaluasi Kinerja Perangkat Daerah</t>
  </si>
  <si>
    <t>Lap</t>
  </si>
  <si>
    <t>Administrasi Keuangan Perangkat Daerah</t>
  </si>
  <si>
    <t>Persentase dokumen administrasi keuangan sesuai dengan standar</t>
  </si>
  <si>
    <t>Penyediaan Gaji dan Tunjangan ASN</t>
  </si>
  <si>
    <t>Jumlah Orang yang Menerima Gaji dan Tunjangan ASN</t>
  </si>
  <si>
    <t>Org</t>
  </si>
  <si>
    <t>Koordinasi dan Penyusunan Laporan Keuangan Akhir Tahun SKPD</t>
  </si>
  <si>
    <t>Jumlah Laporan Keuangan Akhir Tahun SKPD dan Laporan Hasil Koordinasi Penyusunan Laporan Keuangan Akhir Tahun SKPD</t>
  </si>
  <si>
    <t>Koordinasi dan Penyusunan Laporan Keuangan Bulanan/Triwulanan/Semesteran SKPD</t>
  </si>
  <si>
    <t>Jumlah Laporan Keuangan Bulanan/Triwulanan/Semesteran SKPD dan Laporan Koordinasi Penyusunan Laporan Keuangan Bulanan/Triwulanan/Semesteran SKPD</t>
  </si>
  <si>
    <t>Penyusunan Pelaporan dan Analisis Prognosis Realisasi Anggaran</t>
  </si>
  <si>
    <t>Jumlah Dokumen Pelaporan dan Analisis Prognosis Realisasi Anggaran</t>
  </si>
  <si>
    <t>Administrasi Umum Perangkat Daerah</t>
  </si>
  <si>
    <t>Persentase pelayanan administrasi umum sesuai kebutuhan</t>
  </si>
  <si>
    <t>Penyediaan Komponen Instalasi Listrik/Penerangan Bangunan Kantor</t>
  </si>
  <si>
    <t>Jumlah Paket Komponen Instalasi Listrik/Penerangan Bangunan Kantor yang Disediakan</t>
  </si>
  <si>
    <t>Paket</t>
  </si>
  <si>
    <t>Penyediaan Peralatan dan Perlengkapan Kantor</t>
  </si>
  <si>
    <t>Jumlah Paket Peralatan dan Perlengkapan Kantor yang Disediakan</t>
  </si>
  <si>
    <t>Penyediaan Bahan Logistik Kantor</t>
  </si>
  <si>
    <t>Jumlah Paket Bahan Logistik Kantor yang Disediakan</t>
  </si>
  <si>
    <t>Penyediaan Barang Cetakan dan Penggandaan</t>
  </si>
  <si>
    <t>Jumlah Paket Barang Cetakan dan Penggandaan yang Disediakan</t>
  </si>
  <si>
    <t>Penyediaan Bahan Bacaan dan Peraturan Perundang-undangan</t>
  </si>
  <si>
    <t>Jumlah Dokumen Bahan Bacaan dan Peraturan Perundang-Undangan yang Disediakan</t>
  </si>
  <si>
    <t>Penyelenggaraan Rapat Koordinasi dan Konsultasi SKPD</t>
  </si>
  <si>
    <t>Jumlah Laporan Penyelenggaraan Rapat Koordinasi dan Konsultasi SKPD</t>
  </si>
  <si>
    <t>Pengadaan Barang Milik Daerah Penunjang Urusan Pemerintah Daerah</t>
  </si>
  <si>
    <t>Presentse Layanan administrasi umum sesuai dengan kebutuhan</t>
  </si>
  <si>
    <t>Pengadaan Sarana dan Prasarana Pendukung Gedung Kantor atau Bangunan Lainnya</t>
  </si>
  <si>
    <t>Jumlah Unit Sarana dan Prasarana Gedung Kantor atau Bangunan Lainnya yang Disediakan</t>
  </si>
  <si>
    <t>Unit</t>
  </si>
  <si>
    <t>Penyediaan Jasa Penunjang Urusan Pemerintahan Daerah</t>
  </si>
  <si>
    <t>Persentase jasa penunjang urusan pemerintahan daerah sesuai kebutuhan</t>
  </si>
  <si>
    <t>Penyediaan Jasa Surat Menyurat</t>
  </si>
  <si>
    <t>Jumlah Laporan Penyediaan Jasa Surat Menyurat</t>
  </si>
  <si>
    <t>Penyediaan Jasa Komunikasi, Sumber Daya Air dan Listrik</t>
  </si>
  <si>
    <t>Jumlah Laporan Penyediaan Jasa Komunikasi, Sumber Daya Air dan Listrik yang Disediakan</t>
  </si>
  <si>
    <t>Penyediaan Jasa Pelayanan Umum Kantor</t>
  </si>
  <si>
    <t>Jumlah Laporan Penyediaan Jasa Pelayanan Umum Kantor yang Disediakan</t>
  </si>
  <si>
    <t>Pemeliharaan Barang Milik Daerah Penunjang Urusan Pemerintahan Daerah</t>
  </si>
  <si>
    <t>Penyediaan Jasa Pemeliharaan, Biaya Pemeliharaan, Pajak dan Perizinan Kendaraan Dinas Operasional atau Lapangan</t>
  </si>
  <si>
    <t>Jumlah Kendaraan Dinas Operasional atau Lapangan yang Dipelihara dan dibayarkan Pajak dan Perizinannya</t>
  </si>
  <si>
    <t>Pemeliharaan/Rehabilitasi Gedung Kantor dan Bangunan Lainnya</t>
  </si>
  <si>
    <t>Jumlah Gedung Kantor dan Bangunan Lainnya yang Dipelihara/Direhabilitasi</t>
  </si>
  <si>
    <t>Pemeliharaan/Rehabilitasi Sarana dan Prasarana Gedung Kantor atau Bangunan Lainnya</t>
  </si>
  <si>
    <t>Jumlah Sarana dan Prasarana Gedung Kantor atau Bangunan Lainnya yang Dipelihara/Direhabilitasi</t>
  </si>
  <si>
    <t>Pemeliharaan/Rehabilitasi Sarana dan Prasarana Pendukung Gedung Kantor atau Bangunan Lainnya</t>
  </si>
  <si>
    <t>Jumlah Sarana dan Prasarana Pendukung Gedung Kantor atau Bangunan Lainnya yang Dipelihara/Direhabilitasi</t>
  </si>
  <si>
    <t>Program Penyelenggaraan Pemerintahan Dan Pelayanan Publik</t>
  </si>
  <si>
    <t>Persentase penyelenggaraan urusan pemerintahan umum  dan kewenangan lainnya dilaksanakan dengan baik</t>
  </si>
  <si>
    <t>Penyelenggaraan Urusan Pemerintahan yang tidak Dilaksanakan oleh Unit Kerja Perangkat Daerah yang ada di Kecamatan</t>
  </si>
  <si>
    <t>Persentase penyelenggaraan pemerintahan dan pelayanan publik di kecamatan</t>
  </si>
  <si>
    <t>Peningkatan Efektifitas Pelaksanaan Pelayanan kepada Masyarakat di Wilayah Kecamatan</t>
  </si>
  <si>
    <t>Jumlah Laporan Peningkatan Efektifitas Pelaksanaan Pelayanan kepada Masyarakat di Wilayah Kecamatan</t>
  </si>
  <si>
    <t>Pelaksanaan Urusan Pemerintahan yang Dilimpahkan kepada Camat</t>
  </si>
  <si>
    <t>Pelaksanaan Urusan Pemerintahan yang terkait dengan Kewenangan Lain yang Dilimpahkan</t>
  </si>
  <si>
    <t>Jumlah Laporan Pelaksanaan Kewenangan Lain yang Dilimpahkan</t>
  </si>
  <si>
    <t>Program Pemberdayaan Masyarakat Desa Dan Kelurahan</t>
  </si>
  <si>
    <t>Persentase Penyelenggaraan Pemberdayaan Masyarakat Desa yang dilaksanakan dengan baik</t>
  </si>
  <si>
    <t>Koordinasi Kegiatan Pemberdayaan Desa</t>
  </si>
  <si>
    <t>Persentase penyelenggaraan Kegiatan Pemberdayaan Masyarakat di Desa yang dilaksanakan dengan baik</t>
  </si>
  <si>
    <t>Peningkatan Partisipasi Masyarakat dalam Forum Musyawarah Perencanaan Pembangunan di Desa</t>
  </si>
  <si>
    <t>Jumlah Lembaga Kemasyarakatan yang Berpartisipasi dalam Forum Musyawarah Perencanaan Pembangunan di Desa</t>
  </si>
  <si>
    <t>Lembaga Kemasyarakatan</t>
  </si>
  <si>
    <t>Sinkronisasi Program Kerja dan Kegiatan Pemberdayaan Masyarakat yang Dilakukan oleh Pemerintah dan Swasta di Wilayah Kerja Kecamatan</t>
  </si>
  <si>
    <t>Jumlah Dokumen Sinkronisasi Program Kerja dan Kegiatan Pemberdayaan Masyarakat yang Dilakukan oleh Pemerintah dan Swasta di Wilayah Kerja Kecamatan</t>
  </si>
  <si>
    <t>Peningkatan Efektifitas Kegiatan Pemberdayaan Masyarakat di Wilayah Kecamatan</t>
  </si>
  <si>
    <t>Jumlah Laporan Peningkatan Efektivitas Kegiatan Pemberdayaan Masyarakat di Wilayah Kecamatan</t>
  </si>
  <si>
    <t>Program Koordinasi Ketentraman Dan Ketertiban Umum</t>
  </si>
  <si>
    <t>Persentase Penyelenggaraan Tugas Ketentraman dan Ketertiban Umum yang dilaksanakan dengan baik</t>
  </si>
  <si>
    <t>Koordinasi Upaya Penyelenggaraan Ketenteraman dan Ketertiban Umum</t>
  </si>
  <si>
    <t>Persentase Koordinasi Upaya Penyelenggaraan Ketentraman dan Ketertiban Umum Dilaksanakan dengan baik</t>
  </si>
  <si>
    <t>Sinergitas dengan Kepolisian Negara Republik Indonesia, Tentara Nasional Indonesia dan Instansi Vertikal di Wilayah Kecamatan</t>
  </si>
  <si>
    <t>Jumlah Laporan Hasil Sinergitas dengan Kepolisian Negara Republik Indonesia, Tentara Nasional Indonesia dan Instansi Vertikal di Wilayah Kecamatan</t>
  </si>
  <si>
    <t>Program Penyelenggaraan Urusan Pemerintahan Umum</t>
  </si>
  <si>
    <t>Persentase penyelenggaraan urusan pemerintahan umum yang dilaksanakan dengan baik</t>
  </si>
  <si>
    <t>Penyelenggaraan Urusan Pemerintahan Umum sesuai Penugasan Kepala Daerah</t>
  </si>
  <si>
    <t>Persentase penyelenggaraan urusan pemerintahan umum sesuai Penugasan Kepala Daerah yang dilaksanakan dengan baik</t>
  </si>
  <si>
    <t>Pembinaan Persatuan dan Kesatuan Bangsa</t>
  </si>
  <si>
    <t>Jumlah Orang yang Mengikuti Pembinaan Persatuan dan Kesatuan Bangsa</t>
  </si>
  <si>
    <t>Pelaksanaan Tugas Forum Koordinasi Pimpinan di Kecamatan</t>
  </si>
  <si>
    <t>Jumlah Dokumen Tugas Forum Koordinasi Pimpinan di Kecamatan</t>
  </si>
  <si>
    <t>Program Pembinaan Dan Pengawasan Pemerintahan Desa</t>
  </si>
  <si>
    <t>Persentase Penyelenggaraan Pemerintahan Desa yang dilaksanakan dengan baik</t>
  </si>
  <si>
    <t>Fasilitasi, Rekomendasi dan Koordinasi Pembinaan dan Pengawasan Pemerintahan Desa</t>
  </si>
  <si>
    <t>Persentase pelaksanaan Fasilitasi dan Pembinaan Pemerintahan Desa yang dilaksanakan dengan baik</t>
  </si>
  <si>
    <t>Fasilitasi Penyusunan Peraturan Desa dan Peraturan Kepala Desa</t>
  </si>
  <si>
    <t>Jumlah Dokumen yang Difasilitasi dalam rangka Penyusunan Peraturan Desa dan Peraturan Kepala Desa</t>
  </si>
  <si>
    <t>Fasilitasi Administrasi Tata Pemerintahan Desa</t>
  </si>
  <si>
    <t>Jumlah Dokumen yang Difasilitasi dalam rangka Administrasi Tata Pemerintahan Desa</t>
  </si>
  <si>
    <t>Fasilitasi Penataan, Pemanfaatan, dan Pendayagunaan Ruang Desa Serta Penetapan dan Penegasan Batas Desa</t>
  </si>
  <si>
    <t>Jumlah Dokumen Fasilitasi dalam rangka Penataan, Pemanfaatan, dan Pendayagunaan Ruang Desa serta Penetapan dan Penegasan Batas Desa</t>
  </si>
  <si>
    <t>Koordinasi Pendampingan Desa di Wilayahnya</t>
  </si>
  <si>
    <t>Jumlah Laporan Hasil Koordinasi Pendampingan Desa di Wilayahnya</t>
  </si>
  <si>
    <t>Rata-rata Capaian Kinerja (%)</t>
  </si>
  <si>
    <t>Predikat Kinerja</t>
  </si>
  <si>
    <t>Faktor pendorong keberhasilan pencapaian: Kegiatan Terlaksana sesuai jadwal dan Merupakan kegiatan rutin, sehingga pelaksanaannya sesuai target yang ada</t>
  </si>
  <si>
    <t>Faktor penghambat pencapaian kinerja:  sampai dengan saat ini tidak ada Kendala</t>
  </si>
  <si>
    <t>Tindak lanjut yang diperlukan dalam triwulan berikutnya*): Percepatan pelaksanaan kegiatan sesuai jadwal</t>
  </si>
  <si>
    <t>Tindak lanjut yang diperlukan dalam Renja Perangkat Daerah Kabupaten berikutnya*):</t>
  </si>
  <si>
    <t>Kandangan,      Desember  2022</t>
  </si>
  <si>
    <t>CAMAT DAHA UTARA</t>
  </si>
  <si>
    <t>No.</t>
  </si>
  <si>
    <t xml:space="preserve">INTERVAL NILAI REALISASI KINERJA </t>
  </si>
  <si>
    <t xml:space="preserve">KRITERIA PENILAIAN REALISASI KINERJA </t>
  </si>
  <si>
    <r>
      <rPr>
        <sz val="10"/>
        <color indexed="8"/>
        <rFont val="Arial Narrow"/>
        <family val="2"/>
        <charset val="0"/>
      </rPr>
      <t>(1)</t>
    </r>
    <r>
      <rPr>
        <sz val="7"/>
        <color indexed="8"/>
        <rFont val="Arial Narrow"/>
        <family val="2"/>
        <charset val="0"/>
      </rPr>
      <t xml:space="preserve">             </t>
    </r>
    <r>
      <rPr>
        <sz val="10"/>
        <color indexed="8"/>
        <rFont val="Arial Narrow"/>
        <family val="2"/>
        <charset val="0"/>
      </rPr>
      <t> </t>
    </r>
  </si>
  <si>
    <r>
      <rPr>
        <sz val="10"/>
        <color indexed="8"/>
        <rFont val="Arial Narrow"/>
        <family val="2"/>
        <charset val="0"/>
      </rPr>
      <t xml:space="preserve">91% </t>
    </r>
    <r>
      <rPr>
        <sz val="12"/>
        <color indexed="8"/>
        <rFont val="Arial Narrow"/>
        <family val="2"/>
        <charset val="0"/>
      </rPr>
      <t>≤</t>
    </r>
    <r>
      <rPr>
        <sz val="10"/>
        <color indexed="8"/>
        <rFont val="Arial Narrow"/>
        <family val="2"/>
        <charset val="0"/>
      </rPr>
      <t xml:space="preserve"> 100%</t>
    </r>
  </si>
  <si>
    <t>Sangat tinggi</t>
  </si>
  <si>
    <t>DODY PURIYANDHANI, SE.MM</t>
  </si>
  <si>
    <r>
      <rPr>
        <sz val="10"/>
        <color indexed="8"/>
        <rFont val="Arial Narrow"/>
        <family val="2"/>
        <charset val="0"/>
      </rPr>
      <t>(2)</t>
    </r>
    <r>
      <rPr>
        <sz val="7"/>
        <color indexed="8"/>
        <rFont val="Arial Narrow"/>
        <family val="2"/>
        <charset val="0"/>
      </rPr>
      <t xml:space="preserve">             </t>
    </r>
    <r>
      <rPr>
        <sz val="10"/>
        <color indexed="8"/>
        <rFont val="Arial Narrow"/>
        <family val="2"/>
        <charset val="0"/>
      </rPr>
      <t> </t>
    </r>
  </si>
  <si>
    <r>
      <rPr>
        <sz val="10"/>
        <color indexed="8"/>
        <rFont val="Arial Narrow"/>
        <family val="2"/>
        <charset val="0"/>
      </rPr>
      <t xml:space="preserve">76% </t>
    </r>
    <r>
      <rPr>
        <sz val="12"/>
        <color indexed="8"/>
        <rFont val="Arial Narrow"/>
        <family val="2"/>
        <charset val="0"/>
      </rPr>
      <t xml:space="preserve">≤ </t>
    </r>
    <r>
      <rPr>
        <sz val="10"/>
        <color indexed="8"/>
        <rFont val="Arial Narrow"/>
        <family val="2"/>
        <charset val="0"/>
      </rPr>
      <t xml:space="preserve">90% </t>
    </r>
  </si>
  <si>
    <t>Tinggi</t>
  </si>
  <si>
    <t>NIP 19840727 201001 1 006</t>
  </si>
  <si>
    <r>
      <rPr>
        <sz val="10"/>
        <color indexed="8"/>
        <rFont val="Arial Narrow"/>
        <family val="2"/>
        <charset val="0"/>
      </rPr>
      <t>(3)</t>
    </r>
    <r>
      <rPr>
        <sz val="7"/>
        <color indexed="8"/>
        <rFont val="Arial Narrow"/>
        <family val="2"/>
        <charset val="0"/>
      </rPr>
      <t xml:space="preserve">             </t>
    </r>
    <r>
      <rPr>
        <sz val="10"/>
        <color indexed="8"/>
        <rFont val="Arial Narrow"/>
        <family val="2"/>
        <charset val="0"/>
      </rPr>
      <t> </t>
    </r>
  </si>
  <si>
    <r>
      <rPr>
        <sz val="10"/>
        <color indexed="8"/>
        <rFont val="Arial Narrow"/>
        <family val="2"/>
        <charset val="0"/>
      </rPr>
      <t xml:space="preserve">66% </t>
    </r>
    <r>
      <rPr>
        <sz val="12"/>
        <color indexed="8"/>
        <rFont val="Arial Narrow"/>
        <family val="2"/>
        <charset val="0"/>
      </rPr>
      <t xml:space="preserve">≤ </t>
    </r>
    <r>
      <rPr>
        <sz val="10"/>
        <color indexed="8"/>
        <rFont val="Arial Narrow"/>
        <family val="2"/>
        <charset val="0"/>
      </rPr>
      <t>75%</t>
    </r>
  </si>
  <si>
    <t>Sedang</t>
  </si>
  <si>
    <r>
      <rPr>
        <sz val="10"/>
        <color indexed="8"/>
        <rFont val="Arial Narrow"/>
        <family val="2"/>
        <charset val="0"/>
      </rPr>
      <t>(4)</t>
    </r>
    <r>
      <rPr>
        <sz val="7"/>
        <color indexed="8"/>
        <rFont val="Arial Narrow"/>
        <family val="2"/>
        <charset val="0"/>
      </rPr>
      <t xml:space="preserve">             </t>
    </r>
    <r>
      <rPr>
        <sz val="10"/>
        <color indexed="8"/>
        <rFont val="Arial Narrow"/>
        <family val="2"/>
        <charset val="0"/>
      </rPr>
      <t> </t>
    </r>
  </si>
  <si>
    <r>
      <rPr>
        <sz val="10"/>
        <color indexed="8"/>
        <rFont val="Arial Narrow"/>
        <family val="2"/>
        <charset val="0"/>
      </rPr>
      <t xml:space="preserve">51% </t>
    </r>
    <r>
      <rPr>
        <sz val="12"/>
        <color indexed="8"/>
        <rFont val="Arial Narrow"/>
        <family val="2"/>
        <charset val="0"/>
      </rPr>
      <t xml:space="preserve">≤ </t>
    </r>
    <r>
      <rPr>
        <sz val="10"/>
        <color indexed="8"/>
        <rFont val="Arial Narrow"/>
        <family val="2"/>
        <charset val="0"/>
      </rPr>
      <t>65%</t>
    </r>
  </si>
  <si>
    <t>Rendah</t>
  </si>
  <si>
    <r>
      <rPr>
        <sz val="10"/>
        <color indexed="8"/>
        <rFont val="Arial Narrow"/>
        <family val="2"/>
        <charset val="0"/>
      </rPr>
      <t>(5)</t>
    </r>
    <r>
      <rPr>
        <sz val="7"/>
        <color indexed="8"/>
        <rFont val="Arial Narrow"/>
        <family val="2"/>
        <charset val="0"/>
      </rPr>
      <t xml:space="preserve">             </t>
    </r>
    <r>
      <rPr>
        <sz val="10"/>
        <color indexed="8"/>
        <rFont val="Arial Narrow"/>
        <family val="2"/>
        <charset val="0"/>
      </rPr>
      <t> </t>
    </r>
  </si>
  <si>
    <r>
      <rPr>
        <sz val="12"/>
        <color indexed="8"/>
        <rFont val="Arial Narrow"/>
        <family val="2"/>
        <charset val="0"/>
      </rPr>
      <t>≤</t>
    </r>
    <r>
      <rPr>
        <sz val="10"/>
        <color indexed="8"/>
        <rFont val="Arial Narrow"/>
        <family val="2"/>
        <charset val="0"/>
      </rPr>
      <t xml:space="preserve"> 50%</t>
    </r>
  </si>
  <si>
    <t>Sangat Rendah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</si>
</sst>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76" formatCode="_(* #,##0_);_(* \(#,##0\);_(* &quot;-&quot;??_);_(@_)"/>
    <numFmt numFmtId="177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8" formatCode="_-* #,##0_-;\-* #,##0_-;_-* &quot;-&quot;_-;_-@_-"/>
    <numFmt numFmtId="41" formatCode="_(* #,##0_);_(* \(#,##0\);_(* &quot;-&quot;_);_(@_)"/>
  </numFmts>
  <fonts count="39">
    <font>
      <sz val="11"/>
      <color theme="1"/>
      <name val="Calibri"/>
      <family val="2"/>
      <charset val="0"/>
      <scheme val="minor"/>
    </font>
    <font>
      <sz val="11"/>
      <color theme="1"/>
      <name val="Arial"/>
      <family val="2"/>
      <charset val="0"/>
    </font>
    <font>
      <b/>
      <sz val="18"/>
      <color theme="1"/>
      <name val="Arial"/>
      <family val="2"/>
      <charset val="0"/>
    </font>
    <font>
      <b/>
      <sz val="14"/>
      <color theme="1"/>
      <name val="Arial"/>
      <family val="2"/>
      <charset val="0"/>
    </font>
    <font>
      <b/>
      <sz val="12"/>
      <color theme="1"/>
      <name val="Arial"/>
      <family val="2"/>
      <charset val="0"/>
    </font>
    <font>
      <sz val="12"/>
      <color theme="1"/>
      <name val="Arial"/>
      <family val="2"/>
      <charset val="0"/>
    </font>
    <font>
      <sz val="12"/>
      <name val="Arial"/>
      <family val="2"/>
      <charset val="0"/>
    </font>
    <font>
      <sz val="18"/>
      <color theme="1"/>
      <name val="Arial"/>
      <family val="2"/>
      <charset val="0"/>
    </font>
    <font>
      <b/>
      <sz val="12"/>
      <color theme="0"/>
      <name val="Arial"/>
      <family val="2"/>
      <charset val="0"/>
    </font>
    <font>
      <sz val="12"/>
      <color theme="0"/>
      <name val="Arial"/>
      <family val="2"/>
      <charset val="0"/>
    </font>
    <font>
      <sz val="10"/>
      <color rgb="FF000000"/>
      <name val="Arial Narrow"/>
      <family val="2"/>
      <charset val="0"/>
    </font>
    <font>
      <sz val="12"/>
      <color rgb="FF000000"/>
      <name val="Arial Narrow"/>
      <family val="2"/>
      <charset val="0"/>
    </font>
    <font>
      <b/>
      <u/>
      <sz val="12"/>
      <color theme="1"/>
      <name val="Arial"/>
      <family val="2"/>
      <charset val="0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0000"/>
      <name val="Calibri"/>
      <family val="2"/>
      <charset val="0"/>
    </font>
    <font>
      <sz val="11"/>
      <color rgb="FF9C6500"/>
      <name val="Calibri"/>
      <charset val="0"/>
      <scheme val="minor"/>
    </font>
    <font>
      <b/>
      <sz val="12"/>
      <color indexed="8"/>
      <name val="Arial"/>
      <family val="2"/>
      <charset val="0"/>
    </font>
    <font>
      <b/>
      <i/>
      <sz val="12"/>
      <color indexed="8"/>
      <name val="Arial"/>
      <family val="2"/>
      <charset val="0"/>
    </font>
    <font>
      <sz val="10"/>
      <color indexed="8"/>
      <name val="Arial Narrow"/>
      <family val="2"/>
      <charset val="0"/>
    </font>
    <font>
      <sz val="7"/>
      <color indexed="8"/>
      <name val="Arial Narrow"/>
      <family val="2"/>
      <charset val="0"/>
    </font>
    <font>
      <sz val="12"/>
      <color indexed="8"/>
      <name val="Arial Narrow"/>
      <family val="2"/>
      <charset val="0"/>
    </font>
  </fonts>
  <fills count="3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14" borderId="22" applyNumberFormat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20" fillId="15" borderId="24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10" borderId="19" applyNumberForma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7" borderId="17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4" fillId="7" borderId="19" applyNumberFormat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2" fillId="0" borderId="0"/>
    <xf numFmtId="0" fontId="17" fillId="3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4">
    <xf numFmtId="0" fontId="0" fillId="0" borderId="0" xfId="0"/>
    <xf numFmtId="0" fontId="1" fillId="2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left" vertical="top"/>
    </xf>
    <xf numFmtId="0" fontId="3" fillId="0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top"/>
    </xf>
    <xf numFmtId="0" fontId="4" fillId="0" borderId="1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 wrapText="1"/>
    </xf>
    <xf numFmtId="9" fontId="4" fillId="0" borderId="2" xfId="0" applyNumberFormat="1" applyFont="1" applyFill="1" applyBorder="1" applyAlignment="1">
      <alignment horizontal="center" vertical="top"/>
    </xf>
    <xf numFmtId="176" fontId="4" fillId="0" borderId="2" xfId="2" applyNumberFormat="1" applyFont="1" applyFill="1" applyBorder="1" applyAlignment="1">
      <alignment vertical="top"/>
    </xf>
    <xf numFmtId="0" fontId="4" fillId="0" borderId="10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176" fontId="4" fillId="0" borderId="15" xfId="2" applyNumberFormat="1" applyFont="1" applyFill="1" applyBorder="1" applyAlignment="1">
      <alignment vertical="top"/>
    </xf>
    <xf numFmtId="0" fontId="4" fillId="0" borderId="15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/>
    </xf>
    <xf numFmtId="0" fontId="5" fillId="0" borderId="15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top" wrapText="1"/>
    </xf>
    <xf numFmtId="9" fontId="5" fillId="0" borderId="2" xfId="0" applyNumberFormat="1" applyFont="1" applyFill="1" applyBorder="1" applyAlignment="1">
      <alignment horizontal="center" vertical="top"/>
    </xf>
    <xf numFmtId="176" fontId="5" fillId="0" borderId="2" xfId="2" applyNumberFormat="1" applyFont="1" applyFill="1" applyBorder="1" applyAlignment="1">
      <alignment vertical="top"/>
    </xf>
    <xf numFmtId="176" fontId="5" fillId="0" borderId="15" xfId="2" applyNumberFormat="1" applyFont="1" applyFill="1" applyBorder="1" applyAlignment="1">
      <alignment vertical="top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9" fontId="5" fillId="0" borderId="15" xfId="0" applyNumberFormat="1" applyFont="1" applyFill="1" applyBorder="1" applyAlignment="1">
      <alignment horizontal="center" vertical="top"/>
    </xf>
    <xf numFmtId="178" fontId="5" fillId="0" borderId="2" xfId="3" applyNumberFormat="1" applyFont="1" applyFill="1" applyBorder="1" applyAlignment="1">
      <alignment horizontal="right" vertical="top"/>
    </xf>
    <xf numFmtId="1" fontId="5" fillId="0" borderId="15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178" fontId="5" fillId="0" borderId="10" xfId="3" applyNumberFormat="1" applyFont="1" applyFill="1" applyBorder="1" applyAlignment="1">
      <alignment horizontal="right" vertical="top"/>
    </xf>
    <xf numFmtId="1" fontId="4" fillId="0" borderId="2" xfId="0" applyNumberFormat="1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left" vertical="top" wrapText="1"/>
    </xf>
    <xf numFmtId="9" fontId="5" fillId="0" borderId="2" xfId="0" applyNumberFormat="1" applyFont="1" applyFill="1" applyBorder="1" applyAlignment="1">
      <alignment horizontal="center" vertical="top" wrapText="1"/>
    </xf>
    <xf numFmtId="3" fontId="5" fillId="0" borderId="2" xfId="0" applyNumberFormat="1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left" vertical="top" wrapText="1"/>
    </xf>
    <xf numFmtId="0" fontId="5" fillId="5" borderId="11" xfId="0" applyFont="1" applyFill="1" applyBorder="1" applyAlignment="1">
      <alignment horizontal="right"/>
    </xf>
    <xf numFmtId="0" fontId="5" fillId="5" borderId="12" xfId="0" applyFont="1" applyFill="1" applyBorder="1" applyAlignment="1">
      <alignment horizontal="right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top"/>
    </xf>
    <xf numFmtId="0" fontId="4" fillId="2" borderId="13" xfId="0" applyFont="1" applyFill="1" applyBorder="1" applyAlignment="1">
      <alignment horizontal="center" vertical="top"/>
    </xf>
    <xf numFmtId="0" fontId="4" fillId="3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top" wrapText="1"/>
    </xf>
    <xf numFmtId="1" fontId="4" fillId="0" borderId="2" xfId="0" applyNumberFormat="1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41" fontId="4" fillId="0" borderId="2" xfId="0" applyNumberFormat="1" applyFont="1" applyFill="1" applyBorder="1" applyAlignment="1">
      <alignment vertical="top"/>
    </xf>
    <xf numFmtId="2" fontId="4" fillId="0" borderId="2" xfId="0" applyNumberFormat="1" applyFont="1" applyFill="1" applyBorder="1" applyAlignment="1">
      <alignment horizontal="center" vertical="top"/>
    </xf>
    <xf numFmtId="1" fontId="4" fillId="0" borderId="15" xfId="0" applyNumberFormat="1" applyFont="1" applyFill="1" applyBorder="1" applyAlignment="1">
      <alignment horizontal="center" vertical="top"/>
    </xf>
    <xf numFmtId="0" fontId="4" fillId="0" borderId="15" xfId="0" applyFont="1" applyFill="1" applyBorder="1" applyAlignment="1">
      <alignment horizontal="center" vertical="top"/>
    </xf>
    <xf numFmtId="2" fontId="4" fillId="0" borderId="15" xfId="0" applyNumberFormat="1" applyFont="1" applyFill="1" applyBorder="1" applyAlignment="1">
      <alignment horizontal="center" vertical="top"/>
    </xf>
    <xf numFmtId="1" fontId="5" fillId="0" borderId="2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41" fontId="5" fillId="0" borderId="2" xfId="0" applyNumberFormat="1" applyFont="1" applyFill="1" applyBorder="1" applyAlignment="1">
      <alignment vertical="top"/>
    </xf>
    <xf numFmtId="2" fontId="5" fillId="0" borderId="2" xfId="0" applyNumberFormat="1" applyFont="1" applyFill="1" applyBorder="1" applyAlignment="1">
      <alignment horizontal="center" vertical="top"/>
    </xf>
    <xf numFmtId="2" fontId="5" fillId="5" borderId="2" xfId="0" applyNumberFormat="1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/>
    </xf>
    <xf numFmtId="2" fontId="5" fillId="5" borderId="11" xfId="0" applyNumberFormat="1" applyFont="1" applyFill="1" applyBorder="1" applyAlignment="1">
      <alignment horizontal="right"/>
    </xf>
    <xf numFmtId="0" fontId="5" fillId="5" borderId="2" xfId="0" applyFont="1" applyFill="1" applyBorder="1" applyAlignment="1">
      <alignment horizontal="left"/>
    </xf>
    <xf numFmtId="0" fontId="5" fillId="5" borderId="11" xfId="0" applyFont="1" applyFill="1" applyBorder="1"/>
    <xf numFmtId="0" fontId="7" fillId="0" borderId="0" xfId="0" applyFont="1" applyFill="1"/>
    <xf numFmtId="0" fontId="2" fillId="0" borderId="0" xfId="0" applyFont="1" applyFill="1" applyAlignment="1"/>
    <xf numFmtId="0" fontId="4" fillId="3" borderId="10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vertical="top" wrapText="1"/>
    </xf>
    <xf numFmtId="0" fontId="4" fillId="2" borderId="1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" fillId="2" borderId="14" xfId="0" applyFont="1" applyFill="1" applyBorder="1"/>
    <xf numFmtId="0" fontId="1" fillId="2" borderId="15" xfId="0" applyFont="1" applyFill="1" applyBorder="1"/>
    <xf numFmtId="2" fontId="8" fillId="0" borderId="2" xfId="0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/>
    </xf>
    <xf numFmtId="0" fontId="4" fillId="0" borderId="14" xfId="0" applyFont="1" applyFill="1" applyBorder="1" applyAlignment="1">
      <alignment horizontal="center" vertical="top" wrapText="1"/>
    </xf>
    <xf numFmtId="2" fontId="8" fillId="0" borderId="15" xfId="0" applyNumberFormat="1" applyFont="1" applyFill="1" applyBorder="1" applyAlignment="1">
      <alignment horizontal="center" vertical="top"/>
    </xf>
    <xf numFmtId="0" fontId="8" fillId="0" borderId="15" xfId="0" applyFont="1" applyFill="1" applyBorder="1" applyAlignment="1">
      <alignment horizontal="center" vertical="top"/>
    </xf>
    <xf numFmtId="2" fontId="9" fillId="0" borderId="2" xfId="0" applyNumberFormat="1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/>
    </xf>
    <xf numFmtId="0" fontId="1" fillId="0" borderId="14" xfId="0" applyFont="1" applyFill="1" applyBorder="1"/>
    <xf numFmtId="0" fontId="5" fillId="0" borderId="14" xfId="0" applyFont="1" applyFill="1" applyBorder="1" applyAlignment="1">
      <alignment horizontal="center" vertical="top" wrapText="1"/>
    </xf>
    <xf numFmtId="2" fontId="5" fillId="5" borderId="12" xfId="0" applyNumberFormat="1" applyFont="1" applyFill="1" applyBorder="1" applyAlignment="1">
      <alignment horizontal="right"/>
    </xf>
    <xf numFmtId="2" fontId="5" fillId="5" borderId="13" xfId="0" applyNumberFormat="1" applyFont="1" applyFill="1" applyBorder="1" applyAlignment="1">
      <alignment horizontal="right"/>
    </xf>
    <xf numFmtId="0" fontId="5" fillId="5" borderId="12" xfId="0" applyFont="1" applyFill="1" applyBorder="1" applyAlignment="1">
      <alignment horizontal="left"/>
    </xf>
    <xf numFmtId="0" fontId="5" fillId="5" borderId="12" xfId="0" applyFont="1" applyFill="1" applyBorder="1"/>
    <xf numFmtId="0" fontId="5" fillId="5" borderId="13" xfId="0" applyFont="1" applyFill="1" applyBorder="1"/>
    <xf numFmtId="176" fontId="5" fillId="0" borderId="0" xfId="2" applyNumberFormat="1" applyFont="1" applyFill="1" applyBorder="1" applyAlignment="1">
      <alignment vertical="top"/>
    </xf>
    <xf numFmtId="0" fontId="5" fillId="5" borderId="2" xfId="0" applyFont="1" applyFill="1" applyBorder="1" applyAlignment="1">
      <alignment horizontal="left" vertical="top"/>
    </xf>
    <xf numFmtId="0" fontId="5" fillId="0" borderId="0" xfId="0" applyFont="1" applyFill="1"/>
    <xf numFmtId="0" fontId="4" fillId="0" borderId="0" xfId="0" applyFont="1" applyFill="1" applyBorder="1"/>
    <xf numFmtId="0" fontId="5" fillId="0" borderId="0" xfId="0" applyFont="1" applyFill="1" applyBorder="1"/>
    <xf numFmtId="0" fontId="10" fillId="6" borderId="16" xfId="32" applyFont="1" applyFill="1" applyBorder="1" applyAlignment="1">
      <alignment horizontal="center" vertical="center" wrapText="1"/>
    </xf>
    <xf numFmtId="0" fontId="10" fillId="0" borderId="16" xfId="32" applyFont="1" applyFill="1" applyBorder="1" applyAlignment="1">
      <alignment horizontal="center" vertical="center" wrapText="1"/>
    </xf>
    <xf numFmtId="0" fontId="11" fillId="0" borderId="16" xfId="32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top"/>
    </xf>
    <xf numFmtId="0" fontId="1" fillId="0" borderId="15" xfId="0" applyFont="1" applyFill="1" applyBorder="1"/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20</xdr:col>
      <xdr:colOff>186055</xdr:colOff>
      <xdr:row>70</xdr:row>
      <xdr:rowOff>83820</xdr:rowOff>
    </xdr:from>
    <xdr:to>
      <xdr:col>22</xdr:col>
      <xdr:colOff>381000</xdr:colOff>
      <xdr:row>76</xdr:row>
      <xdr:rowOff>145415</xdr:rowOff>
    </xdr:to>
    <xdr:pic>
      <xdr:nvPicPr>
        <xdr:cNvPr id="2" name="Picture 3" descr="Camat baru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8230850" y="92550615"/>
          <a:ext cx="1141730" cy="1706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18</xdr:col>
      <xdr:colOff>450215</xdr:colOff>
      <xdr:row>68</xdr:row>
      <xdr:rowOff>182880</xdr:rowOff>
    </xdr:from>
    <xdr:to>
      <xdr:col>20</xdr:col>
      <xdr:colOff>465455</xdr:colOff>
      <xdr:row>75</xdr:row>
      <xdr:rowOff>83820</xdr:rowOff>
    </xdr:to>
    <xdr:pic>
      <xdr:nvPicPr>
        <xdr:cNvPr id="3" name="Picture 1"/>
        <xdr:cNvPicPr>
          <a:picLocks noChangeAspect="1"/>
        </xdr:cNvPicPr>
      </xdr:nvPicPr>
      <xdr:blipFill>
        <a:blip r:embed="rId2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lum bright="23999" contrast="24000"/>
        </a:blip>
        <a:stretch>
          <a:fillRect/>
        </a:stretch>
      </xdr:blipFill>
      <xdr:spPr>
        <a:xfrm>
          <a:off x="16686530" y="92255975"/>
          <a:ext cx="1823720" cy="1742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A1:AK79"/>
  <sheetViews>
    <sheetView tabSelected="1" view="pageBreakPreview" zoomScale="60" zoomScalePageLayoutView="55" zoomScaleNormal="40" showRuler="0" topLeftCell="H1" workbookViewId="0">
      <selection activeCell="G76" sqref="G76"/>
    </sheetView>
  </sheetViews>
  <sheetFormatPr defaultColWidth="9.10909090909091" defaultRowHeight="14"/>
  <cols>
    <col min="1" max="1" width="6.44545454545455" style="2" customWidth="1"/>
    <col min="2" max="2" width="18" style="2" customWidth="1"/>
    <col min="3" max="3" width="14.8909090909091" style="2" customWidth="1"/>
    <col min="4" max="4" width="15" style="2" customWidth="1"/>
    <col min="5" max="6" width="7.66363636363636" style="2" customWidth="1"/>
    <col min="7" max="7" width="18.3363636363636" style="2" customWidth="1"/>
    <col min="8" max="8" width="7.33636363636364" style="2" customWidth="1"/>
    <col min="9" max="9" width="21.4454545454545" style="2" customWidth="1"/>
    <col min="10" max="10" width="9" style="2" customWidth="1"/>
    <col min="11" max="11" width="19.3363636363636" style="2" customWidth="1"/>
    <col min="12" max="12" width="7.66363636363636" style="2" customWidth="1"/>
    <col min="13" max="13" width="18.3363636363636" style="2" customWidth="1"/>
    <col min="14" max="14" width="7.66363636363636" style="2" customWidth="1"/>
    <col min="15" max="15" width="18.6636363636364" style="2" customWidth="1"/>
    <col min="16" max="16" width="7.66363636363636" style="2" customWidth="1"/>
    <col min="17" max="17" width="18.3363636363636" style="2" customWidth="1"/>
    <col min="18" max="18" width="9" style="2" customWidth="1"/>
    <col min="19" max="19" width="17.8909090909091" style="2" customWidth="1"/>
    <col min="20" max="21" width="8" style="2" customWidth="1"/>
    <col min="22" max="22" width="5.55454545454545" style="3" customWidth="1"/>
    <col min="23" max="23" width="17.8909090909091" style="2" customWidth="1"/>
    <col min="24" max="24" width="9.10909090909091" style="2" customWidth="1"/>
    <col min="25" max="25" width="5.55454545454545" style="3" customWidth="1"/>
    <col min="26" max="26" width="8" style="2" customWidth="1"/>
    <col min="27" max="27" width="19.3363636363636" style="2" customWidth="1"/>
    <col min="28" max="28" width="8.89090909090909" style="2" customWidth="1"/>
    <col min="29" max="29" width="5.55454545454545" style="3" customWidth="1"/>
    <col min="30" max="30" width="11" style="2" customWidth="1"/>
    <col min="31" max="31" width="15" style="2" customWidth="1"/>
    <col min="32" max="32" width="9.10909090909091" style="2"/>
    <col min="33" max="37" width="19.5545454545455" style="2" customWidth="1"/>
    <col min="38" max="16384" width="9.10909090909091" style="2"/>
  </cols>
  <sheetData>
    <row r="1" ht="23" spans="1:3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89"/>
    </row>
    <row r="2" ht="23" spans="1:3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90"/>
    </row>
    <row r="3" ht="23" spans="1:3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90"/>
    </row>
    <row r="4" ht="23" spans="1:31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89"/>
    </row>
    <row r="5" ht="18" spans="1:30">
      <c r="A5" s="6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ht="18" spans="1:30">
      <c r="A6" s="7" t="s">
        <v>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ht="81" customHeight="1" spans="1:37">
      <c r="A7" s="8" t="s">
        <v>5</v>
      </c>
      <c r="B7" s="8" t="s">
        <v>6</v>
      </c>
      <c r="C7" s="9" t="s">
        <v>7</v>
      </c>
      <c r="D7" s="9" t="s">
        <v>8</v>
      </c>
      <c r="E7" s="10" t="s">
        <v>9</v>
      </c>
      <c r="F7" s="11"/>
      <c r="G7" s="12"/>
      <c r="H7" s="10" t="s">
        <v>10</v>
      </c>
      <c r="I7" s="12"/>
      <c r="J7" s="10" t="s">
        <v>11</v>
      </c>
      <c r="K7" s="11"/>
      <c r="L7" s="10" t="s">
        <v>12</v>
      </c>
      <c r="M7" s="11"/>
      <c r="N7" s="11"/>
      <c r="O7" s="11"/>
      <c r="P7" s="11"/>
      <c r="Q7" s="11"/>
      <c r="R7" s="11"/>
      <c r="S7" s="12"/>
      <c r="T7" s="10" t="s">
        <v>13</v>
      </c>
      <c r="U7" s="11"/>
      <c r="V7" s="11"/>
      <c r="W7" s="11"/>
      <c r="X7" s="11"/>
      <c r="Y7" s="12"/>
      <c r="Z7" s="10" t="s">
        <v>14</v>
      </c>
      <c r="AA7" s="12"/>
      <c r="AB7" s="10" t="s">
        <v>15</v>
      </c>
      <c r="AC7" s="11"/>
      <c r="AD7" s="11"/>
      <c r="AE7" s="91" t="s">
        <v>16</v>
      </c>
      <c r="AG7" s="3"/>
      <c r="AH7" s="3"/>
      <c r="AI7" s="3"/>
      <c r="AJ7" s="3"/>
      <c r="AK7" s="3"/>
    </row>
    <row r="8" ht="18" customHeight="1" spans="1:31">
      <c r="A8" s="8"/>
      <c r="B8" s="8"/>
      <c r="C8" s="9"/>
      <c r="D8" s="9"/>
      <c r="E8" s="13"/>
      <c r="F8" s="14"/>
      <c r="G8" s="15"/>
      <c r="H8" s="13"/>
      <c r="I8" s="15"/>
      <c r="J8" s="16"/>
      <c r="K8" s="17"/>
      <c r="L8" s="16"/>
      <c r="M8" s="17"/>
      <c r="N8" s="17"/>
      <c r="O8" s="17"/>
      <c r="P8" s="17"/>
      <c r="Q8" s="17"/>
      <c r="R8" s="17"/>
      <c r="S8" s="18"/>
      <c r="T8" s="16"/>
      <c r="U8" s="17"/>
      <c r="V8" s="17"/>
      <c r="W8" s="17"/>
      <c r="X8" s="17"/>
      <c r="Y8" s="18"/>
      <c r="Z8" s="16"/>
      <c r="AA8" s="18"/>
      <c r="AB8" s="16"/>
      <c r="AC8" s="17"/>
      <c r="AD8" s="17"/>
      <c r="AE8" s="92"/>
    </row>
    <row r="9" ht="15.75" customHeight="1" spans="1:31">
      <c r="A9" s="8"/>
      <c r="B9" s="8"/>
      <c r="C9" s="9"/>
      <c r="D9" s="9"/>
      <c r="E9" s="16"/>
      <c r="F9" s="17"/>
      <c r="G9" s="18"/>
      <c r="H9" s="16"/>
      <c r="I9" s="18"/>
      <c r="J9" s="63">
        <v>2022</v>
      </c>
      <c r="K9" s="64"/>
      <c r="L9" s="65" t="s">
        <v>17</v>
      </c>
      <c r="M9" s="66"/>
      <c r="N9" s="65" t="s">
        <v>18</v>
      </c>
      <c r="O9" s="66"/>
      <c r="P9" s="65" t="s">
        <v>19</v>
      </c>
      <c r="Q9" s="66"/>
      <c r="R9" s="65" t="s">
        <v>20</v>
      </c>
      <c r="S9" s="66"/>
      <c r="T9" s="65">
        <v>2022</v>
      </c>
      <c r="U9" s="69"/>
      <c r="V9" s="69"/>
      <c r="W9" s="69"/>
      <c r="X9" s="69"/>
      <c r="Y9" s="66"/>
      <c r="Z9" s="65">
        <v>2022</v>
      </c>
      <c r="AA9" s="66"/>
      <c r="AB9" s="65">
        <v>2022</v>
      </c>
      <c r="AC9" s="69"/>
      <c r="AD9" s="66"/>
      <c r="AE9" s="93"/>
    </row>
    <row r="10" s="1" customFormat="1" ht="15.5" spans="1:31">
      <c r="A10" s="19">
        <v>1</v>
      </c>
      <c r="B10" s="19">
        <v>2</v>
      </c>
      <c r="C10" s="19">
        <v>3</v>
      </c>
      <c r="D10" s="19">
        <v>4</v>
      </c>
      <c r="E10" s="20">
        <v>5</v>
      </c>
      <c r="F10" s="21"/>
      <c r="G10" s="22"/>
      <c r="H10" s="20">
        <v>6</v>
      </c>
      <c r="I10" s="22"/>
      <c r="J10" s="67">
        <v>7</v>
      </c>
      <c r="K10" s="68"/>
      <c r="L10" s="67">
        <v>8</v>
      </c>
      <c r="M10" s="68"/>
      <c r="N10" s="67">
        <v>9</v>
      </c>
      <c r="O10" s="68"/>
      <c r="P10" s="67">
        <v>10</v>
      </c>
      <c r="Q10" s="68"/>
      <c r="R10" s="67">
        <v>11</v>
      </c>
      <c r="S10" s="68"/>
      <c r="T10" s="70">
        <v>12</v>
      </c>
      <c r="U10" s="71"/>
      <c r="V10" s="71"/>
      <c r="W10" s="71"/>
      <c r="X10" s="71"/>
      <c r="Y10" s="94"/>
      <c r="Z10" s="70">
        <v>13</v>
      </c>
      <c r="AA10" s="94"/>
      <c r="AB10" s="70">
        <v>14</v>
      </c>
      <c r="AC10" s="71"/>
      <c r="AD10" s="94"/>
      <c r="AE10" s="95">
        <v>15</v>
      </c>
    </row>
    <row r="11" s="1" customFormat="1" ht="87" customHeight="1" spans="1:31">
      <c r="A11" s="23"/>
      <c r="B11" s="23"/>
      <c r="C11" s="23"/>
      <c r="D11" s="23"/>
      <c r="E11" s="24" t="s">
        <v>21</v>
      </c>
      <c r="F11" s="25"/>
      <c r="G11" s="26" t="s">
        <v>22</v>
      </c>
      <c r="H11" s="24" t="s">
        <v>21</v>
      </c>
      <c r="I11" s="26" t="s">
        <v>22</v>
      </c>
      <c r="J11" s="24" t="s">
        <v>21</v>
      </c>
      <c r="K11" s="19" t="s">
        <v>22</v>
      </c>
      <c r="L11" s="24" t="s">
        <v>21</v>
      </c>
      <c r="M11" s="19" t="s">
        <v>22</v>
      </c>
      <c r="N11" s="24" t="s">
        <v>21</v>
      </c>
      <c r="O11" s="19" t="s">
        <v>22</v>
      </c>
      <c r="P11" s="24" t="s">
        <v>21</v>
      </c>
      <c r="Q11" s="19" t="s">
        <v>22</v>
      </c>
      <c r="R11" s="24" t="s">
        <v>21</v>
      </c>
      <c r="S11" s="19" t="s">
        <v>22</v>
      </c>
      <c r="T11" s="20" t="s">
        <v>23</v>
      </c>
      <c r="U11" s="20" t="s">
        <v>24</v>
      </c>
      <c r="V11" s="22"/>
      <c r="W11" s="72" t="s">
        <v>25</v>
      </c>
      <c r="X11" s="20" t="s">
        <v>26</v>
      </c>
      <c r="Y11" s="22"/>
      <c r="Z11" s="20" t="s">
        <v>27</v>
      </c>
      <c r="AA11" s="72" t="s">
        <v>28</v>
      </c>
      <c r="AB11" s="20" t="s">
        <v>29</v>
      </c>
      <c r="AC11" s="22"/>
      <c r="AD11" s="72" t="s">
        <v>30</v>
      </c>
      <c r="AE11" s="96"/>
    </row>
    <row r="12" s="1" customFormat="1" ht="15.5" spans="1:31">
      <c r="A12" s="26"/>
      <c r="B12" s="26"/>
      <c r="C12" s="26"/>
      <c r="D12" s="26"/>
      <c r="E12" s="27"/>
      <c r="F12" s="28"/>
      <c r="G12" s="29"/>
      <c r="H12" s="27"/>
      <c r="I12" s="29"/>
      <c r="J12" s="27"/>
      <c r="K12" s="26"/>
      <c r="L12" s="27"/>
      <c r="M12" s="26"/>
      <c r="N12" s="27"/>
      <c r="O12" s="26"/>
      <c r="P12" s="27"/>
      <c r="Q12" s="26"/>
      <c r="R12" s="27"/>
      <c r="S12" s="26"/>
      <c r="T12" s="27" t="s">
        <v>21</v>
      </c>
      <c r="U12" s="27" t="s">
        <v>21</v>
      </c>
      <c r="V12" s="28"/>
      <c r="W12" s="29" t="s">
        <v>22</v>
      </c>
      <c r="X12" s="27" t="s">
        <v>22</v>
      </c>
      <c r="Y12" s="28"/>
      <c r="Z12" s="27" t="s">
        <v>21</v>
      </c>
      <c r="AA12" s="29" t="s">
        <v>22</v>
      </c>
      <c r="AB12" s="27" t="s">
        <v>21</v>
      </c>
      <c r="AC12" s="28"/>
      <c r="AD12" s="29" t="s">
        <v>22</v>
      </c>
      <c r="AE12" s="97"/>
    </row>
    <row r="13" ht="108.5" spans="1:34">
      <c r="A13" s="30">
        <v>1</v>
      </c>
      <c r="B13" s="31" t="s">
        <v>31</v>
      </c>
      <c r="C13" s="32" t="s">
        <v>32</v>
      </c>
      <c r="D13" s="32" t="s">
        <v>33</v>
      </c>
      <c r="E13" s="33">
        <v>100</v>
      </c>
      <c r="F13" s="34" t="s">
        <v>34</v>
      </c>
      <c r="G13" s="35">
        <f t="shared" ref="G13:K13" si="0">G14+G17+G22+G29+G31+G35</f>
        <v>8330694000</v>
      </c>
      <c r="H13" s="33">
        <v>100</v>
      </c>
      <c r="I13" s="35">
        <f t="shared" si="0"/>
        <v>2269437833</v>
      </c>
      <c r="J13" s="33">
        <v>100</v>
      </c>
      <c r="K13" s="35">
        <f t="shared" si="0"/>
        <v>2801309090</v>
      </c>
      <c r="L13" s="33">
        <v>25</v>
      </c>
      <c r="M13" s="35">
        <f t="shared" ref="M13:Q13" si="1">M14+M17+M22+M31+M35</f>
        <v>362018793</v>
      </c>
      <c r="N13" s="33">
        <v>25</v>
      </c>
      <c r="O13" s="35">
        <f t="shared" si="1"/>
        <v>807148512</v>
      </c>
      <c r="P13" s="33">
        <v>25</v>
      </c>
      <c r="Q13" s="35">
        <f t="shared" si="1"/>
        <v>642400024</v>
      </c>
      <c r="R13" s="33">
        <v>25</v>
      </c>
      <c r="S13" s="35">
        <f>S14+S17+S22+S31+S35</f>
        <v>396411127</v>
      </c>
      <c r="T13" s="73">
        <f>SUM(L13,N13,P13,R13)</f>
        <v>100</v>
      </c>
      <c r="U13" s="73">
        <f>Z13/J13*100</f>
        <v>200</v>
      </c>
      <c r="V13" s="74" t="s">
        <v>34</v>
      </c>
      <c r="W13" s="75">
        <f t="shared" ref="W13:W42" si="2">M13+O13+Q13+S13</f>
        <v>2207978456</v>
      </c>
      <c r="X13" s="76">
        <f t="shared" ref="X13:X42" si="3">W13/K13*100</f>
        <v>78.8195227681926</v>
      </c>
      <c r="Y13" s="74" t="s">
        <v>34</v>
      </c>
      <c r="Z13" s="76">
        <f t="shared" ref="Z13:Z62" si="4">H13+T13</f>
        <v>200</v>
      </c>
      <c r="AA13" s="75">
        <f t="shared" ref="AA13:AA62" si="5">I13+W13</f>
        <v>4477416289</v>
      </c>
      <c r="AB13" s="98">
        <f t="shared" ref="AB13:AB62" si="6">Z13/E13*100</f>
        <v>200</v>
      </c>
      <c r="AC13" s="99" t="s">
        <v>34</v>
      </c>
      <c r="AD13" s="98">
        <f t="shared" ref="AD13:AD62" si="7">AA13/G13*100</f>
        <v>53.7460179067914</v>
      </c>
      <c r="AE13" s="100" t="s">
        <v>35</v>
      </c>
      <c r="AH13" s="112">
        <f>M13+O13+Q13+S13</f>
        <v>2207978456</v>
      </c>
    </row>
    <row r="14" ht="154.5" customHeight="1" spans="1:34">
      <c r="A14" s="30">
        <v>2</v>
      </c>
      <c r="B14" s="36" t="s">
        <v>36</v>
      </c>
      <c r="C14" s="37" t="s">
        <v>37</v>
      </c>
      <c r="D14" s="32" t="s">
        <v>38</v>
      </c>
      <c r="E14" s="33">
        <v>15</v>
      </c>
      <c r="F14" s="34" t="s">
        <v>39</v>
      </c>
      <c r="G14" s="38">
        <f t="shared" ref="G14:M14" si="8">SUM(G15:G16)</f>
        <v>28500000</v>
      </c>
      <c r="H14" s="39">
        <v>25</v>
      </c>
      <c r="I14" s="38">
        <f t="shared" si="8"/>
        <v>9500000</v>
      </c>
      <c r="J14" s="33">
        <v>15</v>
      </c>
      <c r="K14" s="38">
        <f t="shared" si="8"/>
        <v>9500000</v>
      </c>
      <c r="L14" s="39">
        <v>15</v>
      </c>
      <c r="M14" s="38">
        <f t="shared" si="8"/>
        <v>2703750</v>
      </c>
      <c r="N14" s="39">
        <v>6</v>
      </c>
      <c r="O14" s="38">
        <f t="shared" ref="O14:S14" si="9">SUM(O15:O16)</f>
        <v>3307500</v>
      </c>
      <c r="P14" s="39">
        <v>2</v>
      </c>
      <c r="Q14" s="38">
        <f t="shared" si="9"/>
        <v>3488750</v>
      </c>
      <c r="R14" s="39">
        <v>7</v>
      </c>
      <c r="S14" s="38">
        <f t="shared" si="9"/>
        <v>0</v>
      </c>
      <c r="T14" s="77">
        <v>15</v>
      </c>
      <c r="U14" s="77">
        <f t="shared" ref="U14:U42" si="10">T14/J14*100</f>
        <v>100</v>
      </c>
      <c r="V14" s="78" t="s">
        <v>34</v>
      </c>
      <c r="W14" s="75">
        <f t="shared" si="2"/>
        <v>9500000</v>
      </c>
      <c r="X14" s="79">
        <v>100</v>
      </c>
      <c r="Y14" s="78"/>
      <c r="Z14" s="79">
        <f t="shared" si="4"/>
        <v>40</v>
      </c>
      <c r="AA14" s="75">
        <f t="shared" si="5"/>
        <v>19000000</v>
      </c>
      <c r="AB14" s="101">
        <f t="shared" si="6"/>
        <v>266.666666666667</v>
      </c>
      <c r="AC14" s="102" t="s">
        <v>34</v>
      </c>
      <c r="AD14" s="101"/>
      <c r="AE14" s="100"/>
      <c r="AH14" s="112"/>
    </row>
    <row r="15" ht="77.5" spans="1:34">
      <c r="A15" s="40"/>
      <c r="B15" s="31"/>
      <c r="C15" s="41" t="s">
        <v>40</v>
      </c>
      <c r="D15" s="42" t="s">
        <v>41</v>
      </c>
      <c r="E15" s="43">
        <v>15</v>
      </c>
      <c r="F15" s="44" t="s">
        <v>39</v>
      </c>
      <c r="G15" s="45">
        <f>8000000*3</f>
        <v>24000000</v>
      </c>
      <c r="H15" s="43">
        <v>5</v>
      </c>
      <c r="I15" s="45">
        <v>8000000</v>
      </c>
      <c r="J15" s="43">
        <v>5</v>
      </c>
      <c r="K15" s="45">
        <v>8000000</v>
      </c>
      <c r="L15" s="43">
        <v>5</v>
      </c>
      <c r="M15" s="45">
        <v>1833750</v>
      </c>
      <c r="N15" s="43">
        <v>1</v>
      </c>
      <c r="O15" s="45">
        <f>5141250-M15</f>
        <v>3307500</v>
      </c>
      <c r="P15" s="43">
        <v>2</v>
      </c>
      <c r="Q15" s="45">
        <v>2858750</v>
      </c>
      <c r="R15" s="43">
        <v>2</v>
      </c>
      <c r="S15" s="45">
        <v>0</v>
      </c>
      <c r="T15" s="80">
        <v>5</v>
      </c>
      <c r="U15" s="80">
        <f t="shared" si="10"/>
        <v>100</v>
      </c>
      <c r="V15" s="81" t="s">
        <v>34</v>
      </c>
      <c r="W15" s="82">
        <f t="shared" si="2"/>
        <v>8000000</v>
      </c>
      <c r="X15" s="83">
        <f t="shared" si="3"/>
        <v>100</v>
      </c>
      <c r="Y15" s="81" t="s">
        <v>34</v>
      </c>
      <c r="Z15" s="80">
        <f t="shared" si="4"/>
        <v>10</v>
      </c>
      <c r="AA15" s="82">
        <f t="shared" si="5"/>
        <v>16000000</v>
      </c>
      <c r="AB15" s="103">
        <f t="shared" si="6"/>
        <v>66.6666666666667</v>
      </c>
      <c r="AC15" s="104" t="s">
        <v>34</v>
      </c>
      <c r="AD15" s="103">
        <f t="shared" si="7"/>
        <v>66.6666666666667</v>
      </c>
      <c r="AE15" s="105"/>
      <c r="AH15" s="112"/>
    </row>
    <row r="16" ht="93" spans="1:34">
      <c r="A16" s="40"/>
      <c r="B16" s="31"/>
      <c r="C16" s="41" t="s">
        <v>42</v>
      </c>
      <c r="D16" s="42" t="s">
        <v>43</v>
      </c>
      <c r="E16" s="43">
        <v>30</v>
      </c>
      <c r="F16" s="44" t="s">
        <v>44</v>
      </c>
      <c r="G16" s="46">
        <f t="shared" ref="G16:G21" si="11">1500000*3</f>
        <v>4500000</v>
      </c>
      <c r="H16" s="43">
        <v>10</v>
      </c>
      <c r="I16" s="45">
        <v>1500000</v>
      </c>
      <c r="J16" s="43">
        <v>10</v>
      </c>
      <c r="K16" s="45">
        <v>1500000</v>
      </c>
      <c r="L16" s="43">
        <v>10</v>
      </c>
      <c r="M16" s="45">
        <v>870000</v>
      </c>
      <c r="N16" s="43">
        <v>5</v>
      </c>
      <c r="O16" s="45">
        <v>0</v>
      </c>
      <c r="P16" s="43">
        <v>0</v>
      </c>
      <c r="Q16" s="45">
        <v>630000</v>
      </c>
      <c r="R16" s="43">
        <v>5</v>
      </c>
      <c r="S16" s="45"/>
      <c r="T16" s="80">
        <v>10</v>
      </c>
      <c r="U16" s="80">
        <f t="shared" si="10"/>
        <v>100</v>
      </c>
      <c r="V16" s="81" t="s">
        <v>34</v>
      </c>
      <c r="W16" s="82">
        <f t="shared" si="2"/>
        <v>1500000</v>
      </c>
      <c r="X16" s="83">
        <f t="shared" si="3"/>
        <v>100</v>
      </c>
      <c r="Y16" s="81" t="s">
        <v>34</v>
      </c>
      <c r="Z16" s="80">
        <f t="shared" si="4"/>
        <v>20</v>
      </c>
      <c r="AA16" s="82">
        <f t="shared" si="5"/>
        <v>3000000</v>
      </c>
      <c r="AB16" s="103">
        <f t="shared" si="6"/>
        <v>66.6666666666667</v>
      </c>
      <c r="AC16" s="104" t="s">
        <v>34</v>
      </c>
      <c r="AD16" s="103">
        <f t="shared" si="7"/>
        <v>66.6666666666667</v>
      </c>
      <c r="AE16" s="105"/>
      <c r="AH16" s="112"/>
    </row>
    <row r="17" ht="108.5" spans="1:34">
      <c r="A17" s="40"/>
      <c r="B17" s="31"/>
      <c r="C17" s="31" t="s">
        <v>45</v>
      </c>
      <c r="D17" s="37" t="s">
        <v>46</v>
      </c>
      <c r="E17" s="47">
        <v>100</v>
      </c>
      <c r="F17" s="34" t="s">
        <v>34</v>
      </c>
      <c r="G17" s="38">
        <f t="shared" ref="G17:K17" si="12">SUM(G18:G21)</f>
        <v>5660589000</v>
      </c>
      <c r="H17" s="33">
        <v>100</v>
      </c>
      <c r="I17" s="38">
        <f t="shared" si="12"/>
        <v>1466667546</v>
      </c>
      <c r="J17" s="47">
        <v>100</v>
      </c>
      <c r="K17" s="38">
        <f t="shared" si="12"/>
        <v>1822712806</v>
      </c>
      <c r="L17" s="47">
        <v>100</v>
      </c>
      <c r="M17" s="38">
        <f t="shared" ref="M17:Q17" si="13">SUM(M18:M21)</f>
        <v>302523619</v>
      </c>
      <c r="N17" s="47">
        <v>100</v>
      </c>
      <c r="O17" s="38">
        <f t="shared" si="13"/>
        <v>522081100</v>
      </c>
      <c r="P17" s="47">
        <v>100</v>
      </c>
      <c r="Q17" s="38">
        <f t="shared" si="13"/>
        <v>435877900</v>
      </c>
      <c r="R17" s="47">
        <v>100</v>
      </c>
      <c r="S17" s="38">
        <f>SUM(S18:S21)</f>
        <v>396411127</v>
      </c>
      <c r="T17" s="73">
        <f>AVERAGE(L17,N17,P17,R17)</f>
        <v>100</v>
      </c>
      <c r="U17" s="73">
        <f t="shared" si="10"/>
        <v>100</v>
      </c>
      <c r="V17" s="74" t="s">
        <v>34</v>
      </c>
      <c r="W17" s="75">
        <f t="shared" si="2"/>
        <v>1656893746</v>
      </c>
      <c r="X17" s="76">
        <f t="shared" si="3"/>
        <v>90.9026227580035</v>
      </c>
      <c r="Y17" s="74" t="s">
        <v>34</v>
      </c>
      <c r="Z17" s="73">
        <f t="shared" si="4"/>
        <v>200</v>
      </c>
      <c r="AA17" s="75">
        <f t="shared" si="5"/>
        <v>3123561292</v>
      </c>
      <c r="AB17" s="98">
        <f t="shared" si="6"/>
        <v>200</v>
      </c>
      <c r="AC17" s="99" t="s">
        <v>34</v>
      </c>
      <c r="AD17" s="98">
        <f t="shared" si="7"/>
        <v>55.180852946575</v>
      </c>
      <c r="AE17" s="105"/>
      <c r="AH17" s="112"/>
    </row>
    <row r="18" ht="93" spans="1:34">
      <c r="A18" s="40"/>
      <c r="B18" s="31"/>
      <c r="C18" s="42" t="s">
        <v>47</v>
      </c>
      <c r="D18" s="41" t="s">
        <v>48</v>
      </c>
      <c r="E18" s="43">
        <v>13</v>
      </c>
      <c r="F18" s="48" t="s">
        <v>49</v>
      </c>
      <c r="G18" s="49">
        <f>1881863000*3</f>
        <v>5645589000</v>
      </c>
      <c r="H18" s="50">
        <v>13</v>
      </c>
      <c r="I18" s="46">
        <v>1461667546</v>
      </c>
      <c r="J18" s="43">
        <v>13</v>
      </c>
      <c r="K18" s="46">
        <v>1817712806</v>
      </c>
      <c r="L18" s="43">
        <v>13</v>
      </c>
      <c r="M18" s="46">
        <v>302523619</v>
      </c>
      <c r="N18" s="43">
        <v>13</v>
      </c>
      <c r="O18" s="46">
        <v>519711100</v>
      </c>
      <c r="P18" s="43">
        <v>0</v>
      </c>
      <c r="Q18" s="45">
        <v>434377900</v>
      </c>
      <c r="R18" s="43"/>
      <c r="S18" s="46">
        <v>394411127</v>
      </c>
      <c r="T18" s="80">
        <v>12</v>
      </c>
      <c r="U18" s="80">
        <f t="shared" si="10"/>
        <v>92.3076923076923</v>
      </c>
      <c r="V18" s="81" t="s">
        <v>34</v>
      </c>
      <c r="W18" s="82">
        <f t="shared" si="2"/>
        <v>1651023746</v>
      </c>
      <c r="X18" s="83">
        <f t="shared" si="3"/>
        <v>90.829736169004</v>
      </c>
      <c r="Y18" s="81" t="s">
        <v>34</v>
      </c>
      <c r="Z18" s="80">
        <f t="shared" si="4"/>
        <v>25</v>
      </c>
      <c r="AA18" s="82">
        <f t="shared" si="5"/>
        <v>3112691292</v>
      </c>
      <c r="AB18" s="103">
        <f t="shared" si="6"/>
        <v>192.307692307692</v>
      </c>
      <c r="AC18" s="104" t="s">
        <v>34</v>
      </c>
      <c r="AD18" s="103">
        <f t="shared" si="7"/>
        <v>55.1349255498408</v>
      </c>
      <c r="AE18" s="106"/>
      <c r="AH18" s="112">
        <f t="shared" ref="AH18:AH21" si="14">M18+O18+Q18+S18</f>
        <v>1651023746</v>
      </c>
    </row>
    <row r="19" ht="186.75" customHeight="1" spans="1:34">
      <c r="A19" s="40"/>
      <c r="B19" s="31"/>
      <c r="C19" s="42" t="s">
        <v>50</v>
      </c>
      <c r="D19" s="42" t="s">
        <v>51</v>
      </c>
      <c r="E19" s="43">
        <v>3</v>
      </c>
      <c r="F19" s="48" t="s">
        <v>44</v>
      </c>
      <c r="G19" s="49">
        <f>2000000*3</f>
        <v>6000000</v>
      </c>
      <c r="H19" s="50">
        <v>1</v>
      </c>
      <c r="I19" s="45">
        <v>2000000</v>
      </c>
      <c r="J19" s="43">
        <v>1</v>
      </c>
      <c r="K19" s="45">
        <v>2000000</v>
      </c>
      <c r="L19" s="50">
        <v>0</v>
      </c>
      <c r="M19" s="45">
        <v>0</v>
      </c>
      <c r="N19" s="50"/>
      <c r="O19" s="45">
        <v>0</v>
      </c>
      <c r="P19" s="50"/>
      <c r="Q19" s="45">
        <v>0</v>
      </c>
      <c r="R19" s="50"/>
      <c r="S19" s="45">
        <v>2000000</v>
      </c>
      <c r="T19" s="80">
        <v>1</v>
      </c>
      <c r="U19" s="80">
        <f t="shared" si="10"/>
        <v>100</v>
      </c>
      <c r="V19" s="81" t="s">
        <v>34</v>
      </c>
      <c r="W19" s="82">
        <f t="shared" si="2"/>
        <v>2000000</v>
      </c>
      <c r="X19" s="83">
        <f t="shared" si="3"/>
        <v>100</v>
      </c>
      <c r="Y19" s="81" t="s">
        <v>34</v>
      </c>
      <c r="Z19" s="80">
        <f t="shared" si="4"/>
        <v>2</v>
      </c>
      <c r="AA19" s="82">
        <f t="shared" si="5"/>
        <v>4000000</v>
      </c>
      <c r="AB19" s="103">
        <f t="shared" si="6"/>
        <v>66.6666666666667</v>
      </c>
      <c r="AC19" s="104" t="s">
        <v>34</v>
      </c>
      <c r="AD19" s="103">
        <f t="shared" si="7"/>
        <v>66.6666666666667</v>
      </c>
      <c r="AE19" s="105"/>
      <c r="AH19" s="112">
        <f t="shared" si="14"/>
        <v>2000000</v>
      </c>
    </row>
    <row r="20" ht="217" spans="1:34">
      <c r="A20" s="40"/>
      <c r="B20" s="31"/>
      <c r="C20" s="42" t="s">
        <v>52</v>
      </c>
      <c r="D20" s="42" t="s">
        <v>53</v>
      </c>
      <c r="E20" s="50">
        <v>36</v>
      </c>
      <c r="F20" s="48" t="s">
        <v>44</v>
      </c>
      <c r="G20" s="49">
        <f t="shared" si="11"/>
        <v>4500000</v>
      </c>
      <c r="H20" s="50">
        <v>12</v>
      </c>
      <c r="I20" s="45">
        <v>1500000</v>
      </c>
      <c r="J20" s="50">
        <v>12</v>
      </c>
      <c r="K20" s="45">
        <v>1500000</v>
      </c>
      <c r="L20" s="50">
        <v>3</v>
      </c>
      <c r="M20" s="45">
        <v>0</v>
      </c>
      <c r="N20" s="50">
        <v>3</v>
      </c>
      <c r="O20" s="45">
        <v>870000</v>
      </c>
      <c r="P20" s="50">
        <v>6</v>
      </c>
      <c r="Q20" s="45">
        <v>1500000</v>
      </c>
      <c r="R20" s="50"/>
      <c r="S20" s="45">
        <v>0</v>
      </c>
      <c r="T20" s="80">
        <f t="shared" ref="T19:T21" si="15">SUM(L20,N20,P20,R20)</f>
        <v>12</v>
      </c>
      <c r="U20" s="80">
        <f t="shared" si="10"/>
        <v>100</v>
      </c>
      <c r="V20" s="81" t="s">
        <v>34</v>
      </c>
      <c r="W20" s="82">
        <f t="shared" si="2"/>
        <v>2370000</v>
      </c>
      <c r="X20" s="83">
        <f t="shared" si="3"/>
        <v>158</v>
      </c>
      <c r="Y20" s="81"/>
      <c r="Z20" s="80">
        <f t="shared" si="4"/>
        <v>24</v>
      </c>
      <c r="AA20" s="82">
        <f t="shared" si="5"/>
        <v>3870000</v>
      </c>
      <c r="AB20" s="103">
        <f t="shared" si="6"/>
        <v>66.6666666666667</v>
      </c>
      <c r="AC20" s="104" t="s">
        <v>34</v>
      </c>
      <c r="AD20" s="103">
        <f t="shared" si="7"/>
        <v>86</v>
      </c>
      <c r="AE20" s="105"/>
      <c r="AH20" s="112">
        <f t="shared" si="14"/>
        <v>2370000</v>
      </c>
    </row>
    <row r="21" ht="108.5" spans="1:34">
      <c r="A21" s="40"/>
      <c r="B21" s="31"/>
      <c r="C21" s="42" t="s">
        <v>54</v>
      </c>
      <c r="D21" s="42" t="s">
        <v>55</v>
      </c>
      <c r="E21" s="43">
        <v>1</v>
      </c>
      <c r="F21" s="48" t="s">
        <v>39</v>
      </c>
      <c r="G21" s="49">
        <f t="shared" si="11"/>
        <v>4500000</v>
      </c>
      <c r="H21" s="50">
        <v>1</v>
      </c>
      <c r="I21" s="45">
        <v>1500000</v>
      </c>
      <c r="J21" s="43">
        <v>1</v>
      </c>
      <c r="K21" s="45">
        <v>1500000</v>
      </c>
      <c r="L21" s="50">
        <v>0</v>
      </c>
      <c r="M21" s="45">
        <v>0</v>
      </c>
      <c r="N21" s="50">
        <v>1</v>
      </c>
      <c r="O21" s="45">
        <v>1500000</v>
      </c>
      <c r="P21" s="50">
        <v>0</v>
      </c>
      <c r="Q21" s="45">
        <v>0</v>
      </c>
      <c r="R21" s="50"/>
      <c r="S21" s="45"/>
      <c r="T21" s="80">
        <f t="shared" si="15"/>
        <v>1</v>
      </c>
      <c r="U21" s="80">
        <f t="shared" si="10"/>
        <v>100</v>
      </c>
      <c r="V21" s="81" t="s">
        <v>34</v>
      </c>
      <c r="W21" s="82">
        <f t="shared" si="2"/>
        <v>1500000</v>
      </c>
      <c r="X21" s="83">
        <f t="shared" si="3"/>
        <v>100</v>
      </c>
      <c r="Y21" s="81" t="s">
        <v>34</v>
      </c>
      <c r="Z21" s="80">
        <f t="shared" si="4"/>
        <v>2</v>
      </c>
      <c r="AA21" s="82">
        <f t="shared" si="5"/>
        <v>3000000</v>
      </c>
      <c r="AB21" s="103">
        <f t="shared" si="6"/>
        <v>200</v>
      </c>
      <c r="AC21" s="104" t="s">
        <v>34</v>
      </c>
      <c r="AD21" s="103">
        <f t="shared" si="7"/>
        <v>66.6666666666667</v>
      </c>
      <c r="AE21" s="105"/>
      <c r="AH21" s="112">
        <f t="shared" si="14"/>
        <v>1500000</v>
      </c>
    </row>
    <row r="22" ht="77.5" spans="1:34">
      <c r="A22" s="40"/>
      <c r="B22" s="31"/>
      <c r="C22" s="32" t="s">
        <v>56</v>
      </c>
      <c r="D22" s="37" t="s">
        <v>57</v>
      </c>
      <c r="E22" s="33">
        <v>100</v>
      </c>
      <c r="F22" s="34" t="s">
        <v>34</v>
      </c>
      <c r="G22" s="38">
        <f t="shared" ref="G22:K22" si="16">SUM(G23:G28)</f>
        <v>1185585000</v>
      </c>
      <c r="H22" s="33">
        <v>100</v>
      </c>
      <c r="I22" s="38">
        <f t="shared" si="16"/>
        <v>392983358</v>
      </c>
      <c r="J22" s="33">
        <v>100</v>
      </c>
      <c r="K22" s="38">
        <f t="shared" si="16"/>
        <v>224833300</v>
      </c>
      <c r="L22" s="33">
        <v>100</v>
      </c>
      <c r="M22" s="38">
        <f t="shared" ref="M22:Q22" si="17">SUM(M23:M28)</f>
        <v>22683100</v>
      </c>
      <c r="N22" s="33">
        <v>100</v>
      </c>
      <c r="O22" s="38">
        <f t="shared" si="17"/>
        <v>38035426</v>
      </c>
      <c r="P22" s="33">
        <v>100</v>
      </c>
      <c r="Q22" s="38">
        <f t="shared" si="17"/>
        <v>67795174</v>
      </c>
      <c r="R22" s="33"/>
      <c r="S22" s="38"/>
      <c r="T22" s="73">
        <f>AVERAGE(L22,N22,P22,R22)</f>
        <v>100</v>
      </c>
      <c r="U22" s="73">
        <f t="shared" si="10"/>
        <v>100</v>
      </c>
      <c r="V22" s="74" t="s">
        <v>34</v>
      </c>
      <c r="W22" s="75">
        <f t="shared" si="2"/>
        <v>128513700</v>
      </c>
      <c r="X22" s="76">
        <f t="shared" si="3"/>
        <v>57.1595488746551</v>
      </c>
      <c r="Y22" s="74" t="s">
        <v>34</v>
      </c>
      <c r="Z22" s="73">
        <f t="shared" si="4"/>
        <v>200</v>
      </c>
      <c r="AA22" s="75">
        <f t="shared" si="5"/>
        <v>521497058</v>
      </c>
      <c r="AB22" s="98">
        <f t="shared" si="6"/>
        <v>200</v>
      </c>
      <c r="AC22" s="99" t="s">
        <v>34</v>
      </c>
      <c r="AD22" s="98">
        <f t="shared" si="7"/>
        <v>43.986475706086</v>
      </c>
      <c r="AE22" s="105"/>
      <c r="AH22" s="112"/>
    </row>
    <row r="23" ht="124" spans="1:34">
      <c r="A23" s="40"/>
      <c r="B23" s="31"/>
      <c r="C23" s="41" t="s">
        <v>58</v>
      </c>
      <c r="D23" s="42" t="s">
        <v>59</v>
      </c>
      <c r="E23" s="43">
        <v>36</v>
      </c>
      <c r="F23" s="44" t="s">
        <v>60</v>
      </c>
      <c r="G23" s="49">
        <f>23200000*3</f>
        <v>69600000</v>
      </c>
      <c r="H23" s="50">
        <v>12</v>
      </c>
      <c r="I23" s="45">
        <v>23200000</v>
      </c>
      <c r="J23" s="43">
        <v>12</v>
      </c>
      <c r="K23" s="45">
        <v>5700000</v>
      </c>
      <c r="L23" s="50">
        <v>3</v>
      </c>
      <c r="M23" s="45">
        <v>0</v>
      </c>
      <c r="N23" s="50">
        <v>9</v>
      </c>
      <c r="O23" s="45">
        <v>2700000</v>
      </c>
      <c r="P23" s="50">
        <v>0</v>
      </c>
      <c r="Q23" s="45">
        <v>3000000</v>
      </c>
      <c r="R23" s="50"/>
      <c r="S23" s="45">
        <v>0</v>
      </c>
      <c r="T23" s="80">
        <f>SUM(L23,N23,P23,R23)</f>
        <v>12</v>
      </c>
      <c r="U23" s="80">
        <f t="shared" si="10"/>
        <v>100</v>
      </c>
      <c r="V23" s="81" t="s">
        <v>34</v>
      </c>
      <c r="W23" s="82">
        <f t="shared" si="2"/>
        <v>5700000</v>
      </c>
      <c r="X23" s="83">
        <f t="shared" si="3"/>
        <v>100</v>
      </c>
      <c r="Y23" s="81" t="s">
        <v>34</v>
      </c>
      <c r="Z23" s="80">
        <f t="shared" si="4"/>
        <v>24</v>
      </c>
      <c r="AA23" s="82">
        <f t="shared" si="5"/>
        <v>28900000</v>
      </c>
      <c r="AB23" s="103">
        <f t="shared" si="6"/>
        <v>66.6666666666667</v>
      </c>
      <c r="AC23" s="104" t="s">
        <v>34</v>
      </c>
      <c r="AD23" s="103">
        <f t="shared" si="7"/>
        <v>41.5229885057471</v>
      </c>
      <c r="AE23" s="105"/>
      <c r="AH23" s="112"/>
    </row>
    <row r="24" ht="78" customHeight="1" spans="1:34">
      <c r="A24" s="40"/>
      <c r="B24" s="31"/>
      <c r="C24" s="41" t="s">
        <v>61</v>
      </c>
      <c r="D24" s="42" t="s">
        <v>62</v>
      </c>
      <c r="E24" s="43">
        <v>36</v>
      </c>
      <c r="F24" s="44" t="s">
        <v>60</v>
      </c>
      <c r="G24" s="49">
        <f>229920000*3</f>
        <v>689760000</v>
      </c>
      <c r="H24" s="43">
        <v>12</v>
      </c>
      <c r="I24" s="45">
        <v>231070000</v>
      </c>
      <c r="J24" s="43">
        <v>12</v>
      </c>
      <c r="K24" s="45">
        <v>84983300</v>
      </c>
      <c r="L24" s="43">
        <v>3</v>
      </c>
      <c r="M24" s="45">
        <v>6993700</v>
      </c>
      <c r="N24" s="43">
        <v>3</v>
      </c>
      <c r="O24" s="45">
        <f>13989900-M24</f>
        <v>6996200</v>
      </c>
      <c r="P24" s="43">
        <v>3</v>
      </c>
      <c r="Q24" s="45">
        <v>21173800</v>
      </c>
      <c r="R24" s="43"/>
      <c r="S24" s="45">
        <v>49635500</v>
      </c>
      <c r="T24" s="80">
        <v>12</v>
      </c>
      <c r="U24" s="80">
        <f t="shared" si="10"/>
        <v>100</v>
      </c>
      <c r="V24" s="81" t="s">
        <v>34</v>
      </c>
      <c r="W24" s="82">
        <f t="shared" si="2"/>
        <v>84799200</v>
      </c>
      <c r="X24" s="83">
        <f t="shared" si="3"/>
        <v>99.7833692031258</v>
      </c>
      <c r="Y24" s="81" t="s">
        <v>34</v>
      </c>
      <c r="Z24" s="80">
        <f t="shared" si="4"/>
        <v>24</v>
      </c>
      <c r="AA24" s="82">
        <f t="shared" si="5"/>
        <v>315869200</v>
      </c>
      <c r="AB24" s="103">
        <f t="shared" si="6"/>
        <v>66.6666666666667</v>
      </c>
      <c r="AC24" s="104" t="s">
        <v>34</v>
      </c>
      <c r="AD24" s="103">
        <f t="shared" si="7"/>
        <v>45.7940733008583</v>
      </c>
      <c r="AE24" s="105"/>
      <c r="AH24" s="112"/>
    </row>
    <row r="25" ht="77.5" spans="1:34">
      <c r="A25" s="40"/>
      <c r="B25" s="31"/>
      <c r="C25" s="41" t="s">
        <v>63</v>
      </c>
      <c r="D25" s="41" t="s">
        <v>64</v>
      </c>
      <c r="E25" s="43">
        <v>36</v>
      </c>
      <c r="F25" s="44" t="s">
        <v>60</v>
      </c>
      <c r="G25" s="49">
        <f>48000000*3</f>
        <v>144000000</v>
      </c>
      <c r="H25" s="50">
        <v>12</v>
      </c>
      <c r="I25" s="45">
        <v>28400000</v>
      </c>
      <c r="J25" s="43">
        <v>12</v>
      </c>
      <c r="K25" s="45">
        <v>52000000</v>
      </c>
      <c r="L25" s="50">
        <v>3</v>
      </c>
      <c r="M25" s="45">
        <v>7050000</v>
      </c>
      <c r="N25" s="50">
        <v>3</v>
      </c>
      <c r="O25" s="45">
        <v>7050000</v>
      </c>
      <c r="P25" s="50">
        <v>3</v>
      </c>
      <c r="Q25" s="45">
        <v>14700000</v>
      </c>
      <c r="R25" s="50"/>
      <c r="S25" s="45">
        <v>23200000</v>
      </c>
      <c r="T25" s="80">
        <v>12</v>
      </c>
      <c r="U25" s="80">
        <f t="shared" si="10"/>
        <v>100</v>
      </c>
      <c r="V25" s="81" t="s">
        <v>34</v>
      </c>
      <c r="W25" s="82">
        <f t="shared" si="2"/>
        <v>52000000</v>
      </c>
      <c r="X25" s="83">
        <f t="shared" si="3"/>
        <v>100</v>
      </c>
      <c r="Y25" s="81" t="s">
        <v>34</v>
      </c>
      <c r="Z25" s="80">
        <f t="shared" si="4"/>
        <v>24</v>
      </c>
      <c r="AA25" s="82">
        <f t="shared" si="5"/>
        <v>80400000</v>
      </c>
      <c r="AB25" s="103">
        <f t="shared" si="6"/>
        <v>66.6666666666667</v>
      </c>
      <c r="AC25" s="104" t="s">
        <v>34</v>
      </c>
      <c r="AD25" s="103">
        <f t="shared" si="7"/>
        <v>55.8333333333333</v>
      </c>
      <c r="AE25" s="105"/>
      <c r="AH25" s="112"/>
    </row>
    <row r="26" ht="93" spans="1:34">
      <c r="A26" s="40"/>
      <c r="B26" s="31"/>
      <c r="C26" s="41" t="s">
        <v>65</v>
      </c>
      <c r="D26" s="41" t="s">
        <v>66</v>
      </c>
      <c r="E26" s="43">
        <v>36</v>
      </c>
      <c r="F26" s="44" t="s">
        <v>60</v>
      </c>
      <c r="G26" s="49">
        <f>12875000*3</f>
        <v>38625000</v>
      </c>
      <c r="H26" s="43">
        <v>12</v>
      </c>
      <c r="I26" s="45">
        <v>13675000</v>
      </c>
      <c r="J26" s="43">
        <v>12</v>
      </c>
      <c r="K26" s="45">
        <v>10950000</v>
      </c>
      <c r="L26" s="43">
        <v>3</v>
      </c>
      <c r="M26" s="45">
        <v>1000000</v>
      </c>
      <c r="N26" s="43">
        <v>3</v>
      </c>
      <c r="O26" s="45">
        <f>6258750-M26</f>
        <v>5258750</v>
      </c>
      <c r="P26" s="43">
        <v>3</v>
      </c>
      <c r="Q26" s="45">
        <v>4691250</v>
      </c>
      <c r="R26" s="43"/>
      <c r="S26" s="45">
        <v>0</v>
      </c>
      <c r="T26" s="80">
        <v>12</v>
      </c>
      <c r="U26" s="80">
        <f t="shared" si="10"/>
        <v>100</v>
      </c>
      <c r="V26" s="81" t="s">
        <v>34</v>
      </c>
      <c r="W26" s="82">
        <f t="shared" si="2"/>
        <v>10950000</v>
      </c>
      <c r="X26" s="83">
        <f t="shared" si="3"/>
        <v>100</v>
      </c>
      <c r="Y26" s="81" t="s">
        <v>34</v>
      </c>
      <c r="Z26" s="80">
        <f t="shared" si="4"/>
        <v>24</v>
      </c>
      <c r="AA26" s="82">
        <f t="shared" si="5"/>
        <v>24625000</v>
      </c>
      <c r="AB26" s="103">
        <f t="shared" si="6"/>
        <v>66.6666666666667</v>
      </c>
      <c r="AC26" s="104" t="s">
        <v>34</v>
      </c>
      <c r="AD26" s="103">
        <f t="shared" si="7"/>
        <v>63.7540453074434</v>
      </c>
      <c r="AE26" s="105"/>
      <c r="AH26" s="112"/>
    </row>
    <row r="27" ht="139.5" spans="1:34">
      <c r="A27" s="40"/>
      <c r="B27" s="31"/>
      <c r="C27" s="41" t="s">
        <v>67</v>
      </c>
      <c r="D27" s="51" t="s">
        <v>68</v>
      </c>
      <c r="E27" s="43">
        <v>36</v>
      </c>
      <c r="F27" s="44" t="s">
        <v>39</v>
      </c>
      <c r="G27" s="49">
        <f>1200000*3</f>
        <v>3600000</v>
      </c>
      <c r="H27" s="43">
        <v>12</v>
      </c>
      <c r="I27" s="45">
        <v>1200000</v>
      </c>
      <c r="J27" s="43">
        <v>12</v>
      </c>
      <c r="K27" s="45">
        <v>1200000</v>
      </c>
      <c r="L27" s="43">
        <v>3</v>
      </c>
      <c r="M27" s="45">
        <v>300000</v>
      </c>
      <c r="N27" s="43">
        <v>3</v>
      </c>
      <c r="O27" s="45">
        <v>300000</v>
      </c>
      <c r="P27" s="43">
        <v>3</v>
      </c>
      <c r="Q27" s="45">
        <v>300000</v>
      </c>
      <c r="R27" s="43"/>
      <c r="S27" s="45">
        <v>300000</v>
      </c>
      <c r="T27" s="80">
        <v>12</v>
      </c>
      <c r="U27" s="80">
        <f t="shared" si="10"/>
        <v>100</v>
      </c>
      <c r="V27" s="81" t="s">
        <v>34</v>
      </c>
      <c r="W27" s="82">
        <f t="shared" si="2"/>
        <v>1200000</v>
      </c>
      <c r="X27" s="83">
        <f t="shared" si="3"/>
        <v>100</v>
      </c>
      <c r="Y27" s="81" t="s">
        <v>34</v>
      </c>
      <c r="Z27" s="80">
        <f t="shared" si="4"/>
        <v>24</v>
      </c>
      <c r="AA27" s="82">
        <f t="shared" si="5"/>
        <v>2400000</v>
      </c>
      <c r="AB27" s="103">
        <f t="shared" si="6"/>
        <v>66.6666666666667</v>
      </c>
      <c r="AC27" s="104" t="s">
        <v>34</v>
      </c>
      <c r="AD27" s="103">
        <f t="shared" si="7"/>
        <v>66.6666666666667</v>
      </c>
      <c r="AE27" s="105"/>
      <c r="AH27" s="112"/>
    </row>
    <row r="28" ht="124" spans="1:34">
      <c r="A28" s="40"/>
      <c r="B28" s="31"/>
      <c r="C28" s="41" t="s">
        <v>69</v>
      </c>
      <c r="D28" s="41" t="s">
        <v>70</v>
      </c>
      <c r="E28" s="43">
        <v>36</v>
      </c>
      <c r="F28" s="44" t="s">
        <v>44</v>
      </c>
      <c r="G28" s="49">
        <f>80000000*3</f>
        <v>240000000</v>
      </c>
      <c r="H28" s="43">
        <v>12</v>
      </c>
      <c r="I28" s="45">
        <v>95438358</v>
      </c>
      <c r="J28" s="43">
        <v>12</v>
      </c>
      <c r="K28" s="45">
        <v>70000000</v>
      </c>
      <c r="L28" s="43">
        <v>3</v>
      </c>
      <c r="M28" s="45">
        <v>7339400</v>
      </c>
      <c r="N28" s="43">
        <v>3</v>
      </c>
      <c r="O28" s="45">
        <f>18069876-M28+5000000</f>
        <v>15730476</v>
      </c>
      <c r="P28" s="43">
        <v>3</v>
      </c>
      <c r="Q28" s="45">
        <v>23930124</v>
      </c>
      <c r="R28" s="43"/>
      <c r="S28" s="45">
        <v>22840475</v>
      </c>
      <c r="T28" s="80">
        <v>12</v>
      </c>
      <c r="U28" s="80">
        <f t="shared" si="10"/>
        <v>100</v>
      </c>
      <c r="V28" s="81" t="s">
        <v>34</v>
      </c>
      <c r="W28" s="82">
        <f t="shared" si="2"/>
        <v>69840475</v>
      </c>
      <c r="X28" s="83">
        <f t="shared" si="3"/>
        <v>99.7721071428572</v>
      </c>
      <c r="Y28" s="81" t="s">
        <v>34</v>
      </c>
      <c r="Z28" s="80">
        <f t="shared" si="4"/>
        <v>24</v>
      </c>
      <c r="AA28" s="82">
        <f t="shared" si="5"/>
        <v>165278833</v>
      </c>
      <c r="AB28" s="103">
        <f t="shared" si="6"/>
        <v>66.6666666666667</v>
      </c>
      <c r="AC28" s="104" t="s">
        <v>34</v>
      </c>
      <c r="AD28" s="103">
        <f t="shared" si="7"/>
        <v>68.8661804166667</v>
      </c>
      <c r="AE28" s="105"/>
      <c r="AH28" s="112"/>
    </row>
    <row r="29" ht="97.5" customHeight="1" spans="1:34">
      <c r="A29" s="40"/>
      <c r="B29" s="31"/>
      <c r="C29" s="37" t="s">
        <v>71</v>
      </c>
      <c r="D29" s="37" t="s">
        <v>72</v>
      </c>
      <c r="E29" s="33">
        <v>100</v>
      </c>
      <c r="F29" s="34" t="s">
        <v>34</v>
      </c>
      <c r="G29" s="35">
        <f t="shared" ref="G29:K29" si="18">SUM(G30)</f>
        <v>76500000</v>
      </c>
      <c r="H29" s="33">
        <v>100</v>
      </c>
      <c r="I29" s="35">
        <f t="shared" si="18"/>
        <v>24000000</v>
      </c>
      <c r="J29" s="33">
        <v>100</v>
      </c>
      <c r="K29" s="35">
        <f t="shared" si="18"/>
        <v>0</v>
      </c>
      <c r="L29" s="33">
        <v>25</v>
      </c>
      <c r="M29" s="35">
        <f t="shared" ref="M29:Q29" si="19">SUM(M30:M32)</f>
        <v>23608324</v>
      </c>
      <c r="N29" s="33">
        <v>25</v>
      </c>
      <c r="O29" s="35">
        <f t="shared" si="19"/>
        <v>26484486</v>
      </c>
      <c r="P29" s="33">
        <v>25</v>
      </c>
      <c r="Q29" s="35">
        <f t="shared" si="19"/>
        <v>28688200</v>
      </c>
      <c r="R29" s="33">
        <v>25</v>
      </c>
      <c r="S29" s="35"/>
      <c r="T29" s="73">
        <f>SUM(L29,N29,P29,R29)</f>
        <v>100</v>
      </c>
      <c r="U29" s="73">
        <f t="shared" si="10"/>
        <v>100</v>
      </c>
      <c r="V29" s="74" t="s">
        <v>34</v>
      </c>
      <c r="W29" s="75">
        <f t="shared" si="2"/>
        <v>78781010</v>
      </c>
      <c r="X29" s="76">
        <v>100</v>
      </c>
      <c r="Y29" s="74" t="s">
        <v>34</v>
      </c>
      <c r="Z29" s="73">
        <f t="shared" si="4"/>
        <v>200</v>
      </c>
      <c r="AA29" s="75">
        <f t="shared" si="5"/>
        <v>102781010</v>
      </c>
      <c r="AB29" s="98">
        <f t="shared" si="6"/>
        <v>200</v>
      </c>
      <c r="AC29" s="99" t="s">
        <v>34</v>
      </c>
      <c r="AD29" s="98">
        <f t="shared" si="7"/>
        <v>134.354261437908</v>
      </c>
      <c r="AE29" s="105"/>
      <c r="AH29" s="112"/>
    </row>
    <row r="30" ht="124" spans="1:34">
      <c r="A30" s="40"/>
      <c r="B30" s="31"/>
      <c r="C30" s="41" t="s">
        <v>73</v>
      </c>
      <c r="D30" s="42" t="s">
        <v>74</v>
      </c>
      <c r="E30" s="43">
        <v>3</v>
      </c>
      <c r="F30" s="44" t="s">
        <v>75</v>
      </c>
      <c r="G30" s="45">
        <f>25500000*3</f>
        <v>76500000</v>
      </c>
      <c r="H30" s="43">
        <v>1</v>
      </c>
      <c r="I30" s="45">
        <v>24000000</v>
      </c>
      <c r="J30" s="43">
        <v>1</v>
      </c>
      <c r="K30" s="45">
        <v>0</v>
      </c>
      <c r="L30" s="43">
        <v>0</v>
      </c>
      <c r="M30" s="45">
        <v>0</v>
      </c>
      <c r="N30" s="43">
        <v>0</v>
      </c>
      <c r="O30" s="45">
        <v>0</v>
      </c>
      <c r="P30" s="43">
        <v>0</v>
      </c>
      <c r="Q30" s="45">
        <v>0</v>
      </c>
      <c r="R30" s="43"/>
      <c r="S30" s="45"/>
      <c r="T30" s="80">
        <f>SUM(L30,N30,P30,R30)</f>
        <v>0</v>
      </c>
      <c r="U30" s="80">
        <f t="shared" si="10"/>
        <v>0</v>
      </c>
      <c r="V30" s="81" t="s">
        <v>34</v>
      </c>
      <c r="W30" s="82">
        <f t="shared" si="2"/>
        <v>0</v>
      </c>
      <c r="X30" s="83" t="e">
        <f t="shared" si="3"/>
        <v>#DIV/0!</v>
      </c>
      <c r="Y30" s="81" t="s">
        <v>34</v>
      </c>
      <c r="Z30" s="80">
        <f t="shared" si="4"/>
        <v>1</v>
      </c>
      <c r="AA30" s="82">
        <f t="shared" si="5"/>
        <v>24000000</v>
      </c>
      <c r="AB30" s="103">
        <f t="shared" si="6"/>
        <v>33.3333333333333</v>
      </c>
      <c r="AC30" s="104" t="s">
        <v>34</v>
      </c>
      <c r="AD30" s="103">
        <f t="shared" si="7"/>
        <v>31.3725490196078</v>
      </c>
      <c r="AE30" s="105"/>
      <c r="AH30" s="112"/>
    </row>
    <row r="31" ht="97.5" customHeight="1" spans="1:34">
      <c r="A31" s="40"/>
      <c r="B31" s="31"/>
      <c r="C31" s="37" t="s">
        <v>76</v>
      </c>
      <c r="D31" s="37" t="s">
        <v>77</v>
      </c>
      <c r="E31" s="33">
        <v>100</v>
      </c>
      <c r="F31" s="34" t="s">
        <v>34</v>
      </c>
      <c r="G31" s="35">
        <f t="shared" ref="G31:K31" si="20">SUM(G32:G34)</f>
        <v>227904000</v>
      </c>
      <c r="H31" s="33">
        <v>100</v>
      </c>
      <c r="I31" s="35">
        <f t="shared" si="20"/>
        <v>42060529</v>
      </c>
      <c r="J31" s="33">
        <v>100</v>
      </c>
      <c r="K31" s="35">
        <f t="shared" si="20"/>
        <v>122588584</v>
      </c>
      <c r="L31" s="33">
        <v>25</v>
      </c>
      <c r="M31" s="35">
        <f t="shared" ref="M31:Q31" si="21">SUM(M32:M34)</f>
        <v>23608324</v>
      </c>
      <c r="N31" s="33">
        <v>25</v>
      </c>
      <c r="O31" s="35">
        <f t="shared" si="21"/>
        <v>26484486</v>
      </c>
      <c r="P31" s="33">
        <v>25</v>
      </c>
      <c r="Q31" s="35">
        <f t="shared" si="21"/>
        <v>28688200</v>
      </c>
      <c r="R31" s="33">
        <v>25</v>
      </c>
      <c r="S31" s="35"/>
      <c r="T31" s="73">
        <f>SUM(L31,N31,P31,R31)</f>
        <v>100</v>
      </c>
      <c r="U31" s="73">
        <f t="shared" si="10"/>
        <v>100</v>
      </c>
      <c r="V31" s="74" t="s">
        <v>34</v>
      </c>
      <c r="W31" s="75">
        <f t="shared" si="2"/>
        <v>78781010</v>
      </c>
      <c r="X31" s="76">
        <f t="shared" si="3"/>
        <v>64.2645566409349</v>
      </c>
      <c r="Y31" s="74" t="s">
        <v>34</v>
      </c>
      <c r="Z31" s="73">
        <f t="shared" si="4"/>
        <v>200</v>
      </c>
      <c r="AA31" s="75">
        <f t="shared" si="5"/>
        <v>120841539</v>
      </c>
      <c r="AB31" s="98">
        <f t="shared" si="6"/>
        <v>200</v>
      </c>
      <c r="AC31" s="99" t="s">
        <v>34</v>
      </c>
      <c r="AD31" s="98">
        <f t="shared" si="7"/>
        <v>53.0230004738837</v>
      </c>
      <c r="AE31" s="105"/>
      <c r="AH31" s="112"/>
    </row>
    <row r="32" ht="80.25" customHeight="1" spans="1:34">
      <c r="A32" s="40"/>
      <c r="B32" s="31"/>
      <c r="C32" s="41" t="s">
        <v>78</v>
      </c>
      <c r="D32" s="42" t="s">
        <v>79</v>
      </c>
      <c r="E32" s="43">
        <v>36</v>
      </c>
      <c r="F32" s="44" t="s">
        <v>44</v>
      </c>
      <c r="G32" s="49">
        <f>350000*3</f>
        <v>1050000</v>
      </c>
      <c r="H32" s="43">
        <v>12</v>
      </c>
      <c r="I32" s="45">
        <v>0</v>
      </c>
      <c r="J32" s="43">
        <v>12</v>
      </c>
      <c r="K32" s="45">
        <v>760000</v>
      </c>
      <c r="L32" s="43">
        <v>3</v>
      </c>
      <c r="M32" s="45">
        <v>0</v>
      </c>
      <c r="N32" s="43">
        <v>3</v>
      </c>
      <c r="O32" s="45">
        <v>0</v>
      </c>
      <c r="P32" s="43">
        <v>3</v>
      </c>
      <c r="Q32" s="45">
        <v>0</v>
      </c>
      <c r="R32" s="43"/>
      <c r="S32" s="45">
        <v>760000</v>
      </c>
      <c r="T32" s="80">
        <v>12</v>
      </c>
      <c r="U32" s="80">
        <f t="shared" si="10"/>
        <v>100</v>
      </c>
      <c r="V32" s="81" t="s">
        <v>34</v>
      </c>
      <c r="W32" s="82">
        <f t="shared" si="2"/>
        <v>760000</v>
      </c>
      <c r="X32" s="83">
        <f t="shared" si="3"/>
        <v>100</v>
      </c>
      <c r="Y32" s="81" t="s">
        <v>34</v>
      </c>
      <c r="Z32" s="80">
        <f t="shared" si="4"/>
        <v>24</v>
      </c>
      <c r="AA32" s="82">
        <f t="shared" si="5"/>
        <v>760000</v>
      </c>
      <c r="AB32" s="103">
        <f t="shared" si="6"/>
        <v>66.6666666666667</v>
      </c>
      <c r="AC32" s="104" t="s">
        <v>34</v>
      </c>
      <c r="AD32" s="103">
        <f t="shared" si="7"/>
        <v>72.3809523809524</v>
      </c>
      <c r="AE32" s="105"/>
      <c r="AH32" s="112"/>
    </row>
    <row r="33" ht="139.5" spans="1:34">
      <c r="A33" s="40"/>
      <c r="B33" s="31"/>
      <c r="C33" s="41" t="s">
        <v>80</v>
      </c>
      <c r="D33" s="42" t="s">
        <v>81</v>
      </c>
      <c r="E33" s="43">
        <v>36</v>
      </c>
      <c r="F33" s="44" t="s">
        <v>44</v>
      </c>
      <c r="G33" s="49">
        <f>48000000*3</f>
        <v>144000000</v>
      </c>
      <c r="H33" s="43">
        <v>12</v>
      </c>
      <c r="I33" s="45">
        <v>22495729</v>
      </c>
      <c r="J33" s="43">
        <v>12</v>
      </c>
      <c r="K33" s="45">
        <v>43152584</v>
      </c>
      <c r="L33" s="43">
        <v>3</v>
      </c>
      <c r="M33" s="45">
        <v>4508324</v>
      </c>
      <c r="N33" s="43">
        <v>3</v>
      </c>
      <c r="O33" s="45">
        <f>10790610-M33</f>
        <v>6282286</v>
      </c>
      <c r="P33" s="43">
        <v>3</v>
      </c>
      <c r="Q33" s="45">
        <v>7790400</v>
      </c>
      <c r="R33" s="43"/>
      <c r="S33" s="45">
        <v>15101727</v>
      </c>
      <c r="T33" s="80">
        <v>12</v>
      </c>
      <c r="U33" s="80">
        <f t="shared" si="10"/>
        <v>100</v>
      </c>
      <c r="V33" s="81" t="s">
        <v>34</v>
      </c>
      <c r="W33" s="82">
        <f t="shared" si="2"/>
        <v>33682737</v>
      </c>
      <c r="X33" s="83">
        <f t="shared" si="3"/>
        <v>78.0549711692815</v>
      </c>
      <c r="Y33" s="81" t="s">
        <v>34</v>
      </c>
      <c r="Z33" s="80">
        <f t="shared" si="4"/>
        <v>24</v>
      </c>
      <c r="AA33" s="82">
        <f t="shared" si="5"/>
        <v>56178466</v>
      </c>
      <c r="AB33" s="103">
        <f t="shared" si="6"/>
        <v>66.6666666666667</v>
      </c>
      <c r="AC33" s="104" t="s">
        <v>34</v>
      </c>
      <c r="AD33" s="103">
        <f t="shared" si="7"/>
        <v>39.0128236111111</v>
      </c>
      <c r="AE33" s="105"/>
      <c r="AH33" s="112"/>
    </row>
    <row r="34" ht="95.1" customHeight="1" spans="1:34">
      <c r="A34" s="40"/>
      <c r="B34" s="31"/>
      <c r="C34" s="41" t="s">
        <v>82</v>
      </c>
      <c r="D34" s="42" t="s">
        <v>83</v>
      </c>
      <c r="E34" s="43">
        <v>36</v>
      </c>
      <c r="F34" s="44" t="s">
        <v>44</v>
      </c>
      <c r="G34" s="49">
        <f>27618000*3</f>
        <v>82854000</v>
      </c>
      <c r="H34" s="43">
        <v>12</v>
      </c>
      <c r="I34" s="45">
        <v>19564800</v>
      </c>
      <c r="J34" s="43">
        <v>12</v>
      </c>
      <c r="K34" s="45">
        <v>78676000</v>
      </c>
      <c r="L34" s="43">
        <v>3</v>
      </c>
      <c r="M34" s="45">
        <v>19100000</v>
      </c>
      <c r="N34" s="43">
        <v>3</v>
      </c>
      <c r="O34" s="45">
        <v>20202200</v>
      </c>
      <c r="P34" s="43">
        <v>3</v>
      </c>
      <c r="Q34" s="45">
        <v>20897800</v>
      </c>
      <c r="R34" s="43"/>
      <c r="S34" s="45">
        <v>18284000</v>
      </c>
      <c r="T34" s="80">
        <v>12</v>
      </c>
      <c r="U34" s="80">
        <f t="shared" si="10"/>
        <v>100</v>
      </c>
      <c r="V34" s="81" t="s">
        <v>34</v>
      </c>
      <c r="W34" s="82">
        <f t="shared" si="2"/>
        <v>78484000</v>
      </c>
      <c r="X34" s="83">
        <f t="shared" si="3"/>
        <v>99.7559611571508</v>
      </c>
      <c r="Y34" s="81" t="s">
        <v>34</v>
      </c>
      <c r="Z34" s="80">
        <f t="shared" si="4"/>
        <v>24</v>
      </c>
      <c r="AA34" s="82">
        <f t="shared" si="5"/>
        <v>98048800</v>
      </c>
      <c r="AB34" s="103">
        <f t="shared" si="6"/>
        <v>66.6666666666667</v>
      </c>
      <c r="AC34" s="104" t="s">
        <v>34</v>
      </c>
      <c r="AD34" s="103">
        <f t="shared" si="7"/>
        <v>118.339247350762</v>
      </c>
      <c r="AE34" s="105"/>
      <c r="AH34" s="112"/>
    </row>
    <row r="35" ht="97.5" customHeight="1" spans="1:34">
      <c r="A35" s="40"/>
      <c r="B35" s="31"/>
      <c r="C35" s="37" t="s">
        <v>84</v>
      </c>
      <c r="D35" s="37" t="s">
        <v>57</v>
      </c>
      <c r="E35" s="33">
        <v>100</v>
      </c>
      <c r="F35" s="34" t="s">
        <v>34</v>
      </c>
      <c r="G35" s="35">
        <f t="shared" ref="G35:K35" si="22">SUM(G36:G39)</f>
        <v>1151616000</v>
      </c>
      <c r="H35" s="33">
        <v>100</v>
      </c>
      <c r="I35" s="35">
        <f t="shared" si="22"/>
        <v>334226400</v>
      </c>
      <c r="J35" s="33">
        <v>100</v>
      </c>
      <c r="K35" s="35">
        <f t="shared" si="22"/>
        <v>621674400</v>
      </c>
      <c r="L35" s="33">
        <v>25</v>
      </c>
      <c r="M35" s="35">
        <f t="shared" ref="M35:Q35" si="23">SUM(M36:M37)</f>
        <v>10500000</v>
      </c>
      <c r="N35" s="33">
        <v>25</v>
      </c>
      <c r="O35" s="35">
        <f t="shared" si="23"/>
        <v>217240000</v>
      </c>
      <c r="P35" s="33">
        <v>25</v>
      </c>
      <c r="Q35" s="35">
        <f t="shared" si="23"/>
        <v>106550000</v>
      </c>
      <c r="R35" s="33">
        <v>25</v>
      </c>
      <c r="S35" s="35"/>
      <c r="T35" s="73">
        <f>SUM(L35,N35,P35,R35)</f>
        <v>100</v>
      </c>
      <c r="U35" s="73">
        <f t="shared" si="10"/>
        <v>100</v>
      </c>
      <c r="V35" s="74" t="s">
        <v>34</v>
      </c>
      <c r="W35" s="75">
        <f t="shared" si="2"/>
        <v>334290000</v>
      </c>
      <c r="X35" s="76">
        <f t="shared" si="3"/>
        <v>53.7725214356583</v>
      </c>
      <c r="Y35" s="74" t="s">
        <v>34</v>
      </c>
      <c r="Z35" s="73">
        <f t="shared" si="4"/>
        <v>200</v>
      </c>
      <c r="AA35" s="75">
        <f t="shared" si="5"/>
        <v>668516400</v>
      </c>
      <c r="AB35" s="98">
        <f t="shared" si="6"/>
        <v>200</v>
      </c>
      <c r="AC35" s="99" t="s">
        <v>34</v>
      </c>
      <c r="AD35" s="98">
        <f t="shared" si="7"/>
        <v>58.0502875958653</v>
      </c>
      <c r="AE35" s="105"/>
      <c r="AH35" s="112"/>
    </row>
    <row r="36" ht="186" spans="1:34">
      <c r="A36" s="40"/>
      <c r="B36" s="31"/>
      <c r="C36" s="41" t="s">
        <v>85</v>
      </c>
      <c r="D36" s="42" t="s">
        <v>86</v>
      </c>
      <c r="E36" s="43">
        <v>36</v>
      </c>
      <c r="F36" s="44" t="s">
        <v>75</v>
      </c>
      <c r="G36" s="49">
        <f>94228000*3</f>
        <v>282684000</v>
      </c>
      <c r="H36" s="43">
        <v>12</v>
      </c>
      <c r="I36" s="45">
        <v>61039800</v>
      </c>
      <c r="J36" s="43">
        <v>12</v>
      </c>
      <c r="K36" s="45">
        <v>54500000</v>
      </c>
      <c r="L36" s="43">
        <v>3</v>
      </c>
      <c r="M36" s="45">
        <v>10500000</v>
      </c>
      <c r="N36" s="43">
        <v>3</v>
      </c>
      <c r="O36" s="45">
        <f>22390000-M36</f>
        <v>11890000</v>
      </c>
      <c r="P36" s="43">
        <v>0</v>
      </c>
      <c r="Q36" s="45">
        <v>10400000</v>
      </c>
      <c r="R36" s="43"/>
      <c r="S36" s="45">
        <v>19691300</v>
      </c>
      <c r="T36" s="80">
        <v>12</v>
      </c>
      <c r="U36" s="80">
        <f t="shared" si="10"/>
        <v>100</v>
      </c>
      <c r="V36" s="81" t="s">
        <v>34</v>
      </c>
      <c r="W36" s="82">
        <f t="shared" si="2"/>
        <v>52481300</v>
      </c>
      <c r="X36" s="83">
        <f t="shared" si="3"/>
        <v>96.2959633027523</v>
      </c>
      <c r="Y36" s="81" t="s">
        <v>34</v>
      </c>
      <c r="Z36" s="80">
        <f t="shared" si="4"/>
        <v>24</v>
      </c>
      <c r="AA36" s="82">
        <f t="shared" si="5"/>
        <v>113521100</v>
      </c>
      <c r="AB36" s="103">
        <f t="shared" si="6"/>
        <v>66.6666666666667</v>
      </c>
      <c r="AC36" s="104" t="s">
        <v>34</v>
      </c>
      <c r="AD36" s="103">
        <f t="shared" si="7"/>
        <v>40.1583039719263</v>
      </c>
      <c r="AE36" s="105"/>
      <c r="AH36" s="112"/>
    </row>
    <row r="37" ht="108.5" spans="1:34">
      <c r="A37" s="40"/>
      <c r="B37" s="31"/>
      <c r="C37" s="41" t="s">
        <v>87</v>
      </c>
      <c r="D37" s="42" t="s">
        <v>88</v>
      </c>
      <c r="E37" s="43">
        <v>36</v>
      </c>
      <c r="F37" s="44" t="s">
        <v>75</v>
      </c>
      <c r="G37" s="52">
        <f>264644000*3</f>
        <v>793932000</v>
      </c>
      <c r="H37" s="43">
        <v>12</v>
      </c>
      <c r="I37" s="45">
        <v>255986600</v>
      </c>
      <c r="J37" s="43">
        <v>12</v>
      </c>
      <c r="K37" s="45">
        <v>338700000</v>
      </c>
      <c r="L37" s="43">
        <v>3</v>
      </c>
      <c r="M37" s="45">
        <v>0</v>
      </c>
      <c r="N37" s="43"/>
      <c r="O37" s="45">
        <f>108075000+97275000</f>
        <v>205350000</v>
      </c>
      <c r="P37" s="43"/>
      <c r="Q37" s="45">
        <v>96150000</v>
      </c>
      <c r="R37" s="43"/>
      <c r="S37" s="45">
        <v>34949000</v>
      </c>
      <c r="T37" s="80">
        <v>12</v>
      </c>
      <c r="U37" s="80">
        <f t="shared" si="10"/>
        <v>100</v>
      </c>
      <c r="V37" s="81" t="s">
        <v>34</v>
      </c>
      <c r="W37" s="82">
        <f t="shared" si="2"/>
        <v>336449000</v>
      </c>
      <c r="X37" s="83">
        <f t="shared" si="3"/>
        <v>99.3354000590493</v>
      </c>
      <c r="Y37" s="81"/>
      <c r="Z37" s="80">
        <f t="shared" si="4"/>
        <v>24</v>
      </c>
      <c r="AA37" s="82">
        <f t="shared" si="5"/>
        <v>592435600</v>
      </c>
      <c r="AB37" s="103">
        <f t="shared" si="6"/>
        <v>66.6666666666667</v>
      </c>
      <c r="AC37" s="104" t="s">
        <v>34</v>
      </c>
      <c r="AD37" s="103">
        <f t="shared" si="7"/>
        <v>74.6204460835437</v>
      </c>
      <c r="AE37" s="105"/>
      <c r="AH37" s="112"/>
    </row>
    <row r="38" ht="139.5" spans="1:34">
      <c r="A38" s="40"/>
      <c r="B38" s="31"/>
      <c r="C38" s="41" t="s">
        <v>89</v>
      </c>
      <c r="D38" s="51" t="s">
        <v>90</v>
      </c>
      <c r="E38" s="43"/>
      <c r="F38" s="44" t="s">
        <v>75</v>
      </c>
      <c r="G38" s="52"/>
      <c r="H38" s="43"/>
      <c r="I38" s="45"/>
      <c r="J38" s="43">
        <v>12</v>
      </c>
      <c r="K38" s="45">
        <v>14800000</v>
      </c>
      <c r="L38" s="43">
        <v>3</v>
      </c>
      <c r="M38" s="45">
        <v>0</v>
      </c>
      <c r="N38" s="43"/>
      <c r="O38" s="45">
        <v>7300000</v>
      </c>
      <c r="P38" s="43"/>
      <c r="Q38" s="45">
        <v>1000000</v>
      </c>
      <c r="R38" s="43"/>
      <c r="S38" s="45">
        <v>6500000</v>
      </c>
      <c r="T38" s="80">
        <v>12</v>
      </c>
      <c r="U38" s="80">
        <f t="shared" si="10"/>
        <v>100</v>
      </c>
      <c r="V38" s="81" t="s">
        <v>34</v>
      </c>
      <c r="W38" s="82">
        <f t="shared" si="2"/>
        <v>14800000</v>
      </c>
      <c r="X38" s="83">
        <f t="shared" si="3"/>
        <v>100</v>
      </c>
      <c r="Y38" s="81"/>
      <c r="Z38" s="80">
        <f t="shared" si="4"/>
        <v>12</v>
      </c>
      <c r="AA38" s="82">
        <f t="shared" si="5"/>
        <v>14800000</v>
      </c>
      <c r="AB38" s="103" t="e">
        <f t="shared" si="6"/>
        <v>#DIV/0!</v>
      </c>
      <c r="AC38" s="104" t="s">
        <v>34</v>
      </c>
      <c r="AD38" s="103" t="e">
        <f t="shared" si="7"/>
        <v>#DIV/0!</v>
      </c>
      <c r="AE38" s="105"/>
      <c r="AH38" s="112"/>
    </row>
    <row r="39" ht="155" spans="1:34">
      <c r="A39" s="40"/>
      <c r="B39" s="31"/>
      <c r="C39" s="41" t="s">
        <v>91</v>
      </c>
      <c r="D39" s="42" t="s">
        <v>92</v>
      </c>
      <c r="E39" s="43">
        <v>36</v>
      </c>
      <c r="F39" s="44" t="s">
        <v>75</v>
      </c>
      <c r="G39" s="52">
        <f>25000000*3</f>
        <v>75000000</v>
      </c>
      <c r="H39" s="43">
        <v>12</v>
      </c>
      <c r="I39" s="45">
        <v>17200000</v>
      </c>
      <c r="J39" s="43">
        <v>12</v>
      </c>
      <c r="K39" s="45">
        <v>213674400</v>
      </c>
      <c r="L39" s="43">
        <v>3</v>
      </c>
      <c r="M39" s="45">
        <v>0</v>
      </c>
      <c r="N39" s="43">
        <v>3</v>
      </c>
      <c r="O39" s="45">
        <v>10800000</v>
      </c>
      <c r="P39" s="43">
        <v>0</v>
      </c>
      <c r="Q39" s="45">
        <v>103275000</v>
      </c>
      <c r="R39" s="43"/>
      <c r="S39" s="45">
        <v>98449400</v>
      </c>
      <c r="T39" s="80">
        <v>12</v>
      </c>
      <c r="U39" s="80">
        <f t="shared" si="10"/>
        <v>100</v>
      </c>
      <c r="V39" s="81" t="s">
        <v>34</v>
      </c>
      <c r="W39" s="82">
        <f t="shared" si="2"/>
        <v>212524400</v>
      </c>
      <c r="X39" s="83">
        <f t="shared" si="3"/>
        <v>99.4617979505266</v>
      </c>
      <c r="Y39" s="81"/>
      <c r="Z39" s="80">
        <f t="shared" si="4"/>
        <v>24</v>
      </c>
      <c r="AA39" s="82">
        <f t="shared" si="5"/>
        <v>229724400</v>
      </c>
      <c r="AB39" s="103">
        <f t="shared" si="6"/>
        <v>66.6666666666667</v>
      </c>
      <c r="AC39" s="104" t="s">
        <v>34</v>
      </c>
      <c r="AD39" s="103">
        <f t="shared" si="7"/>
        <v>306.2992</v>
      </c>
      <c r="AE39" s="105"/>
      <c r="AH39" s="112"/>
    </row>
    <row r="40" ht="139.5" spans="1:34">
      <c r="A40" s="40"/>
      <c r="B40" s="31"/>
      <c r="C40" s="37" t="s">
        <v>93</v>
      </c>
      <c r="D40" s="32" t="s">
        <v>94</v>
      </c>
      <c r="E40" s="53">
        <v>100</v>
      </c>
      <c r="F40" s="34" t="s">
        <v>34</v>
      </c>
      <c r="G40" s="35">
        <f t="shared" ref="G40:K40" si="24">SUM(G41,G43)</f>
        <v>16600000</v>
      </c>
      <c r="H40" s="53">
        <v>100</v>
      </c>
      <c r="I40" s="35">
        <f t="shared" si="24"/>
        <v>14100000</v>
      </c>
      <c r="J40" s="53">
        <v>100</v>
      </c>
      <c r="K40" s="35">
        <f t="shared" si="24"/>
        <v>6100000</v>
      </c>
      <c r="L40" s="53">
        <v>25</v>
      </c>
      <c r="M40" s="35">
        <f>M41</f>
        <v>1950000</v>
      </c>
      <c r="N40" s="53">
        <v>25</v>
      </c>
      <c r="O40" s="35">
        <f>O43</f>
        <v>0</v>
      </c>
      <c r="P40" s="53">
        <v>25</v>
      </c>
      <c r="Q40" s="35">
        <v>0</v>
      </c>
      <c r="R40" s="53">
        <v>25</v>
      </c>
      <c r="S40" s="35"/>
      <c r="T40" s="73">
        <f>SUM(L40,N40,P40,R40)</f>
        <v>100</v>
      </c>
      <c r="U40" s="73">
        <f t="shared" si="10"/>
        <v>100</v>
      </c>
      <c r="V40" s="74" t="s">
        <v>34</v>
      </c>
      <c r="W40" s="75">
        <f t="shared" si="2"/>
        <v>1950000</v>
      </c>
      <c r="X40" s="76">
        <f t="shared" si="3"/>
        <v>31.9672131147541</v>
      </c>
      <c r="Y40" s="74" t="s">
        <v>34</v>
      </c>
      <c r="Z40" s="73">
        <f t="shared" si="4"/>
        <v>200</v>
      </c>
      <c r="AA40" s="75">
        <f t="shared" si="5"/>
        <v>16050000</v>
      </c>
      <c r="AB40" s="98">
        <f t="shared" si="6"/>
        <v>200</v>
      </c>
      <c r="AC40" s="99" t="s">
        <v>34</v>
      </c>
      <c r="AD40" s="98">
        <f t="shared" si="7"/>
        <v>96.6867469879518</v>
      </c>
      <c r="AE40" s="105"/>
      <c r="AH40" s="112"/>
    </row>
    <row r="41" ht="216.75" customHeight="1" spans="1:34">
      <c r="A41" s="40"/>
      <c r="B41" s="31"/>
      <c r="C41" s="37" t="s">
        <v>95</v>
      </c>
      <c r="D41" s="32" t="s">
        <v>96</v>
      </c>
      <c r="E41" s="53">
        <v>100</v>
      </c>
      <c r="F41" s="34" t="s">
        <v>34</v>
      </c>
      <c r="G41" s="35">
        <f t="shared" ref="G41:K41" si="25">SUM(G42)</f>
        <v>0</v>
      </c>
      <c r="H41" s="53">
        <v>100</v>
      </c>
      <c r="I41" s="35">
        <f t="shared" si="25"/>
        <v>0</v>
      </c>
      <c r="J41" s="53">
        <v>100</v>
      </c>
      <c r="K41" s="35">
        <f t="shared" si="25"/>
        <v>6100000</v>
      </c>
      <c r="L41" s="53">
        <v>25</v>
      </c>
      <c r="M41" s="35">
        <f t="shared" ref="M41:Q41" si="26">SUM(M42)</f>
        <v>1950000</v>
      </c>
      <c r="N41" s="53">
        <v>25</v>
      </c>
      <c r="O41" s="35">
        <f t="shared" si="26"/>
        <v>3750000</v>
      </c>
      <c r="P41" s="53">
        <v>25</v>
      </c>
      <c r="Q41" s="35">
        <v>0</v>
      </c>
      <c r="R41" s="53">
        <v>25</v>
      </c>
      <c r="S41" s="35"/>
      <c r="T41" s="73">
        <f>SUM(L41,N41,P41,R41)</f>
        <v>100</v>
      </c>
      <c r="U41" s="73">
        <f t="shared" si="10"/>
        <v>100</v>
      </c>
      <c r="V41" s="74" t="s">
        <v>34</v>
      </c>
      <c r="W41" s="75">
        <f t="shared" si="2"/>
        <v>5700000</v>
      </c>
      <c r="X41" s="76">
        <f t="shared" si="3"/>
        <v>93.4426229508197</v>
      </c>
      <c r="Y41" s="74" t="s">
        <v>34</v>
      </c>
      <c r="Z41" s="73">
        <f t="shared" si="4"/>
        <v>200</v>
      </c>
      <c r="AA41" s="75">
        <f t="shared" si="5"/>
        <v>5700000</v>
      </c>
      <c r="AB41" s="98">
        <f t="shared" si="6"/>
        <v>200</v>
      </c>
      <c r="AC41" s="99" t="s">
        <v>34</v>
      </c>
      <c r="AD41" s="98" t="e">
        <f t="shared" si="7"/>
        <v>#DIV/0!</v>
      </c>
      <c r="AE41" s="105"/>
      <c r="AH41" s="112"/>
    </row>
    <row r="42" ht="155" spans="1:34">
      <c r="A42" s="40"/>
      <c r="B42" s="31"/>
      <c r="C42" s="41" t="s">
        <v>97</v>
      </c>
      <c r="D42" s="42" t="s">
        <v>98</v>
      </c>
      <c r="E42" s="43"/>
      <c r="F42" s="44" t="s">
        <v>44</v>
      </c>
      <c r="G42" s="45"/>
      <c r="H42" s="43"/>
      <c r="I42" s="45"/>
      <c r="J42" s="43">
        <v>12</v>
      </c>
      <c r="K42" s="45">
        <v>6100000</v>
      </c>
      <c r="L42" s="43">
        <v>14</v>
      </c>
      <c r="M42" s="45">
        <v>1950000</v>
      </c>
      <c r="N42" s="43">
        <v>0</v>
      </c>
      <c r="O42" s="45">
        <v>3750000</v>
      </c>
      <c r="P42" s="43">
        <v>0</v>
      </c>
      <c r="Q42" s="45">
        <v>0</v>
      </c>
      <c r="R42" s="43"/>
      <c r="S42" s="45">
        <v>400000</v>
      </c>
      <c r="T42" s="80">
        <v>12</v>
      </c>
      <c r="U42" s="80">
        <f t="shared" si="10"/>
        <v>100</v>
      </c>
      <c r="V42" s="81" t="s">
        <v>34</v>
      </c>
      <c r="W42" s="82">
        <f t="shared" si="2"/>
        <v>6100000</v>
      </c>
      <c r="X42" s="83">
        <f t="shared" si="3"/>
        <v>100</v>
      </c>
      <c r="Y42" s="81" t="s">
        <v>34</v>
      </c>
      <c r="Z42" s="80">
        <f t="shared" si="4"/>
        <v>12</v>
      </c>
      <c r="AA42" s="82">
        <f t="shared" si="5"/>
        <v>6100000</v>
      </c>
      <c r="AB42" s="103" t="e">
        <f t="shared" si="6"/>
        <v>#DIV/0!</v>
      </c>
      <c r="AC42" s="104" t="s">
        <v>34</v>
      </c>
      <c r="AD42" s="103" t="e">
        <f t="shared" si="7"/>
        <v>#DIV/0!</v>
      </c>
      <c r="AE42" s="105"/>
      <c r="AH42" s="112"/>
    </row>
    <row r="43" ht="146.25" customHeight="1" spans="1:34">
      <c r="A43" s="40"/>
      <c r="B43" s="31"/>
      <c r="C43" s="54" t="s">
        <v>99</v>
      </c>
      <c r="D43" s="55" t="s">
        <v>96</v>
      </c>
      <c r="E43" s="53">
        <v>100</v>
      </c>
      <c r="F43" s="34" t="s">
        <v>34</v>
      </c>
      <c r="G43" s="35">
        <f>SUM(G44)</f>
        <v>16600000</v>
      </c>
      <c r="H43" s="53">
        <v>100</v>
      </c>
      <c r="I43" s="35">
        <f>SUM(I44)</f>
        <v>14100000</v>
      </c>
      <c r="J43" s="53"/>
      <c r="K43" s="35"/>
      <c r="L43" s="53"/>
      <c r="M43" s="35"/>
      <c r="N43" s="53"/>
      <c r="O43" s="35"/>
      <c r="P43" s="53"/>
      <c r="Q43" s="35"/>
      <c r="R43" s="53"/>
      <c r="S43" s="35"/>
      <c r="T43" s="73"/>
      <c r="U43" s="73"/>
      <c r="V43" s="74"/>
      <c r="W43" s="75"/>
      <c r="X43" s="76"/>
      <c r="Y43" s="74"/>
      <c r="Z43" s="73">
        <f t="shared" si="4"/>
        <v>100</v>
      </c>
      <c r="AA43" s="75">
        <f t="shared" si="5"/>
        <v>14100000</v>
      </c>
      <c r="AB43" s="98">
        <f t="shared" si="6"/>
        <v>100</v>
      </c>
      <c r="AC43" s="99" t="s">
        <v>34</v>
      </c>
      <c r="AD43" s="98">
        <f t="shared" si="7"/>
        <v>84.9397590361446</v>
      </c>
      <c r="AE43" s="105"/>
      <c r="AH43" s="112"/>
    </row>
    <row r="44" ht="124" spans="1:34">
      <c r="A44" s="40"/>
      <c r="B44" s="31"/>
      <c r="C44" s="56" t="s">
        <v>100</v>
      </c>
      <c r="D44" s="57" t="s">
        <v>101</v>
      </c>
      <c r="E44" s="43">
        <v>14</v>
      </c>
      <c r="F44" s="44" t="s">
        <v>44</v>
      </c>
      <c r="G44" s="45">
        <v>16600000</v>
      </c>
      <c r="H44" s="43">
        <v>14</v>
      </c>
      <c r="I44" s="45">
        <v>14100000</v>
      </c>
      <c r="J44" s="43"/>
      <c r="K44" s="45"/>
      <c r="L44" s="43"/>
      <c r="M44" s="45"/>
      <c r="N44" s="43"/>
      <c r="O44" s="45"/>
      <c r="P44" s="43"/>
      <c r="Q44" s="45"/>
      <c r="R44" s="43"/>
      <c r="S44" s="45"/>
      <c r="T44" s="80"/>
      <c r="U44" s="80"/>
      <c r="V44" s="81"/>
      <c r="W44" s="82"/>
      <c r="X44" s="83"/>
      <c r="Y44" s="81"/>
      <c r="Z44" s="80">
        <f t="shared" si="4"/>
        <v>14</v>
      </c>
      <c r="AA44" s="82">
        <f t="shared" si="5"/>
        <v>14100000</v>
      </c>
      <c r="AB44" s="103">
        <f t="shared" si="6"/>
        <v>100</v>
      </c>
      <c r="AC44" s="104" t="s">
        <v>34</v>
      </c>
      <c r="AD44" s="103">
        <f t="shared" si="7"/>
        <v>84.9397590361446</v>
      </c>
      <c r="AE44" s="105"/>
      <c r="AH44" s="112"/>
    </row>
    <row r="45" ht="165.75" customHeight="1" spans="1:34">
      <c r="A45" s="40"/>
      <c r="B45" s="31"/>
      <c r="C45" s="37" t="s">
        <v>102</v>
      </c>
      <c r="D45" s="32" t="s">
        <v>103</v>
      </c>
      <c r="E45" s="53">
        <v>100</v>
      </c>
      <c r="F45" s="34" t="s">
        <v>34</v>
      </c>
      <c r="G45" s="35">
        <f t="shared" ref="G45:K45" si="27">G46</f>
        <v>393966000</v>
      </c>
      <c r="H45" s="53">
        <v>100</v>
      </c>
      <c r="I45" s="35">
        <f t="shared" si="27"/>
        <v>125722000</v>
      </c>
      <c r="J45" s="53">
        <v>100</v>
      </c>
      <c r="K45" s="35">
        <f t="shared" si="27"/>
        <v>106638000</v>
      </c>
      <c r="L45" s="53">
        <v>25</v>
      </c>
      <c r="M45" s="35">
        <f t="shared" ref="M45:Q45" si="28">M46</f>
        <v>46448000</v>
      </c>
      <c r="N45" s="53">
        <v>25</v>
      </c>
      <c r="O45" s="35">
        <f t="shared" si="28"/>
        <v>9170000</v>
      </c>
      <c r="P45" s="53">
        <v>25</v>
      </c>
      <c r="Q45" s="35">
        <f t="shared" si="28"/>
        <v>21701350</v>
      </c>
      <c r="R45" s="53">
        <v>25</v>
      </c>
      <c r="S45" s="35">
        <f>S46</f>
        <v>27818650</v>
      </c>
      <c r="T45" s="73">
        <f t="shared" ref="T45:T62" si="29">SUM(L45,N45,P45,R45)</f>
        <v>100</v>
      </c>
      <c r="U45" s="73">
        <f t="shared" ref="U45:U62" si="30">T45/J45*100</f>
        <v>100</v>
      </c>
      <c r="V45" s="74" t="s">
        <v>34</v>
      </c>
      <c r="W45" s="75">
        <f t="shared" ref="W45:W62" si="31">M45+O45+Q45+S45</f>
        <v>105138000</v>
      </c>
      <c r="X45" s="76">
        <f t="shared" ref="X45:X62" si="32">W45/K45*100</f>
        <v>98.5933719687166</v>
      </c>
      <c r="Y45" s="74" t="s">
        <v>34</v>
      </c>
      <c r="Z45" s="73">
        <f t="shared" si="4"/>
        <v>200</v>
      </c>
      <c r="AA45" s="75">
        <f t="shared" si="5"/>
        <v>230860000</v>
      </c>
      <c r="AB45" s="98">
        <f t="shared" si="6"/>
        <v>200</v>
      </c>
      <c r="AC45" s="99" t="s">
        <v>34</v>
      </c>
      <c r="AD45" s="98">
        <f t="shared" si="7"/>
        <v>58.5989653929527</v>
      </c>
      <c r="AE45" s="105"/>
      <c r="AH45" s="112"/>
    </row>
    <row r="46" ht="124" spans="1:34">
      <c r="A46" s="40"/>
      <c r="B46" s="31"/>
      <c r="C46" s="37" t="s">
        <v>104</v>
      </c>
      <c r="D46" s="32" t="s">
        <v>105</v>
      </c>
      <c r="E46" s="53">
        <v>100</v>
      </c>
      <c r="F46" s="34" t="s">
        <v>34</v>
      </c>
      <c r="G46" s="35">
        <f t="shared" ref="G46:K46" si="33">SUM(G47:G49)</f>
        <v>393966000</v>
      </c>
      <c r="H46" s="53">
        <v>100</v>
      </c>
      <c r="I46" s="35">
        <f t="shared" si="33"/>
        <v>125722000</v>
      </c>
      <c r="J46" s="53">
        <v>100</v>
      </c>
      <c r="K46" s="35">
        <f t="shared" si="33"/>
        <v>106638000</v>
      </c>
      <c r="L46" s="53">
        <v>25</v>
      </c>
      <c r="M46" s="35">
        <f t="shared" ref="M46:Q46" si="34">SUM(M47:M49)</f>
        <v>46448000</v>
      </c>
      <c r="N46" s="53">
        <v>25</v>
      </c>
      <c r="O46" s="35">
        <f t="shared" si="34"/>
        <v>9170000</v>
      </c>
      <c r="P46" s="53">
        <v>25</v>
      </c>
      <c r="Q46" s="35">
        <f t="shared" si="34"/>
        <v>21701350</v>
      </c>
      <c r="R46" s="53">
        <v>25</v>
      </c>
      <c r="S46" s="35">
        <f>SUM(S47:S49)</f>
        <v>27818650</v>
      </c>
      <c r="T46" s="73">
        <f t="shared" si="29"/>
        <v>100</v>
      </c>
      <c r="U46" s="73">
        <f t="shared" si="30"/>
        <v>100</v>
      </c>
      <c r="V46" s="74" t="s">
        <v>34</v>
      </c>
      <c r="W46" s="75">
        <f t="shared" si="31"/>
        <v>105138000</v>
      </c>
      <c r="X46" s="76">
        <f t="shared" si="32"/>
        <v>98.5933719687166</v>
      </c>
      <c r="Y46" s="74" t="s">
        <v>34</v>
      </c>
      <c r="Z46" s="73">
        <f t="shared" si="4"/>
        <v>200</v>
      </c>
      <c r="AA46" s="75">
        <f t="shared" si="5"/>
        <v>230860000</v>
      </c>
      <c r="AB46" s="98">
        <f t="shared" si="6"/>
        <v>200</v>
      </c>
      <c r="AC46" s="99" t="s">
        <v>34</v>
      </c>
      <c r="AD46" s="98">
        <f t="shared" si="7"/>
        <v>58.5989653929527</v>
      </c>
      <c r="AE46" s="105"/>
      <c r="AH46" s="112"/>
    </row>
    <row r="47" ht="155" spans="1:34">
      <c r="A47" s="40"/>
      <c r="B47" s="31"/>
      <c r="C47" s="41" t="s">
        <v>106</v>
      </c>
      <c r="D47" s="42" t="s">
        <v>107</v>
      </c>
      <c r="E47" s="43">
        <v>3</v>
      </c>
      <c r="F47" s="58" t="s">
        <v>108</v>
      </c>
      <c r="G47" s="49">
        <f>26972000*3</f>
        <v>80916000</v>
      </c>
      <c r="H47" s="43">
        <v>1</v>
      </c>
      <c r="I47" s="45">
        <v>26872000</v>
      </c>
      <c r="J47" s="43">
        <v>1</v>
      </c>
      <c r="K47" s="45">
        <v>38618000</v>
      </c>
      <c r="L47" s="43">
        <v>0</v>
      </c>
      <c r="M47" s="45">
        <v>22618000</v>
      </c>
      <c r="N47" s="43">
        <v>0</v>
      </c>
      <c r="O47" s="45">
        <v>0</v>
      </c>
      <c r="P47" s="43">
        <v>0</v>
      </c>
      <c r="Q47" s="45">
        <v>12199750</v>
      </c>
      <c r="R47" s="43"/>
      <c r="S47" s="45">
        <v>3800250</v>
      </c>
      <c r="T47" s="80">
        <v>1</v>
      </c>
      <c r="U47" s="80">
        <f t="shared" si="30"/>
        <v>100</v>
      </c>
      <c r="V47" s="81" t="s">
        <v>34</v>
      </c>
      <c r="W47" s="82">
        <f t="shared" si="31"/>
        <v>38618000</v>
      </c>
      <c r="X47" s="83">
        <f t="shared" si="32"/>
        <v>100</v>
      </c>
      <c r="Y47" s="81" t="s">
        <v>34</v>
      </c>
      <c r="Z47" s="80">
        <f t="shared" si="4"/>
        <v>2</v>
      </c>
      <c r="AA47" s="82">
        <f t="shared" si="5"/>
        <v>65490000</v>
      </c>
      <c r="AB47" s="103">
        <f t="shared" si="6"/>
        <v>66.6666666666667</v>
      </c>
      <c r="AC47" s="104" t="s">
        <v>34</v>
      </c>
      <c r="AD47" s="103">
        <f t="shared" si="7"/>
        <v>80.9357852587869</v>
      </c>
      <c r="AE47" s="105"/>
      <c r="AH47" s="112"/>
    </row>
    <row r="48" ht="216.75" customHeight="1" spans="1:34">
      <c r="A48" s="40"/>
      <c r="B48" s="31"/>
      <c r="C48" s="41" t="s">
        <v>109</v>
      </c>
      <c r="D48" s="42" t="s">
        <v>110</v>
      </c>
      <c r="E48" s="43">
        <v>3</v>
      </c>
      <c r="F48" s="44" t="s">
        <v>39</v>
      </c>
      <c r="G48" s="49">
        <f>95750000*3</f>
        <v>287250000</v>
      </c>
      <c r="H48" s="43">
        <v>1</v>
      </c>
      <c r="I48" s="45">
        <v>90250000</v>
      </c>
      <c r="J48" s="43">
        <v>12</v>
      </c>
      <c r="K48" s="45">
        <v>50650000</v>
      </c>
      <c r="L48" s="43">
        <v>1</v>
      </c>
      <c r="M48" s="45">
        <v>21830000</v>
      </c>
      <c r="N48" s="43">
        <v>0</v>
      </c>
      <c r="O48" s="45">
        <v>6800000</v>
      </c>
      <c r="P48" s="43">
        <v>0</v>
      </c>
      <c r="Q48" s="45">
        <v>9001600</v>
      </c>
      <c r="R48" s="43"/>
      <c r="S48" s="45">
        <v>13018400</v>
      </c>
      <c r="T48" s="80">
        <v>12</v>
      </c>
      <c r="U48" s="80">
        <f t="shared" si="30"/>
        <v>100</v>
      </c>
      <c r="V48" s="81" t="s">
        <v>34</v>
      </c>
      <c r="W48" s="82">
        <f t="shared" si="31"/>
        <v>50650000</v>
      </c>
      <c r="X48" s="83">
        <f t="shared" si="32"/>
        <v>100</v>
      </c>
      <c r="Y48" s="81" t="s">
        <v>34</v>
      </c>
      <c r="Z48" s="80">
        <f t="shared" si="4"/>
        <v>13</v>
      </c>
      <c r="AA48" s="82">
        <f t="shared" si="5"/>
        <v>140900000</v>
      </c>
      <c r="AB48" s="103">
        <f t="shared" si="6"/>
        <v>433.333333333333</v>
      </c>
      <c r="AC48" s="104" t="s">
        <v>34</v>
      </c>
      <c r="AD48" s="103">
        <f t="shared" si="7"/>
        <v>49.0513489991297</v>
      </c>
      <c r="AE48" s="105"/>
      <c r="AH48" s="112"/>
    </row>
    <row r="49" ht="139.5" spans="1:34">
      <c r="A49" s="40"/>
      <c r="B49" s="31"/>
      <c r="C49" s="41" t="s">
        <v>111</v>
      </c>
      <c r="D49" s="42" t="s">
        <v>112</v>
      </c>
      <c r="E49" s="59">
        <v>6</v>
      </c>
      <c r="F49" s="44" t="s">
        <v>44</v>
      </c>
      <c r="G49" s="49">
        <f>8600000*3</f>
        <v>25800000</v>
      </c>
      <c r="H49" s="59">
        <v>2</v>
      </c>
      <c r="I49" s="45">
        <v>8600000</v>
      </c>
      <c r="J49" s="59">
        <v>2</v>
      </c>
      <c r="K49" s="45">
        <v>17370000</v>
      </c>
      <c r="L49" s="59">
        <v>2</v>
      </c>
      <c r="M49" s="45">
        <v>2000000</v>
      </c>
      <c r="N49" s="59">
        <v>0</v>
      </c>
      <c r="O49" s="45">
        <v>2370000</v>
      </c>
      <c r="P49" s="59">
        <v>0</v>
      </c>
      <c r="Q49" s="45">
        <v>500000</v>
      </c>
      <c r="R49" s="59"/>
      <c r="S49" s="45">
        <v>11000000</v>
      </c>
      <c r="T49" s="80">
        <v>2</v>
      </c>
      <c r="U49" s="80">
        <f t="shared" si="30"/>
        <v>100</v>
      </c>
      <c r="V49" s="81" t="s">
        <v>34</v>
      </c>
      <c r="W49" s="82">
        <f t="shared" si="31"/>
        <v>15870000</v>
      </c>
      <c r="X49" s="83">
        <f t="shared" si="32"/>
        <v>91.3644214162349</v>
      </c>
      <c r="Y49" s="81" t="s">
        <v>34</v>
      </c>
      <c r="Z49" s="80">
        <f t="shared" si="4"/>
        <v>4</v>
      </c>
      <c r="AA49" s="82">
        <f t="shared" si="5"/>
        <v>24470000</v>
      </c>
      <c r="AB49" s="103">
        <f t="shared" si="6"/>
        <v>66.6666666666667</v>
      </c>
      <c r="AC49" s="104" t="s">
        <v>34</v>
      </c>
      <c r="AD49" s="103">
        <f t="shared" si="7"/>
        <v>94.8449612403101</v>
      </c>
      <c r="AE49" s="105"/>
      <c r="AH49" s="112"/>
    </row>
    <row r="50" ht="139.5" spans="1:34">
      <c r="A50" s="40"/>
      <c r="B50" s="31"/>
      <c r="C50" s="37" t="s">
        <v>113</v>
      </c>
      <c r="D50" s="32" t="s">
        <v>114</v>
      </c>
      <c r="E50" s="53">
        <v>100</v>
      </c>
      <c r="F50" s="34" t="s">
        <v>34</v>
      </c>
      <c r="G50" s="35">
        <f t="shared" ref="G50:K50" si="35">G51</f>
        <v>137250000</v>
      </c>
      <c r="H50" s="53">
        <v>100</v>
      </c>
      <c r="I50" s="35">
        <f t="shared" si="35"/>
        <v>39250000</v>
      </c>
      <c r="J50" s="53">
        <v>100</v>
      </c>
      <c r="K50" s="35">
        <f t="shared" si="35"/>
        <v>25500000</v>
      </c>
      <c r="L50" s="53">
        <v>25</v>
      </c>
      <c r="M50" s="35">
        <f t="shared" ref="M50:Q50" si="36">M51</f>
        <v>0</v>
      </c>
      <c r="N50" s="53">
        <v>25</v>
      </c>
      <c r="O50" s="35">
        <f t="shared" si="36"/>
        <v>0</v>
      </c>
      <c r="P50" s="53">
        <v>25</v>
      </c>
      <c r="Q50" s="35">
        <f t="shared" si="36"/>
        <v>0</v>
      </c>
      <c r="R50" s="53">
        <v>25</v>
      </c>
      <c r="S50" s="35"/>
      <c r="T50" s="73">
        <f t="shared" si="29"/>
        <v>100</v>
      </c>
      <c r="U50" s="73">
        <f t="shared" si="30"/>
        <v>100</v>
      </c>
      <c r="V50" s="74" t="s">
        <v>34</v>
      </c>
      <c r="W50" s="75">
        <f t="shared" si="31"/>
        <v>0</v>
      </c>
      <c r="X50" s="76">
        <v>100</v>
      </c>
      <c r="Y50" s="74" t="s">
        <v>34</v>
      </c>
      <c r="Z50" s="73">
        <f t="shared" si="4"/>
        <v>200</v>
      </c>
      <c r="AA50" s="75">
        <f t="shared" si="5"/>
        <v>39250000</v>
      </c>
      <c r="AB50" s="98">
        <f t="shared" si="6"/>
        <v>200</v>
      </c>
      <c r="AC50" s="99" t="s">
        <v>34</v>
      </c>
      <c r="AD50" s="98">
        <f t="shared" si="7"/>
        <v>28.5974499089253</v>
      </c>
      <c r="AE50" s="105"/>
      <c r="AH50" s="112"/>
    </row>
    <row r="51" ht="194.25" customHeight="1" spans="1:34">
      <c r="A51" s="40"/>
      <c r="B51" s="31"/>
      <c r="C51" s="37" t="s">
        <v>115</v>
      </c>
      <c r="D51" s="32" t="s">
        <v>116</v>
      </c>
      <c r="E51" s="53">
        <v>100</v>
      </c>
      <c r="F51" s="34" t="s">
        <v>34</v>
      </c>
      <c r="G51" s="35">
        <f t="shared" ref="G51:K51" si="37">SUM(G52)</f>
        <v>137250000</v>
      </c>
      <c r="H51" s="53">
        <v>100</v>
      </c>
      <c r="I51" s="35">
        <f t="shared" si="37"/>
        <v>39250000</v>
      </c>
      <c r="J51" s="53">
        <v>100</v>
      </c>
      <c r="K51" s="35">
        <f t="shared" si="37"/>
        <v>25500000</v>
      </c>
      <c r="L51" s="53">
        <v>25</v>
      </c>
      <c r="M51" s="35">
        <f t="shared" ref="M51:Q51" si="38">SUM(M52)</f>
        <v>0</v>
      </c>
      <c r="N51" s="53">
        <v>25</v>
      </c>
      <c r="O51" s="35">
        <f t="shared" si="38"/>
        <v>0</v>
      </c>
      <c r="P51" s="53">
        <v>25</v>
      </c>
      <c r="Q51" s="35">
        <f t="shared" si="38"/>
        <v>0</v>
      </c>
      <c r="R51" s="53">
        <v>25</v>
      </c>
      <c r="S51" s="35"/>
      <c r="T51" s="73">
        <f t="shared" si="29"/>
        <v>100</v>
      </c>
      <c r="U51" s="73">
        <f t="shared" si="30"/>
        <v>100</v>
      </c>
      <c r="V51" s="74" t="s">
        <v>34</v>
      </c>
      <c r="W51" s="75">
        <f t="shared" si="31"/>
        <v>0</v>
      </c>
      <c r="X51" s="76">
        <v>100</v>
      </c>
      <c r="Y51" s="74" t="s">
        <v>34</v>
      </c>
      <c r="Z51" s="73">
        <f t="shared" si="4"/>
        <v>200</v>
      </c>
      <c r="AA51" s="75">
        <f t="shared" si="5"/>
        <v>39250000</v>
      </c>
      <c r="AB51" s="98">
        <f t="shared" si="6"/>
        <v>200</v>
      </c>
      <c r="AC51" s="99" t="s">
        <v>34</v>
      </c>
      <c r="AD51" s="98">
        <f t="shared" si="7"/>
        <v>28.5974499089253</v>
      </c>
      <c r="AE51" s="105"/>
      <c r="AH51" s="112"/>
    </row>
    <row r="52" ht="232.5" spans="1:34">
      <c r="A52" s="40"/>
      <c r="B52" s="31"/>
      <c r="C52" s="41" t="s">
        <v>117</v>
      </c>
      <c r="D52" s="42" t="s">
        <v>118</v>
      </c>
      <c r="E52" s="59">
        <v>9</v>
      </c>
      <c r="F52" s="44" t="s">
        <v>44</v>
      </c>
      <c r="G52" s="45">
        <f>45750000*3</f>
        <v>137250000</v>
      </c>
      <c r="H52" s="59">
        <v>3</v>
      </c>
      <c r="I52" s="45">
        <v>39250000</v>
      </c>
      <c r="J52" s="59">
        <v>3</v>
      </c>
      <c r="K52" s="45">
        <v>25500000</v>
      </c>
      <c r="L52" s="59">
        <v>0</v>
      </c>
      <c r="M52" s="45">
        <v>0</v>
      </c>
      <c r="N52" s="59">
        <v>3</v>
      </c>
      <c r="O52" s="45">
        <v>0</v>
      </c>
      <c r="P52" s="59">
        <v>0</v>
      </c>
      <c r="Q52" s="45">
        <v>0</v>
      </c>
      <c r="R52" s="59"/>
      <c r="S52" s="45">
        <v>25500000</v>
      </c>
      <c r="T52" s="80">
        <v>3</v>
      </c>
      <c r="U52" s="80">
        <f t="shared" si="30"/>
        <v>100</v>
      </c>
      <c r="V52" s="81" t="s">
        <v>34</v>
      </c>
      <c r="W52" s="82">
        <f t="shared" si="31"/>
        <v>25500000</v>
      </c>
      <c r="X52" s="83">
        <f t="shared" si="32"/>
        <v>100</v>
      </c>
      <c r="Y52" s="81" t="s">
        <v>34</v>
      </c>
      <c r="Z52" s="80">
        <f t="shared" si="4"/>
        <v>6</v>
      </c>
      <c r="AA52" s="82">
        <f t="shared" si="5"/>
        <v>64750000</v>
      </c>
      <c r="AB52" s="103">
        <f t="shared" si="6"/>
        <v>66.6666666666667</v>
      </c>
      <c r="AC52" s="104" t="s">
        <v>34</v>
      </c>
      <c r="AD52" s="103">
        <f t="shared" si="7"/>
        <v>47.1766848816029</v>
      </c>
      <c r="AE52" s="105"/>
      <c r="AH52" s="112"/>
    </row>
    <row r="53" ht="165" customHeight="1" spans="1:34">
      <c r="A53" s="40"/>
      <c r="B53" s="31"/>
      <c r="C53" s="37" t="s">
        <v>119</v>
      </c>
      <c r="D53" s="32" t="s">
        <v>120</v>
      </c>
      <c r="E53" s="53">
        <v>100</v>
      </c>
      <c r="F53" s="34" t="s">
        <v>34</v>
      </c>
      <c r="G53" s="35">
        <f t="shared" ref="G53:K53" si="39">G54</f>
        <v>128100000</v>
      </c>
      <c r="H53" s="53">
        <v>100</v>
      </c>
      <c r="I53" s="35">
        <f t="shared" si="39"/>
        <v>28000000</v>
      </c>
      <c r="J53" s="53">
        <v>100</v>
      </c>
      <c r="K53" s="35">
        <f t="shared" si="39"/>
        <v>47300000</v>
      </c>
      <c r="L53" s="53">
        <v>25</v>
      </c>
      <c r="M53" s="35">
        <f t="shared" ref="M53:Q53" si="40">M54</f>
        <v>8500000</v>
      </c>
      <c r="N53" s="53">
        <v>25</v>
      </c>
      <c r="O53" s="35">
        <f t="shared" si="40"/>
        <v>1500000</v>
      </c>
      <c r="P53" s="53">
        <v>25</v>
      </c>
      <c r="Q53" s="35">
        <f t="shared" si="40"/>
        <v>23950000</v>
      </c>
      <c r="R53" s="53">
        <v>25</v>
      </c>
      <c r="S53" s="35"/>
      <c r="T53" s="73">
        <f t="shared" si="29"/>
        <v>100</v>
      </c>
      <c r="U53" s="73">
        <f t="shared" si="30"/>
        <v>100</v>
      </c>
      <c r="V53" s="74" t="s">
        <v>34</v>
      </c>
      <c r="W53" s="75">
        <f t="shared" si="31"/>
        <v>33950000</v>
      </c>
      <c r="X53" s="76">
        <f t="shared" si="32"/>
        <v>71.7758985200846</v>
      </c>
      <c r="Y53" s="74" t="s">
        <v>34</v>
      </c>
      <c r="Z53" s="73">
        <f t="shared" si="4"/>
        <v>200</v>
      </c>
      <c r="AA53" s="75">
        <f t="shared" si="5"/>
        <v>61950000</v>
      </c>
      <c r="AB53" s="98">
        <f t="shared" si="6"/>
        <v>200</v>
      </c>
      <c r="AC53" s="99" t="s">
        <v>34</v>
      </c>
      <c r="AD53" s="98">
        <f t="shared" si="7"/>
        <v>48.3606557377049</v>
      </c>
      <c r="AE53" s="105"/>
      <c r="AH53" s="112"/>
    </row>
    <row r="54" ht="170.5" spans="1:34">
      <c r="A54" s="40"/>
      <c r="B54" s="31"/>
      <c r="C54" s="37" t="s">
        <v>121</v>
      </c>
      <c r="D54" s="32" t="s">
        <v>122</v>
      </c>
      <c r="E54" s="53">
        <v>100</v>
      </c>
      <c r="F54" s="34" t="s">
        <v>34</v>
      </c>
      <c r="G54" s="35">
        <f t="shared" ref="G54:K54" si="41">SUM(G55:G56)</f>
        <v>128100000</v>
      </c>
      <c r="H54" s="53">
        <v>100</v>
      </c>
      <c r="I54" s="35">
        <f t="shared" si="41"/>
        <v>28000000</v>
      </c>
      <c r="J54" s="53">
        <v>100</v>
      </c>
      <c r="K54" s="35">
        <f t="shared" si="41"/>
        <v>47300000</v>
      </c>
      <c r="L54" s="53">
        <v>25</v>
      </c>
      <c r="M54" s="35">
        <f t="shared" ref="M54:Q54" si="42">SUM(M55:M56)</f>
        <v>8500000</v>
      </c>
      <c r="N54" s="53">
        <v>25</v>
      </c>
      <c r="O54" s="35">
        <f t="shared" si="42"/>
        <v>1500000</v>
      </c>
      <c r="P54" s="53">
        <v>25</v>
      </c>
      <c r="Q54" s="35">
        <f t="shared" si="42"/>
        <v>23950000</v>
      </c>
      <c r="R54" s="53">
        <v>25</v>
      </c>
      <c r="S54" s="35">
        <f>S55+S56</f>
        <v>13350000</v>
      </c>
      <c r="T54" s="73">
        <f t="shared" si="29"/>
        <v>100</v>
      </c>
      <c r="U54" s="73">
        <f t="shared" si="30"/>
        <v>100</v>
      </c>
      <c r="V54" s="74" t="s">
        <v>34</v>
      </c>
      <c r="W54" s="75">
        <f t="shared" si="31"/>
        <v>47300000</v>
      </c>
      <c r="X54" s="76">
        <f t="shared" si="32"/>
        <v>100</v>
      </c>
      <c r="Y54" s="74" t="s">
        <v>34</v>
      </c>
      <c r="Z54" s="73">
        <f t="shared" si="4"/>
        <v>200</v>
      </c>
      <c r="AA54" s="75">
        <f t="shared" si="5"/>
        <v>75300000</v>
      </c>
      <c r="AB54" s="98">
        <f t="shared" si="6"/>
        <v>200</v>
      </c>
      <c r="AC54" s="99" t="s">
        <v>34</v>
      </c>
      <c r="AD54" s="98">
        <f t="shared" si="7"/>
        <v>58.7822014051522</v>
      </c>
      <c r="AE54" s="105"/>
      <c r="AH54" s="112"/>
    </row>
    <row r="55" ht="108.5" spans="1:34">
      <c r="A55" s="40"/>
      <c r="B55" s="31"/>
      <c r="C55" s="42" t="s">
        <v>123</v>
      </c>
      <c r="D55" s="60" t="s">
        <v>124</v>
      </c>
      <c r="E55" s="59">
        <v>6</v>
      </c>
      <c r="F55" s="44" t="s">
        <v>49</v>
      </c>
      <c r="G55" s="49">
        <f>38700000*3</f>
        <v>116100000</v>
      </c>
      <c r="H55" s="59">
        <v>2</v>
      </c>
      <c r="I55" s="45">
        <v>24000000</v>
      </c>
      <c r="J55" s="59">
        <v>2</v>
      </c>
      <c r="K55" s="45">
        <v>37300000</v>
      </c>
      <c r="L55" s="59">
        <v>3</v>
      </c>
      <c r="M55" s="45">
        <v>6000000</v>
      </c>
      <c r="N55" s="59">
        <v>0</v>
      </c>
      <c r="O55" s="45">
        <v>0</v>
      </c>
      <c r="P55" s="59">
        <v>0</v>
      </c>
      <c r="Q55" s="45">
        <v>23450000</v>
      </c>
      <c r="R55" s="59"/>
      <c r="S55" s="45">
        <v>7850000</v>
      </c>
      <c r="T55" s="80">
        <v>2</v>
      </c>
      <c r="U55" s="80">
        <f t="shared" si="30"/>
        <v>100</v>
      </c>
      <c r="V55" s="81" t="s">
        <v>34</v>
      </c>
      <c r="W55" s="82">
        <f t="shared" si="31"/>
        <v>37300000</v>
      </c>
      <c r="X55" s="83">
        <f t="shared" si="32"/>
        <v>100</v>
      </c>
      <c r="Y55" s="81" t="s">
        <v>34</v>
      </c>
      <c r="Z55" s="80">
        <f t="shared" si="4"/>
        <v>4</v>
      </c>
      <c r="AA55" s="82">
        <f t="shared" si="5"/>
        <v>61300000</v>
      </c>
      <c r="AB55" s="103">
        <f t="shared" si="6"/>
        <v>66.6666666666667</v>
      </c>
      <c r="AC55" s="104" t="s">
        <v>34</v>
      </c>
      <c r="AD55" s="103">
        <f t="shared" si="7"/>
        <v>52.7993109388458</v>
      </c>
      <c r="AE55" s="105"/>
      <c r="AH55" s="112"/>
    </row>
    <row r="56" ht="93" spans="1:34">
      <c r="A56" s="40"/>
      <c r="B56" s="31"/>
      <c r="C56" s="41" t="s">
        <v>125</v>
      </c>
      <c r="D56" s="42" t="s">
        <v>126</v>
      </c>
      <c r="E56" s="59">
        <v>12</v>
      </c>
      <c r="F56" s="44" t="s">
        <v>39</v>
      </c>
      <c r="G56" s="49">
        <f>4000000*3</f>
        <v>12000000</v>
      </c>
      <c r="H56" s="59">
        <v>4</v>
      </c>
      <c r="I56" s="45">
        <v>4000000</v>
      </c>
      <c r="J56" s="59">
        <v>4</v>
      </c>
      <c r="K56" s="45">
        <v>10000000</v>
      </c>
      <c r="L56" s="59">
        <v>1</v>
      </c>
      <c r="M56" s="45">
        <v>2500000</v>
      </c>
      <c r="N56" s="59">
        <v>1</v>
      </c>
      <c r="O56" s="45">
        <v>1500000</v>
      </c>
      <c r="P56" s="59">
        <v>0</v>
      </c>
      <c r="Q56" s="45">
        <v>500000</v>
      </c>
      <c r="R56" s="59"/>
      <c r="S56" s="45">
        <v>5500000</v>
      </c>
      <c r="T56" s="80">
        <v>4</v>
      </c>
      <c r="U56" s="80">
        <f t="shared" si="30"/>
        <v>100</v>
      </c>
      <c r="V56" s="81" t="s">
        <v>34</v>
      </c>
      <c r="W56" s="82">
        <f t="shared" si="31"/>
        <v>10000000</v>
      </c>
      <c r="X56" s="83">
        <f t="shared" si="32"/>
        <v>100</v>
      </c>
      <c r="Y56" s="81" t="s">
        <v>34</v>
      </c>
      <c r="Z56" s="80">
        <f t="shared" si="4"/>
        <v>8</v>
      </c>
      <c r="AA56" s="82">
        <f t="shared" si="5"/>
        <v>14000000</v>
      </c>
      <c r="AB56" s="103">
        <f t="shared" si="6"/>
        <v>66.6666666666667</v>
      </c>
      <c r="AC56" s="104" t="s">
        <v>34</v>
      </c>
      <c r="AD56" s="103">
        <f t="shared" si="7"/>
        <v>116.666666666667</v>
      </c>
      <c r="AE56" s="105"/>
      <c r="AH56" s="112"/>
    </row>
    <row r="57" ht="147" customHeight="1" spans="1:34">
      <c r="A57" s="40"/>
      <c r="B57" s="31"/>
      <c r="C57" s="37" t="s">
        <v>127</v>
      </c>
      <c r="D57" s="32" t="s">
        <v>128</v>
      </c>
      <c r="E57" s="53">
        <v>100</v>
      </c>
      <c r="F57" s="34" t="s">
        <v>34</v>
      </c>
      <c r="G57" s="35">
        <f t="shared" ref="G57:K57" si="43">G58</f>
        <v>157149000</v>
      </c>
      <c r="H57" s="53">
        <v>100</v>
      </c>
      <c r="I57" s="35">
        <f t="shared" si="43"/>
        <v>52383000</v>
      </c>
      <c r="J57" s="53">
        <v>100</v>
      </c>
      <c r="K57" s="35">
        <f t="shared" si="43"/>
        <v>47825000</v>
      </c>
      <c r="L57" s="53">
        <v>25</v>
      </c>
      <c r="M57" s="35">
        <f t="shared" ref="M57:Q57" si="44">M58</f>
        <v>7737500</v>
      </c>
      <c r="N57" s="53">
        <v>25</v>
      </c>
      <c r="O57" s="35">
        <f t="shared" si="44"/>
        <v>17175000</v>
      </c>
      <c r="P57" s="53">
        <v>25</v>
      </c>
      <c r="Q57" s="35">
        <f t="shared" si="44"/>
        <v>5600000</v>
      </c>
      <c r="R57" s="53">
        <v>25</v>
      </c>
      <c r="S57" s="35"/>
      <c r="T57" s="73">
        <f t="shared" si="29"/>
        <v>100</v>
      </c>
      <c r="U57" s="73">
        <f t="shared" si="30"/>
        <v>100</v>
      </c>
      <c r="V57" s="74" t="s">
        <v>34</v>
      </c>
      <c r="W57" s="75">
        <f t="shared" si="31"/>
        <v>30512500</v>
      </c>
      <c r="X57" s="76">
        <f t="shared" si="32"/>
        <v>63.8003136434919</v>
      </c>
      <c r="Y57" s="74" t="s">
        <v>34</v>
      </c>
      <c r="Z57" s="73">
        <f t="shared" si="4"/>
        <v>200</v>
      </c>
      <c r="AA57" s="75">
        <f t="shared" si="5"/>
        <v>82895500</v>
      </c>
      <c r="AB57" s="98">
        <f t="shared" si="6"/>
        <v>200</v>
      </c>
      <c r="AC57" s="99" t="s">
        <v>34</v>
      </c>
      <c r="AD57" s="98">
        <f t="shared" si="7"/>
        <v>52.7496197875901</v>
      </c>
      <c r="AE57" s="105"/>
      <c r="AH57" s="112"/>
    </row>
    <row r="58" ht="177.75" customHeight="1" spans="1:34">
      <c r="A58" s="40"/>
      <c r="B58" s="31"/>
      <c r="C58" s="37" t="s">
        <v>129</v>
      </c>
      <c r="D58" s="32" t="s">
        <v>130</v>
      </c>
      <c r="E58" s="53">
        <v>100</v>
      </c>
      <c r="F58" s="34" t="s">
        <v>34</v>
      </c>
      <c r="G58" s="35">
        <f t="shared" ref="G58:K58" si="45">SUM(G59:G62)</f>
        <v>157149000</v>
      </c>
      <c r="H58" s="53">
        <v>100</v>
      </c>
      <c r="I58" s="35">
        <f t="shared" si="45"/>
        <v>52383000</v>
      </c>
      <c r="J58" s="53">
        <v>100</v>
      </c>
      <c r="K58" s="35">
        <f t="shared" si="45"/>
        <v>47825000</v>
      </c>
      <c r="L58" s="53">
        <v>25</v>
      </c>
      <c r="M58" s="35">
        <f t="shared" ref="M58:Q58" si="46">SUM(M59:M62)</f>
        <v>7737500</v>
      </c>
      <c r="N58" s="53">
        <v>25</v>
      </c>
      <c r="O58" s="35">
        <f t="shared" si="46"/>
        <v>17175000</v>
      </c>
      <c r="P58" s="53">
        <v>25</v>
      </c>
      <c r="Q58" s="35">
        <f t="shared" si="46"/>
        <v>5600000</v>
      </c>
      <c r="R58" s="53">
        <v>25</v>
      </c>
      <c r="S58" s="35"/>
      <c r="T58" s="73">
        <f t="shared" si="29"/>
        <v>100</v>
      </c>
      <c r="U58" s="73">
        <f t="shared" si="30"/>
        <v>100</v>
      </c>
      <c r="V58" s="74" t="s">
        <v>34</v>
      </c>
      <c r="W58" s="75">
        <f t="shared" si="31"/>
        <v>30512500</v>
      </c>
      <c r="X58" s="76">
        <f t="shared" si="32"/>
        <v>63.8003136434919</v>
      </c>
      <c r="Y58" s="74" t="s">
        <v>34</v>
      </c>
      <c r="Z58" s="73">
        <f t="shared" si="4"/>
        <v>200</v>
      </c>
      <c r="AA58" s="75">
        <f t="shared" si="5"/>
        <v>82895500</v>
      </c>
      <c r="AB58" s="98">
        <f t="shared" si="6"/>
        <v>200</v>
      </c>
      <c r="AC58" s="99" t="s">
        <v>34</v>
      </c>
      <c r="AD58" s="98">
        <f t="shared" si="7"/>
        <v>52.7496197875901</v>
      </c>
      <c r="AE58" s="105"/>
      <c r="AH58" s="112"/>
    </row>
    <row r="59" ht="155" spans="1:34">
      <c r="A59" s="40"/>
      <c r="B59" s="31"/>
      <c r="C59" s="41" t="s">
        <v>131</v>
      </c>
      <c r="D59" s="42" t="s">
        <v>132</v>
      </c>
      <c r="E59" s="43">
        <v>6</v>
      </c>
      <c r="F59" s="44" t="s">
        <v>39</v>
      </c>
      <c r="G59" s="49">
        <f>8383000*3</f>
        <v>25149000</v>
      </c>
      <c r="H59" s="43">
        <v>2</v>
      </c>
      <c r="I59" s="45">
        <v>8383000</v>
      </c>
      <c r="J59" s="43">
        <v>2</v>
      </c>
      <c r="K59" s="45">
        <v>7950000</v>
      </c>
      <c r="L59" s="43">
        <v>1</v>
      </c>
      <c r="M59" s="45">
        <v>1087500</v>
      </c>
      <c r="N59" s="43">
        <v>1</v>
      </c>
      <c r="O59" s="45">
        <v>3125000</v>
      </c>
      <c r="P59" s="43">
        <v>0</v>
      </c>
      <c r="Q59" s="45">
        <v>1400000</v>
      </c>
      <c r="R59" s="43"/>
      <c r="S59" s="45">
        <v>2337500</v>
      </c>
      <c r="T59" s="80">
        <f t="shared" si="29"/>
        <v>2</v>
      </c>
      <c r="U59" s="80">
        <f t="shared" si="30"/>
        <v>100</v>
      </c>
      <c r="V59" s="81" t="s">
        <v>34</v>
      </c>
      <c r="W59" s="82">
        <f t="shared" si="31"/>
        <v>7950000</v>
      </c>
      <c r="X59" s="83">
        <f t="shared" si="32"/>
        <v>100</v>
      </c>
      <c r="Y59" s="81" t="s">
        <v>34</v>
      </c>
      <c r="Z59" s="80">
        <f t="shared" si="4"/>
        <v>4</v>
      </c>
      <c r="AA59" s="82">
        <f t="shared" si="5"/>
        <v>16333000</v>
      </c>
      <c r="AB59" s="103">
        <f t="shared" si="6"/>
        <v>66.6666666666667</v>
      </c>
      <c r="AC59" s="104" t="s">
        <v>34</v>
      </c>
      <c r="AD59" s="103">
        <f t="shared" si="7"/>
        <v>64.9449282277625</v>
      </c>
      <c r="AE59" s="105"/>
      <c r="AH59" s="112"/>
    </row>
    <row r="60" ht="139.5" spans="1:34">
      <c r="A60" s="40"/>
      <c r="B60" s="31"/>
      <c r="C60" s="41" t="s">
        <v>133</v>
      </c>
      <c r="D60" s="42" t="s">
        <v>134</v>
      </c>
      <c r="E60" s="43">
        <v>9</v>
      </c>
      <c r="F60" s="44" t="s">
        <v>39</v>
      </c>
      <c r="G60" s="49">
        <f>31250000*3</f>
        <v>93750000</v>
      </c>
      <c r="H60" s="43">
        <v>3</v>
      </c>
      <c r="I60" s="45">
        <v>31250000</v>
      </c>
      <c r="J60" s="43">
        <v>3</v>
      </c>
      <c r="K60" s="45">
        <v>23375000</v>
      </c>
      <c r="L60" s="43">
        <v>2</v>
      </c>
      <c r="M60" s="45">
        <v>4350000</v>
      </c>
      <c r="N60" s="43">
        <v>1</v>
      </c>
      <c r="O60" s="45">
        <f>5050000+6000000</f>
        <v>11050000</v>
      </c>
      <c r="P60" s="43">
        <v>0</v>
      </c>
      <c r="Q60" s="45">
        <v>0</v>
      </c>
      <c r="R60" s="43"/>
      <c r="S60" s="45">
        <v>7975000</v>
      </c>
      <c r="T60" s="80">
        <f t="shared" si="29"/>
        <v>3</v>
      </c>
      <c r="U60" s="80">
        <f t="shared" si="30"/>
        <v>100</v>
      </c>
      <c r="V60" s="81" t="s">
        <v>34</v>
      </c>
      <c r="W60" s="82">
        <f t="shared" si="31"/>
        <v>23375000</v>
      </c>
      <c r="X60" s="83">
        <f t="shared" si="32"/>
        <v>100</v>
      </c>
      <c r="Y60" s="81" t="s">
        <v>34</v>
      </c>
      <c r="Z60" s="80">
        <f t="shared" si="4"/>
        <v>6</v>
      </c>
      <c r="AA60" s="82">
        <f t="shared" si="5"/>
        <v>54625000</v>
      </c>
      <c r="AB60" s="103">
        <f t="shared" si="6"/>
        <v>66.6666666666667</v>
      </c>
      <c r="AC60" s="104" t="s">
        <v>34</v>
      </c>
      <c r="AD60" s="103">
        <f t="shared" si="7"/>
        <v>58.2666666666667</v>
      </c>
      <c r="AE60" s="105"/>
      <c r="AH60" s="112"/>
    </row>
    <row r="61" ht="217" spans="1:34">
      <c r="A61" s="40"/>
      <c r="B61" s="31"/>
      <c r="C61" s="41" t="s">
        <v>135</v>
      </c>
      <c r="D61" s="42" t="s">
        <v>136</v>
      </c>
      <c r="E61" s="43">
        <v>3</v>
      </c>
      <c r="F61" s="44" t="s">
        <v>39</v>
      </c>
      <c r="G61" s="52">
        <f>6000000*3</f>
        <v>18000000</v>
      </c>
      <c r="H61" s="43">
        <v>1</v>
      </c>
      <c r="I61" s="45">
        <v>6000000</v>
      </c>
      <c r="J61" s="43">
        <v>1</v>
      </c>
      <c r="K61" s="45">
        <v>7000000</v>
      </c>
      <c r="L61" s="43">
        <v>1</v>
      </c>
      <c r="M61" s="45">
        <v>1000000</v>
      </c>
      <c r="N61" s="43">
        <v>0</v>
      </c>
      <c r="O61" s="45">
        <v>1500000</v>
      </c>
      <c r="P61" s="43">
        <v>0</v>
      </c>
      <c r="Q61" s="45">
        <v>1000000</v>
      </c>
      <c r="R61" s="43"/>
      <c r="S61" s="45">
        <v>3350000</v>
      </c>
      <c r="T61" s="80">
        <f t="shared" si="29"/>
        <v>1</v>
      </c>
      <c r="U61" s="80">
        <f t="shared" si="30"/>
        <v>100</v>
      </c>
      <c r="V61" s="81" t="s">
        <v>34</v>
      </c>
      <c r="W61" s="82">
        <f t="shared" si="31"/>
        <v>6850000</v>
      </c>
      <c r="X61" s="83">
        <f t="shared" si="32"/>
        <v>97.8571428571428</v>
      </c>
      <c r="Y61" s="81" t="s">
        <v>34</v>
      </c>
      <c r="Z61" s="80">
        <f t="shared" si="4"/>
        <v>2</v>
      </c>
      <c r="AA61" s="82">
        <f t="shared" si="5"/>
        <v>12850000</v>
      </c>
      <c r="AB61" s="103">
        <f t="shared" si="6"/>
        <v>66.6666666666667</v>
      </c>
      <c r="AC61" s="104" t="s">
        <v>34</v>
      </c>
      <c r="AD61" s="103">
        <f t="shared" si="7"/>
        <v>71.3888888888889</v>
      </c>
      <c r="AE61" s="105"/>
      <c r="AH61" s="112"/>
    </row>
    <row r="62" ht="93" spans="1:34">
      <c r="A62" s="40"/>
      <c r="B62" s="31"/>
      <c r="C62" s="41" t="s">
        <v>137</v>
      </c>
      <c r="D62" s="42" t="s">
        <v>138</v>
      </c>
      <c r="E62" s="59">
        <v>19</v>
      </c>
      <c r="F62" s="44" t="s">
        <v>44</v>
      </c>
      <c r="G62" s="52">
        <f>6750000*3</f>
        <v>20250000</v>
      </c>
      <c r="H62" s="59">
        <v>19</v>
      </c>
      <c r="I62" s="45">
        <v>6750000</v>
      </c>
      <c r="J62" s="59">
        <v>19</v>
      </c>
      <c r="K62" s="45">
        <v>9500000</v>
      </c>
      <c r="L62" s="59">
        <v>5</v>
      </c>
      <c r="M62" s="45">
        <v>1300000</v>
      </c>
      <c r="N62" s="59">
        <v>6</v>
      </c>
      <c r="O62" s="45">
        <v>1500000</v>
      </c>
      <c r="P62" s="59">
        <v>6</v>
      </c>
      <c r="Q62" s="45">
        <v>3200000</v>
      </c>
      <c r="R62" s="59"/>
      <c r="S62" s="45">
        <v>3500000</v>
      </c>
      <c r="T62" s="80">
        <v>19</v>
      </c>
      <c r="U62" s="80">
        <f t="shared" si="30"/>
        <v>100</v>
      </c>
      <c r="V62" s="81" t="s">
        <v>34</v>
      </c>
      <c r="W62" s="82">
        <f t="shared" si="31"/>
        <v>9500000</v>
      </c>
      <c r="X62" s="83">
        <f t="shared" si="32"/>
        <v>100</v>
      </c>
      <c r="Y62" s="81" t="s">
        <v>34</v>
      </c>
      <c r="Z62" s="80">
        <f t="shared" si="4"/>
        <v>38</v>
      </c>
      <c r="AA62" s="82">
        <f t="shared" si="5"/>
        <v>16250000</v>
      </c>
      <c r="AB62" s="103">
        <f t="shared" si="6"/>
        <v>200</v>
      </c>
      <c r="AC62" s="104" t="s">
        <v>34</v>
      </c>
      <c r="AD62" s="103">
        <f t="shared" si="7"/>
        <v>80.2469135802469</v>
      </c>
      <c r="AE62" s="105"/>
      <c r="AH62" s="112"/>
    </row>
    <row r="63" ht="15.5" spans="1:31">
      <c r="A63" s="61" t="s">
        <v>139</v>
      </c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84">
        <f>AVERAGE(U13:U62)</f>
        <v>99.8397435897436</v>
      </c>
      <c r="V63" s="85"/>
      <c r="W63" s="86"/>
      <c r="X63" s="84">
        <f>AVERAGE(X13,X40,X45,X50,X53,X57)</f>
        <v>74.1593866692066</v>
      </c>
      <c r="Y63" s="85"/>
      <c r="Z63" s="107"/>
      <c r="AA63" s="107"/>
      <c r="AB63" s="107"/>
      <c r="AC63" s="85"/>
      <c r="AD63" s="108"/>
      <c r="AE63" s="105"/>
    </row>
    <row r="64" ht="15.5" spans="1:31">
      <c r="A64" s="61" t="s">
        <v>140</v>
      </c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87" t="str">
        <f>IF(U63&gt;=91,"Sangat Tinggi",IF(U63&gt;=76,"Tinggi",IF(U63&gt;=66,"Sedang",IF(U63&gt;=51,"Rendah",IF(U63&lt;=50.99,"Sangat Rendah")))))</f>
        <v>Sangat Tinggi</v>
      </c>
      <c r="V64" s="85"/>
      <c r="W64" s="88"/>
      <c r="X64" s="87" t="str">
        <f>IF(X63&gt;=91,"Sangat Tinggi",IF(X63&gt;=76,"Tinggi",IF(X63&gt;=66,"Sedang",IF(X63&gt;=51,"Rendah",IF(X63&lt;=50,"Sangat Rendah")))))</f>
        <v>Sedang</v>
      </c>
      <c r="Y64" s="85"/>
      <c r="Z64" s="109"/>
      <c r="AA64" s="110"/>
      <c r="AB64" s="109"/>
      <c r="AC64" s="85"/>
      <c r="AD64" s="111"/>
      <c r="AE64" s="105"/>
    </row>
    <row r="65" ht="15.5" spans="1:31">
      <c r="A65" s="113" t="s">
        <v>141</v>
      </c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05"/>
    </row>
    <row r="66" ht="15.5" spans="1:31">
      <c r="A66" s="113" t="s">
        <v>142</v>
      </c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05"/>
    </row>
    <row r="67" ht="15.5" spans="1:31">
      <c r="A67" s="113" t="s">
        <v>143</v>
      </c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05"/>
    </row>
    <row r="68" ht="15.5" spans="1:31">
      <c r="A68" s="113" t="s">
        <v>144</v>
      </c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23"/>
    </row>
    <row r="69" ht="15.5" spans="1:30">
      <c r="A69" s="114"/>
      <c r="B69" s="114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20"/>
      <c r="W69" s="114"/>
      <c r="X69" s="114"/>
      <c r="Y69" s="120"/>
      <c r="Z69" s="114"/>
      <c r="AA69" s="114"/>
      <c r="AB69" s="114"/>
      <c r="AC69" s="120"/>
      <c r="AD69" s="114"/>
    </row>
    <row r="70" ht="15.5" spans="1:31">
      <c r="A70" s="114"/>
      <c r="B70" s="114"/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20" t="s">
        <v>145</v>
      </c>
      <c r="U70" s="120"/>
      <c r="V70" s="120"/>
      <c r="W70" s="120"/>
      <c r="X70" s="120"/>
      <c r="Y70" s="120"/>
      <c r="Z70" s="114"/>
      <c r="AA70" s="120"/>
      <c r="AB70" s="120"/>
      <c r="AC70" s="120"/>
      <c r="AD70" s="120"/>
      <c r="AE70" s="120"/>
    </row>
    <row r="71" ht="15.5" spans="1:31">
      <c r="A71" s="115"/>
      <c r="B71" s="116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20" t="s">
        <v>146</v>
      </c>
      <c r="U71" s="120"/>
      <c r="V71" s="120"/>
      <c r="W71" s="120"/>
      <c r="X71" s="120"/>
      <c r="Y71" s="120"/>
      <c r="Z71" s="114"/>
      <c r="AA71" s="120"/>
      <c r="AB71" s="120"/>
      <c r="AC71" s="120"/>
      <c r="AD71" s="120"/>
      <c r="AE71" s="120"/>
    </row>
    <row r="72" ht="15.5" spans="20:31">
      <c r="T72" s="120"/>
      <c r="U72" s="120"/>
      <c r="V72" s="120"/>
      <c r="W72" s="120"/>
      <c r="X72" s="120"/>
      <c r="AA72" s="120"/>
      <c r="AB72" s="120"/>
      <c r="AC72" s="120"/>
      <c r="AD72" s="120"/>
      <c r="AE72" s="120"/>
    </row>
    <row r="73" ht="15.5" spans="20:31">
      <c r="T73" s="120"/>
      <c r="U73" s="120"/>
      <c r="V73" s="120"/>
      <c r="W73" s="120"/>
      <c r="X73" s="120"/>
      <c r="AA73" s="120"/>
      <c r="AB73" s="120"/>
      <c r="AC73" s="120"/>
      <c r="AD73" s="120"/>
      <c r="AE73" s="120"/>
    </row>
    <row r="74" ht="52" spans="1:30">
      <c r="A74" s="117" t="s">
        <v>147</v>
      </c>
      <c r="B74" s="117" t="s">
        <v>148</v>
      </c>
      <c r="C74" s="117" t="s">
        <v>149</v>
      </c>
      <c r="T74" s="114"/>
      <c r="U74" s="114"/>
      <c r="V74" s="120"/>
      <c r="W74" s="114"/>
      <c r="AA74" s="120"/>
      <c r="AB74" s="114"/>
      <c r="AC74" s="120"/>
      <c r="AD74" s="114"/>
    </row>
    <row r="75" ht="15.5" spans="1:31">
      <c r="A75" s="118" t="s">
        <v>150</v>
      </c>
      <c r="B75" s="118" t="s">
        <v>151</v>
      </c>
      <c r="C75" s="118" t="s">
        <v>152</v>
      </c>
      <c r="T75" s="121" t="s">
        <v>153</v>
      </c>
      <c r="U75" s="121"/>
      <c r="V75" s="121"/>
      <c r="W75" s="121"/>
      <c r="X75" s="121"/>
      <c r="AA75" s="121"/>
      <c r="AB75" s="121"/>
      <c r="AC75" s="121"/>
      <c r="AD75" s="121"/>
      <c r="AE75" s="121"/>
    </row>
    <row r="76" ht="15.5" spans="1:31">
      <c r="A76" s="118" t="s">
        <v>154</v>
      </c>
      <c r="B76" s="118" t="s">
        <v>155</v>
      </c>
      <c r="C76" s="118" t="s">
        <v>156</v>
      </c>
      <c r="T76" s="122" t="s">
        <v>157</v>
      </c>
      <c r="U76" s="122"/>
      <c r="V76" s="122"/>
      <c r="W76" s="122"/>
      <c r="X76" s="122"/>
      <c r="AA76" s="122"/>
      <c r="AB76" s="122"/>
      <c r="AC76" s="122"/>
      <c r="AD76" s="122"/>
      <c r="AE76" s="122"/>
    </row>
    <row r="77" ht="15.5" spans="1:3">
      <c r="A77" s="118" t="s">
        <v>158</v>
      </c>
      <c r="B77" s="118" t="s">
        <v>159</v>
      </c>
      <c r="C77" s="118" t="s">
        <v>160</v>
      </c>
    </row>
    <row r="78" ht="15.5" spans="1:3">
      <c r="A78" s="118" t="s">
        <v>161</v>
      </c>
      <c r="B78" s="118" t="s">
        <v>162</v>
      </c>
      <c r="C78" s="118" t="s">
        <v>163</v>
      </c>
    </row>
    <row r="79" ht="15.5" spans="1:3">
      <c r="A79" s="118" t="s">
        <v>164</v>
      </c>
      <c r="B79" s="119" t="s">
        <v>165</v>
      </c>
      <c r="C79" s="118" t="s">
        <v>166</v>
      </c>
    </row>
  </sheetData>
  <mergeCells count="78">
    <mergeCell ref="A1:AD1"/>
    <mergeCell ref="A2:AD2"/>
    <mergeCell ref="A3:AD3"/>
    <mergeCell ref="A4:AD4"/>
    <mergeCell ref="A5:AD5"/>
    <mergeCell ref="A6:AD6"/>
    <mergeCell ref="J9:K9"/>
    <mergeCell ref="L9:M9"/>
    <mergeCell ref="N9:O9"/>
    <mergeCell ref="P9:Q9"/>
    <mergeCell ref="R9:S9"/>
    <mergeCell ref="T9:Y9"/>
    <mergeCell ref="Z9:AA9"/>
    <mergeCell ref="AB9:AD9"/>
    <mergeCell ref="E10:G10"/>
    <mergeCell ref="H10:I10"/>
    <mergeCell ref="J10:K10"/>
    <mergeCell ref="L10:M10"/>
    <mergeCell ref="N10:O10"/>
    <mergeCell ref="P10:Q10"/>
    <mergeCell ref="R10:S10"/>
    <mergeCell ref="T10:Y10"/>
    <mergeCell ref="Z10:AA10"/>
    <mergeCell ref="AB10:AD10"/>
    <mergeCell ref="U11:V11"/>
    <mergeCell ref="X11:Y11"/>
    <mergeCell ref="AB11:AC11"/>
    <mergeCell ref="U12:V12"/>
    <mergeCell ref="X12:Y12"/>
    <mergeCell ref="AB12:AC12"/>
    <mergeCell ref="A63:T63"/>
    <mergeCell ref="A64:T64"/>
    <mergeCell ref="A65:AD65"/>
    <mergeCell ref="A66:AD66"/>
    <mergeCell ref="A67:AD67"/>
    <mergeCell ref="A68:AD68"/>
    <mergeCell ref="T70:X70"/>
    <mergeCell ref="AA70:AE70"/>
    <mergeCell ref="T71:X71"/>
    <mergeCell ref="AA71:AE71"/>
    <mergeCell ref="T72:X72"/>
    <mergeCell ref="AA72:AE72"/>
    <mergeCell ref="T73:X73"/>
    <mergeCell ref="AA73:AE73"/>
    <mergeCell ref="T75:X75"/>
    <mergeCell ref="AA75:AE75"/>
    <mergeCell ref="T76:X76"/>
    <mergeCell ref="AA76:AE76"/>
    <mergeCell ref="A7:A9"/>
    <mergeCell ref="A10:A12"/>
    <mergeCell ref="B7:B9"/>
    <mergeCell ref="B10:B12"/>
    <mergeCell ref="C7:C9"/>
    <mergeCell ref="C10:C12"/>
    <mergeCell ref="D7:D9"/>
    <mergeCell ref="D10:D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P11:P12"/>
    <mergeCell ref="Q11:Q12"/>
    <mergeCell ref="R11:R12"/>
    <mergeCell ref="S11:S12"/>
    <mergeCell ref="AE7:AE8"/>
    <mergeCell ref="E7:G9"/>
    <mergeCell ref="H7:I9"/>
    <mergeCell ref="J7:K8"/>
    <mergeCell ref="Z7:AA8"/>
    <mergeCell ref="L7:S8"/>
    <mergeCell ref="T7:Y8"/>
    <mergeCell ref="AB7:AD8"/>
    <mergeCell ref="E11:F12"/>
  </mergeCells>
  <printOptions horizontalCentered="1"/>
  <pageMargins left="0.236220472440945" right="0.236220472440945" top="0.0393700787401575" bottom="0.0393700787401575" header="0" footer="0"/>
  <pageSetup paperSize="14" scale="33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Daha Utara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2022-12-28T11:55:41Z</dcterms:created>
  <dcterms:modified xsi:type="dcterms:W3CDTF">2022-12-28T12:52:44Z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2FC44E47C0C14C9D8EF420954A6D273E</vt:lpwstr>
  </property>
  <property fmtid="{D5CDD505-2E9C-101B-9397-08002B2CF9AE}" pid="3" name="KSOProductBuildVer">
    <vt:lpwstr>1033-11.2.0.11440</vt:lpwstr>
  </property>
</Properties>
</file>