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1\Pengendalian dan Evaluasi Renja PD dan RKPD\TRIWULAN IV\"/>
    </mc:Choice>
  </mc:AlternateContent>
  <bookViews>
    <workbookView xWindow="-120" yWindow="-120" windowWidth="20730" windowHeight="11160"/>
  </bookViews>
  <sheets>
    <sheet name="Diskominfo" sheetId="1" r:id="rId1"/>
  </sheets>
  <externalReferences>
    <externalReference r:id="rId2"/>
  </externalReferences>
  <definedNames>
    <definedName name="_xlnm.Print_Area" localSheetId="0">Diskominfo!$A$1:$AM$84</definedName>
    <definedName name="_xlnm.Print_Titles" localSheetId="0">Diskominfo!$7:$12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2" i="1" l="1"/>
  <c r="Y51" i="1" s="1"/>
  <c r="Y48" i="1"/>
  <c r="Y47" i="1" s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W48" i="1"/>
  <c r="W47" i="1" s="1"/>
  <c r="X47" i="1"/>
  <c r="X46" i="1"/>
  <c r="X45" i="1"/>
  <c r="X44" i="1"/>
  <c r="X43" i="1"/>
  <c r="X42" i="1"/>
  <c r="Y41" i="1"/>
  <c r="X41" i="1"/>
  <c r="W41" i="1"/>
  <c r="X40" i="1"/>
  <c r="Y39" i="1"/>
  <c r="X39" i="1"/>
  <c r="X38" i="1"/>
  <c r="W38" i="1"/>
  <c r="X37" i="1"/>
  <c r="X36" i="1"/>
  <c r="X35" i="1"/>
  <c r="X34" i="1"/>
  <c r="X33" i="1"/>
  <c r="X32" i="1"/>
  <c r="X31" i="1"/>
  <c r="Y30" i="1"/>
  <c r="X30" i="1"/>
  <c r="X29" i="1"/>
  <c r="X28" i="1"/>
  <c r="X27" i="1"/>
  <c r="X26" i="1"/>
  <c r="X25" i="1"/>
  <c r="X24" i="1"/>
  <c r="Y23" i="1"/>
  <c r="X23" i="1"/>
  <c r="X22" i="1"/>
  <c r="X21" i="1"/>
  <c r="X20" i="1"/>
  <c r="X19" i="1"/>
  <c r="X18" i="1"/>
  <c r="Y17" i="1"/>
  <c r="X17" i="1"/>
  <c r="X16" i="1"/>
  <c r="X15" i="1"/>
  <c r="Y14" i="1"/>
  <c r="X14" i="1"/>
  <c r="X13" i="1"/>
  <c r="Y38" i="1" l="1"/>
  <c r="Y34" i="1"/>
  <c r="Y13" i="1"/>
  <c r="Z36" i="1"/>
  <c r="AB36" i="1"/>
  <c r="V36" i="1" l="1"/>
  <c r="V34" i="1" s="1"/>
  <c r="V30" i="1"/>
  <c r="V23" i="1"/>
  <c r="V17" i="1"/>
  <c r="V18" i="1"/>
  <c r="V14" i="1"/>
  <c r="J38" i="1"/>
  <c r="J39" i="1"/>
  <c r="T38" i="1"/>
  <c r="Q38" i="1"/>
  <c r="N38" i="1"/>
  <c r="K38" i="1"/>
  <c r="H38" i="1"/>
  <c r="E38" i="1"/>
  <c r="K39" i="1"/>
  <c r="E39" i="1"/>
  <c r="T41" i="1"/>
  <c r="Q41" i="1"/>
  <c r="N41" i="1"/>
  <c r="Z44" i="1"/>
  <c r="T44" i="1"/>
  <c r="Q44" i="1"/>
  <c r="H41" i="1"/>
  <c r="H44" i="1"/>
  <c r="E41" i="1"/>
  <c r="K41" i="1"/>
  <c r="Z46" i="1"/>
  <c r="G45" i="1"/>
  <c r="G44" i="1"/>
  <c r="K44" i="1"/>
  <c r="E44" i="1"/>
  <c r="J41" i="1"/>
  <c r="G42" i="1"/>
  <c r="T47" i="1"/>
  <c r="Q47" i="1"/>
  <c r="N47" i="1"/>
  <c r="K47" i="1"/>
  <c r="H47" i="1"/>
  <c r="J47" i="1"/>
  <c r="H48" i="1"/>
  <c r="T48" i="1"/>
  <c r="Q48" i="1"/>
  <c r="K48" i="1"/>
  <c r="Q51" i="1"/>
  <c r="N51" i="1"/>
  <c r="J51" i="1"/>
  <c r="J52" i="1"/>
  <c r="G52" i="1"/>
  <c r="G62" i="1"/>
  <c r="E61" i="1"/>
  <c r="G61" i="1"/>
  <c r="G54" i="1"/>
  <c r="G55" i="1"/>
  <c r="G63" i="1"/>
  <c r="G58" i="1"/>
  <c r="G57" i="1"/>
  <c r="G56" i="1"/>
  <c r="G53" i="1"/>
  <c r="S44" i="1"/>
  <c r="V41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V48" i="1"/>
  <c r="V47" i="1" s="1"/>
  <c r="V39" i="1"/>
  <c r="M48" i="1"/>
  <c r="M47" i="1" s="1"/>
  <c r="M51" i="1"/>
  <c r="M52" i="1"/>
  <c r="P39" i="1"/>
  <c r="E37" i="1"/>
  <c r="E36" i="1"/>
  <c r="E35" i="1"/>
  <c r="E33" i="1"/>
  <c r="E32" i="1"/>
  <c r="E31" i="1"/>
  <c r="E25" i="1"/>
  <c r="E26" i="1"/>
  <c r="E27" i="1"/>
  <c r="E28" i="1"/>
  <c r="E29" i="1"/>
  <c r="E24" i="1"/>
  <c r="E21" i="1"/>
  <c r="E19" i="1"/>
  <c r="E18" i="1"/>
  <c r="V13" i="1" l="1"/>
  <c r="V52" i="1"/>
  <c r="V51" i="1" s="1"/>
  <c r="V38" i="1"/>
  <c r="J48" i="1"/>
  <c r="G43" i="1"/>
  <c r="G50" i="1"/>
  <c r="G49" i="1"/>
  <c r="G48" i="1" s="1"/>
  <c r="G47" i="1" s="1"/>
  <c r="G46" i="1"/>
  <c r="G40" i="1"/>
  <c r="G39" i="1" s="1"/>
  <c r="G37" i="1"/>
  <c r="G36" i="1"/>
  <c r="G35" i="1"/>
  <c r="G33" i="1"/>
  <c r="G32" i="1"/>
  <c r="G31" i="1"/>
  <c r="G29" i="1"/>
  <c r="G28" i="1"/>
  <c r="G27" i="1"/>
  <c r="G26" i="1"/>
  <c r="G25" i="1"/>
  <c r="G24" i="1"/>
  <c r="G23" i="1" s="1"/>
  <c r="G22" i="1"/>
  <c r="G21" i="1"/>
  <c r="G20" i="1"/>
  <c r="G19" i="1"/>
  <c r="G18" i="1"/>
  <c r="G16" i="1"/>
  <c r="G15" i="1"/>
  <c r="G14" i="1" s="1"/>
  <c r="G34" i="1" l="1"/>
  <c r="G41" i="1"/>
  <c r="G38" i="1" s="1"/>
  <c r="G30" i="1"/>
  <c r="G17" i="1"/>
  <c r="G13" i="1" s="1"/>
  <c r="G51" i="1"/>
  <c r="Z56" i="1" l="1"/>
  <c r="AB56" i="1" s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S63" i="1" l="1"/>
  <c r="S62" i="1"/>
  <c r="S61" i="1"/>
  <c r="S60" i="1"/>
  <c r="S59" i="1"/>
  <c r="S58" i="1"/>
  <c r="S57" i="1"/>
  <c r="S56" i="1"/>
  <c r="S55" i="1"/>
  <c r="S50" i="1"/>
  <c r="S37" i="1"/>
  <c r="S35" i="1"/>
  <c r="S33" i="1"/>
  <c r="S20" i="1"/>
  <c r="AJ47" i="1" l="1"/>
  <c r="AD50" i="1"/>
  <c r="AE50" i="1" s="1"/>
  <c r="Z50" i="1"/>
  <c r="AG50" i="1" s="1"/>
  <c r="Z49" i="1"/>
  <c r="AB49" i="1" s="1"/>
  <c r="AD49" i="1"/>
  <c r="Z48" i="1"/>
  <c r="AB48" i="1" s="1"/>
  <c r="AB47" i="1" s="1"/>
  <c r="P48" i="1"/>
  <c r="P47" i="1" s="1"/>
  <c r="Z51" i="1"/>
  <c r="AB51" i="1" s="1"/>
  <c r="AG48" i="1" l="1"/>
  <c r="AG47" i="1" s="1"/>
  <c r="Z47" i="1"/>
  <c r="AG49" i="1"/>
  <c r="AB50" i="1"/>
  <c r="AI50" i="1"/>
  <c r="AI49" i="1"/>
  <c r="AE49" i="1"/>
  <c r="S48" i="1"/>
  <c r="S39" i="1"/>
  <c r="AD48" i="1" l="1"/>
  <c r="AI48" i="1" s="1"/>
  <c r="AI47" i="1" s="1"/>
  <c r="S47" i="1"/>
  <c r="S41" i="1"/>
  <c r="S38" i="1" s="1"/>
  <c r="S52" i="1"/>
  <c r="S51" i="1" s="1"/>
  <c r="S34" i="1"/>
  <c r="S30" i="1"/>
  <c r="S23" i="1"/>
  <c r="S17" i="1"/>
  <c r="S14" i="1"/>
  <c r="AE48" i="1" l="1"/>
  <c r="AE47" i="1" s="1"/>
  <c r="AD47" i="1"/>
  <c r="S13" i="1"/>
  <c r="AD46" i="1" l="1"/>
  <c r="AI46" i="1" s="1"/>
  <c r="AB46" i="1"/>
  <c r="AD45" i="1"/>
  <c r="AI45" i="1" s="1"/>
  <c r="Z45" i="1"/>
  <c r="AB45" i="1" s="1"/>
  <c r="AD44" i="1"/>
  <c r="AI44" i="1" s="1"/>
  <c r="AD43" i="1"/>
  <c r="AI43" i="1" s="1"/>
  <c r="Z43" i="1"/>
  <c r="AB43" i="1" s="1"/>
  <c r="AD42" i="1"/>
  <c r="AI42" i="1" s="1"/>
  <c r="Z41" i="1"/>
  <c r="AD40" i="1"/>
  <c r="AI40" i="1" s="1"/>
  <c r="Z40" i="1"/>
  <c r="AB40" i="1" s="1"/>
  <c r="Z39" i="1"/>
  <c r="Z38" i="1"/>
  <c r="AD63" i="1"/>
  <c r="AI63" i="1" s="1"/>
  <c r="Z63" i="1"/>
  <c r="AB63" i="1" s="1"/>
  <c r="AD62" i="1"/>
  <c r="AI62" i="1" s="1"/>
  <c r="Z62" i="1"/>
  <c r="AB62" i="1" s="1"/>
  <c r="AD61" i="1"/>
  <c r="AI61" i="1" s="1"/>
  <c r="Z61" i="1"/>
  <c r="AB61" i="1" s="1"/>
  <c r="AD60" i="1"/>
  <c r="AI60" i="1" s="1"/>
  <c r="Z60" i="1"/>
  <c r="AB60" i="1" s="1"/>
  <c r="AD59" i="1"/>
  <c r="AI59" i="1" s="1"/>
  <c r="Z59" i="1"/>
  <c r="AB59" i="1" s="1"/>
  <c r="AD58" i="1"/>
  <c r="AI58" i="1" s="1"/>
  <c r="Z58" i="1"/>
  <c r="AB58" i="1" s="1"/>
  <c r="AD57" i="1"/>
  <c r="AI57" i="1" s="1"/>
  <c r="Z57" i="1"/>
  <c r="AB57" i="1" s="1"/>
  <c r="AD56" i="1"/>
  <c r="AI56" i="1" s="1"/>
  <c r="AD55" i="1"/>
  <c r="AI55" i="1" s="1"/>
  <c r="Z55" i="1"/>
  <c r="AB55" i="1" s="1"/>
  <c r="AD54" i="1"/>
  <c r="AI54" i="1" s="1"/>
  <c r="Z54" i="1"/>
  <c r="AB54" i="1" s="1"/>
  <c r="AD53" i="1"/>
  <c r="AI53" i="1" s="1"/>
  <c r="Z53" i="1"/>
  <c r="AB53" i="1" s="1"/>
  <c r="Z52" i="1"/>
  <c r="AB52" i="1" s="1"/>
  <c r="AD37" i="1"/>
  <c r="AE37" i="1" s="1"/>
  <c r="Z37" i="1"/>
  <c r="AB37" i="1" s="1"/>
  <c r="AD36" i="1"/>
  <c r="AE36" i="1" s="1"/>
  <c r="AD35" i="1"/>
  <c r="AE35" i="1" s="1"/>
  <c r="Z35" i="1"/>
  <c r="AB35" i="1" s="1"/>
  <c r="Z34" i="1"/>
  <c r="AB34" i="1" s="1"/>
  <c r="AD33" i="1"/>
  <c r="AE33" i="1" s="1"/>
  <c r="Z33" i="1"/>
  <c r="AB33" i="1" s="1"/>
  <c r="AD32" i="1"/>
  <c r="AE32" i="1" s="1"/>
  <c r="Z32" i="1"/>
  <c r="AB32" i="1" s="1"/>
  <c r="AD31" i="1"/>
  <c r="AE31" i="1" s="1"/>
  <c r="Z31" i="1"/>
  <c r="AB31" i="1" s="1"/>
  <c r="Z30" i="1"/>
  <c r="AB30" i="1" s="1"/>
  <c r="AD29" i="1"/>
  <c r="AE29" i="1" s="1"/>
  <c r="Z29" i="1"/>
  <c r="AB29" i="1" s="1"/>
  <c r="AD28" i="1"/>
  <c r="AE28" i="1" s="1"/>
  <c r="Z28" i="1"/>
  <c r="AB28" i="1" s="1"/>
  <c r="AD27" i="1"/>
  <c r="AE27" i="1" s="1"/>
  <c r="Z27" i="1"/>
  <c r="AB27" i="1" s="1"/>
  <c r="AD26" i="1"/>
  <c r="AE26" i="1" s="1"/>
  <c r="Z26" i="1"/>
  <c r="AB26" i="1" s="1"/>
  <c r="AD25" i="1"/>
  <c r="AE25" i="1" s="1"/>
  <c r="Z25" i="1"/>
  <c r="AB25" i="1" s="1"/>
  <c r="AD24" i="1"/>
  <c r="AE24" i="1" s="1"/>
  <c r="Z24" i="1"/>
  <c r="AB24" i="1" s="1"/>
  <c r="Z23" i="1"/>
  <c r="AG23" i="1" s="1"/>
  <c r="AD22" i="1"/>
  <c r="AI22" i="1" s="1"/>
  <c r="Z22" i="1"/>
  <c r="AB22" i="1" s="1"/>
  <c r="AD21" i="1"/>
  <c r="AI21" i="1" s="1"/>
  <c r="Z21" i="1"/>
  <c r="AB21" i="1" s="1"/>
  <c r="AD20" i="1"/>
  <c r="AI20" i="1" s="1"/>
  <c r="Z20" i="1"/>
  <c r="AB20" i="1" s="1"/>
  <c r="AD19" i="1"/>
  <c r="AI19" i="1" s="1"/>
  <c r="Z19" i="1"/>
  <c r="AB19" i="1" s="1"/>
  <c r="AD18" i="1"/>
  <c r="AI18" i="1" s="1"/>
  <c r="Z18" i="1"/>
  <c r="AG18" i="1" s="1"/>
  <c r="AD16" i="1"/>
  <c r="AI16" i="1" s="1"/>
  <c r="Z16" i="1"/>
  <c r="AB16" i="1" s="1"/>
  <c r="AD15" i="1"/>
  <c r="AI15" i="1" s="1"/>
  <c r="Z15" i="1"/>
  <c r="AB15" i="1" s="1"/>
  <c r="Z13" i="1"/>
  <c r="AG13" i="1" l="1"/>
  <c r="AB13" i="1"/>
  <c r="AE19" i="1"/>
  <c r="AG39" i="1"/>
  <c r="AB39" i="1" s="1"/>
  <c r="AE21" i="1"/>
  <c r="AE15" i="1"/>
  <c r="AG52" i="1"/>
  <c r="AG54" i="1"/>
  <c r="AG56" i="1"/>
  <c r="AG58" i="1"/>
  <c r="AG60" i="1"/>
  <c r="AG62" i="1"/>
  <c r="AG38" i="1"/>
  <c r="AB38" i="1" s="1"/>
  <c r="AG40" i="1"/>
  <c r="AG44" i="1"/>
  <c r="AB44" i="1" s="1"/>
  <c r="AG46" i="1"/>
  <c r="AE16" i="1"/>
  <c r="AE18" i="1"/>
  <c r="AE20" i="1"/>
  <c r="AE22" i="1"/>
  <c r="AG24" i="1"/>
  <c r="AI24" i="1"/>
  <c r="AG25" i="1"/>
  <c r="AI25" i="1"/>
  <c r="AG26" i="1"/>
  <c r="AI26" i="1"/>
  <c r="AG27" i="1"/>
  <c r="AI27" i="1"/>
  <c r="AG28" i="1"/>
  <c r="AI28" i="1"/>
  <c r="AG29" i="1"/>
  <c r="AI29" i="1"/>
  <c r="AG30" i="1"/>
  <c r="AG31" i="1"/>
  <c r="AI31" i="1"/>
  <c r="AG32" i="1"/>
  <c r="AI32" i="1"/>
  <c r="AG33" i="1"/>
  <c r="AI33" i="1"/>
  <c r="AG34" i="1"/>
  <c r="AG35" i="1"/>
  <c r="AI35" i="1"/>
  <c r="AG36" i="1"/>
  <c r="AI36" i="1"/>
  <c r="AG37" i="1"/>
  <c r="AI37" i="1"/>
  <c r="AG51" i="1"/>
  <c r="AG53" i="1"/>
  <c r="AG55" i="1"/>
  <c r="AG57" i="1"/>
  <c r="AG59" i="1"/>
  <c r="AG61" i="1"/>
  <c r="AG63" i="1"/>
  <c r="AG41" i="1"/>
  <c r="AB41" i="1" s="1"/>
  <c r="AG43" i="1"/>
  <c r="AG45" i="1"/>
  <c r="AB18" i="1"/>
  <c r="AB23" i="1"/>
  <c r="AG15" i="1"/>
  <c r="AG16" i="1"/>
  <c r="AG19" i="1"/>
  <c r="AG20" i="1"/>
  <c r="AG21" i="1"/>
  <c r="AG22" i="1"/>
  <c r="AE53" i="1"/>
  <c r="AE54" i="1"/>
  <c r="AE55" i="1"/>
  <c r="AE56" i="1"/>
  <c r="AE57" i="1"/>
  <c r="AE58" i="1"/>
  <c r="AE59" i="1"/>
  <c r="AE60" i="1"/>
  <c r="AE61" i="1"/>
  <c r="AE62" i="1"/>
  <c r="AE63" i="1"/>
  <c r="AE40" i="1"/>
  <c r="AE42" i="1"/>
  <c r="AE43" i="1"/>
  <c r="AE44" i="1"/>
  <c r="AE45" i="1"/>
  <c r="AE46" i="1"/>
  <c r="Z17" i="1"/>
  <c r="M17" i="1"/>
  <c r="Z14" i="1"/>
  <c r="AB17" i="1" l="1"/>
  <c r="AG17" i="1"/>
  <c r="AB14" i="1"/>
  <c r="AG14" i="1"/>
  <c r="P41" i="1" l="1"/>
  <c r="AD41" i="1" s="1"/>
  <c r="P52" i="1"/>
  <c r="P34" i="1"/>
  <c r="AD34" i="1" s="1"/>
  <c r="P30" i="1"/>
  <c r="AD30" i="1" s="1"/>
  <c r="P23" i="1"/>
  <c r="AD23" i="1" s="1"/>
  <c r="P17" i="1"/>
  <c r="AD17" i="1" s="1"/>
  <c r="P14" i="1"/>
  <c r="AD14" i="1" l="1"/>
  <c r="AI14" i="1" s="1"/>
  <c r="P13" i="1"/>
  <c r="AD13" i="1" s="1"/>
  <c r="AI17" i="1"/>
  <c r="AE17" i="1"/>
  <c r="AI34" i="1"/>
  <c r="P38" i="1"/>
  <c r="AD38" i="1" s="1"/>
  <c r="AD39" i="1"/>
  <c r="AI23" i="1"/>
  <c r="AI30" i="1"/>
  <c r="P51" i="1"/>
  <c r="AD51" i="1" s="1"/>
  <c r="AD52" i="1"/>
  <c r="AI41" i="1"/>
  <c r="M41" i="1"/>
  <c r="AE41" i="1" s="1"/>
  <c r="M39" i="1"/>
  <c r="M34" i="1"/>
  <c r="AE34" i="1" s="1"/>
  <c r="M23" i="1"/>
  <c r="AE23" i="1" s="1"/>
  <c r="AP19" i="1"/>
  <c r="M30" i="1"/>
  <c r="AE30" i="1" s="1"/>
  <c r="M14" i="1"/>
  <c r="M13" i="1" l="1"/>
  <c r="AE13" i="1" s="1"/>
  <c r="M38" i="1"/>
  <c r="AE38" i="1" s="1"/>
  <c r="AI52" i="1"/>
  <c r="AE52" i="1"/>
  <c r="AI39" i="1"/>
  <c r="AE39" i="1"/>
  <c r="AI13" i="1"/>
  <c r="AI51" i="1"/>
  <c r="AE51" i="1"/>
  <c r="AE14" i="1"/>
  <c r="AI38" i="1"/>
  <c r="AE64" i="1" l="1"/>
  <c r="AP21" i="1"/>
  <c r="AP20" i="1"/>
  <c r="AP18" i="1"/>
  <c r="AP17" i="1"/>
  <c r="AP13" i="1"/>
  <c r="AE65" i="1" l="1"/>
  <c r="Z42" i="1"/>
  <c r="AG42" i="1" s="1"/>
  <c r="AB42" i="1" l="1"/>
  <c r="AB64" i="1" s="1"/>
  <c r="AB65" i="1" s="1"/>
</calcChain>
</file>

<file path=xl/comments1.xml><?xml version="1.0" encoding="utf-8"?>
<comments xmlns="http://schemas.openxmlformats.org/spreadsheetml/2006/main">
  <authors>
    <author>USER</author>
  </authors>
  <commentList>
    <comment ref="E44" authorId="0" shapeId="0">
      <text>
        <r>
          <rPr>
            <b/>
            <sz val="12"/>
            <color indexed="81"/>
            <rFont val="Tahoma"/>
            <family val="2"/>
          </rPr>
          <t>SPBE dan RPJMD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SPBE dan RPJMD</t>
        </r>
      </text>
    </comment>
    <comment ref="N44" authorId="0" shapeId="0">
      <text>
        <r>
          <rPr>
            <b/>
            <sz val="12"/>
            <color indexed="81"/>
            <rFont val="Tahoma"/>
            <family val="2"/>
          </rPr>
          <t>RPJMD</t>
        </r>
      </text>
    </comment>
    <comment ref="Q49" authorId="0" shapeId="0">
      <text>
        <r>
          <rPr>
            <b/>
            <sz val="12"/>
            <color indexed="81"/>
            <rFont val="Tahoma"/>
            <family val="2"/>
          </rPr>
          <t>KDA dan Statistik Daerah</t>
        </r>
      </text>
    </comment>
    <comment ref="T49" authorId="0" shapeId="0">
      <text>
        <r>
          <rPr>
            <b/>
            <sz val="12"/>
            <color indexed="81"/>
            <rFont val="Tahoma"/>
            <family val="2"/>
          </rPr>
          <t>KCA</t>
        </r>
      </text>
    </comment>
    <comment ref="K50" authorId="0" shapeId="0">
      <text>
        <r>
          <rPr>
            <b/>
            <sz val="12"/>
            <color indexed="81"/>
            <rFont val="Tahoma"/>
            <family val="2"/>
          </rPr>
          <t>Sosialisasi dan Pengembangan SDM rencana dilaksanakan bulan November</t>
        </r>
      </text>
    </comment>
    <comment ref="E61" authorId="0" shapeId="0">
      <text>
        <r>
          <rPr>
            <b/>
            <sz val="12"/>
            <color indexed="81"/>
            <rFont val="Tahoma"/>
            <family val="2"/>
          </rPr>
          <t>15 unit 2022</t>
        </r>
      </text>
    </comment>
    <comment ref="K61" authorId="0" shapeId="0">
      <text>
        <r>
          <rPr>
            <b/>
            <sz val="12"/>
            <color indexed="81"/>
            <rFont val="Tahoma"/>
            <family val="2"/>
          </rPr>
          <t>Kamera Video (Handycam) 6, Komputer Editing 4, LCD Monitor 1, Laptop 1</t>
        </r>
      </text>
    </comment>
    <comment ref="N61" authorId="0" shapeId="0">
      <text>
        <r>
          <rPr>
            <b/>
            <sz val="12"/>
            <color indexed="81"/>
            <rFont val="Tahoma"/>
            <family val="2"/>
          </rPr>
          <t>Komputer Editing</t>
        </r>
      </text>
    </comment>
    <comment ref="T61" authorId="0" shapeId="0">
      <text>
        <r>
          <rPr>
            <b/>
            <sz val="12"/>
            <color indexed="81"/>
            <rFont val="Tahoma"/>
            <family val="2"/>
          </rPr>
          <t>Komputer Editing</t>
        </r>
      </text>
    </comment>
  </commentList>
</comments>
</file>

<file path=xl/sharedStrings.xml><?xml version="1.0" encoding="utf-8"?>
<sst xmlns="http://schemas.openxmlformats.org/spreadsheetml/2006/main" count="449" uniqueCount="182">
  <si>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</si>
  <si>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</si>
  <si>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</si>
  <si>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</si>
  <si>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</si>
  <si>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</si>
  <si>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</si>
  <si>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</si>
  <si>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</si>
  <si>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</si>
  <si>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</si>
  <si>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</si>
  <si>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</si>
  <si>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</si>
  <si>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</si>
  <si>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</si>
  <si>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</si>
  <si>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</si>
  <si>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</si>
  <si>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</si>
  <si>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Rata-rata Capaian Kinerja (%)</t>
  </si>
  <si>
    <t>Predikat Kinerja</t>
  </si>
  <si>
    <t>No.</t>
  </si>
  <si>
    <t xml:space="preserve">INTERVAL NILAI REALISASI KINERJA </t>
  </si>
  <si>
    <t xml:space="preserve">KRITERIA PENILAIAN REALISASI KINERJA </t>
  </si>
  <si>
    <t>Sangat tinggi</t>
  </si>
  <si>
    <t>Tinggi</t>
  </si>
  <si>
    <t>Sedang</t>
  </si>
  <si>
    <t>Rendah</t>
  </si>
  <si>
    <t>Sangat Rendah</t>
  </si>
  <si>
    <t>%</t>
  </si>
  <si>
    <t>Laporan Keuangan yang Memenuhi Aspek Kualitas</t>
  </si>
  <si>
    <t>DINAS KOMUNIKASI DAN INFORMATIKA</t>
  </si>
  <si>
    <t>Dinas Komunikasi dan Informatika</t>
  </si>
  <si>
    <t>Informasi</t>
  </si>
  <si>
    <t>Realisasi dan Tingkat Capaian Kinerja dan Anggaran Renja Perangkat Daerah yang Dievaluasi</t>
  </si>
  <si>
    <t>[kolom (12)(K) : kolom (7)(K)] x 100%</t>
  </si>
  <si>
    <t>[kolom (12)(Rp) : kolom (7)(Rp)] x 100%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</si>
  <si>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</si>
  <si>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</si>
  <si>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</si>
  <si>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</si>
  <si>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</si>
  <si>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</si>
  <si>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Komunikasi dan Informatika</t>
  </si>
  <si>
    <t>Hj. RAHMAWATY, ST, MT</t>
  </si>
  <si>
    <t>NIP. 19710726 199703 2 005</t>
  </si>
  <si>
    <t>Realisasi Capaian Kinerja Renstra Perangkat Daerah sampai dengan Renja Perangkat Daerah Tahun Lalu (2020)</t>
  </si>
  <si>
    <t>Target Kinerja dan Anggaran Renja Perangkat Daerah Tahun Berjalan (Tahun 2021) yang Dievaluasi</t>
  </si>
  <si>
    <t>Realisasi Kinerja dan Anggaran Renstra Perangkat Daerah s/d Tahun 2021</t>
  </si>
  <si>
    <t>Tingkat Capaian Kinerja dan Realisasi Anggaran Renstra Perangkat Daerah s/d Tahun 2021 (%)</t>
  </si>
  <si>
    <t>Program Penunjang Urusan Pemerintahan Daerah Kabupaten/Kota</t>
  </si>
  <si>
    <t>Perencanaan, Pengangnggaran dan Evaluasi Kinerja Perangkat Daerah</t>
  </si>
  <si>
    <t>Penyusunan Dokumen Perencanaan Perangkat Daerah</t>
  </si>
  <si>
    <t>Evaluasi Kinerja Perangkat Daerah</t>
  </si>
  <si>
    <t>Administrasi Keuangan Perangkat Daerah</t>
  </si>
  <si>
    <t>Penyedian Gaji dan Tunjangan ASN</t>
  </si>
  <si>
    <t>Koordinasi dan Penyusunan Laporan Keuangan Akhir Tahun SKPD</t>
  </si>
  <si>
    <t>Lap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</si>
  <si>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</si>
  <si>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</si>
  <si>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</si>
  <si>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Penyedian Peralatan dan Perlengkapan Kantor</t>
  </si>
  <si>
    <t>Penyedian Bahan Logistik Kantor</t>
  </si>
  <si>
    <t>Penyedian Barang Cetakan dan Penggandaan</t>
  </si>
  <si>
    <t>Penyediaan Bahan Bacaan dan Peraturan Perundang-undangan</t>
  </si>
  <si>
    <t>Penyelenggaraan Rapat Koordinasi dan Konsultasi SKPD</t>
  </si>
  <si>
    <t>Penyediaan Jasa Penunjang Urusan Pemerintahan Daerah</t>
  </si>
  <si>
    <t>Penyediaan Jasa Surat Menyurat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</si>
  <si>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</si>
  <si>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</si>
  <si>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</si>
  <si>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</si>
  <si>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Sarana dan Prasarana Gedung Kantor atau Bangunan Lainnya</t>
  </si>
  <si>
    <t>Penyediaan Administrasi Pelaksanaan Tugas ASN</t>
  </si>
  <si>
    <t>Penyediaan Komponen Instalasi Listrik/Penerangan Bangunan kantor</t>
  </si>
  <si>
    <t>Pemeliharaan Peralatan dan Mesin Lainnya</t>
  </si>
  <si>
    <t>Program Informasi dan Komunikasi Publik</t>
  </si>
  <si>
    <t>Pengelolaan Informasi dan Komunikasi Publik Pemerintah Daerah Kabupaten/Kota</t>
  </si>
  <si>
    <t>Monitoring Opini dan Aspirasi Publik</t>
  </si>
  <si>
    <t>Monitoring Informasi dan Penetapan Agenda Prioritas Komunikasi Pemerintah Daerah</t>
  </si>
  <si>
    <t>Pengelolaan Konten dan Perencanaan Media Komunikasi Publik</t>
  </si>
  <si>
    <t>Pengelolaan Media Komunikasi Publik</t>
  </si>
  <si>
    <t xml:space="preserve">Pelayanan Informasi Publik </t>
  </si>
  <si>
    <t>Layanan Hubungan Media</t>
  </si>
  <si>
    <t>Kemitraan dengan Pemangku Kepentingan</t>
  </si>
  <si>
    <t>Manajemen Komunikasi Krisis</t>
  </si>
  <si>
    <t>Penguatan Kapasitas Sumber Daya Komunikasi Publik</t>
  </si>
  <si>
    <t>Penguatan Tata Kelola Komisi Informasi di Daerah</t>
  </si>
  <si>
    <t>Penyelenggaraan Hubungan Masyarakat, Media dan Kemitraan Komunitas</t>
  </si>
  <si>
    <t>Program Aplikasi Informatika</t>
  </si>
  <si>
    <t>Pengelolaan Nama Domain yang telah Ditetapkan oleh Pemerintah Pusat dan Sub Domain di Lingkup Pemerintah Daerah Kabupaten/kota</t>
  </si>
  <si>
    <t>Penyelenggaraan Sistem Jaringan Intra Pemerintah Daerah</t>
  </si>
  <si>
    <t>Pengelolaan e-government Di Lingkup Pemerintah Daerah Kabupaten/Kota</t>
  </si>
  <si>
    <t>Pengelolaan Pusat Data Pemerintahan Daerah</t>
  </si>
  <si>
    <t>Koordinasi dan Sinkronisasi Data dan Informasi Elektronik</t>
  </si>
  <si>
    <t>Pengembangan Aplikasi dan Proses Bisnis Pemerintahan Berbasis Elektronik</t>
  </si>
  <si>
    <t>Pengembangan dan Pengelolaan Ekosistem Kabupaten/Kota Cerdas dan Kota Cerdas</t>
  </si>
  <si>
    <t>Pengembangan dan Pengelolaan Sumber Daya Teknologi Informasi dan Komunikasi Pemerintah Daerah</t>
  </si>
  <si>
    <t>Program Penyelenggaraan Statistik Sektoral</t>
  </si>
  <si>
    <t>Penyelenggaraan Statistik Sektoral di Lingkup Daerah Kabupaten/Kota</t>
  </si>
  <si>
    <t>Koordinasi dan Sinkronisasi Pengumpulan, Pengolahan, Analisis dan Diseminasi Data Statistik Sektoral</t>
  </si>
  <si>
    <t>Tingkat kepuasan pelayanan</t>
  </si>
  <si>
    <t>Jumlah PD yang terlayani Jaringan Intra Pemerintah Daerah dengan kecepatan bandwith 1 Gbps</t>
  </si>
  <si>
    <t>PD</t>
  </si>
  <si>
    <t>Menara</t>
  </si>
  <si>
    <t>Jumlah layanan aplikasi yang menyediakan data baerbagi pakai</t>
  </si>
  <si>
    <t>Jumlah Menara Telekomunikasi Seluler yang diawasi sesuai standar</t>
  </si>
  <si>
    <t>Aplikasi</t>
  </si>
  <si>
    <t>Kerjasama</t>
  </si>
  <si>
    <t>Mitra kerja</t>
  </si>
  <si>
    <t>Persentase Kelengkapan Dokumen, Penganggaran, Pengganggaran dan Evaluasi</t>
  </si>
  <si>
    <t>Jumlah Dokumen Perencanaan Perangkat Daerah</t>
  </si>
  <si>
    <t>Jumlah Dokumen Evaluasi Perangkat Daerah</t>
  </si>
  <si>
    <t xml:space="preserve"> laporan Keuangan  yang memenuhi aspek kualitas</t>
  </si>
  <si>
    <t>Jumlah Bulan terpenuhinya Administrasi Pelaksanaan Tugas ASN</t>
  </si>
  <si>
    <t>Jumlah Bulan Terpenuhinya Penyediaan Gaji dan Tunjangan ASN</t>
  </si>
  <si>
    <t>Jumlah Bulan terpenuhinya Penyediaan Komponen Instalasi Listrik/Penerangan Bangunan Kantor</t>
  </si>
  <si>
    <t>Jumlah Bulan terpenuhinya Penyediaan Peralatan dan perlengkapan kantor dalam kondisi baik</t>
  </si>
  <si>
    <t>Jumlah Bulan terpenuhinya Penyediaan Bahan Logistik Kantor</t>
  </si>
  <si>
    <t>Jumlah Bulan terpenuhinya Penyediaan Barang Cetakan dan Penggandaan</t>
  </si>
  <si>
    <t>Jumlah Bulan terpenuhinya  Penyediaan Bahan Bacaan dan Peraturan Perundang-undangan</t>
  </si>
  <si>
    <t>Jumlah Bulan terpenuhinya  Penyelenggaraan Rapat Koordinasi dan Konsultasi SKPD</t>
  </si>
  <si>
    <t>Jumlah Bulan terpenuhinya Pemeliharaan/Rehabilitasi Sarana dan Prasarana Gedung Kantor atau Bangunan Lainnya</t>
  </si>
  <si>
    <t>Jumlah Bulan terpenuhinya Penyediaan Jasa Surat Menyurat</t>
  </si>
  <si>
    <t>Jumlah Bulan terpenuhinya Penyediaan Jasa Komunikasi, Sumber Daya Air dan Listrik</t>
  </si>
  <si>
    <t>Jumlah Bulan terpenuhinya Penyediaan Jasa Pelayanan Umum Kantor</t>
  </si>
  <si>
    <t>(1)              </t>
  </si>
  <si>
    <t>91% ≤ 100%</t>
  </si>
  <si>
    <t>(2)              </t>
  </si>
  <si>
    <t xml:space="preserve">76% ≤ 90% </t>
  </si>
  <si>
    <t>(3)              </t>
  </si>
  <si>
    <t>66% ≤ 75%</t>
  </si>
  <si>
    <t>(4)              </t>
  </si>
  <si>
    <t>51% ≤ 65%</t>
  </si>
  <si>
    <t>(5)              </t>
  </si>
  <si>
    <t>≤ 50%</t>
  </si>
  <si>
    <t>Telaksananya Penunjang Urusan Pemerintahan Daerah</t>
  </si>
  <si>
    <t>Tersedianya Data Statistik Sektoral Data Sektoral sesuai dengan prinsip SDI</t>
  </si>
  <si>
    <t>Persentase Kelengkapan Dokumen Administrasi Keuangan  sesuai peraturan</t>
  </si>
  <si>
    <t>Persentase Kelengkapan Administrasi Umum sesuai peraturan</t>
  </si>
  <si>
    <t>Persentase Pemenuhan Jasa Penunjang Urusan Pemda</t>
  </si>
  <si>
    <t>Persentase  Barang Milik Daerah Penunjang Urusan Pemerintahan Daerah berfungsi dengan baik</t>
  </si>
  <si>
    <t xml:space="preserve">Meningkatnya layanan SPBE yang berfungsi dengan baik </t>
  </si>
  <si>
    <t>Target Renstra Perangkat Daerah Pada Tahun 2023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</si>
  <si>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</si>
  <si>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Dok</t>
  </si>
  <si>
    <t>Bln</t>
  </si>
  <si>
    <t>Faktor penghambat pencapaian kinerja: adanya pergeseran anggaran tahun 2021,sehingga kegiatan belum bisa di laksanakan secara maksimal</t>
  </si>
  <si>
    <t xml:space="preserve">Faktor pendorong keberhasilan pencapaian: tersedia Dana dan sumber daya yang di perlukan </t>
  </si>
  <si>
    <t>Tindak lanjut yang diperlukan dalam triwulan berikutnya*): dengan adanya dana anggaran pergeseran tahun 2021 yang telah di tentukan maka kegiatan akan di laksanakan semaksimal mungkin</t>
  </si>
  <si>
    <t>Tindak lanjut yang diperlukan dalam Renja Perangkat Daerah Kabupaten berikutnya*): Koordinasi dan Sinkronisasi Pengumpulan, Pengolahan, dan Analisis segala bentuk kegiatan</t>
  </si>
  <si>
    <t>Dokumen Laporan Keuangan Akhir Tahun SKPD yang memenuhi aspek kualitas</t>
  </si>
  <si>
    <t>Jumlah Informasi Publik Pemerintah Daerah yang Terpublikasi</t>
  </si>
  <si>
    <t xml:space="preserve">Jumlah Kerja Sama Dengan Mitra Siaran Sebagai Media Komunikasi Publik </t>
  </si>
  <si>
    <t>Jumlah Jurnalis Mitra Kerja Yang Terlayani</t>
  </si>
  <si>
    <t>Jumlah Media Cetak Mitra Strategis Yang Melaksanakan Diseminasi Informasi Kebijakan Dan Program Prioritas Nasional</t>
  </si>
  <si>
    <t>Media</t>
  </si>
  <si>
    <t>Jumlah Media Elektronik Mitra Strategis yang Melaksanakan Diseminasi Informasi Kebijakan dan Program Prioritas Daerah dan Nasional</t>
  </si>
  <si>
    <t>Jumlah Kegiatan Bupati Menjawab yang Dilaksanakan</t>
  </si>
  <si>
    <t>Kali</t>
  </si>
  <si>
    <t>Jumlah Kegiatan Dialog Pembangunan yang Terlaksana</t>
  </si>
  <si>
    <t>Jumlah Sarana Prasarana yang dibeli untuk Memenuhi Standar Minimal Broadcasting</t>
  </si>
  <si>
    <t>Unit</t>
  </si>
  <si>
    <t>Jumlah Perangkat Daerah Yang Sudah Melaksanakan Urusan KIP Sesuai Dengan Peraturan Yang Berlaku</t>
  </si>
  <si>
    <t>Jumlah Website Perangkat Daerah yang Memuat Informasi Publik</t>
  </si>
  <si>
    <t>Website</t>
  </si>
  <si>
    <t>Persentase Perangkat Daerah yang Memenuhi Keterbukaan Informasi Publik</t>
  </si>
  <si>
    <t>Jumlah Website Perangkat Daerah yang Dilakukan Monitoring</t>
  </si>
  <si>
    <t>Peningkatan Kapasitas Kelembagaan Statistik Sektoral</t>
  </si>
  <si>
    <t xml:space="preserve">Jumlah Produsen Data yang Terlatih untuk Menghasilkan Data Sesuai dengan Prinsip SDI </t>
  </si>
  <si>
    <t>Jumlah Jenis Dokumen Statistik Sektoral yang dicetak dan disebarluaskan</t>
  </si>
  <si>
    <t>Persentase Dokumen Statistik Sektoral yang tersedia</t>
  </si>
  <si>
    <t>Persentase Ketersediaan Dokumen Statistik Sektoral</t>
  </si>
  <si>
    <t>Service Level Agrement (SLA) Pusat Data Pemerintah Daerah</t>
  </si>
  <si>
    <t>Jumlah Aplikasi SPBE dan Aplikasi Pengelola Data Capaian RPJMD Secara Elektronik</t>
  </si>
  <si>
    <t>Jumlah Aplikasi Kota Cerdas (Smart City) yang berfungsi dengan baik</t>
  </si>
  <si>
    <t>Persentase Aplikasi SPBE dan Aplikasi Pengelola Data Capaian RPJMD Secara Elektronik</t>
  </si>
  <si>
    <t>Jumlah PD yang terkoneksi dengan Jaringan Intra Pemerintah Daerah</t>
  </si>
  <si>
    <t>Persentase PD yang terlayani Jaringan Intra Pemerintah Daerah</t>
  </si>
  <si>
    <t>PERIODE PELAKSANAAN TRIWULAN IV TAHUN 2021</t>
  </si>
  <si>
    <t>Kandangan,       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</si>
</sst>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&quot;Rp&quot;* #,##0_-;\-&quot;Rp&quot;* #,##0_-;_-&quot;Rp&quot;* &quot;-&quot;_-;_-@_-"/>
    <numFmt numFmtId="41" formatCode="_-* #,##0_-;\-* #,##0_-;_-* &quot;-&quot;_-;_-@_-"/>
    <numFmt numFmtId="164" formatCode="_(&quot;Rp&quot;* #,##0_);_(&quot;Rp&quot;* \(#,##0\);_(&quot;Rp&quot;* &quot;-&quot;_);_(@_)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_-* #,##0.000_-;\-* #,##0.000_-;_-* &quot;-&quot;_-;_-@_-"/>
    <numFmt numFmtId="169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b/>
      <u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212529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</cellStyleXfs>
  <cellXfs count="162">
    <xf numFmtId="0" fontId="0" fillId="0" borderId="0" xfId="0"/>
    <xf numFmtId="0" fontId="2" fillId="2" borderId="15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9" fontId="4" fillId="0" borderId="2" xfId="0" applyNumberFormat="1" applyFont="1" applyFill="1" applyBorder="1" applyAlignment="1">
      <alignment horizontal="center" vertical="top"/>
    </xf>
    <xf numFmtId="167" fontId="4" fillId="0" borderId="2" xfId="1" quotePrefix="1" applyNumberFormat="1" applyFont="1" applyFill="1" applyBorder="1" applyAlignment="1">
      <alignment vertical="top"/>
    </xf>
    <xf numFmtId="167" fontId="4" fillId="0" borderId="0" xfId="1" quotePrefix="1" applyNumberFormat="1" applyFont="1" applyFill="1" applyBorder="1" applyAlignment="1">
      <alignment vertical="top"/>
    </xf>
    <xf numFmtId="0" fontId="4" fillId="0" borderId="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/>
    </xf>
    <xf numFmtId="0" fontId="4" fillId="0" borderId="0" xfId="0" applyFont="1" applyFill="1"/>
    <xf numFmtId="0" fontId="4" fillId="0" borderId="2" xfId="0" applyFont="1" applyFill="1" applyBorder="1" applyAlignment="1">
      <alignment horizontal="center" vertical="top"/>
    </xf>
    <xf numFmtId="0" fontId="2" fillId="0" borderId="0" xfId="0" applyFont="1" applyFill="1" applyBorder="1"/>
    <xf numFmtId="0" fontId="4" fillId="0" borderId="0" xfId="0" applyFont="1" applyFill="1" applyBorder="1"/>
    <xf numFmtId="165" fontId="4" fillId="0" borderId="2" xfId="0" applyNumberFormat="1" applyFont="1" applyFill="1" applyBorder="1" applyAlignment="1">
      <alignment vertical="top"/>
    </xf>
    <xf numFmtId="167" fontId="2" fillId="0" borderId="2" xfId="1" quotePrefix="1" applyNumberFormat="1" applyFont="1" applyFill="1" applyBorder="1" applyAlignment="1">
      <alignment vertical="top"/>
    </xf>
    <xf numFmtId="1" fontId="4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9" fontId="2" fillId="0" borderId="2" xfId="0" applyNumberFormat="1" applyFont="1" applyFill="1" applyBorder="1" applyAlignment="1">
      <alignment horizontal="center" vertical="top"/>
    </xf>
    <xf numFmtId="9" fontId="4" fillId="0" borderId="2" xfId="0" applyNumberFormat="1" applyFont="1" applyFill="1" applyBorder="1" applyAlignment="1">
      <alignment horizontal="center" vertical="top" wrapText="1"/>
    </xf>
    <xf numFmtId="9" fontId="2" fillId="0" borderId="2" xfId="0" applyNumberFormat="1" applyFont="1" applyFill="1" applyBorder="1" applyAlignment="1">
      <alignment horizontal="center" vertical="top" wrapText="1"/>
    </xf>
    <xf numFmtId="1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2" fontId="4" fillId="0" borderId="2" xfId="0" applyNumberFormat="1" applyFont="1" applyFill="1" applyBorder="1" applyAlignment="1">
      <alignment horizontal="center" vertical="top"/>
    </xf>
    <xf numFmtId="1" fontId="4" fillId="0" borderId="2" xfId="0" applyNumberFormat="1" applyFont="1" applyFill="1" applyBorder="1" applyAlignment="1">
      <alignment horizontal="center" vertical="top"/>
    </xf>
    <xf numFmtId="2" fontId="4" fillId="4" borderId="12" xfId="0" applyNumberFormat="1" applyFont="1" applyFill="1" applyBorder="1" applyAlignment="1">
      <alignment horizontal="right"/>
    </xf>
    <xf numFmtId="2" fontId="4" fillId="4" borderId="13" xfId="0" applyNumberFormat="1" applyFont="1" applyFill="1" applyBorder="1" applyAlignment="1">
      <alignment horizontal="right"/>
    </xf>
    <xf numFmtId="0" fontId="4" fillId="4" borderId="13" xfId="0" applyFont="1" applyFill="1" applyBorder="1" applyAlignment="1">
      <alignment horizontal="center"/>
    </xf>
    <xf numFmtId="2" fontId="4" fillId="4" borderId="14" xfId="0" applyNumberFormat="1" applyFont="1" applyFill="1" applyBorder="1" applyAlignment="1">
      <alignment horizontal="right"/>
    </xf>
    <xf numFmtId="0" fontId="4" fillId="4" borderId="12" xfId="0" applyFont="1" applyFill="1" applyBorder="1"/>
    <xf numFmtId="0" fontId="4" fillId="4" borderId="13" xfId="0" applyFont="1" applyFill="1" applyBorder="1" applyAlignment="1">
      <alignment horizontal="left"/>
    </xf>
    <xf numFmtId="0" fontId="4" fillId="4" borderId="13" xfId="0" applyFont="1" applyFill="1" applyBorder="1"/>
    <xf numFmtId="0" fontId="4" fillId="4" borderId="14" xfId="0" applyFont="1" applyFill="1" applyBorder="1"/>
    <xf numFmtId="2" fontId="2" fillId="0" borderId="2" xfId="0" applyNumberFormat="1" applyFont="1" applyFill="1" applyBorder="1" applyAlignment="1">
      <alignment horizontal="center" vertical="top" wrapText="1"/>
    </xf>
    <xf numFmtId="2" fontId="4" fillId="4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7" fillId="0" borderId="16" xfId="3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4" fillId="3" borderId="11" xfId="0" applyFont="1" applyFill="1" applyBorder="1"/>
    <xf numFmtId="0" fontId="4" fillId="3" borderId="15" xfId="0" applyFont="1" applyFill="1" applyBorder="1"/>
    <xf numFmtId="0" fontId="4" fillId="0" borderId="11" xfId="0" applyFont="1" applyFill="1" applyBorder="1"/>
    <xf numFmtId="168" fontId="4" fillId="0" borderId="2" xfId="2" applyNumberFormat="1" applyFont="1" applyFill="1" applyBorder="1" applyAlignment="1">
      <alignment vertical="top" wrapText="1"/>
    </xf>
    <xf numFmtId="0" fontId="4" fillId="0" borderId="15" xfId="0" applyFont="1" applyFill="1" applyBorder="1"/>
    <xf numFmtId="0" fontId="7" fillId="5" borderId="16" xfId="3" applyFont="1" applyFill="1" applyBorder="1" applyAlignment="1">
      <alignment horizontal="center" vertical="center" wrapText="1"/>
    </xf>
    <xf numFmtId="169" fontId="4" fillId="0" borderId="2" xfId="0" applyNumberFormat="1" applyFont="1" applyFill="1" applyBorder="1" applyAlignment="1">
      <alignment horizontal="center" vertical="top"/>
    </xf>
    <xf numFmtId="42" fontId="4" fillId="0" borderId="0" xfId="0" applyNumberFormat="1" applyFont="1" applyFill="1"/>
    <xf numFmtId="0" fontId="2" fillId="3" borderId="2" xfId="0" applyFont="1" applyFill="1" applyBorder="1" applyAlignment="1">
      <alignment horizontal="center" vertical="center"/>
    </xf>
    <xf numFmtId="164" fontId="4" fillId="0" borderId="0" xfId="0" applyNumberFormat="1" applyFont="1" applyFill="1"/>
    <xf numFmtId="1" fontId="2" fillId="0" borderId="2" xfId="0" applyNumberFormat="1" applyFont="1" applyFill="1" applyBorder="1" applyAlignment="1">
      <alignment horizontal="center" vertical="top"/>
    </xf>
    <xf numFmtId="165" fontId="2" fillId="0" borderId="2" xfId="0" applyNumberFormat="1" applyFont="1" applyFill="1" applyBorder="1" applyAlignment="1">
      <alignment vertical="top"/>
    </xf>
    <xf numFmtId="2" fontId="2" fillId="0" borderId="2" xfId="0" applyNumberFormat="1" applyFont="1" applyFill="1" applyBorder="1" applyAlignment="1">
      <alignment horizontal="center" vertical="top"/>
    </xf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 vertical="top" wrapText="1"/>
    </xf>
    <xf numFmtId="0" fontId="2" fillId="0" borderId="0" xfId="0" applyFont="1" applyFill="1"/>
    <xf numFmtId="167" fontId="2" fillId="0" borderId="0" xfId="1" quotePrefix="1" applyNumberFormat="1" applyFont="1" applyFill="1" applyBorder="1" applyAlignment="1">
      <alignment vertical="top"/>
    </xf>
    <xf numFmtId="0" fontId="4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168" fontId="8" fillId="0" borderId="2" xfId="0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1" fontId="9" fillId="0" borderId="2" xfId="0" applyNumberFormat="1" applyFont="1" applyFill="1" applyBorder="1" applyAlignment="1">
      <alignment horizontal="center" vertical="top" wrapText="1"/>
    </xf>
    <xf numFmtId="167" fontId="2" fillId="0" borderId="2" xfId="1" quotePrefix="1" applyNumberFormat="1" applyFont="1" applyFill="1" applyBorder="1" applyAlignment="1">
      <alignment horizontal="center" vertical="top"/>
    </xf>
    <xf numFmtId="2" fontId="2" fillId="0" borderId="2" xfId="1" quotePrefix="1" applyNumberFormat="1" applyFont="1" applyFill="1" applyBorder="1" applyAlignment="1">
      <alignment horizontal="center" vertical="top"/>
    </xf>
    <xf numFmtId="1" fontId="4" fillId="0" borderId="2" xfId="0" quotePrefix="1" applyNumberFormat="1" applyFont="1" applyFill="1" applyBorder="1" applyAlignment="1">
      <alignment horizontal="center" vertical="top" wrapText="1"/>
    </xf>
    <xf numFmtId="1" fontId="4" fillId="0" borderId="2" xfId="2" applyNumberFormat="1" applyFont="1" applyFill="1" applyBorder="1" applyAlignment="1">
      <alignment horizontal="center" vertical="top" wrapText="1"/>
    </xf>
    <xf numFmtId="0" fontId="10" fillId="0" borderId="0" xfId="0" applyFont="1" applyFill="1"/>
    <xf numFmtId="0" fontId="4" fillId="0" borderId="11" xfId="0" applyFont="1" applyFill="1" applyBorder="1" applyAlignment="1"/>
    <xf numFmtId="167" fontId="11" fillId="0" borderId="2" xfId="1" quotePrefix="1" applyNumberFormat="1" applyFont="1" applyFill="1" applyBorder="1" applyAlignment="1">
      <alignment vertical="top"/>
    </xf>
    <xf numFmtId="1" fontId="11" fillId="0" borderId="2" xfId="0" applyNumberFormat="1" applyFont="1" applyFill="1" applyBorder="1" applyAlignment="1">
      <alignment horizontal="center" vertical="top" wrapText="1"/>
    </xf>
    <xf numFmtId="9" fontId="11" fillId="0" borderId="2" xfId="0" applyNumberFormat="1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top" wrapText="1"/>
    </xf>
    <xf numFmtId="167" fontId="9" fillId="0" borderId="2" xfId="1" quotePrefix="1" applyNumberFormat="1" applyFont="1" applyFill="1" applyBorder="1" applyAlignment="1">
      <alignment vertical="top"/>
    </xf>
    <xf numFmtId="3" fontId="11" fillId="0" borderId="2" xfId="1" quotePrefix="1" applyNumberFormat="1" applyFont="1" applyFill="1" applyBorder="1" applyAlignment="1">
      <alignment vertical="top"/>
    </xf>
    <xf numFmtId="9" fontId="9" fillId="0" borderId="2" xfId="0" applyNumberFormat="1" applyFont="1" applyFill="1" applyBorder="1" applyAlignment="1">
      <alignment horizontal="center" vertical="top"/>
    </xf>
    <xf numFmtId="3" fontId="9" fillId="0" borderId="2" xfId="1" quotePrefix="1" applyNumberFormat="1" applyFont="1" applyFill="1" applyBorder="1" applyAlignment="1">
      <alignment vertical="top"/>
    </xf>
    <xf numFmtId="0" fontId="11" fillId="0" borderId="2" xfId="2" applyNumberFormat="1" applyFont="1" applyFill="1" applyBorder="1" applyAlignment="1">
      <alignment horizontal="center" vertical="top" wrapText="1"/>
    </xf>
    <xf numFmtId="165" fontId="9" fillId="0" borderId="2" xfId="2" applyFont="1" applyFill="1" applyBorder="1" applyAlignment="1">
      <alignment vertical="top" wrapText="1"/>
    </xf>
    <xf numFmtId="9" fontId="11" fillId="0" borderId="2" xfId="0" applyNumberFormat="1" applyFont="1" applyFill="1" applyBorder="1" applyAlignment="1">
      <alignment horizontal="center" vertical="top" wrapText="1"/>
    </xf>
    <xf numFmtId="9" fontId="9" fillId="0" borderId="2" xfId="0" applyNumberFormat="1" applyFont="1" applyFill="1" applyBorder="1" applyAlignment="1">
      <alignment horizontal="center" vertical="top" wrapText="1"/>
    </xf>
    <xf numFmtId="169" fontId="9" fillId="0" borderId="2" xfId="0" applyNumberFormat="1" applyFont="1" applyFill="1" applyBorder="1" applyAlignment="1">
      <alignment horizontal="center" vertical="top" wrapText="1"/>
    </xf>
    <xf numFmtId="167" fontId="11" fillId="0" borderId="2" xfId="1" quotePrefix="1" applyNumberFormat="1" applyFont="1" applyFill="1" applyBorder="1" applyAlignment="1">
      <alignment horizontal="center" vertical="top"/>
    </xf>
    <xf numFmtId="0" fontId="9" fillId="0" borderId="0" xfId="0" applyFont="1" applyFill="1"/>
    <xf numFmtId="1" fontId="4" fillId="0" borderId="2" xfId="2" applyNumberFormat="1" applyFont="1" applyFill="1" applyBorder="1" applyAlignment="1">
      <alignment horizontal="center" vertical="top"/>
    </xf>
    <xf numFmtId="165" fontId="9" fillId="0" borderId="2" xfId="2" quotePrefix="1" applyFont="1" applyFill="1" applyBorder="1" applyAlignment="1">
      <alignment vertical="top"/>
    </xf>
    <xf numFmtId="3" fontId="4" fillId="0" borderId="2" xfId="0" applyNumberFormat="1" applyFont="1" applyFill="1" applyBorder="1" applyAlignment="1">
      <alignment horizontal="center" vertical="top"/>
    </xf>
    <xf numFmtId="41" fontId="9" fillId="0" borderId="2" xfId="2" applyNumberFormat="1" applyFont="1" applyFill="1" applyBorder="1" applyAlignment="1">
      <alignment vertical="top" wrapText="1"/>
    </xf>
    <xf numFmtId="167" fontId="9" fillId="0" borderId="2" xfId="1" applyNumberFormat="1" applyFont="1" applyFill="1" applyBorder="1" applyAlignment="1">
      <alignment vertical="top"/>
    </xf>
    <xf numFmtId="0" fontId="2" fillId="0" borderId="6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167" fontId="2" fillId="0" borderId="11" xfId="0" applyNumberFormat="1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4" fillId="4" borderId="12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/>
    </xf>
    <xf numFmtId="0" fontId="4" fillId="4" borderId="12" xfId="0" applyFont="1" applyFill="1" applyBorder="1" applyAlignment="1">
      <alignment horizontal="right"/>
    </xf>
    <xf numFmtId="0" fontId="4" fillId="4" borderId="13" xfId="0" applyFont="1" applyFill="1" applyBorder="1" applyAlignment="1">
      <alignment horizontal="right"/>
    </xf>
    <xf numFmtId="0" fontId="4" fillId="4" borderId="14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horizontal="center" vertical="top"/>
    </xf>
    <xf numFmtId="0" fontId="11" fillId="3" borderId="12" xfId="0" applyFont="1" applyFill="1" applyBorder="1" applyAlignment="1">
      <alignment horizontal="center" vertical="top"/>
    </xf>
    <xf numFmtId="0" fontId="11" fillId="3" borderId="13" xfId="0" applyFont="1" applyFill="1" applyBorder="1" applyAlignment="1">
      <alignment horizontal="center" vertical="top"/>
    </xf>
    <xf numFmtId="0" fontId="11" fillId="3" borderId="14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10%20PRO\Downloads\E-Monev%20Laporan%20Fisik%20JU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K"/>
      <sheetName val="TIK"/>
      <sheetName val="KIP"/>
      <sheetName val="SEKETARIAT"/>
      <sheetName val="ANGGARAN KAS BULANAN"/>
      <sheetName val="lap bln JUNI"/>
    </sheetNames>
    <sheetDataSet>
      <sheetData sheetId="0" refreshError="1">
        <row r="8">
          <cell r="L8">
            <v>21658000</v>
          </cell>
        </row>
        <row r="9">
          <cell r="L9">
            <v>1850000</v>
          </cell>
        </row>
      </sheetData>
      <sheetData sheetId="1" refreshError="1"/>
      <sheetData sheetId="2" refreshError="1">
        <row r="10">
          <cell r="K10">
            <v>217468283</v>
          </cell>
        </row>
        <row r="11">
          <cell r="K11">
            <v>29750000</v>
          </cell>
        </row>
        <row r="12">
          <cell r="K12">
            <v>144750000</v>
          </cell>
        </row>
        <row r="13">
          <cell r="K13">
            <v>75000000</v>
          </cell>
        </row>
        <row r="14">
          <cell r="K14">
            <v>45544080</v>
          </cell>
        </row>
        <row r="15">
          <cell r="K15">
            <v>22850000</v>
          </cell>
        </row>
        <row r="16">
          <cell r="K16">
            <v>67255000</v>
          </cell>
        </row>
        <row r="17">
          <cell r="K17">
            <v>7500000</v>
          </cell>
        </row>
        <row r="18">
          <cell r="K18">
            <v>588250000</v>
          </cell>
        </row>
      </sheetData>
      <sheetData sheetId="3" refreshError="1">
        <row r="10">
          <cell r="J10">
            <v>1068636984</v>
          </cell>
        </row>
        <row r="12">
          <cell r="J12">
            <v>561100</v>
          </cell>
        </row>
        <row r="26">
          <cell r="J26">
            <v>9000000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80"/>
  <sheetViews>
    <sheetView tabSelected="1" showRuler="0" topLeftCell="C1" zoomScale="70" zoomScaleNormal="70" zoomScaleSheetLayoutView="80" zoomScalePageLayoutView="55" workbookViewId="0">
      <selection activeCell="Z72" sqref="Z72:AE72"/>
    </sheetView>
  </sheetViews>
  <sheetFormatPr defaultColWidth="9.140625" defaultRowHeight="15" x14ac:dyDescent="0.2"/>
  <cols>
    <col min="1" max="1" width="6.28515625" style="11" bestFit="1" customWidth="1"/>
    <col min="2" max="2" width="23.7109375" style="11" bestFit="1" customWidth="1"/>
    <col min="3" max="3" width="25.28515625" style="11" bestFit="1" customWidth="1"/>
    <col min="4" max="4" width="28.140625" style="11" bestFit="1" customWidth="1"/>
    <col min="5" max="5" width="9.42578125" style="11" bestFit="1" customWidth="1"/>
    <col min="6" max="6" width="11" style="11" bestFit="1" customWidth="1"/>
    <col min="7" max="7" width="24.85546875" style="11" customWidth="1"/>
    <col min="8" max="8" width="11.140625" style="11" customWidth="1"/>
    <col min="9" max="9" width="9" style="11" customWidth="1"/>
    <col min="10" max="10" width="17.5703125" style="69" bestFit="1" customWidth="1"/>
    <col min="11" max="11" width="9.42578125" style="11" bestFit="1" customWidth="1"/>
    <col min="12" max="12" width="9.85546875" style="11" customWidth="1"/>
    <col min="13" max="13" width="21.85546875" style="11" bestFit="1" customWidth="1"/>
    <col min="14" max="14" width="8.28515625" style="11" bestFit="1" customWidth="1"/>
    <col min="15" max="15" width="8.5703125" style="11" customWidth="1"/>
    <col min="16" max="16" width="15.5703125" style="85" bestFit="1" customWidth="1"/>
    <col min="17" max="17" width="7" style="85" bestFit="1" customWidth="1"/>
    <col min="18" max="18" width="8.5703125" style="85" customWidth="1"/>
    <col min="19" max="19" width="18.28515625" style="85" bestFit="1" customWidth="1"/>
    <col min="20" max="20" width="7" style="11" customWidth="1"/>
    <col min="21" max="21" width="8" style="11" customWidth="1"/>
    <col min="22" max="22" width="17" style="11" customWidth="1"/>
    <col min="23" max="23" width="7" style="11" customWidth="1"/>
    <col min="24" max="24" width="6" style="11" customWidth="1"/>
    <col min="25" max="25" width="17.42578125" style="11" customWidth="1"/>
    <col min="26" max="26" width="8.28515625" style="11" bestFit="1" customWidth="1"/>
    <col min="27" max="27" width="10.42578125" style="36" bestFit="1" customWidth="1"/>
    <col min="28" max="28" width="10.5703125" style="11" customWidth="1"/>
    <col min="29" max="29" width="5.85546875" style="36" customWidth="1"/>
    <col min="30" max="30" width="17.5703125" style="11" bestFit="1" customWidth="1"/>
    <col min="31" max="31" width="9.85546875" style="11" customWidth="1"/>
    <col min="32" max="32" width="6.28515625" style="36" customWidth="1"/>
    <col min="33" max="33" width="7" style="11" bestFit="1" customWidth="1"/>
    <col min="34" max="34" width="10.42578125" style="36" customWidth="1"/>
    <col min="35" max="35" width="18.7109375" style="11" bestFit="1" customWidth="1"/>
    <col min="36" max="36" width="6" style="11" bestFit="1" customWidth="1"/>
    <col min="37" max="37" width="10.42578125" style="36" bestFit="1" customWidth="1"/>
    <col min="38" max="38" width="9.85546875" style="11" bestFit="1" customWidth="1"/>
    <col min="39" max="39" width="14.7109375" style="11" bestFit="1" customWidth="1"/>
    <col min="40" max="40" width="9.140625" style="11"/>
    <col min="41" max="41" width="19.5703125" style="11" customWidth="1"/>
    <col min="42" max="42" width="17.5703125" style="11" bestFit="1" customWidth="1"/>
    <col min="43" max="45" width="19.5703125" style="11" customWidth="1"/>
    <col min="46" max="16384" width="9.140625" style="11"/>
  </cols>
  <sheetData>
    <row r="1" spans="1:45" ht="15.75" x14ac:dyDescent="0.2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</row>
    <row r="2" spans="1:45" ht="15.75" x14ac:dyDescent="0.25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38"/>
    </row>
    <row r="3" spans="1:45" ht="15.75" x14ac:dyDescent="0.25">
      <c r="A3" s="153" t="s">
        <v>32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38"/>
    </row>
    <row r="4" spans="1:45" ht="15.75" x14ac:dyDescent="0.2">
      <c r="A4" s="154" t="s">
        <v>180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</row>
    <row r="5" spans="1:45" ht="15.75" x14ac:dyDescent="0.2">
      <c r="A5" s="155" t="s">
        <v>2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</row>
    <row r="6" spans="1:45" ht="15.75" x14ac:dyDescent="0.25">
      <c r="A6" s="156" t="s">
        <v>32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</row>
    <row r="7" spans="1:45" ht="81" customHeight="1" x14ac:dyDescent="0.2">
      <c r="A7" s="157" t="s">
        <v>3</v>
      </c>
      <c r="B7" s="157" t="s">
        <v>4</v>
      </c>
      <c r="C7" s="158" t="s">
        <v>5</v>
      </c>
      <c r="D7" s="158" t="s">
        <v>145</v>
      </c>
      <c r="E7" s="144" t="s">
        <v>144</v>
      </c>
      <c r="F7" s="145"/>
      <c r="G7" s="148"/>
      <c r="H7" s="144" t="s">
        <v>47</v>
      </c>
      <c r="I7" s="145"/>
      <c r="J7" s="148"/>
      <c r="K7" s="144" t="s">
        <v>48</v>
      </c>
      <c r="L7" s="145"/>
      <c r="M7" s="145"/>
      <c r="N7" s="144" t="s">
        <v>6</v>
      </c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8"/>
      <c r="Z7" s="144" t="s">
        <v>35</v>
      </c>
      <c r="AA7" s="145"/>
      <c r="AB7" s="145"/>
      <c r="AC7" s="145"/>
      <c r="AD7" s="145"/>
      <c r="AE7" s="145"/>
      <c r="AF7" s="148"/>
      <c r="AG7" s="144" t="s">
        <v>49</v>
      </c>
      <c r="AH7" s="145"/>
      <c r="AI7" s="148"/>
      <c r="AJ7" s="144" t="s">
        <v>50</v>
      </c>
      <c r="AK7" s="145"/>
      <c r="AL7" s="145"/>
      <c r="AM7" s="133" t="s">
        <v>7</v>
      </c>
      <c r="AO7" s="36"/>
      <c r="AP7" s="36"/>
      <c r="AQ7" s="36"/>
      <c r="AR7" s="36"/>
      <c r="AS7" s="36"/>
    </row>
    <row r="8" spans="1:45" ht="18" customHeight="1" x14ac:dyDescent="0.2">
      <c r="A8" s="157"/>
      <c r="B8" s="157"/>
      <c r="C8" s="158"/>
      <c r="D8" s="158"/>
      <c r="E8" s="150"/>
      <c r="F8" s="151"/>
      <c r="G8" s="152"/>
      <c r="H8" s="150"/>
      <c r="I8" s="151"/>
      <c r="J8" s="152"/>
      <c r="K8" s="146"/>
      <c r="L8" s="147"/>
      <c r="M8" s="147"/>
      <c r="N8" s="146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9"/>
      <c r="Z8" s="146"/>
      <c r="AA8" s="147"/>
      <c r="AB8" s="147"/>
      <c r="AC8" s="147"/>
      <c r="AD8" s="147"/>
      <c r="AE8" s="147"/>
      <c r="AF8" s="149"/>
      <c r="AG8" s="146"/>
      <c r="AH8" s="147"/>
      <c r="AI8" s="149"/>
      <c r="AJ8" s="146"/>
      <c r="AK8" s="147"/>
      <c r="AL8" s="147"/>
      <c r="AM8" s="134"/>
    </row>
    <row r="9" spans="1:45" ht="15.75" customHeight="1" x14ac:dyDescent="0.2">
      <c r="A9" s="157"/>
      <c r="B9" s="157"/>
      <c r="C9" s="158"/>
      <c r="D9" s="158"/>
      <c r="E9" s="146"/>
      <c r="F9" s="147"/>
      <c r="G9" s="149"/>
      <c r="H9" s="146"/>
      <c r="I9" s="147"/>
      <c r="J9" s="149"/>
      <c r="K9" s="135">
        <v>2021</v>
      </c>
      <c r="L9" s="136"/>
      <c r="M9" s="137"/>
      <c r="N9" s="138" t="s">
        <v>8</v>
      </c>
      <c r="O9" s="139"/>
      <c r="P9" s="140"/>
      <c r="Q9" s="141" t="s">
        <v>9</v>
      </c>
      <c r="R9" s="142"/>
      <c r="S9" s="143"/>
      <c r="T9" s="138" t="s">
        <v>10</v>
      </c>
      <c r="U9" s="139"/>
      <c r="V9" s="140"/>
      <c r="W9" s="138" t="s">
        <v>11</v>
      </c>
      <c r="X9" s="139"/>
      <c r="Y9" s="140"/>
      <c r="Z9" s="138">
        <v>2021</v>
      </c>
      <c r="AA9" s="139"/>
      <c r="AB9" s="139"/>
      <c r="AC9" s="139"/>
      <c r="AD9" s="139"/>
      <c r="AE9" s="139"/>
      <c r="AF9" s="140"/>
      <c r="AG9" s="138">
        <v>2021</v>
      </c>
      <c r="AH9" s="139"/>
      <c r="AI9" s="140"/>
      <c r="AJ9" s="138">
        <v>2021</v>
      </c>
      <c r="AK9" s="139"/>
      <c r="AL9" s="140"/>
      <c r="AM9" s="1"/>
    </row>
    <row r="10" spans="1:45" ht="15.75" x14ac:dyDescent="0.25">
      <c r="A10" s="107">
        <v>1</v>
      </c>
      <c r="B10" s="107">
        <v>2</v>
      </c>
      <c r="C10" s="107">
        <v>3</v>
      </c>
      <c r="D10" s="107">
        <v>4</v>
      </c>
      <c r="E10" s="118">
        <v>5</v>
      </c>
      <c r="F10" s="132"/>
      <c r="G10" s="119"/>
      <c r="H10" s="118">
        <v>6</v>
      </c>
      <c r="I10" s="132"/>
      <c r="J10" s="119"/>
      <c r="K10" s="125">
        <v>7</v>
      </c>
      <c r="L10" s="126"/>
      <c r="M10" s="127"/>
      <c r="N10" s="125">
        <v>8</v>
      </c>
      <c r="O10" s="126"/>
      <c r="P10" s="127"/>
      <c r="Q10" s="128">
        <v>9</v>
      </c>
      <c r="R10" s="129"/>
      <c r="S10" s="130"/>
      <c r="T10" s="125">
        <v>10</v>
      </c>
      <c r="U10" s="126"/>
      <c r="V10" s="127"/>
      <c r="W10" s="125">
        <v>11</v>
      </c>
      <c r="X10" s="126"/>
      <c r="Y10" s="127"/>
      <c r="Z10" s="122">
        <v>12</v>
      </c>
      <c r="AA10" s="123"/>
      <c r="AB10" s="123"/>
      <c r="AC10" s="123"/>
      <c r="AD10" s="123"/>
      <c r="AE10" s="123"/>
      <c r="AF10" s="124"/>
      <c r="AG10" s="122">
        <v>13</v>
      </c>
      <c r="AH10" s="123"/>
      <c r="AI10" s="124"/>
      <c r="AJ10" s="122">
        <v>14</v>
      </c>
      <c r="AK10" s="123"/>
      <c r="AL10" s="124"/>
      <c r="AM10" s="2">
        <v>15</v>
      </c>
    </row>
    <row r="11" spans="1:45" ht="87" customHeight="1" x14ac:dyDescent="0.2">
      <c r="A11" s="108"/>
      <c r="B11" s="108"/>
      <c r="C11" s="108"/>
      <c r="D11" s="108"/>
      <c r="E11" s="120" t="s">
        <v>12</v>
      </c>
      <c r="F11" s="121"/>
      <c r="G11" s="109" t="s">
        <v>13</v>
      </c>
      <c r="H11" s="120" t="s">
        <v>12</v>
      </c>
      <c r="I11" s="121"/>
      <c r="J11" s="109" t="s">
        <v>13</v>
      </c>
      <c r="K11" s="120" t="s">
        <v>12</v>
      </c>
      <c r="L11" s="121"/>
      <c r="M11" s="107" t="s">
        <v>13</v>
      </c>
      <c r="N11" s="120" t="s">
        <v>12</v>
      </c>
      <c r="O11" s="121"/>
      <c r="P11" s="114" t="s">
        <v>13</v>
      </c>
      <c r="Q11" s="110" t="s">
        <v>12</v>
      </c>
      <c r="R11" s="111"/>
      <c r="S11" s="114" t="s">
        <v>13</v>
      </c>
      <c r="T11" s="120" t="s">
        <v>12</v>
      </c>
      <c r="U11" s="121"/>
      <c r="V11" s="107" t="s">
        <v>13</v>
      </c>
      <c r="W11" s="120" t="s">
        <v>12</v>
      </c>
      <c r="X11" s="121"/>
      <c r="Y11" s="107" t="s">
        <v>13</v>
      </c>
      <c r="Z11" s="118" t="s">
        <v>14</v>
      </c>
      <c r="AA11" s="119"/>
      <c r="AB11" s="118" t="s">
        <v>36</v>
      </c>
      <c r="AC11" s="119"/>
      <c r="AD11" s="3" t="s">
        <v>15</v>
      </c>
      <c r="AE11" s="118" t="s">
        <v>37</v>
      </c>
      <c r="AF11" s="119"/>
      <c r="AG11" s="118" t="s">
        <v>16</v>
      </c>
      <c r="AH11" s="119"/>
      <c r="AI11" s="3" t="s">
        <v>17</v>
      </c>
      <c r="AJ11" s="118" t="s">
        <v>18</v>
      </c>
      <c r="AK11" s="119"/>
      <c r="AL11" s="3" t="s">
        <v>19</v>
      </c>
      <c r="AM11" s="39"/>
    </row>
    <row r="12" spans="1:45" ht="15.75" x14ac:dyDescent="0.2">
      <c r="A12" s="109"/>
      <c r="B12" s="109"/>
      <c r="C12" s="109"/>
      <c r="D12" s="109"/>
      <c r="E12" s="116"/>
      <c r="F12" s="117"/>
      <c r="G12" s="131"/>
      <c r="H12" s="116"/>
      <c r="I12" s="117"/>
      <c r="J12" s="131"/>
      <c r="K12" s="116"/>
      <c r="L12" s="117"/>
      <c r="M12" s="109"/>
      <c r="N12" s="116"/>
      <c r="O12" s="117"/>
      <c r="P12" s="115"/>
      <c r="Q12" s="112"/>
      <c r="R12" s="113"/>
      <c r="S12" s="115"/>
      <c r="T12" s="116"/>
      <c r="U12" s="117"/>
      <c r="V12" s="109"/>
      <c r="W12" s="116"/>
      <c r="X12" s="117"/>
      <c r="Y12" s="109"/>
      <c r="Z12" s="116" t="s">
        <v>12</v>
      </c>
      <c r="AA12" s="117"/>
      <c r="AB12" s="116" t="s">
        <v>12</v>
      </c>
      <c r="AC12" s="117"/>
      <c r="AD12" s="47" t="s">
        <v>13</v>
      </c>
      <c r="AE12" s="116" t="s">
        <v>13</v>
      </c>
      <c r="AF12" s="117"/>
      <c r="AG12" s="116" t="s">
        <v>12</v>
      </c>
      <c r="AH12" s="117"/>
      <c r="AI12" s="47" t="s">
        <v>13</v>
      </c>
      <c r="AJ12" s="116" t="s">
        <v>12</v>
      </c>
      <c r="AK12" s="117"/>
      <c r="AL12" s="47" t="s">
        <v>13</v>
      </c>
      <c r="AM12" s="40"/>
    </row>
    <row r="13" spans="1:45" ht="63" x14ac:dyDescent="0.2">
      <c r="A13" s="23">
        <v>1</v>
      </c>
      <c r="B13" s="4" t="s">
        <v>137</v>
      </c>
      <c r="C13" s="4" t="s">
        <v>51</v>
      </c>
      <c r="D13" s="4" t="s">
        <v>102</v>
      </c>
      <c r="E13" s="18">
        <v>100</v>
      </c>
      <c r="F13" s="19" t="s">
        <v>30</v>
      </c>
      <c r="G13" s="16">
        <f>G14+G17+G23+G30+G34</f>
        <v>10208422802</v>
      </c>
      <c r="H13" s="22">
        <v>100</v>
      </c>
      <c r="I13" s="49" t="s">
        <v>30</v>
      </c>
      <c r="J13" s="71"/>
      <c r="K13" s="18">
        <v>100</v>
      </c>
      <c r="L13" s="19" t="s">
        <v>30</v>
      </c>
      <c r="M13" s="16">
        <f>M14+M17+M23+M30+M34</f>
        <v>3517170802</v>
      </c>
      <c r="N13" s="18">
        <v>25</v>
      </c>
      <c r="O13" s="19" t="str">
        <f>L13</f>
        <v>%</v>
      </c>
      <c r="P13" s="71">
        <f>P14+P17+P23+P30+P34</f>
        <v>500940829</v>
      </c>
      <c r="Q13" s="72">
        <v>25</v>
      </c>
      <c r="R13" s="73" t="str">
        <f>L13</f>
        <v>%</v>
      </c>
      <c r="S13" s="71">
        <f>S14+S17+S23+S30+S34</f>
        <v>1261899692</v>
      </c>
      <c r="T13" s="72">
        <v>25</v>
      </c>
      <c r="U13" s="73" t="str">
        <f>L13</f>
        <v>%</v>
      </c>
      <c r="V13" s="71">
        <f>V14+V17+V23+V30+V34</f>
        <v>296868235</v>
      </c>
      <c r="W13" s="72">
        <v>25</v>
      </c>
      <c r="X13" s="73" t="str">
        <f>O13</f>
        <v>%</v>
      </c>
      <c r="Y13" s="71">
        <f>Y14+Y17+Y23+Y30+Y34</f>
        <v>756864309</v>
      </c>
      <c r="Z13" s="49">
        <f>SUM(N13,Q13,T13,W13)</f>
        <v>100</v>
      </c>
      <c r="AA13" s="19" t="str">
        <f>L13</f>
        <v>%</v>
      </c>
      <c r="AB13" s="51">
        <f>Z13/K13*100</f>
        <v>100</v>
      </c>
      <c r="AC13" s="19" t="s">
        <v>30</v>
      </c>
      <c r="AD13" s="50">
        <f>SUM(P13,S13,V13,Y13)</f>
        <v>2816573065</v>
      </c>
      <c r="AE13" s="51">
        <f>AD13/M13*100</f>
        <v>80.080645028623209</v>
      </c>
      <c r="AF13" s="19" t="s">
        <v>30</v>
      </c>
      <c r="AG13" s="49">
        <f>SUM(H13,Z13)</f>
        <v>200</v>
      </c>
      <c r="AH13" s="19" t="str">
        <f>L13</f>
        <v>%</v>
      </c>
      <c r="AI13" s="50">
        <f>SUM(J13,AD13)</f>
        <v>2816573065</v>
      </c>
      <c r="AJ13" s="23"/>
      <c r="AK13" s="19"/>
      <c r="AL13" s="51"/>
      <c r="AM13" s="53" t="s">
        <v>33</v>
      </c>
      <c r="AP13" s="8">
        <f t="shared" ref="AP13:AP21" si="0">P13+S13+V13+Y13</f>
        <v>2816573065</v>
      </c>
    </row>
    <row r="14" spans="1:45" s="54" customFormat="1" ht="78.75" x14ac:dyDescent="0.25">
      <c r="A14" s="23"/>
      <c r="B14" s="4"/>
      <c r="C14" s="4" t="s">
        <v>52</v>
      </c>
      <c r="D14" s="4" t="s">
        <v>111</v>
      </c>
      <c r="E14" s="18">
        <v>100</v>
      </c>
      <c r="F14" s="19" t="s">
        <v>30</v>
      </c>
      <c r="G14" s="16">
        <f>SUM(G15:G16)</f>
        <v>29125000</v>
      </c>
      <c r="H14" s="18">
        <v>100</v>
      </c>
      <c r="I14" s="49" t="s">
        <v>30</v>
      </c>
      <c r="J14" s="71"/>
      <c r="K14" s="18">
        <v>100</v>
      </c>
      <c r="L14" s="19" t="s">
        <v>30</v>
      </c>
      <c r="M14" s="16">
        <f>SUM(M15:M16)</f>
        <v>7125000</v>
      </c>
      <c r="N14" s="22">
        <v>25</v>
      </c>
      <c r="O14" s="19" t="str">
        <f t="shared" ref="O14:O63" si="1">L14</f>
        <v>%</v>
      </c>
      <c r="P14" s="71">
        <f>SUM(P15:P16)</f>
        <v>0</v>
      </c>
      <c r="Q14" s="74">
        <v>25</v>
      </c>
      <c r="R14" s="73" t="str">
        <f t="shared" ref="R14:R63" si="2">L14</f>
        <v>%</v>
      </c>
      <c r="S14" s="71">
        <f>SUM(S15:S16)</f>
        <v>2561200</v>
      </c>
      <c r="T14" s="74">
        <v>25</v>
      </c>
      <c r="U14" s="73" t="str">
        <f t="shared" ref="U14:U63" si="3">L14</f>
        <v>%</v>
      </c>
      <c r="V14" s="71">
        <f>SUM(V15:V16)</f>
        <v>1250000</v>
      </c>
      <c r="W14" s="74">
        <v>25</v>
      </c>
      <c r="X14" s="73" t="str">
        <f t="shared" ref="X14:X63" si="4">O14</f>
        <v>%</v>
      </c>
      <c r="Y14" s="71">
        <f>SUM(Y15:Y16)</f>
        <v>863800</v>
      </c>
      <c r="Z14" s="49">
        <f>SUM(N14,Q14,T14,W14)</f>
        <v>100</v>
      </c>
      <c r="AA14" s="19" t="str">
        <f t="shared" ref="AA14:AA63" si="5">L14</f>
        <v>%</v>
      </c>
      <c r="AB14" s="51">
        <f>Z14/K14*100</f>
        <v>100</v>
      </c>
      <c r="AC14" s="19" t="s">
        <v>30</v>
      </c>
      <c r="AD14" s="50">
        <f>SUM(P14,S14,V14,Y14)</f>
        <v>4675000</v>
      </c>
      <c r="AE14" s="51">
        <f>AD14/M14*100</f>
        <v>65.614035087719301</v>
      </c>
      <c r="AF14" s="19" t="s">
        <v>30</v>
      </c>
      <c r="AG14" s="49">
        <f>SUM(H14,Z14)</f>
        <v>200</v>
      </c>
      <c r="AH14" s="19" t="str">
        <f t="shared" ref="AH14:AH63" si="6">L14</f>
        <v>%</v>
      </c>
      <c r="AI14" s="50">
        <f>SUM(J14,AD14)</f>
        <v>4675000</v>
      </c>
      <c r="AJ14" s="23"/>
      <c r="AK14" s="19"/>
      <c r="AL14" s="51"/>
      <c r="AM14" s="52"/>
      <c r="AP14" s="55"/>
    </row>
    <row r="15" spans="1:45" ht="45" x14ac:dyDescent="0.2">
      <c r="A15" s="23"/>
      <c r="B15" s="4"/>
      <c r="C15" s="9" t="s">
        <v>53</v>
      </c>
      <c r="D15" s="56" t="s">
        <v>112</v>
      </c>
      <c r="E15" s="5">
        <v>15</v>
      </c>
      <c r="F15" s="5" t="s">
        <v>146</v>
      </c>
      <c r="G15" s="7">
        <f>M15+J15*2</f>
        <v>23000000</v>
      </c>
      <c r="H15" s="5">
        <v>5</v>
      </c>
      <c r="I15" s="17" t="s">
        <v>146</v>
      </c>
      <c r="J15" s="75">
        <v>8500000</v>
      </c>
      <c r="K15" s="5">
        <v>5</v>
      </c>
      <c r="L15" s="5" t="s">
        <v>146</v>
      </c>
      <c r="M15" s="7">
        <v>6000000</v>
      </c>
      <c r="N15" s="5">
        <v>0</v>
      </c>
      <c r="O15" s="5" t="str">
        <f t="shared" si="1"/>
        <v>Dok</v>
      </c>
      <c r="P15" s="87">
        <v>0</v>
      </c>
      <c r="Q15" s="62">
        <v>1</v>
      </c>
      <c r="R15" s="62" t="str">
        <f t="shared" si="2"/>
        <v>Dok</v>
      </c>
      <c r="S15" s="75">
        <v>2561200</v>
      </c>
      <c r="T15" s="62">
        <v>1</v>
      </c>
      <c r="U15" s="62" t="str">
        <f t="shared" si="3"/>
        <v>Dok</v>
      </c>
      <c r="V15" s="75">
        <v>800000</v>
      </c>
      <c r="W15" s="62">
        <v>3</v>
      </c>
      <c r="X15" s="62" t="str">
        <f t="shared" si="4"/>
        <v>Dok</v>
      </c>
      <c r="Y15" s="75">
        <v>638800</v>
      </c>
      <c r="Z15" s="25">
        <f t="shared" ref="Z15:Z63" si="7">SUM(N15,Q15,T15,W15)</f>
        <v>5</v>
      </c>
      <c r="AA15" s="20" t="str">
        <f t="shared" si="5"/>
        <v>Dok</v>
      </c>
      <c r="AB15" s="24">
        <f t="shared" ref="AB15:AB63" si="8">Z15/K15*100</f>
        <v>100</v>
      </c>
      <c r="AC15" s="5" t="s">
        <v>30</v>
      </c>
      <c r="AD15" s="15">
        <f t="shared" ref="AD15:AD63" si="9">SUM(P15,S15,V15,Y15)</f>
        <v>4000000</v>
      </c>
      <c r="AE15" s="24">
        <f t="shared" ref="AE15:AE63" si="10">AD15/M15*100</f>
        <v>66.666666666666657</v>
      </c>
      <c r="AF15" s="5" t="s">
        <v>30</v>
      </c>
      <c r="AG15" s="25">
        <f t="shared" ref="AG15:AG63" si="11">SUM(H15,Z15)</f>
        <v>10</v>
      </c>
      <c r="AH15" s="5" t="str">
        <f t="shared" si="6"/>
        <v>Dok</v>
      </c>
      <c r="AI15" s="15">
        <f t="shared" ref="AI15:AI63" si="12">SUM(J15,AD15)</f>
        <v>12500000</v>
      </c>
      <c r="AJ15" s="12"/>
      <c r="AK15" s="5"/>
      <c r="AL15" s="24"/>
      <c r="AM15" s="41"/>
      <c r="AP15" s="8"/>
    </row>
    <row r="16" spans="1:45" ht="30" x14ac:dyDescent="0.2">
      <c r="A16" s="12"/>
      <c r="B16" s="9"/>
      <c r="C16" s="9" t="s">
        <v>54</v>
      </c>
      <c r="D16" s="56" t="s">
        <v>113</v>
      </c>
      <c r="E16" s="5">
        <v>30</v>
      </c>
      <c r="F16" s="5" t="s">
        <v>146</v>
      </c>
      <c r="G16" s="7">
        <f>M16+J16*2</f>
        <v>6125000</v>
      </c>
      <c r="H16" s="5">
        <v>10</v>
      </c>
      <c r="I16" s="17" t="s">
        <v>146</v>
      </c>
      <c r="J16" s="75">
        <v>2500000</v>
      </c>
      <c r="K16" s="5">
        <v>10</v>
      </c>
      <c r="L16" s="5" t="s">
        <v>146</v>
      </c>
      <c r="M16" s="7">
        <v>1125000</v>
      </c>
      <c r="N16" s="5">
        <v>1</v>
      </c>
      <c r="O16" s="5" t="str">
        <f t="shared" si="1"/>
        <v>Dok</v>
      </c>
      <c r="P16" s="87">
        <v>0</v>
      </c>
      <c r="Q16" s="62">
        <v>2</v>
      </c>
      <c r="R16" s="62" t="str">
        <f t="shared" si="2"/>
        <v>Dok</v>
      </c>
      <c r="S16" s="87">
        <v>0</v>
      </c>
      <c r="T16" s="62">
        <v>2</v>
      </c>
      <c r="U16" s="62" t="str">
        <f t="shared" si="3"/>
        <v>Dok</v>
      </c>
      <c r="V16" s="87">
        <v>450000</v>
      </c>
      <c r="W16" s="62">
        <v>5</v>
      </c>
      <c r="X16" s="62" t="str">
        <f t="shared" si="4"/>
        <v>Dok</v>
      </c>
      <c r="Y16" s="87">
        <v>225000</v>
      </c>
      <c r="Z16" s="25">
        <f t="shared" si="7"/>
        <v>10</v>
      </c>
      <c r="AA16" s="20" t="str">
        <f t="shared" si="5"/>
        <v>Dok</v>
      </c>
      <c r="AB16" s="24">
        <f t="shared" si="8"/>
        <v>100</v>
      </c>
      <c r="AC16" s="5" t="s">
        <v>30</v>
      </c>
      <c r="AD16" s="15">
        <f t="shared" si="9"/>
        <v>675000</v>
      </c>
      <c r="AE16" s="24">
        <f t="shared" si="10"/>
        <v>60</v>
      </c>
      <c r="AF16" s="5" t="s">
        <v>30</v>
      </c>
      <c r="AG16" s="25">
        <f t="shared" si="11"/>
        <v>20</v>
      </c>
      <c r="AH16" s="5" t="str">
        <f t="shared" si="6"/>
        <v>Dok</v>
      </c>
      <c r="AI16" s="15">
        <f t="shared" si="12"/>
        <v>3175000</v>
      </c>
      <c r="AJ16" s="24"/>
      <c r="AK16" s="5"/>
      <c r="AL16" s="24"/>
      <c r="AM16" s="41"/>
      <c r="AP16" s="8"/>
    </row>
    <row r="17" spans="1:42" s="54" customFormat="1" ht="78" customHeight="1" x14ac:dyDescent="0.25">
      <c r="A17" s="23"/>
      <c r="B17" s="4"/>
      <c r="C17" s="4" t="s">
        <v>55</v>
      </c>
      <c r="D17" s="4" t="s">
        <v>139</v>
      </c>
      <c r="E17" s="18">
        <v>100</v>
      </c>
      <c r="F17" s="19" t="s">
        <v>30</v>
      </c>
      <c r="G17" s="16">
        <f>SUM(G18:G22)</f>
        <v>7616925352</v>
      </c>
      <c r="H17" s="22">
        <v>100</v>
      </c>
      <c r="I17" s="49" t="s">
        <v>30</v>
      </c>
      <c r="J17" s="71"/>
      <c r="K17" s="18">
        <v>100</v>
      </c>
      <c r="L17" s="19" t="s">
        <v>30</v>
      </c>
      <c r="M17" s="16">
        <f>SUM(M18:M22)</f>
        <v>2476444352</v>
      </c>
      <c r="N17" s="22">
        <v>25</v>
      </c>
      <c r="O17" s="19" t="str">
        <f t="shared" si="1"/>
        <v>%</v>
      </c>
      <c r="P17" s="71">
        <f>SUM(P18:P22)</f>
        <v>459909757</v>
      </c>
      <c r="Q17" s="72">
        <v>25</v>
      </c>
      <c r="R17" s="73" t="str">
        <f t="shared" si="2"/>
        <v>%</v>
      </c>
      <c r="S17" s="76">
        <f>SUM(S18:S22)</f>
        <v>1076830484</v>
      </c>
      <c r="T17" s="72">
        <v>25</v>
      </c>
      <c r="U17" s="73" t="str">
        <f t="shared" si="3"/>
        <v>%</v>
      </c>
      <c r="V17" s="76">
        <f>SUM(V18:V22)</f>
        <v>210437083</v>
      </c>
      <c r="W17" s="72">
        <v>25</v>
      </c>
      <c r="X17" s="73" t="str">
        <f t="shared" si="4"/>
        <v>%</v>
      </c>
      <c r="Y17" s="76">
        <f>SUM(Y18:Y22)</f>
        <v>485544454</v>
      </c>
      <c r="Z17" s="49">
        <f t="shared" si="7"/>
        <v>100</v>
      </c>
      <c r="AA17" s="19" t="str">
        <f t="shared" si="5"/>
        <v>%</v>
      </c>
      <c r="AB17" s="51">
        <f t="shared" si="8"/>
        <v>100</v>
      </c>
      <c r="AC17" s="19" t="s">
        <v>30</v>
      </c>
      <c r="AD17" s="50">
        <f t="shared" si="9"/>
        <v>2232721778</v>
      </c>
      <c r="AE17" s="51">
        <f t="shared" si="10"/>
        <v>90.158366619336022</v>
      </c>
      <c r="AF17" s="19" t="s">
        <v>30</v>
      </c>
      <c r="AG17" s="49">
        <f t="shared" si="11"/>
        <v>200</v>
      </c>
      <c r="AH17" s="19" t="str">
        <f t="shared" si="6"/>
        <v>%</v>
      </c>
      <c r="AI17" s="50">
        <f t="shared" si="12"/>
        <v>2232721778</v>
      </c>
      <c r="AJ17" s="51"/>
      <c r="AK17" s="19"/>
      <c r="AL17" s="51"/>
      <c r="AM17" s="53"/>
      <c r="AP17" s="55">
        <f t="shared" si="0"/>
        <v>2232721778</v>
      </c>
    </row>
    <row r="18" spans="1:42" ht="67.5" customHeight="1" x14ac:dyDescent="0.2">
      <c r="A18" s="23"/>
      <c r="B18" s="4"/>
      <c r="C18" s="9" t="s">
        <v>56</v>
      </c>
      <c r="D18" s="9" t="s">
        <v>116</v>
      </c>
      <c r="E18" s="5">
        <f>K18*3</f>
        <v>36</v>
      </c>
      <c r="F18" s="6" t="s">
        <v>147</v>
      </c>
      <c r="G18" s="7">
        <f>M18+J18*2</f>
        <v>7430675352</v>
      </c>
      <c r="H18" s="17">
        <v>12</v>
      </c>
      <c r="I18" s="25" t="s">
        <v>147</v>
      </c>
      <c r="J18" s="75">
        <v>2505240500</v>
      </c>
      <c r="K18" s="17">
        <v>12</v>
      </c>
      <c r="L18" s="6" t="s">
        <v>147</v>
      </c>
      <c r="M18" s="7">
        <v>2420194352</v>
      </c>
      <c r="N18" s="17">
        <v>3</v>
      </c>
      <c r="O18" s="6" t="str">
        <f t="shared" si="1"/>
        <v>Bln</v>
      </c>
      <c r="P18" s="75">
        <v>456819757</v>
      </c>
      <c r="Q18" s="64">
        <v>3</v>
      </c>
      <c r="R18" s="77" t="str">
        <f t="shared" si="2"/>
        <v>Bln</v>
      </c>
      <c r="S18" s="75">
        <v>1068636984</v>
      </c>
      <c r="T18" s="64">
        <v>3</v>
      </c>
      <c r="U18" s="77" t="str">
        <f t="shared" si="3"/>
        <v>Bln</v>
      </c>
      <c r="V18" s="75">
        <f>1735208824-S18-P18</f>
        <v>209752083</v>
      </c>
      <c r="W18" s="64">
        <v>3</v>
      </c>
      <c r="X18" s="77" t="str">
        <f t="shared" si="4"/>
        <v>Bln</v>
      </c>
      <c r="Y18" s="75">
        <v>461060754</v>
      </c>
      <c r="Z18" s="25">
        <f t="shared" si="7"/>
        <v>12</v>
      </c>
      <c r="AA18" s="6" t="str">
        <f t="shared" si="5"/>
        <v>Bln</v>
      </c>
      <c r="AB18" s="24">
        <f t="shared" si="8"/>
        <v>100</v>
      </c>
      <c r="AC18" s="6" t="s">
        <v>30</v>
      </c>
      <c r="AD18" s="15">
        <f t="shared" si="9"/>
        <v>2196269578</v>
      </c>
      <c r="AE18" s="24">
        <f t="shared" si="10"/>
        <v>90.747653228140408</v>
      </c>
      <c r="AF18" s="6" t="s">
        <v>30</v>
      </c>
      <c r="AG18" s="25">
        <f t="shared" si="11"/>
        <v>24</v>
      </c>
      <c r="AH18" s="6" t="str">
        <f t="shared" si="6"/>
        <v>Bln</v>
      </c>
      <c r="AI18" s="15">
        <f t="shared" si="12"/>
        <v>4701510078</v>
      </c>
      <c r="AJ18" s="24"/>
      <c r="AK18" s="6"/>
      <c r="AL18" s="24"/>
      <c r="AM18" s="41"/>
      <c r="AP18" s="8">
        <f t="shared" si="0"/>
        <v>2196269578</v>
      </c>
    </row>
    <row r="19" spans="1:42" ht="74.25" customHeight="1" x14ac:dyDescent="0.2">
      <c r="A19" s="23"/>
      <c r="B19" s="4"/>
      <c r="C19" s="9" t="s">
        <v>74</v>
      </c>
      <c r="D19" s="9" t="s">
        <v>115</v>
      </c>
      <c r="E19" s="5">
        <f>K19*3</f>
        <v>36</v>
      </c>
      <c r="F19" s="6" t="s">
        <v>147</v>
      </c>
      <c r="G19" s="7">
        <f>M19+J19*2</f>
        <v>172500000</v>
      </c>
      <c r="H19" s="17">
        <v>12</v>
      </c>
      <c r="I19" s="25" t="s">
        <v>147</v>
      </c>
      <c r="J19" s="75">
        <v>60000000</v>
      </c>
      <c r="K19" s="17">
        <v>12</v>
      </c>
      <c r="L19" s="6" t="s">
        <v>147</v>
      </c>
      <c r="M19" s="7">
        <v>52500000</v>
      </c>
      <c r="N19" s="17">
        <v>3</v>
      </c>
      <c r="O19" s="6" t="str">
        <f t="shared" si="1"/>
        <v>Bln</v>
      </c>
      <c r="P19" s="78">
        <v>3090000</v>
      </c>
      <c r="Q19" s="64">
        <v>3</v>
      </c>
      <c r="R19" s="77" t="str">
        <f t="shared" si="2"/>
        <v>Bln</v>
      </c>
      <c r="S19" s="75">
        <v>6563800</v>
      </c>
      <c r="T19" s="64">
        <v>3</v>
      </c>
      <c r="U19" s="77" t="str">
        <f t="shared" si="3"/>
        <v>Bln</v>
      </c>
      <c r="V19" s="75">
        <v>0</v>
      </c>
      <c r="W19" s="64">
        <v>3</v>
      </c>
      <c r="X19" s="77" t="str">
        <f t="shared" si="4"/>
        <v>Bln</v>
      </c>
      <c r="Y19" s="75">
        <v>23752200</v>
      </c>
      <c r="Z19" s="25">
        <f t="shared" si="7"/>
        <v>12</v>
      </c>
      <c r="AA19" s="6" t="str">
        <f t="shared" si="5"/>
        <v>Bln</v>
      </c>
      <c r="AB19" s="24">
        <f t="shared" si="8"/>
        <v>100</v>
      </c>
      <c r="AC19" s="6" t="s">
        <v>30</v>
      </c>
      <c r="AD19" s="15">
        <f t="shared" si="9"/>
        <v>33406000</v>
      </c>
      <c r="AE19" s="24">
        <f t="shared" si="10"/>
        <v>63.630476190476195</v>
      </c>
      <c r="AF19" s="6" t="s">
        <v>30</v>
      </c>
      <c r="AG19" s="25">
        <f t="shared" si="11"/>
        <v>24</v>
      </c>
      <c r="AH19" s="6" t="str">
        <f t="shared" si="6"/>
        <v>Bln</v>
      </c>
      <c r="AI19" s="15">
        <f t="shared" si="12"/>
        <v>93406000</v>
      </c>
      <c r="AJ19" s="24"/>
      <c r="AK19" s="6"/>
      <c r="AL19" s="24"/>
      <c r="AM19" s="41"/>
      <c r="AP19" s="8">
        <f t="shared" ref="AP19" si="13">P19+S19+V19+Y19</f>
        <v>33406000</v>
      </c>
    </row>
    <row r="20" spans="1:42" ht="60" x14ac:dyDescent="0.2">
      <c r="A20" s="23"/>
      <c r="B20" s="4"/>
      <c r="C20" s="9" t="s">
        <v>57</v>
      </c>
      <c r="D20" s="9" t="s">
        <v>152</v>
      </c>
      <c r="E20" s="17">
        <v>1</v>
      </c>
      <c r="F20" s="6" t="s">
        <v>146</v>
      </c>
      <c r="G20" s="7">
        <f>M20+J20*2</f>
        <v>5500000</v>
      </c>
      <c r="H20" s="17">
        <v>1</v>
      </c>
      <c r="I20" s="6" t="s">
        <v>146</v>
      </c>
      <c r="J20" s="75">
        <v>2000000</v>
      </c>
      <c r="K20" s="17">
        <v>1</v>
      </c>
      <c r="L20" s="6" t="s">
        <v>146</v>
      </c>
      <c r="M20" s="7">
        <v>1500000</v>
      </c>
      <c r="N20" s="17">
        <v>0</v>
      </c>
      <c r="O20" s="6" t="str">
        <f t="shared" si="1"/>
        <v>Dok</v>
      </c>
      <c r="P20" s="87">
        <v>0</v>
      </c>
      <c r="Q20" s="64">
        <v>0</v>
      </c>
      <c r="R20" s="77" t="str">
        <f t="shared" si="2"/>
        <v>Dok</v>
      </c>
      <c r="S20" s="75">
        <f>[1]SEKETARIAT!$J$12</f>
        <v>561100</v>
      </c>
      <c r="T20" s="64">
        <v>0</v>
      </c>
      <c r="U20" s="77" t="str">
        <f t="shared" si="3"/>
        <v>Dok</v>
      </c>
      <c r="V20" s="75">
        <v>280000</v>
      </c>
      <c r="W20" s="64">
        <v>1</v>
      </c>
      <c r="X20" s="77" t="str">
        <f t="shared" si="4"/>
        <v>Dok</v>
      </c>
      <c r="Y20" s="75">
        <v>281500</v>
      </c>
      <c r="Z20" s="25">
        <f t="shared" si="7"/>
        <v>1</v>
      </c>
      <c r="AA20" s="6" t="str">
        <f t="shared" si="5"/>
        <v>Dok</v>
      </c>
      <c r="AB20" s="24">
        <f t="shared" si="8"/>
        <v>100</v>
      </c>
      <c r="AC20" s="6" t="s">
        <v>30</v>
      </c>
      <c r="AD20" s="15">
        <f t="shared" si="9"/>
        <v>1122600</v>
      </c>
      <c r="AE20" s="24">
        <f t="shared" si="10"/>
        <v>74.839999999999989</v>
      </c>
      <c r="AF20" s="6" t="s">
        <v>30</v>
      </c>
      <c r="AG20" s="25">
        <f t="shared" si="11"/>
        <v>2</v>
      </c>
      <c r="AH20" s="6" t="str">
        <f t="shared" si="6"/>
        <v>Dok</v>
      </c>
      <c r="AI20" s="15">
        <f t="shared" si="12"/>
        <v>3122600</v>
      </c>
      <c r="AJ20" s="24"/>
      <c r="AK20" s="6"/>
      <c r="AL20" s="24"/>
      <c r="AM20" s="41"/>
      <c r="AP20" s="8">
        <f t="shared" si="0"/>
        <v>1122600</v>
      </c>
    </row>
    <row r="21" spans="1:42" ht="87.75" customHeight="1" x14ac:dyDescent="0.2">
      <c r="A21" s="23"/>
      <c r="B21" s="4"/>
      <c r="C21" s="9" t="s">
        <v>59</v>
      </c>
      <c r="D21" s="9" t="s">
        <v>114</v>
      </c>
      <c r="E21" s="5">
        <f>K21*3</f>
        <v>36</v>
      </c>
      <c r="F21" s="6" t="s">
        <v>58</v>
      </c>
      <c r="G21" s="7">
        <f>M21+J21*2</f>
        <v>4125000</v>
      </c>
      <c r="H21" s="17">
        <v>12</v>
      </c>
      <c r="I21" s="25" t="s">
        <v>58</v>
      </c>
      <c r="J21" s="75">
        <v>1500000</v>
      </c>
      <c r="K21" s="17">
        <v>12</v>
      </c>
      <c r="L21" s="6" t="s">
        <v>58</v>
      </c>
      <c r="M21" s="7">
        <v>1125000</v>
      </c>
      <c r="N21" s="17">
        <v>3</v>
      </c>
      <c r="O21" s="6" t="str">
        <f t="shared" si="1"/>
        <v>Lap</v>
      </c>
      <c r="P21" s="87">
        <v>0</v>
      </c>
      <c r="Q21" s="64">
        <v>3</v>
      </c>
      <c r="R21" s="77" t="str">
        <f t="shared" si="2"/>
        <v>Lap</v>
      </c>
      <c r="S21" s="75">
        <v>168600</v>
      </c>
      <c r="T21" s="64">
        <v>3</v>
      </c>
      <c r="U21" s="77" t="str">
        <f t="shared" si="3"/>
        <v>Lap</v>
      </c>
      <c r="V21" s="75">
        <v>405000</v>
      </c>
      <c r="W21" s="64">
        <v>3</v>
      </c>
      <c r="X21" s="77" t="str">
        <f t="shared" si="4"/>
        <v>Lap</v>
      </c>
      <c r="Y21" s="75">
        <v>450000</v>
      </c>
      <c r="Z21" s="25">
        <f t="shared" si="7"/>
        <v>12</v>
      </c>
      <c r="AA21" s="6" t="str">
        <f t="shared" si="5"/>
        <v>Lap</v>
      </c>
      <c r="AB21" s="24">
        <f t="shared" si="8"/>
        <v>100</v>
      </c>
      <c r="AC21" s="6" t="s">
        <v>30</v>
      </c>
      <c r="AD21" s="15">
        <f t="shared" si="9"/>
        <v>1023600</v>
      </c>
      <c r="AE21" s="24">
        <f t="shared" si="10"/>
        <v>90.986666666666665</v>
      </c>
      <c r="AF21" s="6" t="s">
        <v>30</v>
      </c>
      <c r="AG21" s="25">
        <f t="shared" si="11"/>
        <v>24</v>
      </c>
      <c r="AH21" s="6" t="str">
        <f t="shared" si="6"/>
        <v>Lap</v>
      </c>
      <c r="AI21" s="15">
        <f t="shared" si="12"/>
        <v>2523600</v>
      </c>
      <c r="AJ21" s="24"/>
      <c r="AK21" s="6"/>
      <c r="AL21" s="24"/>
      <c r="AM21" s="41"/>
      <c r="AP21" s="8">
        <f t="shared" si="0"/>
        <v>1023600</v>
      </c>
    </row>
    <row r="22" spans="1:42" ht="45" x14ac:dyDescent="0.2">
      <c r="A22" s="23"/>
      <c r="B22" s="4"/>
      <c r="C22" s="9" t="s">
        <v>60</v>
      </c>
      <c r="D22" s="9" t="s">
        <v>31</v>
      </c>
      <c r="E22" s="5">
        <v>3</v>
      </c>
      <c r="F22" s="6" t="s">
        <v>58</v>
      </c>
      <c r="G22" s="7">
        <f>M22+J22*2</f>
        <v>4125000</v>
      </c>
      <c r="H22" s="17">
        <v>5</v>
      </c>
      <c r="I22" s="25" t="s">
        <v>58</v>
      </c>
      <c r="J22" s="75">
        <v>1500000</v>
      </c>
      <c r="K22" s="17">
        <v>1</v>
      </c>
      <c r="L22" s="6" t="s">
        <v>58</v>
      </c>
      <c r="M22" s="7">
        <v>1125000</v>
      </c>
      <c r="N22" s="17">
        <v>0</v>
      </c>
      <c r="O22" s="6" t="str">
        <f t="shared" si="1"/>
        <v>Lap</v>
      </c>
      <c r="P22" s="87">
        <v>0</v>
      </c>
      <c r="Q22" s="64">
        <v>1</v>
      </c>
      <c r="R22" s="77" t="str">
        <f t="shared" si="2"/>
        <v>Lap</v>
      </c>
      <c r="S22" s="75">
        <v>900000</v>
      </c>
      <c r="T22" s="64">
        <v>0</v>
      </c>
      <c r="U22" s="77" t="str">
        <f t="shared" si="3"/>
        <v>Lap</v>
      </c>
      <c r="V22" s="75">
        <v>0</v>
      </c>
      <c r="W22" s="64">
        <v>0</v>
      </c>
      <c r="X22" s="77" t="str">
        <f t="shared" si="4"/>
        <v>Lap</v>
      </c>
      <c r="Y22" s="75">
        <v>0</v>
      </c>
      <c r="Z22" s="25">
        <f t="shared" si="7"/>
        <v>1</v>
      </c>
      <c r="AA22" s="6" t="str">
        <f t="shared" si="5"/>
        <v>Lap</v>
      </c>
      <c r="AB22" s="24">
        <f t="shared" si="8"/>
        <v>100</v>
      </c>
      <c r="AC22" s="6" t="s">
        <v>30</v>
      </c>
      <c r="AD22" s="15">
        <f t="shared" si="9"/>
        <v>900000</v>
      </c>
      <c r="AE22" s="24">
        <f t="shared" si="10"/>
        <v>80</v>
      </c>
      <c r="AF22" s="6" t="s">
        <v>30</v>
      </c>
      <c r="AG22" s="25">
        <f t="shared" si="11"/>
        <v>6</v>
      </c>
      <c r="AH22" s="6" t="str">
        <f t="shared" si="6"/>
        <v>Lap</v>
      </c>
      <c r="AI22" s="15">
        <f t="shared" si="12"/>
        <v>2400000</v>
      </c>
      <c r="AJ22" s="24"/>
      <c r="AK22" s="6"/>
      <c r="AL22" s="24"/>
      <c r="AM22" s="41"/>
      <c r="AP22" s="8"/>
    </row>
    <row r="23" spans="1:42" ht="68.25" customHeight="1" x14ac:dyDescent="0.2">
      <c r="A23" s="23"/>
      <c r="B23" s="4"/>
      <c r="C23" s="4" t="s">
        <v>61</v>
      </c>
      <c r="D23" s="4" t="s">
        <v>140</v>
      </c>
      <c r="E23" s="18">
        <v>100</v>
      </c>
      <c r="F23" s="19" t="s">
        <v>30</v>
      </c>
      <c r="G23" s="16">
        <f>SUM(G24:G29)</f>
        <v>1182233700</v>
      </c>
      <c r="H23" s="22">
        <v>100</v>
      </c>
      <c r="I23" s="49" t="s">
        <v>30</v>
      </c>
      <c r="J23" s="71"/>
      <c r="K23" s="18">
        <v>100</v>
      </c>
      <c r="L23" s="19" t="s">
        <v>30</v>
      </c>
      <c r="M23" s="16">
        <f>SUM(M24:M29)</f>
        <v>293227700</v>
      </c>
      <c r="N23" s="22">
        <v>25</v>
      </c>
      <c r="O23" s="19" t="str">
        <f t="shared" si="1"/>
        <v>%</v>
      </c>
      <c r="P23" s="71">
        <f>SUM(P24:P29)</f>
        <v>4860027</v>
      </c>
      <c r="Q23" s="74">
        <v>25</v>
      </c>
      <c r="R23" s="73" t="str">
        <f t="shared" si="2"/>
        <v>%</v>
      </c>
      <c r="S23" s="71">
        <f>SUM(S24:S29)</f>
        <v>60868977</v>
      </c>
      <c r="T23" s="74">
        <v>25</v>
      </c>
      <c r="U23" s="73" t="str">
        <f t="shared" si="3"/>
        <v>%</v>
      </c>
      <c r="V23" s="71">
        <f>SUM(V24:V29)</f>
        <v>58958588</v>
      </c>
      <c r="W23" s="74">
        <v>25</v>
      </c>
      <c r="X23" s="73" t="str">
        <f t="shared" si="4"/>
        <v>%</v>
      </c>
      <c r="Y23" s="71">
        <f>SUM(Y24:Y29)</f>
        <v>125796970</v>
      </c>
      <c r="Z23" s="49">
        <f t="shared" si="7"/>
        <v>100</v>
      </c>
      <c r="AA23" s="19" t="str">
        <f t="shared" si="5"/>
        <v>%</v>
      </c>
      <c r="AB23" s="51">
        <f t="shared" si="8"/>
        <v>100</v>
      </c>
      <c r="AC23" s="19" t="s">
        <v>30</v>
      </c>
      <c r="AD23" s="50">
        <f t="shared" si="9"/>
        <v>250484562</v>
      </c>
      <c r="AE23" s="51">
        <f t="shared" si="10"/>
        <v>85.423226386865906</v>
      </c>
      <c r="AF23" s="19" t="s">
        <v>30</v>
      </c>
      <c r="AG23" s="49">
        <f t="shared" si="11"/>
        <v>200</v>
      </c>
      <c r="AH23" s="19" t="str">
        <f t="shared" si="6"/>
        <v>%</v>
      </c>
      <c r="AI23" s="50">
        <f t="shared" si="12"/>
        <v>250484562</v>
      </c>
      <c r="AJ23" s="51"/>
      <c r="AK23" s="19"/>
      <c r="AL23" s="51"/>
      <c r="AM23" s="41"/>
      <c r="AP23" s="8"/>
    </row>
    <row r="24" spans="1:42" ht="75" x14ac:dyDescent="0.2">
      <c r="A24" s="23"/>
      <c r="B24" s="4"/>
      <c r="C24" s="9" t="s">
        <v>75</v>
      </c>
      <c r="D24" s="9" t="s">
        <v>117</v>
      </c>
      <c r="E24" s="5">
        <f>K24*3</f>
        <v>36</v>
      </c>
      <c r="F24" s="6" t="s">
        <v>147</v>
      </c>
      <c r="G24" s="7">
        <f t="shared" ref="G24:G29" si="14">M24+J24*2</f>
        <v>7057100</v>
      </c>
      <c r="H24" s="5">
        <v>12</v>
      </c>
      <c r="I24" s="25" t="s">
        <v>147</v>
      </c>
      <c r="J24" s="75">
        <v>2400000</v>
      </c>
      <c r="K24" s="17">
        <v>12</v>
      </c>
      <c r="L24" s="6" t="s">
        <v>147</v>
      </c>
      <c r="M24" s="7">
        <v>2257100</v>
      </c>
      <c r="N24" s="17">
        <v>3</v>
      </c>
      <c r="O24" s="6" t="str">
        <f t="shared" si="1"/>
        <v>Bln</v>
      </c>
      <c r="P24" s="87">
        <v>0</v>
      </c>
      <c r="Q24" s="62">
        <v>3</v>
      </c>
      <c r="R24" s="77" t="str">
        <f t="shared" si="2"/>
        <v>Bln</v>
      </c>
      <c r="S24" s="75">
        <v>387600</v>
      </c>
      <c r="T24" s="62">
        <v>3</v>
      </c>
      <c r="U24" s="77" t="str">
        <f t="shared" si="3"/>
        <v>Bln</v>
      </c>
      <c r="V24" s="75">
        <v>0</v>
      </c>
      <c r="W24" s="62">
        <v>3</v>
      </c>
      <c r="X24" s="77" t="str">
        <f t="shared" si="4"/>
        <v>Bln</v>
      </c>
      <c r="Y24" s="75">
        <v>1869500</v>
      </c>
      <c r="Z24" s="25">
        <f t="shared" si="7"/>
        <v>12</v>
      </c>
      <c r="AA24" s="6" t="str">
        <f t="shared" si="5"/>
        <v>Bln</v>
      </c>
      <c r="AB24" s="24">
        <f t="shared" si="8"/>
        <v>100</v>
      </c>
      <c r="AC24" s="6" t="s">
        <v>30</v>
      </c>
      <c r="AD24" s="15">
        <f t="shared" si="9"/>
        <v>2257100</v>
      </c>
      <c r="AE24" s="24">
        <f t="shared" si="10"/>
        <v>100</v>
      </c>
      <c r="AF24" s="6" t="s">
        <v>30</v>
      </c>
      <c r="AG24" s="25">
        <f t="shared" si="11"/>
        <v>24</v>
      </c>
      <c r="AH24" s="6" t="str">
        <f t="shared" si="6"/>
        <v>Bln</v>
      </c>
      <c r="AI24" s="15">
        <f t="shared" si="12"/>
        <v>4657100</v>
      </c>
      <c r="AJ24" s="24"/>
      <c r="AK24" s="6"/>
      <c r="AL24" s="24"/>
      <c r="AM24" s="41"/>
      <c r="AP24" s="8"/>
    </row>
    <row r="25" spans="1:42" ht="69.75" customHeight="1" x14ac:dyDescent="0.2">
      <c r="A25" s="23"/>
      <c r="B25" s="4"/>
      <c r="C25" s="9" t="s">
        <v>62</v>
      </c>
      <c r="D25" s="9" t="s">
        <v>118</v>
      </c>
      <c r="E25" s="5">
        <f t="shared" ref="E25:E37" si="15">K25*3</f>
        <v>36</v>
      </c>
      <c r="F25" s="6" t="s">
        <v>147</v>
      </c>
      <c r="G25" s="7">
        <f t="shared" si="14"/>
        <v>443550000</v>
      </c>
      <c r="H25" s="5">
        <v>12</v>
      </c>
      <c r="I25" s="25" t="s">
        <v>147</v>
      </c>
      <c r="J25" s="75">
        <v>208225000</v>
      </c>
      <c r="K25" s="17">
        <v>12</v>
      </c>
      <c r="L25" s="6" t="s">
        <v>147</v>
      </c>
      <c r="M25" s="7">
        <v>27100000</v>
      </c>
      <c r="N25" s="17">
        <v>3</v>
      </c>
      <c r="O25" s="6" t="str">
        <f t="shared" si="1"/>
        <v>Bln</v>
      </c>
      <c r="P25" s="87">
        <v>0</v>
      </c>
      <c r="Q25" s="62">
        <v>3</v>
      </c>
      <c r="R25" s="77" t="str">
        <f t="shared" si="2"/>
        <v>Bln</v>
      </c>
      <c r="S25" s="75">
        <v>0</v>
      </c>
      <c r="T25" s="62">
        <v>3</v>
      </c>
      <c r="U25" s="77" t="str">
        <f t="shared" si="3"/>
        <v>Bln</v>
      </c>
      <c r="V25" s="75">
        <v>27100000</v>
      </c>
      <c r="W25" s="62">
        <v>3</v>
      </c>
      <c r="X25" s="77" t="str">
        <f t="shared" si="4"/>
        <v>Bln</v>
      </c>
      <c r="Y25" s="75">
        <v>0</v>
      </c>
      <c r="Z25" s="25">
        <f t="shared" si="7"/>
        <v>12</v>
      </c>
      <c r="AA25" s="6" t="str">
        <f t="shared" si="5"/>
        <v>Bln</v>
      </c>
      <c r="AB25" s="24">
        <f t="shared" si="8"/>
        <v>100</v>
      </c>
      <c r="AC25" s="6" t="s">
        <v>30</v>
      </c>
      <c r="AD25" s="15">
        <f t="shared" si="9"/>
        <v>27100000</v>
      </c>
      <c r="AE25" s="24">
        <f t="shared" si="10"/>
        <v>100</v>
      </c>
      <c r="AF25" s="6" t="s">
        <v>30</v>
      </c>
      <c r="AG25" s="25">
        <f t="shared" si="11"/>
        <v>24</v>
      </c>
      <c r="AH25" s="6" t="str">
        <f t="shared" si="6"/>
        <v>Bln</v>
      </c>
      <c r="AI25" s="15">
        <f t="shared" si="12"/>
        <v>235325000</v>
      </c>
      <c r="AJ25" s="24"/>
      <c r="AK25" s="6"/>
      <c r="AL25" s="24"/>
      <c r="AM25" s="41"/>
      <c r="AP25" s="8"/>
    </row>
    <row r="26" spans="1:42" ht="45" x14ac:dyDescent="0.2">
      <c r="A26" s="23"/>
      <c r="B26" s="4"/>
      <c r="C26" s="9" t="s">
        <v>63</v>
      </c>
      <c r="D26" s="9" t="s">
        <v>119</v>
      </c>
      <c r="E26" s="5">
        <f t="shared" si="15"/>
        <v>36</v>
      </c>
      <c r="F26" s="6" t="s">
        <v>147</v>
      </c>
      <c r="G26" s="7">
        <f t="shared" si="14"/>
        <v>215413600</v>
      </c>
      <c r="H26" s="5">
        <v>12</v>
      </c>
      <c r="I26" s="25" t="s">
        <v>147</v>
      </c>
      <c r="J26" s="75">
        <v>79303000</v>
      </c>
      <c r="K26" s="17">
        <v>12</v>
      </c>
      <c r="L26" s="6" t="s">
        <v>147</v>
      </c>
      <c r="M26" s="7">
        <v>56807600</v>
      </c>
      <c r="N26" s="17">
        <v>3</v>
      </c>
      <c r="O26" s="6" t="str">
        <f t="shared" si="1"/>
        <v>Bln</v>
      </c>
      <c r="P26" s="87">
        <v>0</v>
      </c>
      <c r="Q26" s="62">
        <v>3</v>
      </c>
      <c r="R26" s="77" t="str">
        <f t="shared" si="2"/>
        <v>Bln</v>
      </c>
      <c r="S26" s="75">
        <v>21995850</v>
      </c>
      <c r="T26" s="62">
        <v>3</v>
      </c>
      <c r="U26" s="77" t="str">
        <f t="shared" si="3"/>
        <v>Bln</v>
      </c>
      <c r="V26" s="75">
        <v>7578850</v>
      </c>
      <c r="W26" s="62">
        <v>3</v>
      </c>
      <c r="X26" s="77" t="str">
        <f t="shared" si="4"/>
        <v>Bln</v>
      </c>
      <c r="Y26" s="75">
        <v>11465900</v>
      </c>
      <c r="Z26" s="25">
        <f t="shared" si="7"/>
        <v>12</v>
      </c>
      <c r="AA26" s="6" t="str">
        <f t="shared" si="5"/>
        <v>Bln</v>
      </c>
      <c r="AB26" s="24">
        <f t="shared" si="8"/>
        <v>100</v>
      </c>
      <c r="AC26" s="6" t="s">
        <v>30</v>
      </c>
      <c r="AD26" s="15">
        <f t="shared" si="9"/>
        <v>41040600</v>
      </c>
      <c r="AE26" s="24">
        <f t="shared" si="10"/>
        <v>72.244910892204558</v>
      </c>
      <c r="AF26" s="6" t="s">
        <v>30</v>
      </c>
      <c r="AG26" s="25">
        <f t="shared" si="11"/>
        <v>24</v>
      </c>
      <c r="AH26" s="6" t="str">
        <f t="shared" si="6"/>
        <v>Bln</v>
      </c>
      <c r="AI26" s="15">
        <f t="shared" si="12"/>
        <v>120343600</v>
      </c>
      <c r="AJ26" s="24"/>
      <c r="AK26" s="6"/>
      <c r="AL26" s="24"/>
      <c r="AM26" s="41"/>
      <c r="AP26" s="8"/>
    </row>
    <row r="27" spans="1:42" ht="60" x14ac:dyDescent="0.2">
      <c r="A27" s="23"/>
      <c r="B27" s="4"/>
      <c r="C27" s="9" t="s">
        <v>64</v>
      </c>
      <c r="D27" s="9" t="s">
        <v>120</v>
      </c>
      <c r="E27" s="5">
        <f t="shared" si="15"/>
        <v>36</v>
      </c>
      <c r="F27" s="6" t="s">
        <v>147</v>
      </c>
      <c r="G27" s="7">
        <f t="shared" si="14"/>
        <v>46538000</v>
      </c>
      <c r="H27" s="5">
        <v>12</v>
      </c>
      <c r="I27" s="25" t="s">
        <v>147</v>
      </c>
      <c r="J27" s="75">
        <v>16075000</v>
      </c>
      <c r="K27" s="17">
        <v>12</v>
      </c>
      <c r="L27" s="6" t="s">
        <v>147</v>
      </c>
      <c r="M27" s="7">
        <v>14388000</v>
      </c>
      <c r="N27" s="17">
        <v>3</v>
      </c>
      <c r="O27" s="6" t="str">
        <f t="shared" si="1"/>
        <v>Bln</v>
      </c>
      <c r="P27" s="87">
        <v>0</v>
      </c>
      <c r="Q27" s="62">
        <v>3</v>
      </c>
      <c r="R27" s="77" t="str">
        <f t="shared" si="2"/>
        <v>Bln</v>
      </c>
      <c r="S27" s="75">
        <v>2586000</v>
      </c>
      <c r="T27" s="62">
        <v>3</v>
      </c>
      <c r="U27" s="77" t="str">
        <f t="shared" si="3"/>
        <v>Bln</v>
      </c>
      <c r="V27" s="75">
        <v>3692500</v>
      </c>
      <c r="W27" s="62">
        <v>3</v>
      </c>
      <c r="X27" s="77" t="str">
        <f t="shared" si="4"/>
        <v>Bln</v>
      </c>
      <c r="Y27" s="75">
        <v>7667300</v>
      </c>
      <c r="Z27" s="25">
        <f t="shared" si="7"/>
        <v>12</v>
      </c>
      <c r="AA27" s="6" t="str">
        <f t="shared" si="5"/>
        <v>Bln</v>
      </c>
      <c r="AB27" s="24">
        <f t="shared" si="8"/>
        <v>100</v>
      </c>
      <c r="AC27" s="6" t="s">
        <v>30</v>
      </c>
      <c r="AD27" s="15">
        <f t="shared" si="9"/>
        <v>13945800</v>
      </c>
      <c r="AE27" s="24">
        <f t="shared" si="10"/>
        <v>96.926605504587158</v>
      </c>
      <c r="AF27" s="6" t="s">
        <v>30</v>
      </c>
      <c r="AG27" s="25">
        <f t="shared" si="11"/>
        <v>24</v>
      </c>
      <c r="AH27" s="6" t="str">
        <f t="shared" si="6"/>
        <v>Bln</v>
      </c>
      <c r="AI27" s="15">
        <f t="shared" si="12"/>
        <v>30020800</v>
      </c>
      <c r="AJ27" s="24"/>
      <c r="AK27" s="6"/>
      <c r="AL27" s="24"/>
      <c r="AM27" s="41"/>
      <c r="AP27" s="8"/>
    </row>
    <row r="28" spans="1:42" ht="60" x14ac:dyDescent="0.2">
      <c r="A28" s="23"/>
      <c r="B28" s="4"/>
      <c r="C28" s="9" t="s">
        <v>65</v>
      </c>
      <c r="D28" s="9" t="s">
        <v>121</v>
      </c>
      <c r="E28" s="5">
        <f t="shared" si="15"/>
        <v>36</v>
      </c>
      <c r="F28" s="6" t="s">
        <v>147</v>
      </c>
      <c r="G28" s="7">
        <f t="shared" si="14"/>
        <v>40500000</v>
      </c>
      <c r="H28" s="5">
        <v>12</v>
      </c>
      <c r="I28" s="25" t="s">
        <v>147</v>
      </c>
      <c r="J28" s="75">
        <v>13500000</v>
      </c>
      <c r="K28" s="17">
        <v>12</v>
      </c>
      <c r="L28" s="6" t="s">
        <v>147</v>
      </c>
      <c r="M28" s="7">
        <v>13500000</v>
      </c>
      <c r="N28" s="17">
        <v>3</v>
      </c>
      <c r="O28" s="6" t="str">
        <f t="shared" si="1"/>
        <v>Bln</v>
      </c>
      <c r="P28" s="87">
        <v>0</v>
      </c>
      <c r="Q28" s="62">
        <v>3</v>
      </c>
      <c r="R28" s="77" t="str">
        <f t="shared" si="2"/>
        <v>Bln</v>
      </c>
      <c r="S28" s="75">
        <v>6640000</v>
      </c>
      <c r="T28" s="62">
        <v>3</v>
      </c>
      <c r="U28" s="77" t="str">
        <f t="shared" si="3"/>
        <v>Bln</v>
      </c>
      <c r="V28" s="75">
        <v>2335000</v>
      </c>
      <c r="W28" s="62">
        <v>3</v>
      </c>
      <c r="X28" s="77" t="str">
        <f t="shared" si="4"/>
        <v>Bln</v>
      </c>
      <c r="Y28" s="75">
        <v>3555000</v>
      </c>
      <c r="Z28" s="25">
        <f t="shared" si="7"/>
        <v>12</v>
      </c>
      <c r="AA28" s="6" t="str">
        <f t="shared" si="5"/>
        <v>Bln</v>
      </c>
      <c r="AB28" s="24">
        <f t="shared" si="8"/>
        <v>100</v>
      </c>
      <c r="AC28" s="6" t="s">
        <v>30</v>
      </c>
      <c r="AD28" s="15">
        <f t="shared" si="9"/>
        <v>12530000</v>
      </c>
      <c r="AE28" s="24">
        <f t="shared" si="10"/>
        <v>92.81481481481481</v>
      </c>
      <c r="AF28" s="6" t="s">
        <v>30</v>
      </c>
      <c r="AG28" s="25">
        <f t="shared" si="11"/>
        <v>24</v>
      </c>
      <c r="AH28" s="6" t="str">
        <f t="shared" si="6"/>
        <v>Bln</v>
      </c>
      <c r="AI28" s="15">
        <f t="shared" si="12"/>
        <v>26030000</v>
      </c>
      <c r="AJ28" s="24"/>
      <c r="AK28" s="6"/>
      <c r="AL28" s="24"/>
      <c r="AM28" s="41"/>
      <c r="AP28" s="8"/>
    </row>
    <row r="29" spans="1:42" ht="60" x14ac:dyDescent="0.2">
      <c r="A29" s="23"/>
      <c r="B29" s="4"/>
      <c r="C29" s="9" t="s">
        <v>66</v>
      </c>
      <c r="D29" s="9" t="s">
        <v>122</v>
      </c>
      <c r="E29" s="5">
        <f t="shared" si="15"/>
        <v>36</v>
      </c>
      <c r="F29" s="6" t="s">
        <v>147</v>
      </c>
      <c r="G29" s="7">
        <f t="shared" si="14"/>
        <v>429175000</v>
      </c>
      <c r="H29" s="5">
        <v>12</v>
      </c>
      <c r="I29" s="25" t="s">
        <v>147</v>
      </c>
      <c r="J29" s="75">
        <v>125000000</v>
      </c>
      <c r="K29" s="17">
        <v>12</v>
      </c>
      <c r="L29" s="6" t="s">
        <v>147</v>
      </c>
      <c r="M29" s="7">
        <v>179175000</v>
      </c>
      <c r="N29" s="17">
        <v>3</v>
      </c>
      <c r="O29" s="6" t="str">
        <f t="shared" si="1"/>
        <v>Bln</v>
      </c>
      <c r="P29" s="75">
        <v>4860027</v>
      </c>
      <c r="Q29" s="62">
        <v>3</v>
      </c>
      <c r="R29" s="77" t="str">
        <f t="shared" si="2"/>
        <v>Bln</v>
      </c>
      <c r="S29" s="75">
        <v>29259527</v>
      </c>
      <c r="T29" s="62">
        <v>3</v>
      </c>
      <c r="U29" s="77" t="str">
        <f t="shared" si="3"/>
        <v>Bln</v>
      </c>
      <c r="V29" s="75">
        <v>18252238</v>
      </c>
      <c r="W29" s="62">
        <v>3</v>
      </c>
      <c r="X29" s="77" t="str">
        <f t="shared" si="4"/>
        <v>Bln</v>
      </c>
      <c r="Y29" s="75">
        <v>101239270</v>
      </c>
      <c r="Z29" s="25">
        <f t="shared" si="7"/>
        <v>12</v>
      </c>
      <c r="AA29" s="6" t="str">
        <f t="shared" si="5"/>
        <v>Bln</v>
      </c>
      <c r="AB29" s="24">
        <f t="shared" si="8"/>
        <v>100</v>
      </c>
      <c r="AC29" s="6" t="s">
        <v>30</v>
      </c>
      <c r="AD29" s="15">
        <f t="shared" si="9"/>
        <v>153611062</v>
      </c>
      <c r="AE29" s="24">
        <f t="shared" si="10"/>
        <v>85.732419143295658</v>
      </c>
      <c r="AF29" s="6" t="s">
        <v>30</v>
      </c>
      <c r="AG29" s="25">
        <f t="shared" si="11"/>
        <v>24</v>
      </c>
      <c r="AH29" s="6" t="str">
        <f t="shared" si="6"/>
        <v>Bln</v>
      </c>
      <c r="AI29" s="15">
        <f t="shared" si="12"/>
        <v>278611062</v>
      </c>
      <c r="AJ29" s="24"/>
      <c r="AK29" s="6"/>
      <c r="AL29" s="24"/>
      <c r="AM29" s="41"/>
      <c r="AP29" s="8"/>
    </row>
    <row r="30" spans="1:42" ht="47.25" x14ac:dyDescent="0.2">
      <c r="A30" s="23"/>
      <c r="B30" s="4"/>
      <c r="C30" s="4" t="s">
        <v>67</v>
      </c>
      <c r="D30" s="4" t="s">
        <v>141</v>
      </c>
      <c r="E30" s="18">
        <v>100</v>
      </c>
      <c r="F30" s="19" t="s">
        <v>30</v>
      </c>
      <c r="G30" s="16">
        <f>SUM(G31:G33)</f>
        <v>919353750</v>
      </c>
      <c r="H30" s="22">
        <v>100</v>
      </c>
      <c r="I30" s="49" t="s">
        <v>30</v>
      </c>
      <c r="J30" s="71"/>
      <c r="K30" s="22">
        <v>100</v>
      </c>
      <c r="L30" s="19" t="s">
        <v>30</v>
      </c>
      <c r="M30" s="16">
        <f>SUM(M31:M33)</f>
        <v>631902750</v>
      </c>
      <c r="N30" s="22">
        <v>25</v>
      </c>
      <c r="O30" s="19" t="str">
        <f t="shared" si="1"/>
        <v>%</v>
      </c>
      <c r="P30" s="71">
        <f>SUM(P31:P33)</f>
        <v>27171045</v>
      </c>
      <c r="Q30" s="79">
        <v>25</v>
      </c>
      <c r="R30" s="73" t="str">
        <f t="shared" si="2"/>
        <v>%</v>
      </c>
      <c r="S30" s="71">
        <f>SUM(S31:S33)</f>
        <v>88917631</v>
      </c>
      <c r="T30" s="79">
        <v>25</v>
      </c>
      <c r="U30" s="73" t="str">
        <f t="shared" si="3"/>
        <v>%</v>
      </c>
      <c r="V30" s="71">
        <f>SUM(V31:V33)</f>
        <v>19870065</v>
      </c>
      <c r="W30" s="79">
        <v>25</v>
      </c>
      <c r="X30" s="73" t="str">
        <f t="shared" si="4"/>
        <v>%</v>
      </c>
      <c r="Y30" s="71">
        <f>SUM(Y31:Y33)</f>
        <v>110575447</v>
      </c>
      <c r="Z30" s="49">
        <f t="shared" si="7"/>
        <v>100</v>
      </c>
      <c r="AA30" s="19" t="str">
        <f t="shared" si="5"/>
        <v>%</v>
      </c>
      <c r="AB30" s="51">
        <f t="shared" si="8"/>
        <v>100</v>
      </c>
      <c r="AC30" s="19" t="s">
        <v>30</v>
      </c>
      <c r="AD30" s="50">
        <f t="shared" si="9"/>
        <v>246534188</v>
      </c>
      <c r="AE30" s="51">
        <f t="shared" si="10"/>
        <v>39.014577480474642</v>
      </c>
      <c r="AF30" s="19" t="s">
        <v>30</v>
      </c>
      <c r="AG30" s="49">
        <f t="shared" si="11"/>
        <v>200</v>
      </c>
      <c r="AH30" s="19" t="str">
        <f t="shared" si="6"/>
        <v>%</v>
      </c>
      <c r="AI30" s="50">
        <f t="shared" si="12"/>
        <v>246534188</v>
      </c>
      <c r="AJ30" s="51"/>
      <c r="AK30" s="19"/>
      <c r="AL30" s="51"/>
      <c r="AM30" s="41"/>
      <c r="AP30" s="8"/>
    </row>
    <row r="31" spans="1:42" ht="60.75" customHeight="1" x14ac:dyDescent="0.2">
      <c r="A31" s="23"/>
      <c r="B31" s="4"/>
      <c r="C31" s="9" t="s">
        <v>68</v>
      </c>
      <c r="D31" s="9" t="s">
        <v>124</v>
      </c>
      <c r="E31" s="5">
        <f t="shared" si="15"/>
        <v>36</v>
      </c>
      <c r="F31" s="6" t="s">
        <v>147</v>
      </c>
      <c r="G31" s="7">
        <f>M31+J31*2</f>
        <v>925000</v>
      </c>
      <c r="H31" s="67">
        <v>12</v>
      </c>
      <c r="I31" s="25" t="s">
        <v>147</v>
      </c>
      <c r="J31" s="75">
        <v>350000</v>
      </c>
      <c r="K31" s="17">
        <v>12</v>
      </c>
      <c r="L31" s="6" t="s">
        <v>147</v>
      </c>
      <c r="M31" s="7">
        <v>225000</v>
      </c>
      <c r="N31" s="17">
        <v>3</v>
      </c>
      <c r="O31" s="6" t="str">
        <f t="shared" si="1"/>
        <v>Bln</v>
      </c>
      <c r="P31" s="87">
        <v>0</v>
      </c>
      <c r="Q31" s="64">
        <v>3</v>
      </c>
      <c r="R31" s="77" t="str">
        <f t="shared" si="2"/>
        <v>Bln</v>
      </c>
      <c r="S31" s="75">
        <v>87500</v>
      </c>
      <c r="T31" s="64">
        <v>3</v>
      </c>
      <c r="U31" s="77" t="str">
        <f t="shared" si="3"/>
        <v>Bln</v>
      </c>
      <c r="V31" s="75">
        <v>68500</v>
      </c>
      <c r="W31" s="64">
        <v>3</v>
      </c>
      <c r="X31" s="77" t="str">
        <f t="shared" si="4"/>
        <v>Bln</v>
      </c>
      <c r="Y31" s="75">
        <v>0</v>
      </c>
      <c r="Z31" s="24">
        <f t="shared" si="7"/>
        <v>12</v>
      </c>
      <c r="AA31" s="6" t="str">
        <f t="shared" si="5"/>
        <v>Bln</v>
      </c>
      <c r="AB31" s="24">
        <f t="shared" si="8"/>
        <v>100</v>
      </c>
      <c r="AC31" s="6" t="s">
        <v>30</v>
      </c>
      <c r="AD31" s="15">
        <f t="shared" si="9"/>
        <v>156000</v>
      </c>
      <c r="AE31" s="24">
        <f t="shared" si="10"/>
        <v>69.333333333333343</v>
      </c>
      <c r="AF31" s="6" t="s">
        <v>30</v>
      </c>
      <c r="AG31" s="25">
        <f t="shared" si="11"/>
        <v>24</v>
      </c>
      <c r="AH31" s="6" t="str">
        <f t="shared" si="6"/>
        <v>Bln</v>
      </c>
      <c r="AI31" s="15">
        <f t="shared" si="12"/>
        <v>506000</v>
      </c>
      <c r="AJ31" s="24"/>
      <c r="AK31" s="6"/>
      <c r="AL31" s="24"/>
      <c r="AM31" s="41"/>
      <c r="AP31" s="8"/>
    </row>
    <row r="32" spans="1:42" ht="60" x14ac:dyDescent="0.2">
      <c r="A32" s="23"/>
      <c r="B32" s="4"/>
      <c r="C32" s="9" t="s">
        <v>69</v>
      </c>
      <c r="D32" s="9" t="s">
        <v>125</v>
      </c>
      <c r="E32" s="5">
        <f t="shared" si="15"/>
        <v>36</v>
      </c>
      <c r="F32" s="6" t="s">
        <v>147</v>
      </c>
      <c r="G32" s="7">
        <f>M32+J32*2</f>
        <v>801320000</v>
      </c>
      <c r="H32" s="67">
        <v>12</v>
      </c>
      <c r="I32" s="25" t="s">
        <v>147</v>
      </c>
      <c r="J32" s="75">
        <v>97500000</v>
      </c>
      <c r="K32" s="17">
        <v>12</v>
      </c>
      <c r="L32" s="6" t="s">
        <v>147</v>
      </c>
      <c r="M32" s="7">
        <v>606320000</v>
      </c>
      <c r="N32" s="17">
        <v>3</v>
      </c>
      <c r="O32" s="6" t="str">
        <f t="shared" si="1"/>
        <v>Bln</v>
      </c>
      <c r="P32" s="75">
        <v>22671045</v>
      </c>
      <c r="Q32" s="62">
        <v>3</v>
      </c>
      <c r="R32" s="77" t="str">
        <f t="shared" si="2"/>
        <v>Bln</v>
      </c>
      <c r="S32" s="75">
        <v>78669521</v>
      </c>
      <c r="T32" s="62">
        <v>3</v>
      </c>
      <c r="U32" s="77" t="str">
        <f t="shared" si="3"/>
        <v>Bln</v>
      </c>
      <c r="V32" s="75">
        <v>18579065</v>
      </c>
      <c r="W32" s="62">
        <v>3</v>
      </c>
      <c r="X32" s="77" t="str">
        <f t="shared" si="4"/>
        <v>Bln</v>
      </c>
      <c r="Y32" s="75">
        <v>104397607</v>
      </c>
      <c r="Z32" s="25">
        <f t="shared" si="7"/>
        <v>12</v>
      </c>
      <c r="AA32" s="6" t="str">
        <f t="shared" si="5"/>
        <v>Bln</v>
      </c>
      <c r="AB32" s="24">
        <f t="shared" si="8"/>
        <v>100</v>
      </c>
      <c r="AC32" s="6" t="s">
        <v>30</v>
      </c>
      <c r="AD32" s="15">
        <f t="shared" si="9"/>
        <v>224317238</v>
      </c>
      <c r="AE32" s="24">
        <f t="shared" si="10"/>
        <v>36.996509763821081</v>
      </c>
      <c r="AF32" s="6" t="s">
        <v>30</v>
      </c>
      <c r="AG32" s="25">
        <f t="shared" si="11"/>
        <v>24</v>
      </c>
      <c r="AH32" s="6" t="str">
        <f t="shared" si="6"/>
        <v>Bln</v>
      </c>
      <c r="AI32" s="15">
        <f t="shared" si="12"/>
        <v>321817238</v>
      </c>
      <c r="AJ32" s="24"/>
      <c r="AK32" s="6"/>
      <c r="AL32" s="24"/>
      <c r="AM32" s="41"/>
      <c r="AP32" s="8"/>
    </row>
    <row r="33" spans="1:42" ht="45" x14ac:dyDescent="0.2">
      <c r="A33" s="23"/>
      <c r="B33" s="4"/>
      <c r="C33" s="9" t="s">
        <v>70</v>
      </c>
      <c r="D33" s="9" t="s">
        <v>126</v>
      </c>
      <c r="E33" s="5">
        <f t="shared" si="15"/>
        <v>36</v>
      </c>
      <c r="F33" s="6" t="s">
        <v>147</v>
      </c>
      <c r="G33" s="7">
        <f>M33+J33*2</f>
        <v>117108750</v>
      </c>
      <c r="H33" s="67">
        <v>12</v>
      </c>
      <c r="I33" s="25" t="s">
        <v>147</v>
      </c>
      <c r="J33" s="75">
        <v>45875500</v>
      </c>
      <c r="K33" s="17">
        <v>12</v>
      </c>
      <c r="L33" s="6" t="s">
        <v>147</v>
      </c>
      <c r="M33" s="7">
        <v>25357750</v>
      </c>
      <c r="N33" s="17">
        <v>3</v>
      </c>
      <c r="O33" s="6" t="str">
        <f t="shared" si="1"/>
        <v>Bln</v>
      </c>
      <c r="P33" s="75">
        <v>4500000</v>
      </c>
      <c r="Q33" s="62">
        <v>3</v>
      </c>
      <c r="R33" s="77" t="str">
        <f t="shared" si="2"/>
        <v>Bln</v>
      </c>
      <c r="S33" s="80">
        <f>3000000+1500000+1500000+1500000+2660610</f>
        <v>10160610</v>
      </c>
      <c r="T33" s="62">
        <v>3</v>
      </c>
      <c r="U33" s="77" t="str">
        <f t="shared" si="3"/>
        <v>Bln</v>
      </c>
      <c r="V33" s="80">
        <v>1222500</v>
      </c>
      <c r="W33" s="62">
        <v>3</v>
      </c>
      <c r="X33" s="77" t="str">
        <f t="shared" si="4"/>
        <v>Bln</v>
      </c>
      <c r="Y33" s="80">
        <v>6177840</v>
      </c>
      <c r="Z33" s="25">
        <f t="shared" si="7"/>
        <v>12</v>
      </c>
      <c r="AA33" s="6" t="str">
        <f t="shared" si="5"/>
        <v>Bln</v>
      </c>
      <c r="AB33" s="24">
        <f t="shared" si="8"/>
        <v>100</v>
      </c>
      <c r="AC33" s="6" t="s">
        <v>30</v>
      </c>
      <c r="AD33" s="15">
        <f t="shared" si="9"/>
        <v>22060950</v>
      </c>
      <c r="AE33" s="24">
        <f t="shared" si="10"/>
        <v>86.9988465064921</v>
      </c>
      <c r="AF33" s="6" t="s">
        <v>30</v>
      </c>
      <c r="AG33" s="25">
        <f t="shared" si="11"/>
        <v>24</v>
      </c>
      <c r="AH33" s="6" t="str">
        <f t="shared" si="6"/>
        <v>Bln</v>
      </c>
      <c r="AI33" s="15">
        <f t="shared" si="12"/>
        <v>67936450</v>
      </c>
      <c r="AJ33" s="24"/>
      <c r="AK33" s="6"/>
      <c r="AL33" s="24"/>
      <c r="AM33" s="41"/>
      <c r="AP33" s="8"/>
    </row>
    <row r="34" spans="1:42" s="54" customFormat="1" ht="84" customHeight="1" x14ac:dyDescent="0.25">
      <c r="A34" s="23"/>
      <c r="B34" s="4"/>
      <c r="C34" s="4" t="s">
        <v>71</v>
      </c>
      <c r="D34" s="4" t="s">
        <v>142</v>
      </c>
      <c r="E34" s="18">
        <v>100</v>
      </c>
      <c r="F34" s="19" t="s">
        <v>30</v>
      </c>
      <c r="G34" s="16">
        <f>SUM(G35:G37)</f>
        <v>460785000</v>
      </c>
      <c r="H34" s="22">
        <v>100</v>
      </c>
      <c r="I34" s="49" t="s">
        <v>30</v>
      </c>
      <c r="J34" s="71"/>
      <c r="K34" s="22">
        <v>100</v>
      </c>
      <c r="L34" s="19" t="s">
        <v>30</v>
      </c>
      <c r="M34" s="16">
        <f>SUM(M35:M37)</f>
        <v>108471000</v>
      </c>
      <c r="N34" s="22">
        <v>25</v>
      </c>
      <c r="O34" s="19" t="str">
        <f t="shared" si="1"/>
        <v>%</v>
      </c>
      <c r="P34" s="71">
        <f>SUM(P35:P37)</f>
        <v>9000000</v>
      </c>
      <c r="Q34" s="74">
        <v>25</v>
      </c>
      <c r="R34" s="73" t="str">
        <f t="shared" si="2"/>
        <v>%</v>
      </c>
      <c r="S34" s="71">
        <f>SUM(S35:S37)</f>
        <v>32721400</v>
      </c>
      <c r="T34" s="74">
        <v>25</v>
      </c>
      <c r="U34" s="73" t="str">
        <f t="shared" si="3"/>
        <v>%</v>
      </c>
      <c r="V34" s="71">
        <f>SUM(V35:V37)</f>
        <v>6352499</v>
      </c>
      <c r="W34" s="74">
        <v>25</v>
      </c>
      <c r="X34" s="73" t="str">
        <f t="shared" si="4"/>
        <v>%</v>
      </c>
      <c r="Y34" s="71">
        <f>SUM(Y35:Y37)</f>
        <v>34083638</v>
      </c>
      <c r="Z34" s="49">
        <f t="shared" si="7"/>
        <v>100</v>
      </c>
      <c r="AA34" s="19" t="str">
        <f t="shared" si="5"/>
        <v>%</v>
      </c>
      <c r="AB34" s="51">
        <f t="shared" si="8"/>
        <v>100</v>
      </c>
      <c r="AC34" s="19" t="s">
        <v>30</v>
      </c>
      <c r="AD34" s="50">
        <f t="shared" si="9"/>
        <v>82157537</v>
      </c>
      <c r="AE34" s="51">
        <f t="shared" si="10"/>
        <v>75.74147652367914</v>
      </c>
      <c r="AF34" s="19" t="s">
        <v>30</v>
      </c>
      <c r="AG34" s="49">
        <f t="shared" si="11"/>
        <v>200</v>
      </c>
      <c r="AH34" s="19" t="str">
        <f t="shared" si="6"/>
        <v>%</v>
      </c>
      <c r="AI34" s="50">
        <f t="shared" si="12"/>
        <v>82157537</v>
      </c>
      <c r="AJ34" s="51"/>
      <c r="AK34" s="19"/>
      <c r="AL34" s="51"/>
      <c r="AM34" s="52"/>
      <c r="AP34" s="55"/>
    </row>
    <row r="35" spans="1:42" ht="95.25" customHeight="1" x14ac:dyDescent="0.2">
      <c r="A35" s="23"/>
      <c r="B35" s="4"/>
      <c r="C35" s="9" t="s">
        <v>72</v>
      </c>
      <c r="D35" s="9" t="s">
        <v>123</v>
      </c>
      <c r="E35" s="5">
        <f t="shared" si="15"/>
        <v>36</v>
      </c>
      <c r="F35" s="6" t="s">
        <v>147</v>
      </c>
      <c r="G35" s="7">
        <f>M35+J35*2</f>
        <v>311165000</v>
      </c>
      <c r="H35" s="5">
        <v>12</v>
      </c>
      <c r="I35" s="25" t="s">
        <v>147</v>
      </c>
      <c r="J35" s="75">
        <v>118069000</v>
      </c>
      <c r="K35" s="17">
        <v>12</v>
      </c>
      <c r="L35" s="6" t="s">
        <v>147</v>
      </c>
      <c r="M35" s="7">
        <v>75027000</v>
      </c>
      <c r="N35" s="17">
        <v>3</v>
      </c>
      <c r="O35" s="6" t="str">
        <f t="shared" si="1"/>
        <v>Bln</v>
      </c>
      <c r="P35" s="75">
        <v>4500000</v>
      </c>
      <c r="Q35" s="62">
        <v>3</v>
      </c>
      <c r="R35" s="77" t="str">
        <f t="shared" si="2"/>
        <v>Bln</v>
      </c>
      <c r="S35" s="80">
        <f>3000000+1500000+7118000+1500000+8873400</f>
        <v>21991400</v>
      </c>
      <c r="T35" s="62">
        <v>3</v>
      </c>
      <c r="U35" s="77" t="str">
        <f t="shared" si="3"/>
        <v>Bln</v>
      </c>
      <c r="V35" s="80">
        <v>5402499</v>
      </c>
      <c r="W35" s="62">
        <v>3</v>
      </c>
      <c r="X35" s="77" t="str">
        <f t="shared" si="4"/>
        <v>Bln</v>
      </c>
      <c r="Y35" s="80">
        <v>19186438</v>
      </c>
      <c r="Z35" s="25">
        <f t="shared" si="7"/>
        <v>12</v>
      </c>
      <c r="AA35" s="6" t="str">
        <f t="shared" si="5"/>
        <v>Bln</v>
      </c>
      <c r="AB35" s="24">
        <f t="shared" si="8"/>
        <v>100</v>
      </c>
      <c r="AC35" s="6" t="s">
        <v>30</v>
      </c>
      <c r="AD35" s="15">
        <f t="shared" si="9"/>
        <v>51080337</v>
      </c>
      <c r="AE35" s="24">
        <f t="shared" si="10"/>
        <v>68.082606261745767</v>
      </c>
      <c r="AF35" s="6" t="s">
        <v>30</v>
      </c>
      <c r="AG35" s="25">
        <f t="shared" si="11"/>
        <v>24</v>
      </c>
      <c r="AH35" s="6" t="str">
        <f t="shared" si="6"/>
        <v>Bln</v>
      </c>
      <c r="AI35" s="15">
        <f t="shared" si="12"/>
        <v>169149337</v>
      </c>
      <c r="AJ35" s="24"/>
      <c r="AK35" s="6"/>
      <c r="AL35" s="24"/>
      <c r="AM35" s="41"/>
      <c r="AP35" s="8"/>
    </row>
    <row r="36" spans="1:42" ht="75" x14ac:dyDescent="0.2">
      <c r="A36" s="23"/>
      <c r="B36" s="4"/>
      <c r="C36" s="9" t="s">
        <v>76</v>
      </c>
      <c r="D36" s="9" t="s">
        <v>123</v>
      </c>
      <c r="E36" s="5">
        <f t="shared" si="15"/>
        <v>36</v>
      </c>
      <c r="F36" s="6" t="s">
        <v>147</v>
      </c>
      <c r="G36" s="7">
        <f>M36+J36*2</f>
        <v>51400000</v>
      </c>
      <c r="H36" s="5">
        <v>12</v>
      </c>
      <c r="I36" s="25" t="s">
        <v>147</v>
      </c>
      <c r="J36" s="75">
        <v>18800000</v>
      </c>
      <c r="K36" s="17">
        <v>12</v>
      </c>
      <c r="L36" s="6" t="s">
        <v>147</v>
      </c>
      <c r="M36" s="7">
        <v>13800000</v>
      </c>
      <c r="N36" s="17">
        <v>3</v>
      </c>
      <c r="O36" s="6" t="str">
        <f t="shared" si="1"/>
        <v>Bln</v>
      </c>
      <c r="P36" s="87">
        <v>0</v>
      </c>
      <c r="Q36" s="62">
        <v>3</v>
      </c>
      <c r="R36" s="77" t="str">
        <f t="shared" si="2"/>
        <v>Bln</v>
      </c>
      <c r="S36" s="75">
        <v>1730000</v>
      </c>
      <c r="T36" s="62">
        <v>3</v>
      </c>
      <c r="U36" s="77" t="str">
        <f t="shared" si="3"/>
        <v>Bln</v>
      </c>
      <c r="V36" s="75">
        <f>2680000-S36</f>
        <v>950000</v>
      </c>
      <c r="W36" s="62">
        <v>3</v>
      </c>
      <c r="X36" s="77" t="str">
        <f t="shared" si="4"/>
        <v>Bln</v>
      </c>
      <c r="Y36" s="75">
        <v>10300000</v>
      </c>
      <c r="Z36" s="25">
        <f t="shared" si="7"/>
        <v>12</v>
      </c>
      <c r="AA36" s="6" t="str">
        <f t="shared" si="5"/>
        <v>Bln</v>
      </c>
      <c r="AB36" s="24">
        <f>Z36/K36*100</f>
        <v>100</v>
      </c>
      <c r="AC36" s="6" t="s">
        <v>30</v>
      </c>
      <c r="AD36" s="15">
        <f t="shared" si="9"/>
        <v>12980000</v>
      </c>
      <c r="AE36" s="24">
        <f t="shared" si="10"/>
        <v>94.057971014492765</v>
      </c>
      <c r="AF36" s="6" t="s">
        <v>30</v>
      </c>
      <c r="AG36" s="25">
        <f t="shared" si="11"/>
        <v>24</v>
      </c>
      <c r="AH36" s="6" t="str">
        <f t="shared" si="6"/>
        <v>Bln</v>
      </c>
      <c r="AI36" s="15">
        <f t="shared" si="12"/>
        <v>31780000</v>
      </c>
      <c r="AJ36" s="24"/>
      <c r="AK36" s="6"/>
      <c r="AL36" s="24"/>
      <c r="AM36" s="41"/>
      <c r="AP36" s="8"/>
    </row>
    <row r="37" spans="1:42" ht="75" x14ac:dyDescent="0.2">
      <c r="A37" s="23"/>
      <c r="B37" s="4"/>
      <c r="C37" s="9" t="s">
        <v>73</v>
      </c>
      <c r="D37" s="9" t="s">
        <v>123</v>
      </c>
      <c r="E37" s="5">
        <f t="shared" si="15"/>
        <v>36</v>
      </c>
      <c r="F37" s="6" t="s">
        <v>147</v>
      </c>
      <c r="G37" s="7">
        <f>M37+J37*2</f>
        <v>98220000</v>
      </c>
      <c r="H37" s="5">
        <v>12</v>
      </c>
      <c r="I37" s="25" t="s">
        <v>147</v>
      </c>
      <c r="J37" s="75">
        <v>39288000</v>
      </c>
      <c r="K37" s="17">
        <v>12</v>
      </c>
      <c r="L37" s="6" t="s">
        <v>147</v>
      </c>
      <c r="M37" s="7">
        <v>19644000</v>
      </c>
      <c r="N37" s="17">
        <v>3</v>
      </c>
      <c r="O37" s="6" t="str">
        <f t="shared" si="1"/>
        <v>Bln</v>
      </c>
      <c r="P37" s="75">
        <v>4500000</v>
      </c>
      <c r="Q37" s="62">
        <v>3</v>
      </c>
      <c r="R37" s="77" t="str">
        <f t="shared" si="2"/>
        <v>Bln</v>
      </c>
      <c r="S37" s="75">
        <f>[1]SEKETARIAT!$J$26</f>
        <v>9000000</v>
      </c>
      <c r="T37" s="62">
        <v>3</v>
      </c>
      <c r="U37" s="77" t="str">
        <f t="shared" si="3"/>
        <v>Bln</v>
      </c>
      <c r="V37" s="75">
        <v>0</v>
      </c>
      <c r="W37" s="62">
        <v>3</v>
      </c>
      <c r="X37" s="77" t="str">
        <f t="shared" si="4"/>
        <v>Bln</v>
      </c>
      <c r="Y37" s="75">
        <v>4597200</v>
      </c>
      <c r="Z37" s="25">
        <f t="shared" si="7"/>
        <v>12</v>
      </c>
      <c r="AA37" s="6" t="str">
        <f t="shared" si="5"/>
        <v>Bln</v>
      </c>
      <c r="AB37" s="24">
        <f t="shared" si="8"/>
        <v>100</v>
      </c>
      <c r="AC37" s="6" t="s">
        <v>30</v>
      </c>
      <c r="AD37" s="15">
        <f t="shared" si="9"/>
        <v>18097200</v>
      </c>
      <c r="AE37" s="24">
        <f t="shared" si="10"/>
        <v>92.125839951130118</v>
      </c>
      <c r="AF37" s="6" t="s">
        <v>30</v>
      </c>
      <c r="AG37" s="25">
        <f t="shared" si="11"/>
        <v>24</v>
      </c>
      <c r="AH37" s="6" t="str">
        <f t="shared" si="6"/>
        <v>Bln</v>
      </c>
      <c r="AI37" s="15">
        <f t="shared" si="12"/>
        <v>57385200</v>
      </c>
      <c r="AJ37" s="24"/>
      <c r="AK37" s="6"/>
      <c r="AL37" s="24"/>
      <c r="AM37" s="41"/>
      <c r="AP37" s="8"/>
    </row>
    <row r="38" spans="1:42" ht="63" x14ac:dyDescent="0.2">
      <c r="A38" s="96"/>
      <c r="B38" s="91" t="s">
        <v>143</v>
      </c>
      <c r="C38" s="4" t="s">
        <v>90</v>
      </c>
      <c r="D38" s="4" t="s">
        <v>179</v>
      </c>
      <c r="E38" s="18">
        <f>E39/E39*100</f>
        <v>100</v>
      </c>
      <c r="F38" s="21" t="s">
        <v>30</v>
      </c>
      <c r="G38" s="16">
        <f>G39+G41</f>
        <v>12876182764</v>
      </c>
      <c r="H38" s="34">
        <f>H39/E39*100</f>
        <v>2.5641025641025639</v>
      </c>
      <c r="I38" s="22" t="s">
        <v>30</v>
      </c>
      <c r="J38" s="16">
        <f>J39+J41</f>
        <v>3710149340</v>
      </c>
      <c r="K38" s="34">
        <f>K39/E39*100</f>
        <v>25.641025641025639</v>
      </c>
      <c r="L38" s="21" t="s">
        <v>30</v>
      </c>
      <c r="M38" s="16">
        <f>M39+M41</f>
        <v>5660440000</v>
      </c>
      <c r="N38" s="34">
        <f>N39/E39*100</f>
        <v>0</v>
      </c>
      <c r="O38" s="21" t="str">
        <f t="shared" si="1"/>
        <v>%</v>
      </c>
      <c r="P38" s="71">
        <f>P39+P41</f>
        <v>118900000</v>
      </c>
      <c r="Q38" s="34">
        <f>Q39/E39*100</f>
        <v>0</v>
      </c>
      <c r="R38" s="81" t="str">
        <f t="shared" si="2"/>
        <v>%</v>
      </c>
      <c r="S38" s="71">
        <f>S39+S41</f>
        <v>342151000</v>
      </c>
      <c r="T38" s="34">
        <f>T39/E39*100</f>
        <v>0</v>
      </c>
      <c r="U38" s="81" t="str">
        <f t="shared" si="3"/>
        <v>%</v>
      </c>
      <c r="V38" s="71">
        <f>V39+V41</f>
        <v>321326000</v>
      </c>
      <c r="W38" s="34">
        <f>W39/H39*100</f>
        <v>0</v>
      </c>
      <c r="X38" s="81" t="str">
        <f t="shared" si="4"/>
        <v>%</v>
      </c>
      <c r="Y38" s="71">
        <f>Y39+Y41</f>
        <v>2374003872</v>
      </c>
      <c r="Z38" s="51">
        <f t="shared" ref="Z38:Z46" si="16">SUM(N38,Q38,T38,W38)</f>
        <v>0</v>
      </c>
      <c r="AA38" s="21" t="str">
        <f t="shared" si="5"/>
        <v>%</v>
      </c>
      <c r="AB38" s="51">
        <f>AG38/K38*100</f>
        <v>10</v>
      </c>
      <c r="AC38" s="21" t="s">
        <v>30</v>
      </c>
      <c r="AD38" s="50">
        <f t="shared" ref="AD38:AD46" si="17">SUM(P38,S38,V38,Y38)</f>
        <v>3156380872</v>
      </c>
      <c r="AE38" s="51">
        <f t="shared" ref="AE38:AE46" si="18">AD38/M38*100</f>
        <v>55.762111637964537</v>
      </c>
      <c r="AF38" s="21" t="s">
        <v>30</v>
      </c>
      <c r="AG38" s="51">
        <f t="shared" ref="AG38:AG46" si="19">SUM(H38,Z38)</f>
        <v>2.5641025641025639</v>
      </c>
      <c r="AH38" s="21" t="str">
        <f t="shared" si="6"/>
        <v>%</v>
      </c>
      <c r="AI38" s="50">
        <f t="shared" ref="AI38:AI46" si="20">SUM(J38,AD38)</f>
        <v>6866530212</v>
      </c>
      <c r="AJ38" s="51"/>
      <c r="AK38" s="21"/>
      <c r="AL38" s="51"/>
      <c r="AM38" s="41"/>
      <c r="AP38" s="8"/>
    </row>
    <row r="39" spans="1:42" ht="126" x14ac:dyDescent="0.2">
      <c r="A39" s="97"/>
      <c r="B39" s="92"/>
      <c r="C39" s="4" t="s">
        <v>91</v>
      </c>
      <c r="D39" s="4" t="s">
        <v>103</v>
      </c>
      <c r="E39" s="18">
        <f>E40</f>
        <v>39</v>
      </c>
      <c r="F39" s="22" t="s">
        <v>104</v>
      </c>
      <c r="G39" s="16">
        <f>SUM(G40)</f>
        <v>6898400000</v>
      </c>
      <c r="H39" s="18">
        <v>1</v>
      </c>
      <c r="I39" s="22" t="s">
        <v>104</v>
      </c>
      <c r="J39" s="16">
        <f>SUM(J40)</f>
        <v>2344000000</v>
      </c>
      <c r="K39" s="18">
        <f>K40</f>
        <v>10</v>
      </c>
      <c r="L39" s="22" t="s">
        <v>104</v>
      </c>
      <c r="M39" s="16">
        <f>SUM(M40)</f>
        <v>2210400000</v>
      </c>
      <c r="N39" s="18">
        <v>0</v>
      </c>
      <c r="O39" s="21" t="str">
        <f t="shared" si="1"/>
        <v>PD</v>
      </c>
      <c r="P39" s="71">
        <f>SUM(P40)</f>
        <v>0</v>
      </c>
      <c r="Q39" s="18">
        <v>0</v>
      </c>
      <c r="R39" s="81" t="str">
        <f t="shared" si="2"/>
        <v>PD</v>
      </c>
      <c r="S39" s="71">
        <f>SUM(S40)</f>
        <v>98599000</v>
      </c>
      <c r="T39" s="18">
        <v>0</v>
      </c>
      <c r="U39" s="81" t="str">
        <f t="shared" si="3"/>
        <v>PD</v>
      </c>
      <c r="V39" s="71">
        <f>SUM(V40)</f>
        <v>0</v>
      </c>
      <c r="W39" s="18">
        <v>0</v>
      </c>
      <c r="X39" s="81" t="str">
        <f t="shared" si="4"/>
        <v>PD</v>
      </c>
      <c r="Y39" s="71">
        <f>SUM(Y40)</f>
        <v>1113444646</v>
      </c>
      <c r="Z39" s="49">
        <f t="shared" si="16"/>
        <v>0</v>
      </c>
      <c r="AA39" s="21" t="str">
        <f t="shared" si="5"/>
        <v>PD</v>
      </c>
      <c r="AB39" s="51">
        <f>AG39/K39*100</f>
        <v>10</v>
      </c>
      <c r="AC39" s="21" t="s">
        <v>30</v>
      </c>
      <c r="AD39" s="50">
        <f t="shared" si="17"/>
        <v>1212043646</v>
      </c>
      <c r="AE39" s="49">
        <f t="shared" si="18"/>
        <v>54.83367924357583</v>
      </c>
      <c r="AF39" s="21" t="s">
        <v>30</v>
      </c>
      <c r="AG39" s="49">
        <f t="shared" si="19"/>
        <v>1</v>
      </c>
      <c r="AH39" s="21" t="str">
        <f t="shared" si="6"/>
        <v>PD</v>
      </c>
      <c r="AI39" s="50">
        <f t="shared" si="20"/>
        <v>3556043646</v>
      </c>
      <c r="AJ39" s="51"/>
      <c r="AK39" s="21"/>
      <c r="AL39" s="51"/>
      <c r="AM39" s="41"/>
      <c r="AP39" s="8"/>
    </row>
    <row r="40" spans="1:42" ht="60" x14ac:dyDescent="0.2">
      <c r="A40" s="97"/>
      <c r="B40" s="92"/>
      <c r="C40" s="9" t="s">
        <v>92</v>
      </c>
      <c r="D40" s="9" t="s">
        <v>178</v>
      </c>
      <c r="E40" s="5">
        <v>39</v>
      </c>
      <c r="F40" s="20" t="s">
        <v>104</v>
      </c>
      <c r="G40" s="7">
        <f>M40+J40*2</f>
        <v>6898400000</v>
      </c>
      <c r="H40" s="5">
        <v>39</v>
      </c>
      <c r="I40" s="17" t="s">
        <v>104</v>
      </c>
      <c r="J40" s="90">
        <v>2344000000</v>
      </c>
      <c r="K40" s="5">
        <v>10</v>
      </c>
      <c r="L40" s="20" t="s">
        <v>104</v>
      </c>
      <c r="M40" s="7">
        <v>2210400000</v>
      </c>
      <c r="N40" s="5">
        <v>1</v>
      </c>
      <c r="O40" s="20" t="str">
        <f t="shared" si="1"/>
        <v>PD</v>
      </c>
      <c r="P40" s="87">
        <v>0</v>
      </c>
      <c r="Q40" s="62">
        <v>1</v>
      </c>
      <c r="R40" s="82" t="str">
        <f t="shared" si="2"/>
        <v>PD</v>
      </c>
      <c r="S40" s="75">
        <v>98599000</v>
      </c>
      <c r="T40" s="62">
        <v>1</v>
      </c>
      <c r="U40" s="82" t="str">
        <f t="shared" si="3"/>
        <v>PD</v>
      </c>
      <c r="V40" s="75">
        <v>0</v>
      </c>
      <c r="W40" s="62">
        <v>0</v>
      </c>
      <c r="X40" s="82" t="str">
        <f t="shared" si="4"/>
        <v>PD</v>
      </c>
      <c r="Y40" s="75">
        <v>1113444646</v>
      </c>
      <c r="Z40" s="25">
        <f t="shared" si="16"/>
        <v>3</v>
      </c>
      <c r="AA40" s="20" t="str">
        <f t="shared" si="5"/>
        <v>PD</v>
      </c>
      <c r="AB40" s="24">
        <f t="shared" ref="AB40:AB46" si="21">Z40/K40*100</f>
        <v>30</v>
      </c>
      <c r="AC40" s="20" t="s">
        <v>30</v>
      </c>
      <c r="AD40" s="15">
        <f t="shared" si="17"/>
        <v>1212043646</v>
      </c>
      <c r="AE40" s="25">
        <f t="shared" si="18"/>
        <v>54.83367924357583</v>
      </c>
      <c r="AF40" s="20" t="s">
        <v>30</v>
      </c>
      <c r="AG40" s="25">
        <f t="shared" si="19"/>
        <v>42</v>
      </c>
      <c r="AH40" s="20" t="str">
        <f t="shared" si="6"/>
        <v>PD</v>
      </c>
      <c r="AI40" s="15">
        <f t="shared" si="20"/>
        <v>3556043646</v>
      </c>
      <c r="AJ40" s="24"/>
      <c r="AK40" s="20"/>
      <c r="AL40" s="24"/>
      <c r="AM40" s="41"/>
      <c r="AP40" s="8"/>
    </row>
    <row r="41" spans="1:42" ht="78.75" x14ac:dyDescent="0.2">
      <c r="A41" s="97"/>
      <c r="B41" s="92"/>
      <c r="C41" s="4" t="s">
        <v>93</v>
      </c>
      <c r="D41" s="4" t="s">
        <v>177</v>
      </c>
      <c r="E41" s="18">
        <f>E44/E44*100</f>
        <v>100</v>
      </c>
      <c r="F41" s="21" t="s">
        <v>30</v>
      </c>
      <c r="G41" s="16">
        <f>SUM(G42:G46)</f>
        <v>5977782764</v>
      </c>
      <c r="H41" s="34">
        <f>H44/E44*100</f>
        <v>27.777777777777779</v>
      </c>
      <c r="I41" s="22" t="s">
        <v>30</v>
      </c>
      <c r="J41" s="16">
        <f>SUM(J42:J46)</f>
        <v>1366149340</v>
      </c>
      <c r="K41" s="34">
        <f>K44/E44*100</f>
        <v>59.259259259259252</v>
      </c>
      <c r="L41" s="21" t="s">
        <v>30</v>
      </c>
      <c r="M41" s="16">
        <f>SUM(M42:M46)</f>
        <v>3450040000</v>
      </c>
      <c r="N41" s="34">
        <f>N44/E44*100</f>
        <v>5.5555555555555554</v>
      </c>
      <c r="O41" s="21" t="str">
        <f t="shared" si="1"/>
        <v>%</v>
      </c>
      <c r="P41" s="71">
        <f>SUM(P42:P46)</f>
        <v>118900000</v>
      </c>
      <c r="Q41" s="34">
        <f>Q44/E44*100</f>
        <v>9.2592592592592595</v>
      </c>
      <c r="R41" s="81" t="str">
        <f t="shared" si="2"/>
        <v>%</v>
      </c>
      <c r="S41" s="71">
        <f>SUM(S42:S46)</f>
        <v>243552000</v>
      </c>
      <c r="T41" s="34">
        <f>T44/E44*100</f>
        <v>9.2592592592592595</v>
      </c>
      <c r="U41" s="81" t="str">
        <f t="shared" si="3"/>
        <v>%</v>
      </c>
      <c r="V41" s="71">
        <f>SUM(V42:V46)</f>
        <v>321326000</v>
      </c>
      <c r="W41" s="34">
        <f>W44/H44*100</f>
        <v>0</v>
      </c>
      <c r="X41" s="81" t="str">
        <f t="shared" si="4"/>
        <v>%</v>
      </c>
      <c r="Y41" s="71">
        <f>SUM(Y42:Y46)</f>
        <v>1260559226</v>
      </c>
      <c r="Z41" s="51">
        <f t="shared" si="16"/>
        <v>24.074074074074076</v>
      </c>
      <c r="AA41" s="21" t="str">
        <f t="shared" si="5"/>
        <v>%</v>
      </c>
      <c r="AB41" s="51">
        <f>AG41/K41*100</f>
        <v>87.500000000000014</v>
      </c>
      <c r="AC41" s="21" t="s">
        <v>30</v>
      </c>
      <c r="AD41" s="50">
        <f t="shared" si="17"/>
        <v>1944337226</v>
      </c>
      <c r="AE41" s="51">
        <f t="shared" si="18"/>
        <v>56.356947339740991</v>
      </c>
      <c r="AF41" s="21" t="s">
        <v>30</v>
      </c>
      <c r="AG41" s="51">
        <f t="shared" si="19"/>
        <v>51.851851851851855</v>
      </c>
      <c r="AH41" s="21" t="str">
        <f t="shared" si="6"/>
        <v>%</v>
      </c>
      <c r="AI41" s="50">
        <f t="shared" si="20"/>
        <v>3310486566</v>
      </c>
      <c r="AJ41" s="51"/>
      <c r="AK41" s="21"/>
      <c r="AL41" s="51"/>
      <c r="AM41" s="41"/>
      <c r="AP41" s="8"/>
    </row>
    <row r="42" spans="1:42" ht="45" x14ac:dyDescent="0.2">
      <c r="A42" s="97"/>
      <c r="B42" s="92"/>
      <c r="C42" s="9" t="s">
        <v>94</v>
      </c>
      <c r="D42" s="57" t="s">
        <v>174</v>
      </c>
      <c r="E42" s="42">
        <v>99.741</v>
      </c>
      <c r="F42" s="61" t="s">
        <v>30</v>
      </c>
      <c r="G42" s="7">
        <f>1528800000+489925700+538918270</f>
        <v>2557643970</v>
      </c>
      <c r="H42" s="5">
        <v>99.421000000000006</v>
      </c>
      <c r="I42" s="63" t="s">
        <v>30</v>
      </c>
      <c r="J42" s="90">
        <v>513750700</v>
      </c>
      <c r="K42" s="58">
        <v>99.671000000000006</v>
      </c>
      <c r="L42" s="60" t="s">
        <v>30</v>
      </c>
      <c r="M42" s="7">
        <v>1528800000</v>
      </c>
      <c r="N42" s="5">
        <v>99.542000000000002</v>
      </c>
      <c r="O42" s="61" t="str">
        <f t="shared" si="1"/>
        <v>%</v>
      </c>
      <c r="P42" s="87">
        <v>0</v>
      </c>
      <c r="Q42" s="83">
        <v>0.121</v>
      </c>
      <c r="R42" s="62" t="str">
        <f t="shared" si="2"/>
        <v>%</v>
      </c>
      <c r="S42" s="87">
        <v>0</v>
      </c>
      <c r="T42" s="83">
        <v>8.0000000000000002E-3</v>
      </c>
      <c r="U42" s="62" t="str">
        <f t="shared" si="3"/>
        <v>%</v>
      </c>
      <c r="V42" s="87">
        <v>280000000</v>
      </c>
      <c r="W42" s="83">
        <v>0</v>
      </c>
      <c r="X42" s="62" t="str">
        <f t="shared" si="4"/>
        <v>%</v>
      </c>
      <c r="Y42" s="87">
        <v>623104722</v>
      </c>
      <c r="Z42" s="45">
        <f t="shared" si="16"/>
        <v>99.670999999999992</v>
      </c>
      <c r="AA42" s="60" t="str">
        <f t="shared" si="5"/>
        <v>%</v>
      </c>
      <c r="AB42" s="25">
        <f t="shared" si="21"/>
        <v>99.999999999999986</v>
      </c>
      <c r="AC42" s="60" t="s">
        <v>30</v>
      </c>
      <c r="AD42" s="15">
        <f t="shared" si="17"/>
        <v>903104722</v>
      </c>
      <c r="AE42" s="25">
        <f t="shared" si="18"/>
        <v>59.072784013605443</v>
      </c>
      <c r="AF42" s="60" t="s">
        <v>30</v>
      </c>
      <c r="AG42" s="25">
        <f t="shared" si="19"/>
        <v>199.09199999999998</v>
      </c>
      <c r="AH42" s="60" t="str">
        <f t="shared" si="6"/>
        <v>%</v>
      </c>
      <c r="AI42" s="15">
        <f t="shared" si="20"/>
        <v>1416855422</v>
      </c>
      <c r="AJ42" s="24"/>
      <c r="AK42" s="57"/>
      <c r="AL42" s="24"/>
      <c r="AM42" s="41"/>
      <c r="AP42" s="8"/>
    </row>
    <row r="43" spans="1:42" ht="45" x14ac:dyDescent="0.2">
      <c r="A43" s="97"/>
      <c r="B43" s="92"/>
      <c r="C43" s="9" t="s">
        <v>95</v>
      </c>
      <c r="D43" s="59" t="s">
        <v>106</v>
      </c>
      <c r="E43" s="68">
        <v>2</v>
      </c>
      <c r="F43" s="62" t="s">
        <v>108</v>
      </c>
      <c r="G43" s="7">
        <f>M43+J43*2</f>
        <v>100000000</v>
      </c>
      <c r="H43" s="17">
        <v>0</v>
      </c>
      <c r="I43" s="64" t="s">
        <v>108</v>
      </c>
      <c r="J43" s="90"/>
      <c r="K43" s="64">
        <v>2</v>
      </c>
      <c r="L43" s="62" t="s">
        <v>108</v>
      </c>
      <c r="M43" s="7">
        <v>100000000</v>
      </c>
      <c r="N43" s="5">
        <v>0</v>
      </c>
      <c r="O43" s="59" t="str">
        <f t="shared" si="1"/>
        <v>Aplikasi</v>
      </c>
      <c r="P43" s="75">
        <v>8400000</v>
      </c>
      <c r="Q43" s="62">
        <v>1</v>
      </c>
      <c r="R43" s="62" t="str">
        <f t="shared" si="2"/>
        <v>Aplikasi</v>
      </c>
      <c r="S43" s="75">
        <v>14807000</v>
      </c>
      <c r="T43" s="62">
        <v>0</v>
      </c>
      <c r="U43" s="62" t="str">
        <f t="shared" si="3"/>
        <v>Aplikasi</v>
      </c>
      <c r="V43" s="75">
        <v>0</v>
      </c>
      <c r="W43" s="62">
        <v>0</v>
      </c>
      <c r="X43" s="62" t="str">
        <f t="shared" si="4"/>
        <v>Aplikasi</v>
      </c>
      <c r="Y43" s="75">
        <v>16615000</v>
      </c>
      <c r="Z43" s="25">
        <f t="shared" si="16"/>
        <v>1</v>
      </c>
      <c r="AA43" s="62" t="str">
        <f t="shared" si="5"/>
        <v>Aplikasi</v>
      </c>
      <c r="AB43" s="24">
        <f t="shared" si="21"/>
        <v>50</v>
      </c>
      <c r="AC43" s="62" t="s">
        <v>30</v>
      </c>
      <c r="AD43" s="15">
        <f t="shared" si="17"/>
        <v>39822000</v>
      </c>
      <c r="AE43" s="25">
        <f t="shared" si="18"/>
        <v>39.822000000000003</v>
      </c>
      <c r="AF43" s="62" t="s">
        <v>30</v>
      </c>
      <c r="AG43" s="25">
        <f t="shared" si="19"/>
        <v>1</v>
      </c>
      <c r="AH43" s="62" t="str">
        <f t="shared" si="6"/>
        <v>Aplikasi</v>
      </c>
      <c r="AI43" s="15">
        <f t="shared" si="20"/>
        <v>39822000</v>
      </c>
      <c r="AJ43" s="24"/>
      <c r="AK43" s="59"/>
      <c r="AL43" s="24"/>
      <c r="AM43" s="41"/>
      <c r="AP43" s="8"/>
    </row>
    <row r="44" spans="1:42" ht="60" x14ac:dyDescent="0.2">
      <c r="A44" s="97"/>
      <c r="B44" s="92"/>
      <c r="C44" s="9" t="s">
        <v>96</v>
      </c>
      <c r="D44" s="57" t="s">
        <v>175</v>
      </c>
      <c r="E44" s="68">
        <f>16+38</f>
        <v>54</v>
      </c>
      <c r="F44" s="60" t="s">
        <v>108</v>
      </c>
      <c r="G44" s="7">
        <f>1155320000+582000000+640200000</f>
        <v>2377520000</v>
      </c>
      <c r="H44" s="17">
        <f>10+5</f>
        <v>15</v>
      </c>
      <c r="I44" s="63" t="s">
        <v>108</v>
      </c>
      <c r="J44" s="90">
        <v>718413500</v>
      </c>
      <c r="K44" s="64">
        <f>12+20</f>
        <v>32</v>
      </c>
      <c r="L44" s="60" t="s">
        <v>108</v>
      </c>
      <c r="M44" s="7">
        <v>1155320000</v>
      </c>
      <c r="N44" s="5">
        <v>3</v>
      </c>
      <c r="O44" s="57" t="str">
        <f t="shared" si="1"/>
        <v>Aplikasi</v>
      </c>
      <c r="P44" s="75">
        <v>110500000</v>
      </c>
      <c r="Q44" s="62">
        <f>1+4</f>
        <v>5</v>
      </c>
      <c r="R44" s="62" t="str">
        <f t="shared" si="2"/>
        <v>Aplikasi</v>
      </c>
      <c r="S44" s="80">
        <f>32500000+39000000+39000000+39000000+39000000+39000000</f>
        <v>227500000</v>
      </c>
      <c r="T44" s="62">
        <f>1+4</f>
        <v>5</v>
      </c>
      <c r="U44" s="62" t="str">
        <f t="shared" si="3"/>
        <v>Aplikasi</v>
      </c>
      <c r="V44" s="80">
        <v>6500000</v>
      </c>
      <c r="W44" s="62">
        <v>0</v>
      </c>
      <c r="X44" s="62" t="str">
        <f t="shared" si="4"/>
        <v>Aplikasi</v>
      </c>
      <c r="Y44" s="80">
        <v>218380000</v>
      </c>
      <c r="Z44" s="25">
        <f t="shared" si="16"/>
        <v>13</v>
      </c>
      <c r="AA44" s="60" t="str">
        <f t="shared" si="5"/>
        <v>Aplikasi</v>
      </c>
      <c r="AB44" s="24">
        <f>AG44/K44*100</f>
        <v>87.5</v>
      </c>
      <c r="AC44" s="60" t="s">
        <v>30</v>
      </c>
      <c r="AD44" s="15">
        <f t="shared" si="17"/>
        <v>562880000</v>
      </c>
      <c r="AE44" s="25">
        <f t="shared" si="18"/>
        <v>48.72070075823148</v>
      </c>
      <c r="AF44" s="60" t="s">
        <v>30</v>
      </c>
      <c r="AG44" s="25">
        <f t="shared" si="19"/>
        <v>28</v>
      </c>
      <c r="AH44" s="60" t="str">
        <f t="shared" si="6"/>
        <v>Aplikasi</v>
      </c>
      <c r="AI44" s="15">
        <f t="shared" si="20"/>
        <v>1281293500</v>
      </c>
      <c r="AJ44" s="24"/>
      <c r="AK44" s="57"/>
      <c r="AL44" s="24"/>
      <c r="AM44" s="41"/>
      <c r="AP44" s="8"/>
    </row>
    <row r="45" spans="1:42" ht="75" x14ac:dyDescent="0.2">
      <c r="A45" s="97"/>
      <c r="B45" s="92"/>
      <c r="C45" s="9" t="s">
        <v>97</v>
      </c>
      <c r="D45" s="57" t="s">
        <v>176</v>
      </c>
      <c r="E45" s="68">
        <v>8</v>
      </c>
      <c r="F45" s="60" t="s">
        <v>108</v>
      </c>
      <c r="G45" s="7">
        <f>605800000+96285140+105913654</f>
        <v>807998794</v>
      </c>
      <c r="H45" s="17">
        <v>0</v>
      </c>
      <c r="I45" s="63" t="s">
        <v>108</v>
      </c>
      <c r="J45" s="90">
        <v>96735140</v>
      </c>
      <c r="K45" s="63">
        <v>1</v>
      </c>
      <c r="L45" s="60" t="s">
        <v>108</v>
      </c>
      <c r="M45" s="7">
        <v>605800000</v>
      </c>
      <c r="N45" s="5">
        <v>0</v>
      </c>
      <c r="O45" s="57" t="str">
        <f t="shared" si="1"/>
        <v>Aplikasi</v>
      </c>
      <c r="P45" s="87">
        <v>0</v>
      </c>
      <c r="Q45" s="62">
        <v>0</v>
      </c>
      <c r="R45" s="62" t="str">
        <f t="shared" si="2"/>
        <v>Aplikasi</v>
      </c>
      <c r="S45" s="87">
        <v>0</v>
      </c>
      <c r="T45" s="62">
        <v>0</v>
      </c>
      <c r="U45" s="62" t="str">
        <f t="shared" si="3"/>
        <v>Aplikasi</v>
      </c>
      <c r="V45" s="87">
        <v>0</v>
      </c>
      <c r="W45" s="62">
        <v>0</v>
      </c>
      <c r="X45" s="62" t="str">
        <f t="shared" si="4"/>
        <v>Aplikasi</v>
      </c>
      <c r="Y45" s="87">
        <v>389699504</v>
      </c>
      <c r="Z45" s="25">
        <f t="shared" si="16"/>
        <v>0</v>
      </c>
      <c r="AA45" s="60" t="str">
        <f t="shared" si="5"/>
        <v>Aplikasi</v>
      </c>
      <c r="AB45" s="24">
        <f t="shared" si="21"/>
        <v>0</v>
      </c>
      <c r="AC45" s="60" t="s">
        <v>30</v>
      </c>
      <c r="AD45" s="15">
        <f t="shared" si="17"/>
        <v>389699504</v>
      </c>
      <c r="AE45" s="25">
        <f t="shared" si="18"/>
        <v>64.328079234070643</v>
      </c>
      <c r="AF45" s="60" t="s">
        <v>30</v>
      </c>
      <c r="AG45" s="25">
        <f t="shared" si="19"/>
        <v>0</v>
      </c>
      <c r="AH45" s="60" t="str">
        <f t="shared" si="6"/>
        <v>Aplikasi</v>
      </c>
      <c r="AI45" s="15">
        <f t="shared" si="20"/>
        <v>486434644</v>
      </c>
      <c r="AJ45" s="24"/>
      <c r="AK45" s="57"/>
      <c r="AL45" s="24"/>
      <c r="AM45" s="41"/>
      <c r="AP45" s="8"/>
    </row>
    <row r="46" spans="1:42" ht="92.25" customHeight="1" x14ac:dyDescent="0.2">
      <c r="A46" s="99"/>
      <c r="B46" s="95"/>
      <c r="C46" s="9" t="s">
        <v>98</v>
      </c>
      <c r="D46" s="57" t="s">
        <v>107</v>
      </c>
      <c r="E46" s="86">
        <v>100</v>
      </c>
      <c r="F46" s="60" t="s">
        <v>105</v>
      </c>
      <c r="G46" s="7">
        <f>M46+J46*2</f>
        <v>134620000</v>
      </c>
      <c r="H46" s="5">
        <v>88</v>
      </c>
      <c r="I46" s="63" t="s">
        <v>105</v>
      </c>
      <c r="J46" s="75">
        <v>37250000</v>
      </c>
      <c r="K46" s="68">
        <v>100</v>
      </c>
      <c r="L46" s="60" t="s">
        <v>105</v>
      </c>
      <c r="M46" s="7">
        <v>60120000</v>
      </c>
      <c r="N46" s="5">
        <v>0</v>
      </c>
      <c r="O46" s="57" t="str">
        <f t="shared" si="1"/>
        <v>Menara</v>
      </c>
      <c r="P46" s="87">
        <v>0</v>
      </c>
      <c r="Q46" s="62">
        <v>100</v>
      </c>
      <c r="R46" s="62" t="str">
        <f t="shared" si="2"/>
        <v>Menara</v>
      </c>
      <c r="S46" s="89">
        <v>1245000</v>
      </c>
      <c r="T46" s="62">
        <v>0</v>
      </c>
      <c r="U46" s="62" t="str">
        <f t="shared" si="3"/>
        <v>Menara</v>
      </c>
      <c r="V46" s="89">
        <v>34826000</v>
      </c>
      <c r="W46" s="62">
        <v>0</v>
      </c>
      <c r="X46" s="62" t="str">
        <f t="shared" si="4"/>
        <v>Menara</v>
      </c>
      <c r="Y46" s="89">
        <v>12760000</v>
      </c>
      <c r="Z46" s="25">
        <f t="shared" si="16"/>
        <v>100</v>
      </c>
      <c r="AA46" s="60" t="str">
        <f t="shared" si="5"/>
        <v>Menara</v>
      </c>
      <c r="AB46" s="24">
        <f t="shared" si="21"/>
        <v>100</v>
      </c>
      <c r="AC46" s="60" t="s">
        <v>30</v>
      </c>
      <c r="AD46" s="15">
        <f t="shared" si="17"/>
        <v>48831000</v>
      </c>
      <c r="AE46" s="25">
        <f t="shared" si="18"/>
        <v>81.222554890219556</v>
      </c>
      <c r="AF46" s="60" t="s">
        <v>30</v>
      </c>
      <c r="AG46" s="25">
        <f t="shared" si="19"/>
        <v>188</v>
      </c>
      <c r="AH46" s="60" t="str">
        <f t="shared" si="6"/>
        <v>Menara</v>
      </c>
      <c r="AI46" s="15">
        <f t="shared" si="20"/>
        <v>86081000</v>
      </c>
      <c r="AJ46" s="24"/>
      <c r="AK46" s="57"/>
      <c r="AL46" s="24"/>
      <c r="AM46" s="41"/>
      <c r="AP46" s="8"/>
    </row>
    <row r="47" spans="1:42" ht="78.75" x14ac:dyDescent="0.2">
      <c r="A47" s="96"/>
      <c r="B47" s="91" t="s">
        <v>138</v>
      </c>
      <c r="C47" s="4" t="s">
        <v>99</v>
      </c>
      <c r="D47" s="4" t="s">
        <v>173</v>
      </c>
      <c r="E47" s="18">
        <v>100</v>
      </c>
      <c r="F47" s="18" t="s">
        <v>30</v>
      </c>
      <c r="G47" s="16">
        <f>G48</f>
        <v>274595000</v>
      </c>
      <c r="H47" s="22">
        <f>H48</f>
        <v>100</v>
      </c>
      <c r="I47" s="22" t="s">
        <v>30</v>
      </c>
      <c r="J47" s="16">
        <f>J48</f>
        <v>99889000</v>
      </c>
      <c r="K47" s="22">
        <f>K48</f>
        <v>100</v>
      </c>
      <c r="L47" s="18" t="s">
        <v>30</v>
      </c>
      <c r="M47" s="16">
        <f>M48</f>
        <v>74817000</v>
      </c>
      <c r="N47" s="22">
        <f>N48</f>
        <v>0</v>
      </c>
      <c r="O47" s="16" t="str">
        <f t="shared" si="1"/>
        <v>%</v>
      </c>
      <c r="P47" s="71">
        <f t="shared" ref="P47" si="22">P48</f>
        <v>8400000</v>
      </c>
      <c r="Q47" s="34">
        <f>Q48</f>
        <v>66.666666666666657</v>
      </c>
      <c r="R47" s="84" t="str">
        <f t="shared" si="2"/>
        <v>%</v>
      </c>
      <c r="S47" s="71">
        <f t="shared" ref="S47" si="23">S48</f>
        <v>15108000</v>
      </c>
      <c r="T47" s="34">
        <f>T48</f>
        <v>33.333333333333329</v>
      </c>
      <c r="U47" s="84" t="str">
        <f t="shared" si="3"/>
        <v>%</v>
      </c>
      <c r="V47" s="71">
        <f t="shared" ref="V47" si="24">V48</f>
        <v>0</v>
      </c>
      <c r="W47" s="34">
        <f>W48</f>
        <v>0</v>
      </c>
      <c r="X47" s="84" t="str">
        <f t="shared" si="4"/>
        <v>%</v>
      </c>
      <c r="Y47" s="71">
        <f t="shared" ref="Y47" si="25">Y48</f>
        <v>43169000</v>
      </c>
      <c r="Z47" s="16">
        <f t="shared" ref="Z47" si="26">Z48</f>
        <v>99.999999999999986</v>
      </c>
      <c r="AA47" s="65" t="str">
        <f t="shared" si="5"/>
        <v>%</v>
      </c>
      <c r="AB47" s="66">
        <f t="shared" ref="AB47" si="27">AB48</f>
        <v>99.999999999999986</v>
      </c>
      <c r="AC47" s="65" t="s">
        <v>30</v>
      </c>
      <c r="AD47" s="16">
        <f t="shared" ref="AD47" si="28">AD48</f>
        <v>66677000</v>
      </c>
      <c r="AE47" s="66">
        <f t="shared" ref="AE47" si="29">AE48</f>
        <v>89.120119758878332</v>
      </c>
      <c r="AF47" s="65" t="s">
        <v>30</v>
      </c>
      <c r="AG47" s="16">
        <f t="shared" ref="AG47" si="30">AG48</f>
        <v>200</v>
      </c>
      <c r="AH47" s="65" t="str">
        <f t="shared" si="6"/>
        <v>%</v>
      </c>
      <c r="AI47" s="16">
        <f t="shared" ref="AI47" si="31">AI48</f>
        <v>166566000</v>
      </c>
      <c r="AJ47" s="16">
        <f t="shared" ref="AJ47" si="32">AJ48</f>
        <v>0</v>
      </c>
      <c r="AK47" s="16"/>
      <c r="AL47" s="51"/>
      <c r="AM47" s="41"/>
      <c r="AP47" s="8"/>
    </row>
    <row r="48" spans="1:42" ht="63" x14ac:dyDescent="0.2">
      <c r="A48" s="97"/>
      <c r="B48" s="92"/>
      <c r="C48" s="4" t="s">
        <v>100</v>
      </c>
      <c r="D48" s="4" t="s">
        <v>172</v>
      </c>
      <c r="E48" s="18">
        <v>100</v>
      </c>
      <c r="F48" s="18" t="s">
        <v>30</v>
      </c>
      <c r="G48" s="16">
        <f>SUM(G49:G50)</f>
        <v>274595000</v>
      </c>
      <c r="H48" s="49">
        <f>H49/3*100</f>
        <v>100</v>
      </c>
      <c r="I48" s="22" t="s">
        <v>30</v>
      </c>
      <c r="J48" s="71">
        <f>SUM(J49:J50)</f>
        <v>99889000</v>
      </c>
      <c r="K48" s="49">
        <f>K49/3*100</f>
        <v>100</v>
      </c>
      <c r="L48" s="18" t="s">
        <v>30</v>
      </c>
      <c r="M48" s="16">
        <f>SUM(M49:M50)</f>
        <v>74817000</v>
      </c>
      <c r="N48" s="18">
        <v>0</v>
      </c>
      <c r="O48" s="4" t="str">
        <f t="shared" si="1"/>
        <v>%</v>
      </c>
      <c r="P48" s="71">
        <f>SUM(P49:P50)</f>
        <v>8400000</v>
      </c>
      <c r="Q48" s="51">
        <f>Q49/3*100</f>
        <v>66.666666666666657</v>
      </c>
      <c r="R48" s="74" t="str">
        <f t="shared" si="2"/>
        <v>%</v>
      </c>
      <c r="S48" s="71">
        <f>SUM(S49:S50)</f>
        <v>15108000</v>
      </c>
      <c r="T48" s="51">
        <f>T49/3*100</f>
        <v>33.333333333333329</v>
      </c>
      <c r="U48" s="74" t="str">
        <f t="shared" si="3"/>
        <v>%</v>
      </c>
      <c r="V48" s="71">
        <f>SUM(V49:V50)</f>
        <v>0</v>
      </c>
      <c r="W48" s="51">
        <f>W49/3*100</f>
        <v>0</v>
      </c>
      <c r="X48" s="74" t="str">
        <f t="shared" si="4"/>
        <v>%</v>
      </c>
      <c r="Y48" s="71">
        <f>SUM(Y49:Y50)</f>
        <v>43169000</v>
      </c>
      <c r="Z48" s="49">
        <f>SUM(N48,Q48,T48,W48)</f>
        <v>99.999999999999986</v>
      </c>
      <c r="AA48" s="18" t="str">
        <f t="shared" si="5"/>
        <v>%</v>
      </c>
      <c r="AB48" s="51">
        <f>Z48/K48*100</f>
        <v>99.999999999999986</v>
      </c>
      <c r="AC48" s="18" t="s">
        <v>30</v>
      </c>
      <c r="AD48" s="50">
        <f>SUM(P48,S48,V48,Y48)</f>
        <v>66677000</v>
      </c>
      <c r="AE48" s="51">
        <f>AD48/M48*100</f>
        <v>89.120119758878332</v>
      </c>
      <c r="AF48" s="18" t="s">
        <v>30</v>
      </c>
      <c r="AG48" s="49">
        <f>SUM(H48,Z48)</f>
        <v>200</v>
      </c>
      <c r="AH48" s="18" t="str">
        <f t="shared" si="6"/>
        <v>%</v>
      </c>
      <c r="AI48" s="50">
        <f>SUM(J48,AD48)</f>
        <v>166566000</v>
      </c>
      <c r="AJ48" s="51"/>
      <c r="AK48" s="4"/>
      <c r="AL48" s="51"/>
      <c r="AM48" s="41"/>
      <c r="AP48" s="8"/>
    </row>
    <row r="49" spans="1:42" ht="90" x14ac:dyDescent="0.2">
      <c r="A49" s="97"/>
      <c r="B49" s="92"/>
      <c r="C49" s="9" t="s">
        <v>101</v>
      </c>
      <c r="D49" s="9" t="s">
        <v>171</v>
      </c>
      <c r="E49" s="5">
        <v>3</v>
      </c>
      <c r="F49" s="20" t="s">
        <v>146</v>
      </c>
      <c r="G49" s="7">
        <f>M49+J49*2</f>
        <v>158067000</v>
      </c>
      <c r="H49" s="5">
        <v>3</v>
      </c>
      <c r="I49" s="20" t="s">
        <v>146</v>
      </c>
      <c r="J49" s="90">
        <v>56139000</v>
      </c>
      <c r="K49" s="5">
        <v>3</v>
      </c>
      <c r="L49" s="20" t="s">
        <v>146</v>
      </c>
      <c r="M49" s="7">
        <v>45789000</v>
      </c>
      <c r="N49" s="5">
        <v>0</v>
      </c>
      <c r="O49" s="20" t="str">
        <f t="shared" si="1"/>
        <v>Dok</v>
      </c>
      <c r="P49" s="75">
        <v>8400000</v>
      </c>
      <c r="Q49" s="62">
        <v>2</v>
      </c>
      <c r="R49" s="82" t="str">
        <f t="shared" si="2"/>
        <v>Dok</v>
      </c>
      <c r="S49" s="75">
        <v>13258000</v>
      </c>
      <c r="T49" s="62">
        <v>1</v>
      </c>
      <c r="U49" s="82" t="str">
        <f t="shared" si="3"/>
        <v>Dok</v>
      </c>
      <c r="V49" s="75">
        <v>0</v>
      </c>
      <c r="W49" s="62">
        <v>0</v>
      </c>
      <c r="X49" s="82" t="str">
        <f t="shared" si="4"/>
        <v>Dok</v>
      </c>
      <c r="Y49" s="75">
        <v>23141000</v>
      </c>
      <c r="Z49" s="25">
        <f>SUM(N49,Q49,T49,W49)</f>
        <v>3</v>
      </c>
      <c r="AA49" s="20" t="str">
        <f t="shared" si="5"/>
        <v>Dok</v>
      </c>
      <c r="AB49" s="24">
        <f>Z49/K49*100</f>
        <v>100</v>
      </c>
      <c r="AC49" s="20" t="s">
        <v>30</v>
      </c>
      <c r="AD49" s="15">
        <f>SUM(P49,S49,V49,Y49)</f>
        <v>44799000</v>
      </c>
      <c r="AE49" s="24">
        <f>AD49/M49*100</f>
        <v>97.837908668020702</v>
      </c>
      <c r="AF49" s="20" t="s">
        <v>30</v>
      </c>
      <c r="AG49" s="25">
        <f>SUM(H49,Z49)</f>
        <v>6</v>
      </c>
      <c r="AH49" s="20" t="str">
        <f t="shared" si="6"/>
        <v>Dok</v>
      </c>
      <c r="AI49" s="15">
        <f>SUM(J49,AD49)</f>
        <v>100938000</v>
      </c>
      <c r="AJ49" s="24"/>
      <c r="AK49" s="20"/>
      <c r="AL49" s="24"/>
      <c r="AM49" s="41"/>
      <c r="AP49" s="8"/>
    </row>
    <row r="50" spans="1:42" ht="75" x14ac:dyDescent="0.2">
      <c r="A50" s="99"/>
      <c r="B50" s="95"/>
      <c r="C50" s="9" t="s">
        <v>169</v>
      </c>
      <c r="D50" s="57" t="s">
        <v>170</v>
      </c>
      <c r="E50" s="5">
        <v>38</v>
      </c>
      <c r="F50" s="20" t="s">
        <v>104</v>
      </c>
      <c r="G50" s="7">
        <f>M50+J50*2</f>
        <v>116528000</v>
      </c>
      <c r="H50" s="17">
        <v>0</v>
      </c>
      <c r="I50" s="20" t="s">
        <v>104</v>
      </c>
      <c r="J50" s="90">
        <v>43750000</v>
      </c>
      <c r="K50" s="5">
        <v>38</v>
      </c>
      <c r="L50" s="20" t="s">
        <v>104</v>
      </c>
      <c r="M50" s="7">
        <v>29028000</v>
      </c>
      <c r="N50" s="5">
        <v>0</v>
      </c>
      <c r="O50" s="20" t="str">
        <f t="shared" si="1"/>
        <v>PD</v>
      </c>
      <c r="P50" s="87">
        <v>0</v>
      </c>
      <c r="Q50" s="62">
        <v>0</v>
      </c>
      <c r="R50" s="82" t="str">
        <f t="shared" si="2"/>
        <v>PD</v>
      </c>
      <c r="S50" s="75">
        <f>[1]STATISTIK!$L$9</f>
        <v>1850000</v>
      </c>
      <c r="T50" s="62">
        <v>0</v>
      </c>
      <c r="U50" s="82" t="str">
        <f t="shared" si="3"/>
        <v>PD</v>
      </c>
      <c r="V50" s="75">
        <v>0</v>
      </c>
      <c r="W50" s="62">
        <v>0</v>
      </c>
      <c r="X50" s="82" t="str">
        <f t="shared" si="4"/>
        <v>PD</v>
      </c>
      <c r="Y50" s="75">
        <v>20028000</v>
      </c>
      <c r="Z50" s="25">
        <f>SUM(N50,Q50,T50,W50)</f>
        <v>0</v>
      </c>
      <c r="AA50" s="20" t="str">
        <f t="shared" si="5"/>
        <v>PD</v>
      </c>
      <c r="AB50" s="24">
        <f>Z50/K50*100</f>
        <v>0</v>
      </c>
      <c r="AC50" s="20" t="s">
        <v>30</v>
      </c>
      <c r="AD50" s="15">
        <f>SUM(P50,S50,V50,Y50)</f>
        <v>21878000</v>
      </c>
      <c r="AE50" s="24">
        <f>AD50/M50*100</f>
        <v>75.368609618299573</v>
      </c>
      <c r="AF50" s="20" t="s">
        <v>30</v>
      </c>
      <c r="AG50" s="25">
        <f>SUM(H50,Z50)</f>
        <v>0</v>
      </c>
      <c r="AH50" s="20" t="str">
        <f t="shared" si="6"/>
        <v>PD</v>
      </c>
      <c r="AI50" s="15">
        <f>SUM(J50,AD50)</f>
        <v>65628000</v>
      </c>
      <c r="AJ50" s="24"/>
      <c r="AK50" s="20"/>
      <c r="AL50" s="24"/>
      <c r="AM50" s="41"/>
      <c r="AP50" s="8"/>
    </row>
    <row r="51" spans="1:42" ht="63" x14ac:dyDescent="0.2">
      <c r="A51" s="96"/>
      <c r="B51" s="91"/>
      <c r="C51" s="4" t="s">
        <v>77</v>
      </c>
      <c r="D51" s="4" t="s">
        <v>167</v>
      </c>
      <c r="E51" s="18">
        <v>100</v>
      </c>
      <c r="F51" s="18" t="s">
        <v>30</v>
      </c>
      <c r="G51" s="16">
        <f>G52</f>
        <v>10779379000</v>
      </c>
      <c r="H51" s="22">
        <v>40</v>
      </c>
      <c r="I51" s="22" t="s">
        <v>30</v>
      </c>
      <c r="J51" s="16">
        <f>J52</f>
        <v>3787907160</v>
      </c>
      <c r="K51" s="18">
        <v>60</v>
      </c>
      <c r="L51" s="21" t="s">
        <v>30</v>
      </c>
      <c r="M51" s="16">
        <f>M52</f>
        <v>3795093000</v>
      </c>
      <c r="N51" s="34">
        <f>N52/40*100</f>
        <v>37.5</v>
      </c>
      <c r="O51" s="21" t="str">
        <f t="shared" si="1"/>
        <v>%</v>
      </c>
      <c r="P51" s="71">
        <f>P52</f>
        <v>435716000</v>
      </c>
      <c r="Q51" s="34">
        <f>Q52/40*100</f>
        <v>35</v>
      </c>
      <c r="R51" s="81" t="str">
        <f t="shared" si="2"/>
        <v>%</v>
      </c>
      <c r="S51" s="71">
        <f>S52</f>
        <v>1200167363</v>
      </c>
      <c r="T51" s="74">
        <v>0</v>
      </c>
      <c r="U51" s="81" t="str">
        <f t="shared" si="3"/>
        <v>%</v>
      </c>
      <c r="V51" s="71">
        <f>V52</f>
        <v>586168426</v>
      </c>
      <c r="W51" s="74">
        <v>0</v>
      </c>
      <c r="X51" s="81" t="str">
        <f t="shared" si="4"/>
        <v>%</v>
      </c>
      <c r="Y51" s="71">
        <f>Y52</f>
        <v>1217886220</v>
      </c>
      <c r="Z51" s="51">
        <f>SUM(N51,Q51,T51,W51)</f>
        <v>72.5</v>
      </c>
      <c r="AA51" s="21" t="str">
        <f t="shared" si="5"/>
        <v>%</v>
      </c>
      <c r="AB51" s="51">
        <f>Z51/K51*100</f>
        <v>120.83333333333333</v>
      </c>
      <c r="AC51" s="21" t="s">
        <v>30</v>
      </c>
      <c r="AD51" s="50">
        <f t="shared" si="9"/>
        <v>3439938009</v>
      </c>
      <c r="AE51" s="51">
        <f t="shared" si="10"/>
        <v>90.641731546499642</v>
      </c>
      <c r="AF51" s="21" t="s">
        <v>30</v>
      </c>
      <c r="AG51" s="49">
        <f t="shared" si="11"/>
        <v>112.5</v>
      </c>
      <c r="AH51" s="21" t="str">
        <f t="shared" si="6"/>
        <v>%</v>
      </c>
      <c r="AI51" s="50">
        <f t="shared" si="12"/>
        <v>7227845169</v>
      </c>
      <c r="AJ51" s="51"/>
      <c r="AK51" s="21"/>
      <c r="AL51" s="51"/>
      <c r="AM51" s="41"/>
      <c r="AP51" s="8"/>
    </row>
    <row r="52" spans="1:42" ht="78.75" x14ac:dyDescent="0.2">
      <c r="A52" s="97"/>
      <c r="B52" s="92"/>
      <c r="C52" s="4" t="s">
        <v>78</v>
      </c>
      <c r="D52" s="4" t="s">
        <v>165</v>
      </c>
      <c r="E52" s="18">
        <v>41</v>
      </c>
      <c r="F52" s="21" t="s">
        <v>166</v>
      </c>
      <c r="G52" s="16">
        <f>SUM(G53:G63)</f>
        <v>10779379000</v>
      </c>
      <c r="H52" s="18">
        <v>22</v>
      </c>
      <c r="I52" s="21" t="s">
        <v>166</v>
      </c>
      <c r="J52" s="16">
        <f>SUM(J53:J63)</f>
        <v>3787907160</v>
      </c>
      <c r="K52" s="18">
        <v>40</v>
      </c>
      <c r="L52" s="21" t="s">
        <v>166</v>
      </c>
      <c r="M52" s="16">
        <f>SUM(M53:M63)</f>
        <v>3795093000</v>
      </c>
      <c r="N52" s="18">
        <v>15</v>
      </c>
      <c r="O52" s="21" t="str">
        <f t="shared" si="1"/>
        <v>Website</v>
      </c>
      <c r="P52" s="71">
        <f>SUM(P53:P63)</f>
        <v>435716000</v>
      </c>
      <c r="Q52" s="74">
        <v>14</v>
      </c>
      <c r="R52" s="81" t="str">
        <f t="shared" si="2"/>
        <v>Website</v>
      </c>
      <c r="S52" s="71">
        <f>SUM(S53:S63)</f>
        <v>1200167363</v>
      </c>
      <c r="T52" s="74">
        <v>0</v>
      </c>
      <c r="U52" s="81" t="str">
        <f t="shared" si="3"/>
        <v>Website</v>
      </c>
      <c r="V52" s="71">
        <f>SUM(V53:V63)</f>
        <v>586168426</v>
      </c>
      <c r="W52" s="74">
        <v>0</v>
      </c>
      <c r="X52" s="81" t="str">
        <f t="shared" si="4"/>
        <v>Website</v>
      </c>
      <c r="Y52" s="71">
        <f>SUM(Y53:Y63)</f>
        <v>1217886220</v>
      </c>
      <c r="Z52" s="49">
        <f t="shared" si="7"/>
        <v>29</v>
      </c>
      <c r="AA52" s="21" t="str">
        <f t="shared" si="5"/>
        <v>Website</v>
      </c>
      <c r="AB52" s="51">
        <f t="shared" si="8"/>
        <v>72.5</v>
      </c>
      <c r="AC52" s="21" t="s">
        <v>30</v>
      </c>
      <c r="AD52" s="50">
        <f t="shared" si="9"/>
        <v>3439938009</v>
      </c>
      <c r="AE52" s="51">
        <f t="shared" si="10"/>
        <v>90.641731546499642</v>
      </c>
      <c r="AF52" s="21" t="s">
        <v>30</v>
      </c>
      <c r="AG52" s="49">
        <f t="shared" si="11"/>
        <v>51</v>
      </c>
      <c r="AH52" s="21" t="str">
        <f t="shared" si="6"/>
        <v>Website</v>
      </c>
      <c r="AI52" s="50">
        <f t="shared" si="12"/>
        <v>7227845169</v>
      </c>
      <c r="AJ52" s="51"/>
      <c r="AK52" s="21"/>
      <c r="AL52" s="51"/>
      <c r="AM52" s="41"/>
      <c r="AP52" s="8"/>
    </row>
    <row r="53" spans="1:42" ht="45" x14ac:dyDescent="0.2">
      <c r="A53" s="97"/>
      <c r="B53" s="92"/>
      <c r="C53" s="9" t="s">
        <v>79</v>
      </c>
      <c r="D53" s="57" t="s">
        <v>159</v>
      </c>
      <c r="E53" s="5">
        <v>48</v>
      </c>
      <c r="F53" s="20" t="s">
        <v>160</v>
      </c>
      <c r="G53" s="7">
        <f>31200000+58994000*2</f>
        <v>149188000</v>
      </c>
      <c r="H53" s="5">
        <v>48</v>
      </c>
      <c r="I53" s="20" t="s">
        <v>160</v>
      </c>
      <c r="J53" s="90">
        <v>58995000</v>
      </c>
      <c r="K53" s="5">
        <v>48</v>
      </c>
      <c r="L53" s="20" t="s">
        <v>160</v>
      </c>
      <c r="M53" s="7">
        <v>31200000</v>
      </c>
      <c r="N53" s="5">
        <v>12</v>
      </c>
      <c r="O53" s="20" t="str">
        <f t="shared" si="1"/>
        <v>Kali</v>
      </c>
      <c r="P53" s="87">
        <v>0</v>
      </c>
      <c r="Q53" s="62">
        <v>12</v>
      </c>
      <c r="R53" s="82" t="str">
        <f t="shared" si="2"/>
        <v>Kali</v>
      </c>
      <c r="S53" s="75">
        <v>1800000</v>
      </c>
      <c r="T53" s="62">
        <v>12</v>
      </c>
      <c r="U53" s="82" t="str">
        <f t="shared" si="3"/>
        <v>Kali</v>
      </c>
      <c r="V53" s="75">
        <v>2550000</v>
      </c>
      <c r="W53" s="62">
        <v>12</v>
      </c>
      <c r="X53" s="82" t="str">
        <f t="shared" si="4"/>
        <v>Kali</v>
      </c>
      <c r="Y53" s="75">
        <v>26400000</v>
      </c>
      <c r="Z53" s="25">
        <f t="shared" si="7"/>
        <v>48</v>
      </c>
      <c r="AA53" s="20" t="str">
        <f t="shared" si="5"/>
        <v>Kali</v>
      </c>
      <c r="AB53" s="24">
        <f t="shared" si="8"/>
        <v>100</v>
      </c>
      <c r="AC53" s="20" t="s">
        <v>30</v>
      </c>
      <c r="AD53" s="15">
        <f t="shared" si="9"/>
        <v>30750000</v>
      </c>
      <c r="AE53" s="24">
        <f t="shared" si="10"/>
        <v>98.557692307692307</v>
      </c>
      <c r="AF53" s="20" t="s">
        <v>30</v>
      </c>
      <c r="AG53" s="25">
        <f t="shared" si="11"/>
        <v>96</v>
      </c>
      <c r="AH53" s="20" t="str">
        <f t="shared" si="6"/>
        <v>Kali</v>
      </c>
      <c r="AI53" s="15">
        <f t="shared" si="12"/>
        <v>89745000</v>
      </c>
      <c r="AJ53" s="24"/>
      <c r="AK53" s="20"/>
      <c r="AL53" s="24"/>
      <c r="AM53" s="41"/>
      <c r="AP53" s="8"/>
    </row>
    <row r="54" spans="1:42" ht="60" x14ac:dyDescent="0.2">
      <c r="A54" s="97"/>
      <c r="B54" s="92"/>
      <c r="C54" s="9" t="s">
        <v>80</v>
      </c>
      <c r="D54" s="57" t="s">
        <v>168</v>
      </c>
      <c r="E54" s="17">
        <v>41</v>
      </c>
      <c r="F54" s="17" t="s">
        <v>166</v>
      </c>
      <c r="G54" s="7">
        <f>10745000*3</f>
        <v>32235000</v>
      </c>
      <c r="H54" s="17">
        <v>40</v>
      </c>
      <c r="I54" s="17" t="s">
        <v>166</v>
      </c>
      <c r="J54" s="90">
        <v>10745000</v>
      </c>
      <c r="K54" s="17">
        <v>40</v>
      </c>
      <c r="L54" s="20" t="s">
        <v>166</v>
      </c>
      <c r="M54" s="7">
        <v>10745000</v>
      </c>
      <c r="N54" s="17">
        <v>15</v>
      </c>
      <c r="O54" s="20" t="str">
        <f t="shared" si="1"/>
        <v>Website</v>
      </c>
      <c r="P54" s="87">
        <v>0</v>
      </c>
      <c r="Q54" s="64">
        <v>14</v>
      </c>
      <c r="R54" s="82" t="str">
        <f t="shared" si="2"/>
        <v>Website</v>
      </c>
      <c r="S54" s="87">
        <v>0</v>
      </c>
      <c r="T54" s="64">
        <v>0</v>
      </c>
      <c r="U54" s="82" t="str">
        <f t="shared" si="3"/>
        <v>Website</v>
      </c>
      <c r="V54" s="75">
        <v>0</v>
      </c>
      <c r="W54" s="64">
        <v>0</v>
      </c>
      <c r="X54" s="82" t="str">
        <f t="shared" si="4"/>
        <v>Website</v>
      </c>
      <c r="Y54" s="75">
        <v>0</v>
      </c>
      <c r="Z54" s="25">
        <f t="shared" si="7"/>
        <v>29</v>
      </c>
      <c r="AA54" s="20" t="str">
        <f t="shared" si="5"/>
        <v>Website</v>
      </c>
      <c r="AB54" s="24">
        <f t="shared" si="8"/>
        <v>72.5</v>
      </c>
      <c r="AC54" s="20" t="s">
        <v>30</v>
      </c>
      <c r="AD54" s="15">
        <f t="shared" si="9"/>
        <v>0</v>
      </c>
      <c r="AE54" s="24">
        <f t="shared" si="10"/>
        <v>0</v>
      </c>
      <c r="AF54" s="20" t="s">
        <v>30</v>
      </c>
      <c r="AG54" s="25">
        <f t="shared" si="11"/>
        <v>69</v>
      </c>
      <c r="AH54" s="20" t="str">
        <f t="shared" si="6"/>
        <v>Website</v>
      </c>
      <c r="AI54" s="15">
        <f t="shared" si="12"/>
        <v>10745000</v>
      </c>
      <c r="AJ54" s="24"/>
      <c r="AK54" s="20"/>
      <c r="AL54" s="24"/>
      <c r="AM54" s="41"/>
      <c r="AP54" s="8"/>
    </row>
    <row r="55" spans="1:42" ht="60" x14ac:dyDescent="0.2">
      <c r="A55" s="97"/>
      <c r="B55" s="92"/>
      <c r="C55" s="9" t="s">
        <v>81</v>
      </c>
      <c r="D55" s="56" t="s">
        <v>153</v>
      </c>
      <c r="E55" s="5">
        <v>800</v>
      </c>
      <c r="F55" s="20" t="s">
        <v>34</v>
      </c>
      <c r="G55" s="7">
        <f>513516000+628228000+855804000</f>
        <v>1997548000</v>
      </c>
      <c r="H55" s="17">
        <v>920</v>
      </c>
      <c r="I55" s="20" t="s">
        <v>34</v>
      </c>
      <c r="J55" s="90">
        <v>758228000</v>
      </c>
      <c r="K55" s="5">
        <v>800</v>
      </c>
      <c r="L55" s="20" t="s">
        <v>34</v>
      </c>
      <c r="M55" s="7">
        <v>513516000</v>
      </c>
      <c r="N55" s="5">
        <v>383</v>
      </c>
      <c r="O55" s="20" t="str">
        <f t="shared" si="1"/>
        <v>Informasi</v>
      </c>
      <c r="P55" s="87">
        <v>0</v>
      </c>
      <c r="Q55" s="62">
        <v>345</v>
      </c>
      <c r="R55" s="82" t="str">
        <f t="shared" si="2"/>
        <v>Informasi</v>
      </c>
      <c r="S55" s="75">
        <f>[1]KIP!$K$10</f>
        <v>217468283</v>
      </c>
      <c r="T55" s="62">
        <v>387</v>
      </c>
      <c r="U55" s="82" t="str">
        <f t="shared" si="3"/>
        <v>Informasi</v>
      </c>
      <c r="V55" s="75">
        <v>109745626</v>
      </c>
      <c r="W55" s="62">
        <v>0</v>
      </c>
      <c r="X55" s="82" t="str">
        <f t="shared" si="4"/>
        <v>Informasi</v>
      </c>
      <c r="Y55" s="75">
        <v>154737920</v>
      </c>
      <c r="Z55" s="88">
        <f t="shared" si="7"/>
        <v>1115</v>
      </c>
      <c r="AA55" s="20" t="str">
        <f t="shared" si="5"/>
        <v>Informasi</v>
      </c>
      <c r="AB55" s="24">
        <f t="shared" si="8"/>
        <v>139.375</v>
      </c>
      <c r="AC55" s="20" t="s">
        <v>30</v>
      </c>
      <c r="AD55" s="15">
        <f t="shared" si="9"/>
        <v>481951829</v>
      </c>
      <c r="AE55" s="24">
        <f t="shared" si="10"/>
        <v>93.853322778647595</v>
      </c>
      <c r="AF55" s="20" t="s">
        <v>30</v>
      </c>
      <c r="AG55" s="25">
        <f t="shared" si="11"/>
        <v>2035</v>
      </c>
      <c r="AH55" s="20" t="str">
        <f t="shared" si="6"/>
        <v>Informasi</v>
      </c>
      <c r="AI55" s="15">
        <f t="shared" si="12"/>
        <v>1240179829</v>
      </c>
      <c r="AJ55" s="24"/>
      <c r="AK55" s="20"/>
      <c r="AL55" s="24"/>
      <c r="AM55" s="41"/>
      <c r="AP55" s="8"/>
    </row>
    <row r="56" spans="1:42" ht="60" x14ac:dyDescent="0.2">
      <c r="A56" s="98"/>
      <c r="B56" s="93"/>
      <c r="C56" s="9" t="s">
        <v>82</v>
      </c>
      <c r="D56" s="57" t="s">
        <v>154</v>
      </c>
      <c r="E56" s="5">
        <v>17</v>
      </c>
      <c r="F56" s="20" t="s">
        <v>109</v>
      </c>
      <c r="G56" s="7">
        <f>71400000+71400000+102000000</f>
        <v>244800000</v>
      </c>
      <c r="H56" s="17">
        <v>17</v>
      </c>
      <c r="I56" s="17" t="s">
        <v>109</v>
      </c>
      <c r="J56" s="90">
        <v>71400000</v>
      </c>
      <c r="K56" s="5">
        <v>17</v>
      </c>
      <c r="L56" s="20" t="s">
        <v>109</v>
      </c>
      <c r="M56" s="7">
        <v>71400000</v>
      </c>
      <c r="N56" s="5">
        <v>17</v>
      </c>
      <c r="O56" s="20" t="str">
        <f t="shared" si="1"/>
        <v>Kerjasama</v>
      </c>
      <c r="P56" s="75">
        <v>11900000</v>
      </c>
      <c r="Q56" s="62">
        <v>0</v>
      </c>
      <c r="R56" s="82" t="str">
        <f t="shared" si="2"/>
        <v>Kerjasama</v>
      </c>
      <c r="S56" s="75">
        <f>[1]KIP!$K$11</f>
        <v>29750000</v>
      </c>
      <c r="T56" s="62">
        <v>0</v>
      </c>
      <c r="U56" s="82" t="str">
        <f t="shared" si="3"/>
        <v>Kerjasama</v>
      </c>
      <c r="V56" s="75">
        <v>5950000</v>
      </c>
      <c r="W56" s="62">
        <v>0</v>
      </c>
      <c r="X56" s="82" t="str">
        <f t="shared" si="4"/>
        <v>Kerjasama</v>
      </c>
      <c r="Y56" s="75">
        <v>23800000</v>
      </c>
      <c r="Z56" s="25">
        <f>SUM(N56,Q56,T56,W56)</f>
        <v>17</v>
      </c>
      <c r="AA56" s="20" t="str">
        <f t="shared" si="5"/>
        <v>Kerjasama</v>
      </c>
      <c r="AB56" s="25">
        <f>Z56/K56*100</f>
        <v>100</v>
      </c>
      <c r="AC56" s="20" t="s">
        <v>30</v>
      </c>
      <c r="AD56" s="15">
        <f t="shared" si="9"/>
        <v>71400000</v>
      </c>
      <c r="AE56" s="24">
        <f t="shared" si="10"/>
        <v>100</v>
      </c>
      <c r="AF56" s="20" t="s">
        <v>30</v>
      </c>
      <c r="AG56" s="25">
        <f t="shared" si="11"/>
        <v>34</v>
      </c>
      <c r="AH56" s="20" t="str">
        <f t="shared" si="6"/>
        <v>Kerjasama</v>
      </c>
      <c r="AI56" s="15">
        <f t="shared" si="12"/>
        <v>142800000</v>
      </c>
      <c r="AJ56" s="24"/>
      <c r="AK56" s="20"/>
      <c r="AL56" s="24"/>
      <c r="AM56" s="41"/>
      <c r="AP56" s="8"/>
    </row>
    <row r="57" spans="1:42" ht="90" x14ac:dyDescent="0.2">
      <c r="A57" s="97"/>
      <c r="B57" s="94"/>
      <c r="C57" s="9" t="s">
        <v>83</v>
      </c>
      <c r="D57" s="56" t="s">
        <v>158</v>
      </c>
      <c r="E57" s="5">
        <v>12</v>
      </c>
      <c r="F57" s="20" t="s">
        <v>157</v>
      </c>
      <c r="G57" s="7">
        <f>493400000+493400000+595400000</f>
        <v>1582200000</v>
      </c>
      <c r="H57" s="5">
        <v>0</v>
      </c>
      <c r="I57" s="20" t="s">
        <v>157</v>
      </c>
      <c r="J57" s="75">
        <v>493400000</v>
      </c>
      <c r="K57" s="5">
        <v>9</v>
      </c>
      <c r="L57" s="20" t="s">
        <v>157</v>
      </c>
      <c r="M57" s="7">
        <v>493400000</v>
      </c>
      <c r="N57" s="5">
        <v>0</v>
      </c>
      <c r="O57" s="20" t="str">
        <f t="shared" si="1"/>
        <v>Media</v>
      </c>
      <c r="P57" s="75">
        <v>62250000</v>
      </c>
      <c r="Q57" s="62">
        <v>0</v>
      </c>
      <c r="R57" s="82" t="str">
        <f t="shared" si="2"/>
        <v>Media</v>
      </c>
      <c r="S57" s="75">
        <f>[1]KIP!$K$12</f>
        <v>144750000</v>
      </c>
      <c r="T57" s="62">
        <v>0</v>
      </c>
      <c r="U57" s="82" t="str">
        <f t="shared" si="3"/>
        <v>Media</v>
      </c>
      <c r="V57" s="75">
        <v>69000000</v>
      </c>
      <c r="W57" s="62">
        <v>0</v>
      </c>
      <c r="X57" s="82" t="str">
        <f t="shared" si="4"/>
        <v>Media</v>
      </c>
      <c r="Y57" s="75">
        <v>184500000</v>
      </c>
      <c r="Z57" s="25">
        <f t="shared" si="7"/>
        <v>0</v>
      </c>
      <c r="AA57" s="20" t="str">
        <f t="shared" si="5"/>
        <v>Media</v>
      </c>
      <c r="AB57" s="24">
        <f t="shared" si="8"/>
        <v>0</v>
      </c>
      <c r="AC57" s="20" t="s">
        <v>30</v>
      </c>
      <c r="AD57" s="15">
        <f t="shared" si="9"/>
        <v>460500000</v>
      </c>
      <c r="AE57" s="24">
        <f t="shared" si="10"/>
        <v>93.331982164572352</v>
      </c>
      <c r="AF57" s="20" t="s">
        <v>30</v>
      </c>
      <c r="AG57" s="25">
        <f t="shared" si="11"/>
        <v>0</v>
      </c>
      <c r="AH57" s="20" t="str">
        <f t="shared" si="6"/>
        <v>Media</v>
      </c>
      <c r="AI57" s="15">
        <f t="shared" si="12"/>
        <v>953900000</v>
      </c>
      <c r="AJ57" s="24"/>
      <c r="AK57" s="20"/>
      <c r="AL57" s="24"/>
      <c r="AM57" s="41"/>
      <c r="AP57" s="8"/>
    </row>
    <row r="58" spans="1:42" ht="35.25" customHeight="1" x14ac:dyDescent="0.2">
      <c r="A58" s="97"/>
      <c r="B58" s="92"/>
      <c r="C58" s="9" t="s">
        <v>84</v>
      </c>
      <c r="D58" s="57" t="s">
        <v>155</v>
      </c>
      <c r="E58" s="5">
        <v>13</v>
      </c>
      <c r="F58" s="57" t="s">
        <v>110</v>
      </c>
      <c r="G58" s="7">
        <f>180000000+216000000+253500000</f>
        <v>649500000</v>
      </c>
      <c r="H58" s="17">
        <v>10</v>
      </c>
      <c r="I58" s="63" t="s">
        <v>110</v>
      </c>
      <c r="J58" s="75">
        <v>216000000</v>
      </c>
      <c r="K58" s="5">
        <v>10</v>
      </c>
      <c r="L58" s="60" t="s">
        <v>110</v>
      </c>
      <c r="M58" s="7">
        <v>180000000</v>
      </c>
      <c r="N58" s="5">
        <v>10</v>
      </c>
      <c r="O58" s="60" t="str">
        <f t="shared" si="1"/>
        <v>Mitra kerja</v>
      </c>
      <c r="P58" s="75">
        <v>45000000</v>
      </c>
      <c r="Q58" s="62">
        <v>0</v>
      </c>
      <c r="R58" s="62" t="str">
        <f t="shared" si="2"/>
        <v>Mitra kerja</v>
      </c>
      <c r="S58" s="75">
        <f>[1]KIP!$K$13</f>
        <v>75000000</v>
      </c>
      <c r="T58" s="62">
        <v>0</v>
      </c>
      <c r="U58" s="62" t="str">
        <f t="shared" si="3"/>
        <v>Mitra kerja</v>
      </c>
      <c r="V58" s="75">
        <v>15000000</v>
      </c>
      <c r="W58" s="62">
        <v>0</v>
      </c>
      <c r="X58" s="62" t="str">
        <f t="shared" si="4"/>
        <v>Mitra kerja</v>
      </c>
      <c r="Y58" s="75">
        <v>30000000</v>
      </c>
      <c r="Z58" s="25">
        <f t="shared" si="7"/>
        <v>10</v>
      </c>
      <c r="AA58" s="60" t="str">
        <f t="shared" si="5"/>
        <v>Mitra kerja</v>
      </c>
      <c r="AB58" s="25">
        <f t="shared" si="8"/>
        <v>100</v>
      </c>
      <c r="AC58" s="60" t="s">
        <v>30</v>
      </c>
      <c r="AD58" s="15">
        <f t="shared" si="9"/>
        <v>165000000</v>
      </c>
      <c r="AE58" s="24">
        <f t="shared" si="10"/>
        <v>91.666666666666657</v>
      </c>
      <c r="AF58" s="60" t="s">
        <v>30</v>
      </c>
      <c r="AG58" s="25">
        <f t="shared" si="11"/>
        <v>20</v>
      </c>
      <c r="AH58" s="60" t="str">
        <f t="shared" si="6"/>
        <v>Mitra kerja</v>
      </c>
      <c r="AI58" s="15">
        <f t="shared" si="12"/>
        <v>381000000</v>
      </c>
      <c r="AJ58" s="24"/>
      <c r="AK58" s="57"/>
      <c r="AL58" s="24"/>
      <c r="AM58" s="41"/>
      <c r="AP58" s="8"/>
    </row>
    <row r="59" spans="1:42" ht="45" x14ac:dyDescent="0.2">
      <c r="A59" s="97"/>
      <c r="B59" s="92"/>
      <c r="C59" s="9" t="s">
        <v>85</v>
      </c>
      <c r="D59" s="56" t="s">
        <v>153</v>
      </c>
      <c r="E59" s="5">
        <v>500</v>
      </c>
      <c r="F59" s="20" t="s">
        <v>34</v>
      </c>
      <c r="G59" s="7">
        <v>284000000</v>
      </c>
      <c r="H59" s="5">
        <v>0</v>
      </c>
      <c r="I59" s="17" t="s">
        <v>34</v>
      </c>
      <c r="J59" s="90"/>
      <c r="K59" s="5">
        <v>500</v>
      </c>
      <c r="L59" s="20" t="s">
        <v>34</v>
      </c>
      <c r="M59" s="7">
        <v>284000000</v>
      </c>
      <c r="N59" s="5">
        <v>0</v>
      </c>
      <c r="O59" s="20" t="str">
        <f t="shared" si="1"/>
        <v>Informasi</v>
      </c>
      <c r="P59" s="75">
        <v>8316000</v>
      </c>
      <c r="Q59" s="62">
        <v>0</v>
      </c>
      <c r="R59" s="82" t="str">
        <f t="shared" si="2"/>
        <v>Informasi</v>
      </c>
      <c r="S59" s="75">
        <f>[1]KIP!$K$14</f>
        <v>45544080</v>
      </c>
      <c r="T59" s="62">
        <v>0</v>
      </c>
      <c r="U59" s="82" t="str">
        <f t="shared" si="3"/>
        <v>Informasi</v>
      </c>
      <c r="V59" s="75">
        <v>32952800</v>
      </c>
      <c r="W59" s="62">
        <v>0</v>
      </c>
      <c r="X59" s="82" t="str">
        <f t="shared" si="4"/>
        <v>Informasi</v>
      </c>
      <c r="Y59" s="75">
        <v>78612300</v>
      </c>
      <c r="Z59" s="25">
        <f t="shared" si="7"/>
        <v>0</v>
      </c>
      <c r="AA59" s="20" t="str">
        <f t="shared" si="5"/>
        <v>Informasi</v>
      </c>
      <c r="AB59" s="25">
        <f t="shared" si="8"/>
        <v>0</v>
      </c>
      <c r="AC59" s="20" t="s">
        <v>30</v>
      </c>
      <c r="AD59" s="15">
        <f t="shared" si="9"/>
        <v>165425180</v>
      </c>
      <c r="AE59" s="24">
        <f t="shared" si="10"/>
        <v>58.248302816901408</v>
      </c>
      <c r="AF59" s="20" t="s">
        <v>30</v>
      </c>
      <c r="AG59" s="88">
        <f t="shared" si="11"/>
        <v>0</v>
      </c>
      <c r="AH59" s="20" t="str">
        <f t="shared" si="6"/>
        <v>Informasi</v>
      </c>
      <c r="AI59" s="15">
        <f t="shared" si="12"/>
        <v>165425180</v>
      </c>
      <c r="AJ59" s="24"/>
      <c r="AK59" s="20"/>
      <c r="AL59" s="24"/>
      <c r="AM59" s="41"/>
      <c r="AP59" s="8"/>
    </row>
    <row r="60" spans="1:42" ht="45" x14ac:dyDescent="0.2">
      <c r="A60" s="97"/>
      <c r="B60" s="92"/>
      <c r="C60" s="9" t="s">
        <v>86</v>
      </c>
      <c r="D60" s="9" t="s">
        <v>161</v>
      </c>
      <c r="E60" s="5">
        <v>2</v>
      </c>
      <c r="F60" s="20" t="s">
        <v>160</v>
      </c>
      <c r="G60" s="7">
        <v>50750000</v>
      </c>
      <c r="H60" s="5">
        <v>2</v>
      </c>
      <c r="I60" s="20" t="s">
        <v>160</v>
      </c>
      <c r="J60" s="90"/>
      <c r="K60" s="5">
        <v>2</v>
      </c>
      <c r="L60" s="20" t="s">
        <v>160</v>
      </c>
      <c r="M60" s="7">
        <v>50750000</v>
      </c>
      <c r="N60" s="5">
        <v>0</v>
      </c>
      <c r="O60" s="20" t="str">
        <f t="shared" si="1"/>
        <v>Kali</v>
      </c>
      <c r="P60" s="87">
        <v>0</v>
      </c>
      <c r="Q60" s="62">
        <v>1</v>
      </c>
      <c r="R60" s="82" t="str">
        <f t="shared" si="2"/>
        <v>Kali</v>
      </c>
      <c r="S60" s="75">
        <f>[1]KIP!$K$15</f>
        <v>22850000</v>
      </c>
      <c r="T60" s="62">
        <v>0</v>
      </c>
      <c r="U60" s="82" t="str">
        <f t="shared" si="3"/>
        <v>Kali</v>
      </c>
      <c r="V60" s="75">
        <v>0</v>
      </c>
      <c r="W60" s="62">
        <v>0</v>
      </c>
      <c r="X60" s="82" t="str">
        <f t="shared" si="4"/>
        <v>Kali</v>
      </c>
      <c r="Y60" s="75">
        <v>24850000</v>
      </c>
      <c r="Z60" s="25">
        <f t="shared" si="7"/>
        <v>1</v>
      </c>
      <c r="AA60" s="20" t="str">
        <f t="shared" si="5"/>
        <v>Kali</v>
      </c>
      <c r="AB60" s="24">
        <f t="shared" si="8"/>
        <v>50</v>
      </c>
      <c r="AC60" s="20" t="s">
        <v>30</v>
      </c>
      <c r="AD60" s="15">
        <f t="shared" si="9"/>
        <v>47700000</v>
      </c>
      <c r="AE60" s="24">
        <f t="shared" si="10"/>
        <v>93.990147783251231</v>
      </c>
      <c r="AF60" s="20" t="s">
        <v>30</v>
      </c>
      <c r="AG60" s="25">
        <f t="shared" si="11"/>
        <v>3</v>
      </c>
      <c r="AH60" s="20" t="str">
        <f t="shared" si="6"/>
        <v>Kali</v>
      </c>
      <c r="AI60" s="15">
        <f t="shared" si="12"/>
        <v>47700000</v>
      </c>
      <c r="AJ60" s="24"/>
      <c r="AK60" s="20"/>
      <c r="AL60" s="24"/>
      <c r="AM60" s="41"/>
      <c r="AP60" s="8"/>
    </row>
    <row r="61" spans="1:42" ht="60" x14ac:dyDescent="0.2">
      <c r="A61" s="97"/>
      <c r="B61" s="92"/>
      <c r="C61" s="9" t="s">
        <v>87</v>
      </c>
      <c r="D61" s="57" t="s">
        <v>162</v>
      </c>
      <c r="E61" s="5">
        <f>12+15</f>
        <v>27</v>
      </c>
      <c r="F61" s="20" t="s">
        <v>163</v>
      </c>
      <c r="G61" s="7">
        <f>424082000+85250000*2</f>
        <v>594582000</v>
      </c>
      <c r="H61" s="5">
        <v>0</v>
      </c>
      <c r="I61" s="20" t="s">
        <v>163</v>
      </c>
      <c r="J61" s="90">
        <v>459851160</v>
      </c>
      <c r="K61" s="68">
        <v>12</v>
      </c>
      <c r="L61" s="20" t="s">
        <v>163</v>
      </c>
      <c r="M61" s="7">
        <v>424082000</v>
      </c>
      <c r="N61" s="5">
        <v>2</v>
      </c>
      <c r="O61" s="20" t="str">
        <f t="shared" si="1"/>
        <v>Unit</v>
      </c>
      <c r="P61" s="75">
        <v>30000000</v>
      </c>
      <c r="Q61" s="62">
        <v>0</v>
      </c>
      <c r="R61" s="82" t="str">
        <f t="shared" si="2"/>
        <v>Unit</v>
      </c>
      <c r="S61" s="75">
        <f>[1]KIP!$K$16</f>
        <v>67255000</v>
      </c>
      <c r="T61" s="62">
        <v>2</v>
      </c>
      <c r="U61" s="82" t="str">
        <f t="shared" si="3"/>
        <v>Unit</v>
      </c>
      <c r="V61" s="75">
        <v>86470000</v>
      </c>
      <c r="W61" s="62">
        <v>0</v>
      </c>
      <c r="X61" s="82" t="str">
        <f t="shared" si="4"/>
        <v>Unit</v>
      </c>
      <c r="Y61" s="75">
        <v>137486000</v>
      </c>
      <c r="Z61" s="25">
        <f t="shared" si="7"/>
        <v>4</v>
      </c>
      <c r="AA61" s="20" t="str">
        <f t="shared" si="5"/>
        <v>Unit</v>
      </c>
      <c r="AB61" s="24">
        <f t="shared" si="8"/>
        <v>33.333333333333329</v>
      </c>
      <c r="AC61" s="20" t="s">
        <v>30</v>
      </c>
      <c r="AD61" s="15">
        <f t="shared" si="9"/>
        <v>321211000</v>
      </c>
      <c r="AE61" s="24">
        <f t="shared" si="10"/>
        <v>75.742662975556613</v>
      </c>
      <c r="AF61" s="20" t="s">
        <v>30</v>
      </c>
      <c r="AG61" s="25">
        <f t="shared" si="11"/>
        <v>4</v>
      </c>
      <c r="AH61" s="20" t="str">
        <f t="shared" si="6"/>
        <v>Unit</v>
      </c>
      <c r="AI61" s="15">
        <f t="shared" si="12"/>
        <v>781062160</v>
      </c>
      <c r="AJ61" s="24"/>
      <c r="AK61" s="20"/>
      <c r="AL61" s="24"/>
      <c r="AM61" s="41"/>
      <c r="AP61" s="8"/>
    </row>
    <row r="62" spans="1:42" ht="75" x14ac:dyDescent="0.2">
      <c r="A62" s="97"/>
      <c r="B62" s="92"/>
      <c r="C62" s="9" t="s">
        <v>88</v>
      </c>
      <c r="D62" s="57" t="s">
        <v>164</v>
      </c>
      <c r="E62" s="68">
        <v>39</v>
      </c>
      <c r="F62" s="20" t="s">
        <v>104</v>
      </c>
      <c r="G62" s="7">
        <f>36000000+39288000*2</f>
        <v>114576000</v>
      </c>
      <c r="H62" s="68">
        <v>38</v>
      </c>
      <c r="I62" s="20" t="s">
        <v>104</v>
      </c>
      <c r="J62" s="90">
        <v>39288000</v>
      </c>
      <c r="K62" s="68">
        <v>38</v>
      </c>
      <c r="L62" s="20" t="s">
        <v>104</v>
      </c>
      <c r="M62" s="7">
        <v>36000000</v>
      </c>
      <c r="N62" s="5">
        <v>0</v>
      </c>
      <c r="O62" s="20" t="str">
        <f t="shared" si="1"/>
        <v>PD</v>
      </c>
      <c r="P62" s="87">
        <v>0</v>
      </c>
      <c r="Q62" s="62">
        <v>0</v>
      </c>
      <c r="R62" s="82" t="str">
        <f t="shared" si="2"/>
        <v>PD</v>
      </c>
      <c r="S62" s="75">
        <f>[1]KIP!$K$17</f>
        <v>7500000</v>
      </c>
      <c r="T62" s="62">
        <v>0</v>
      </c>
      <c r="U62" s="82" t="str">
        <f t="shared" si="3"/>
        <v>PD</v>
      </c>
      <c r="V62" s="75">
        <v>12000000</v>
      </c>
      <c r="W62" s="62">
        <v>0</v>
      </c>
      <c r="X62" s="82" t="str">
        <f t="shared" si="4"/>
        <v>PD</v>
      </c>
      <c r="Y62" s="75">
        <v>9000000</v>
      </c>
      <c r="Z62" s="25">
        <f t="shared" si="7"/>
        <v>0</v>
      </c>
      <c r="AA62" s="20" t="str">
        <f t="shared" si="5"/>
        <v>PD</v>
      </c>
      <c r="AB62" s="24">
        <f t="shared" si="8"/>
        <v>0</v>
      </c>
      <c r="AC62" s="20" t="s">
        <v>30</v>
      </c>
      <c r="AD62" s="15">
        <f t="shared" si="9"/>
        <v>28500000</v>
      </c>
      <c r="AE62" s="24">
        <f t="shared" si="10"/>
        <v>79.166666666666657</v>
      </c>
      <c r="AF62" s="20" t="s">
        <v>30</v>
      </c>
      <c r="AG62" s="25">
        <f t="shared" si="11"/>
        <v>38</v>
      </c>
      <c r="AH62" s="20" t="str">
        <f t="shared" si="6"/>
        <v>PD</v>
      </c>
      <c r="AI62" s="15">
        <f t="shared" si="12"/>
        <v>67788000</v>
      </c>
      <c r="AJ62" s="24"/>
      <c r="AK62" s="20"/>
      <c r="AL62" s="24"/>
      <c r="AM62" s="41"/>
      <c r="AP62" s="8"/>
    </row>
    <row r="63" spans="1:42" ht="90" x14ac:dyDescent="0.2">
      <c r="A63" s="99"/>
      <c r="B63" s="95"/>
      <c r="C63" s="9" t="s">
        <v>89</v>
      </c>
      <c r="D63" s="57" t="s">
        <v>156</v>
      </c>
      <c r="E63" s="5">
        <v>5</v>
      </c>
      <c r="F63" s="20" t="s">
        <v>157</v>
      </c>
      <c r="G63" s="7">
        <f>1700000000+1680000000+1700000000</f>
        <v>5080000000</v>
      </c>
      <c r="H63" s="17">
        <v>0</v>
      </c>
      <c r="I63" s="20" t="s">
        <v>157</v>
      </c>
      <c r="J63" s="90">
        <v>1680000000</v>
      </c>
      <c r="K63" s="68">
        <v>5</v>
      </c>
      <c r="L63" s="20" t="s">
        <v>157</v>
      </c>
      <c r="M63" s="7">
        <v>1700000000</v>
      </c>
      <c r="N63" s="5">
        <v>5</v>
      </c>
      <c r="O63" s="20" t="str">
        <f t="shared" si="1"/>
        <v>Media</v>
      </c>
      <c r="P63" s="75">
        <v>278250000</v>
      </c>
      <c r="Q63" s="62">
        <v>0</v>
      </c>
      <c r="R63" s="82" t="str">
        <f t="shared" si="2"/>
        <v>Media</v>
      </c>
      <c r="S63" s="75">
        <f>[1]KIP!$K$18</f>
        <v>588250000</v>
      </c>
      <c r="T63" s="62">
        <v>0</v>
      </c>
      <c r="U63" s="82" t="str">
        <f t="shared" si="3"/>
        <v>Media</v>
      </c>
      <c r="V63" s="75">
        <v>252500000</v>
      </c>
      <c r="W63" s="62">
        <v>0</v>
      </c>
      <c r="X63" s="82" t="str">
        <f t="shared" si="4"/>
        <v>Media</v>
      </c>
      <c r="Y63" s="75">
        <v>548500000</v>
      </c>
      <c r="Z63" s="25">
        <f t="shared" si="7"/>
        <v>5</v>
      </c>
      <c r="AA63" s="20" t="str">
        <f t="shared" si="5"/>
        <v>Media</v>
      </c>
      <c r="AB63" s="24">
        <f t="shared" si="8"/>
        <v>100</v>
      </c>
      <c r="AC63" s="20" t="s">
        <v>30</v>
      </c>
      <c r="AD63" s="15">
        <f t="shared" si="9"/>
        <v>1667500000</v>
      </c>
      <c r="AE63" s="24">
        <f t="shared" si="10"/>
        <v>98.088235294117638</v>
      </c>
      <c r="AF63" s="20" t="s">
        <v>30</v>
      </c>
      <c r="AG63" s="25">
        <f t="shared" si="11"/>
        <v>5</v>
      </c>
      <c r="AH63" s="20" t="str">
        <f t="shared" si="6"/>
        <v>Media</v>
      </c>
      <c r="AI63" s="15">
        <f t="shared" si="12"/>
        <v>3347500000</v>
      </c>
      <c r="AJ63" s="24"/>
      <c r="AK63" s="20"/>
      <c r="AL63" s="24"/>
      <c r="AM63" s="41"/>
      <c r="AP63" s="8"/>
    </row>
    <row r="64" spans="1:42" x14ac:dyDescent="0.2">
      <c r="A64" s="104" t="s">
        <v>20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6"/>
      <c r="AB64" s="35">
        <f>AVERAGE(AB13:AB63)</f>
        <v>81.638071895424844</v>
      </c>
      <c r="AC64" s="28"/>
      <c r="AD64" s="26"/>
      <c r="AE64" s="35">
        <f>AVERAGE(AE13,AE51,AE38,AE47)</f>
        <v>78.90115199299143</v>
      </c>
      <c r="AF64" s="28"/>
      <c r="AG64" s="27"/>
      <c r="AH64" s="28"/>
      <c r="AI64" s="27"/>
      <c r="AJ64" s="27"/>
      <c r="AK64" s="28"/>
      <c r="AL64" s="29"/>
      <c r="AM64" s="41"/>
    </row>
    <row r="65" spans="1:39" x14ac:dyDescent="0.2">
      <c r="A65" s="104" t="s">
        <v>21</v>
      </c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6"/>
      <c r="AB65" s="10" t="str">
        <f>IF(AB64&gt;=91,"Sangat Tinggi",IF(AB64&gt;=76,"Tinggi",IF(AB64&gt;=66,"Sedang",IF(AB64&gt;=51,"Rendah",IF(AB64&lt;=50,"Sangat Rendah")))))</f>
        <v>Tinggi</v>
      </c>
      <c r="AC65" s="28"/>
      <c r="AD65" s="30"/>
      <c r="AE65" s="10" t="str">
        <f>IF(AE64&gt;=91,"Sangat Tinggi",IF(AE64&gt;=76,"Tinggi",IF(AE64&gt;=66,"Sedang",IF(AE64&gt;=51,"Rendah",IF(AE64&lt;=50,"Sangat Rendah")))))</f>
        <v>Tinggi</v>
      </c>
      <c r="AF65" s="28"/>
      <c r="AG65" s="31"/>
      <c r="AH65" s="28"/>
      <c r="AI65" s="32"/>
      <c r="AJ65" s="31"/>
      <c r="AK65" s="28"/>
      <c r="AL65" s="33"/>
      <c r="AM65" s="41"/>
    </row>
    <row r="66" spans="1:39" x14ac:dyDescent="0.2">
      <c r="A66" s="103" t="s">
        <v>149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41"/>
    </row>
    <row r="67" spans="1:39" ht="15" customHeight="1" x14ac:dyDescent="0.2">
      <c r="A67" s="100" t="s">
        <v>148</v>
      </c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2"/>
      <c r="AM67" s="70"/>
    </row>
    <row r="68" spans="1:39" x14ac:dyDescent="0.2">
      <c r="A68" s="103" t="s">
        <v>150</v>
      </c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41"/>
    </row>
    <row r="69" spans="1:39" x14ac:dyDescent="0.2">
      <c r="A69" s="103" t="s">
        <v>151</v>
      </c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43"/>
    </row>
    <row r="70" spans="1:39" x14ac:dyDescent="0.2">
      <c r="M70" s="46">
        <v>12791494450</v>
      </c>
    </row>
    <row r="71" spans="1:39" x14ac:dyDescent="0.2">
      <c r="Z71" s="159" t="s">
        <v>38</v>
      </c>
      <c r="AA71" s="159"/>
      <c r="AB71" s="159"/>
      <c r="AC71" s="159"/>
      <c r="AD71" s="159"/>
      <c r="AE71" s="159"/>
      <c r="AH71" s="159" t="s">
        <v>39</v>
      </c>
      <c r="AI71" s="159"/>
      <c r="AJ71" s="159"/>
      <c r="AK71" s="159"/>
      <c r="AL71" s="159"/>
      <c r="AM71" s="159"/>
    </row>
    <row r="72" spans="1:39" ht="15.75" x14ac:dyDescent="0.25">
      <c r="A72" s="13"/>
      <c r="B72" s="14"/>
      <c r="M72" s="48"/>
      <c r="Z72" s="159" t="s">
        <v>181</v>
      </c>
      <c r="AA72" s="159"/>
      <c r="AB72" s="159"/>
      <c r="AC72" s="159"/>
      <c r="AD72" s="159"/>
      <c r="AE72" s="159"/>
      <c r="AH72" s="159" t="s">
        <v>181</v>
      </c>
      <c r="AI72" s="159"/>
      <c r="AJ72" s="159"/>
      <c r="AK72" s="159"/>
      <c r="AL72" s="159"/>
      <c r="AM72" s="159"/>
    </row>
    <row r="73" spans="1:39" x14ac:dyDescent="0.2">
      <c r="Z73" s="159" t="s">
        <v>44</v>
      </c>
      <c r="AA73" s="159"/>
      <c r="AB73" s="159"/>
      <c r="AC73" s="159"/>
      <c r="AD73" s="159"/>
      <c r="AE73" s="159"/>
      <c r="AH73" s="159" t="s">
        <v>40</v>
      </c>
      <c r="AI73" s="159"/>
      <c r="AJ73" s="159"/>
      <c r="AK73" s="159"/>
      <c r="AL73" s="159"/>
      <c r="AM73" s="159"/>
    </row>
    <row r="74" spans="1:39" x14ac:dyDescent="0.2">
      <c r="Z74" s="159" t="s">
        <v>41</v>
      </c>
      <c r="AA74" s="159"/>
      <c r="AB74" s="159"/>
      <c r="AC74" s="159"/>
      <c r="AD74" s="159"/>
      <c r="AE74" s="159"/>
      <c r="AH74" s="159" t="s">
        <v>41</v>
      </c>
      <c r="AI74" s="159"/>
      <c r="AJ74" s="159"/>
      <c r="AK74" s="159"/>
      <c r="AL74" s="159"/>
      <c r="AM74" s="159"/>
    </row>
    <row r="75" spans="1:39" ht="30" x14ac:dyDescent="0.2">
      <c r="A75" s="44" t="s">
        <v>22</v>
      </c>
      <c r="B75" s="44" t="s">
        <v>23</v>
      </c>
      <c r="C75" s="44" t="s">
        <v>24</v>
      </c>
      <c r="M75" s="46"/>
      <c r="AH75" s="11"/>
      <c r="AI75" s="36"/>
    </row>
    <row r="76" spans="1:39" ht="45" x14ac:dyDescent="0.25">
      <c r="A76" s="37" t="s">
        <v>127</v>
      </c>
      <c r="B76" s="37" t="s">
        <v>128</v>
      </c>
      <c r="C76" s="37" t="s">
        <v>25</v>
      </c>
      <c r="M76" s="46"/>
      <c r="Z76" s="160" t="s">
        <v>45</v>
      </c>
      <c r="AA76" s="160"/>
      <c r="AB76" s="160"/>
      <c r="AC76" s="160"/>
      <c r="AD76" s="160"/>
      <c r="AE76" s="160"/>
      <c r="AH76" s="160" t="s">
        <v>42</v>
      </c>
      <c r="AI76" s="160"/>
      <c r="AJ76" s="160"/>
      <c r="AK76" s="160"/>
      <c r="AL76" s="160"/>
      <c r="AM76" s="160"/>
    </row>
    <row r="77" spans="1:39" ht="45" x14ac:dyDescent="0.2">
      <c r="A77" s="37" t="s">
        <v>129</v>
      </c>
      <c r="B77" s="37" t="s">
        <v>130</v>
      </c>
      <c r="C77" s="37" t="s">
        <v>26</v>
      </c>
      <c r="Z77" s="161" t="s">
        <v>46</v>
      </c>
      <c r="AA77" s="161"/>
      <c r="AB77" s="161"/>
      <c r="AC77" s="161"/>
      <c r="AD77" s="161"/>
      <c r="AE77" s="161"/>
      <c r="AH77" s="161" t="s">
        <v>43</v>
      </c>
      <c r="AI77" s="161"/>
      <c r="AJ77" s="161"/>
      <c r="AK77" s="161"/>
      <c r="AL77" s="161"/>
      <c r="AM77" s="161"/>
    </row>
    <row r="78" spans="1:39" ht="45" x14ac:dyDescent="0.2">
      <c r="A78" s="37" t="s">
        <v>131</v>
      </c>
      <c r="B78" s="37" t="s">
        <v>132</v>
      </c>
      <c r="C78" s="37" t="s">
        <v>27</v>
      </c>
    </row>
    <row r="79" spans="1:39" ht="45" x14ac:dyDescent="0.2">
      <c r="A79" s="37" t="s">
        <v>133</v>
      </c>
      <c r="B79" s="37" t="s">
        <v>134</v>
      </c>
      <c r="C79" s="37" t="s">
        <v>28</v>
      </c>
    </row>
    <row r="80" spans="1:39" ht="45" x14ac:dyDescent="0.2">
      <c r="A80" s="37" t="s">
        <v>135</v>
      </c>
      <c r="B80" s="37" t="s">
        <v>136</v>
      </c>
      <c r="C80" s="37" t="s">
        <v>29</v>
      </c>
    </row>
  </sheetData>
  <mergeCells count="82">
    <mergeCell ref="Z74:AE74"/>
    <mergeCell ref="AH74:AM74"/>
    <mergeCell ref="Z76:AE76"/>
    <mergeCell ref="AH76:AM76"/>
    <mergeCell ref="Z77:AE77"/>
    <mergeCell ref="AH77:AM77"/>
    <mergeCell ref="Z71:AE71"/>
    <mergeCell ref="AH71:AM71"/>
    <mergeCell ref="Z72:AE72"/>
    <mergeCell ref="AH72:AM72"/>
    <mergeCell ref="Z73:AE73"/>
    <mergeCell ref="AH73:AM73"/>
    <mergeCell ref="A6:AL6"/>
    <mergeCell ref="Z7:AF8"/>
    <mergeCell ref="Z9:AF9"/>
    <mergeCell ref="A7:A9"/>
    <mergeCell ref="B7:B9"/>
    <mergeCell ref="C7:C9"/>
    <mergeCell ref="D7:D9"/>
    <mergeCell ref="E7:G9"/>
    <mergeCell ref="A1:AL1"/>
    <mergeCell ref="A2:AL2"/>
    <mergeCell ref="A3:AL3"/>
    <mergeCell ref="A4:AL4"/>
    <mergeCell ref="A5:AL5"/>
    <mergeCell ref="E10:G10"/>
    <mergeCell ref="H10:J10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10:AF10"/>
    <mergeCell ref="H7:J9"/>
    <mergeCell ref="E11:F12"/>
    <mergeCell ref="G11:G12"/>
    <mergeCell ref="H11:I12"/>
    <mergeCell ref="J11:J12"/>
    <mergeCell ref="K11:L12"/>
    <mergeCell ref="P11:P12"/>
    <mergeCell ref="AG10:AI10"/>
    <mergeCell ref="AJ10:AL10"/>
    <mergeCell ref="K10:M10"/>
    <mergeCell ref="N10:P10"/>
    <mergeCell ref="Q10:S10"/>
    <mergeCell ref="T10:V10"/>
    <mergeCell ref="AG12:AH12"/>
    <mergeCell ref="AJ12:AK12"/>
    <mergeCell ref="Z11:AA11"/>
    <mergeCell ref="AG11:AH11"/>
    <mergeCell ref="AJ11:AK11"/>
    <mergeCell ref="AB11:AC11"/>
    <mergeCell ref="AB12:AC12"/>
    <mergeCell ref="W10:Y10"/>
    <mergeCell ref="A10:A12"/>
    <mergeCell ref="B10:B12"/>
    <mergeCell ref="C10:C12"/>
    <mergeCell ref="D10:D12"/>
    <mergeCell ref="A66:AL66"/>
    <mergeCell ref="Q11:R12"/>
    <mergeCell ref="S11:S12"/>
    <mergeCell ref="Z12:AA12"/>
    <mergeCell ref="AE11:AF11"/>
    <mergeCell ref="AE12:AF12"/>
    <mergeCell ref="T11:U12"/>
    <mergeCell ref="V11:V12"/>
    <mergeCell ref="W11:X12"/>
    <mergeCell ref="Y11:Y12"/>
    <mergeCell ref="M11:M12"/>
    <mergeCell ref="N11:O12"/>
    <mergeCell ref="A67:AL67"/>
    <mergeCell ref="A68:AL68"/>
    <mergeCell ref="A69:AL69"/>
    <mergeCell ref="A64:AA64"/>
    <mergeCell ref="A65:AA65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Diskominfo</vt:lpstr>
      <vt:lpstr>Diskominfo!Print_Area</vt:lpstr>
      <vt:lpstr>Diskominfo!Print_Titles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2021-12-22T01:08:27Z</dcterms:modified>
</cp:coreProperties>
</file>