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nas Sosial" sheetId="1" r:id="rId1"/>
    <sheet name="Sheet1" sheetId="2" r:id="rId2"/>
  </sheets>
  <definedNames>
    <definedName name="_xlnm.Print_Area" localSheetId="0">'Dinas Sosial'!$A$1:$AM$97</definedName>
    <definedName name="_xlnm.Print_Titles" localSheetId="0">'Dinas Sosial'!$7:$12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0" i="1" l="1"/>
  <c r="AB49" i="1"/>
  <c r="AG49" i="1"/>
  <c r="AE49" i="1"/>
  <c r="W58" i="1"/>
  <c r="N57" i="1"/>
  <c r="AD73" i="1"/>
  <c r="Y40" i="1" l="1"/>
  <c r="Y41" i="1"/>
  <c r="Z49" i="1"/>
  <c r="P40" i="1" l="1"/>
  <c r="J41" i="1"/>
  <c r="J40" i="1"/>
  <c r="V41" i="1"/>
  <c r="V40" i="1" s="1"/>
  <c r="S41" i="1"/>
  <c r="S40" i="1" s="1"/>
  <c r="P41" i="1"/>
  <c r="M41" i="1"/>
  <c r="M40" i="1" s="1"/>
  <c r="W40" i="1"/>
  <c r="T40" i="1"/>
  <c r="Q40" i="1"/>
  <c r="N40" i="1"/>
  <c r="W41" i="1"/>
  <c r="T41" i="1"/>
  <c r="Q41" i="1"/>
  <c r="Z41" i="1" s="1"/>
  <c r="AB41" i="1" s="1"/>
  <c r="H41" i="1"/>
  <c r="AD41" i="1" l="1"/>
  <c r="AE41" i="1" s="1"/>
  <c r="AG41" i="1"/>
  <c r="AJ41" i="1" s="1"/>
  <c r="AI41" i="1" l="1"/>
  <c r="N58" i="1"/>
  <c r="W57" i="1"/>
  <c r="T72" i="1" l="1"/>
  <c r="Q57" i="1" l="1"/>
  <c r="T57" i="1"/>
  <c r="W72" i="1"/>
  <c r="N72" i="1"/>
  <c r="Q72" i="1"/>
  <c r="T58" i="1"/>
  <c r="Q58" i="1"/>
  <c r="W49" i="1"/>
  <c r="T49" i="1"/>
  <c r="Q49" i="1"/>
  <c r="N49" i="1"/>
  <c r="W17" i="1" l="1"/>
  <c r="Y72" i="1"/>
  <c r="Y57" i="1"/>
  <c r="Y49" i="1"/>
  <c r="Y32" i="1"/>
  <c r="Y27" i="1"/>
  <c r="Y20" i="1"/>
  <c r="Y16" i="1"/>
  <c r="M49" i="1" l="1"/>
  <c r="M57" i="1"/>
  <c r="T17" i="1" l="1"/>
  <c r="Q17" i="1" l="1"/>
  <c r="V72" i="1"/>
  <c r="V57" i="1"/>
  <c r="V49" i="1"/>
  <c r="V32" i="1"/>
  <c r="V27" i="1"/>
  <c r="V20" i="1"/>
  <c r="V16" i="1"/>
  <c r="J57" i="1" l="1"/>
  <c r="J72" i="1"/>
  <c r="G57" i="1" l="1"/>
  <c r="H57" i="1"/>
  <c r="P57" i="1"/>
  <c r="S57" i="1"/>
  <c r="AD57" i="1" s="1"/>
  <c r="AE57" i="1" s="1"/>
  <c r="Z57" i="1"/>
  <c r="S72" i="1"/>
  <c r="S49" i="1"/>
  <c r="S32" i="1"/>
  <c r="S27" i="1"/>
  <c r="S20" i="1"/>
  <c r="S16" i="1"/>
  <c r="AG57" i="1" l="1"/>
  <c r="AJ57" i="1" s="1"/>
  <c r="AB57" i="1"/>
  <c r="AI57" i="1"/>
  <c r="AL57" i="1" s="1"/>
  <c r="J27" i="1"/>
  <c r="J20" i="1"/>
  <c r="K50" i="1" l="1"/>
  <c r="J49" i="1"/>
  <c r="P49" i="1"/>
  <c r="G40" i="1"/>
  <c r="G27" i="1"/>
  <c r="P32" i="1"/>
  <c r="M32" i="1"/>
  <c r="J32" i="1"/>
  <c r="H72" i="1" l="1"/>
  <c r="H49" i="1"/>
  <c r="H58" i="1"/>
  <c r="P72" i="1"/>
  <c r="M72" i="1"/>
  <c r="G72" i="1"/>
  <c r="N17" i="1"/>
  <c r="E29" i="1"/>
  <c r="AI76" i="1"/>
  <c r="AG76" i="1"/>
  <c r="AJ76" i="1" s="1"/>
  <c r="AI75" i="1"/>
  <c r="AL75" i="1" s="1"/>
  <c r="AG75" i="1"/>
  <c r="AJ75" i="1" s="1"/>
  <c r="G54" i="1"/>
  <c r="G49" i="1" s="1"/>
  <c r="G41" i="1" s="1"/>
  <c r="AL41" i="1" s="1"/>
  <c r="AG69" i="1"/>
  <c r="AJ69" i="1" s="1"/>
  <c r="AI67" i="1"/>
  <c r="AL67" i="1" s="1"/>
  <c r="AG67" i="1"/>
  <c r="AJ67" i="1" s="1"/>
  <c r="AG63" i="1"/>
  <c r="AJ63" i="1" s="1"/>
  <c r="G33" i="1"/>
  <c r="G32" i="1" s="1"/>
  <c r="E33" i="1"/>
  <c r="AI56" i="1"/>
  <c r="AL56" i="1" s="1"/>
  <c r="AG56" i="1"/>
  <c r="AJ56" i="1" s="1"/>
  <c r="AI55" i="1"/>
  <c r="AL55" i="1" s="1"/>
  <c r="AG55" i="1"/>
  <c r="AJ55" i="1" s="1"/>
  <c r="AI71" i="1"/>
  <c r="AL71" i="1" s="1"/>
  <c r="AG71" i="1"/>
  <c r="AJ71" i="1" s="1"/>
  <c r="AI70" i="1"/>
  <c r="AL70" i="1" s="1"/>
  <c r="AG70" i="1"/>
  <c r="AJ70" i="1" s="1"/>
  <c r="AI68" i="1"/>
  <c r="AL68" i="1" s="1"/>
  <c r="AG68" i="1"/>
  <c r="AJ68" i="1" s="1"/>
  <c r="AG66" i="1"/>
  <c r="AJ66" i="1" s="1"/>
  <c r="AI65" i="1"/>
  <c r="AL65" i="1" s="1"/>
  <c r="AG65" i="1"/>
  <c r="AJ65" i="1" s="1"/>
  <c r="AI64" i="1"/>
  <c r="AL64" i="1" s="1"/>
  <c r="AG64" i="1"/>
  <c r="AJ64" i="1" s="1"/>
  <c r="AG62" i="1"/>
  <c r="AJ62" i="1" s="1"/>
  <c r="AI62" i="1"/>
  <c r="AL62" i="1" s="1"/>
  <c r="AI48" i="1"/>
  <c r="AL48" i="1" s="1"/>
  <c r="AG48" i="1"/>
  <c r="AJ48" i="1" s="1"/>
  <c r="AI47" i="1"/>
  <c r="AL47" i="1" s="1"/>
  <c r="AG47" i="1"/>
  <c r="AJ47" i="1" s="1"/>
  <c r="AI46" i="1"/>
  <c r="AL46" i="1" s="1"/>
  <c r="AG46" i="1"/>
  <c r="AJ46" i="1" s="1"/>
  <c r="AI45" i="1"/>
  <c r="AL45" i="1" s="1"/>
  <c r="AG45" i="1"/>
  <c r="AJ45" i="1" s="1"/>
  <c r="AI39" i="1"/>
  <c r="AL39" i="1" s="1"/>
  <c r="AG39" i="1"/>
  <c r="AJ39" i="1" s="1"/>
  <c r="AI38" i="1"/>
  <c r="AL38" i="1" s="1"/>
  <c r="AG38" i="1"/>
  <c r="AJ38" i="1" s="1"/>
  <c r="P27" i="1" l="1"/>
  <c r="P20" i="1"/>
  <c r="P16" i="1"/>
  <c r="E37" i="1"/>
  <c r="E31" i="1"/>
  <c r="E30" i="1"/>
  <c r="E28" i="1"/>
  <c r="E22" i="1"/>
  <c r="E24" i="1"/>
  <c r="E25" i="1"/>
  <c r="E26" i="1"/>
  <c r="E21" i="1"/>
  <c r="G20" i="1"/>
  <c r="E19" i="1"/>
  <c r="E18" i="1"/>
  <c r="G16" i="1"/>
  <c r="J16" i="1"/>
  <c r="M16" i="1"/>
  <c r="Z74" i="1" l="1"/>
  <c r="Z52" i="1"/>
  <c r="Z60" i="1"/>
  <c r="Z58" i="1"/>
  <c r="Z44" i="1"/>
  <c r="Z37" i="1"/>
  <c r="AD54" i="1"/>
  <c r="Z54" i="1"/>
  <c r="AD53" i="1"/>
  <c r="Z53" i="1"/>
  <c r="AD51" i="1"/>
  <c r="Z51" i="1"/>
  <c r="AD61" i="1"/>
  <c r="Z61" i="1"/>
  <c r="AD43" i="1"/>
  <c r="Z43" i="1"/>
  <c r="AD36" i="1"/>
  <c r="Z36" i="1"/>
  <c r="M27" i="1"/>
  <c r="M20" i="1"/>
  <c r="AI43" i="1" l="1"/>
  <c r="AL43" i="1" s="1"/>
  <c r="AE43" i="1"/>
  <c r="AI51" i="1"/>
  <c r="AL51" i="1" s="1"/>
  <c r="AE51" i="1"/>
  <c r="AI54" i="1"/>
  <c r="AL54" i="1" s="1"/>
  <c r="AE54" i="1"/>
  <c r="AG60" i="1"/>
  <c r="AJ60" i="1" s="1"/>
  <c r="AB60" i="1"/>
  <c r="AG51" i="1"/>
  <c r="AJ51" i="1" s="1"/>
  <c r="AB51" i="1"/>
  <c r="AG58" i="1"/>
  <c r="AJ58" i="1" s="1"/>
  <c r="AB58" i="1"/>
  <c r="AG36" i="1"/>
  <c r="AJ36" i="1" s="1"/>
  <c r="AB36" i="1"/>
  <c r="AG53" i="1"/>
  <c r="AJ53" i="1" s="1"/>
  <c r="AB53" i="1"/>
  <c r="AG52" i="1"/>
  <c r="AJ52" i="1" s="1"/>
  <c r="AB52" i="1"/>
  <c r="AG43" i="1"/>
  <c r="AJ43" i="1" s="1"/>
  <c r="AB43" i="1"/>
  <c r="AG54" i="1"/>
  <c r="AJ54" i="1" s="1"/>
  <c r="AB54" i="1"/>
  <c r="AG61" i="1"/>
  <c r="AJ61" i="1" s="1"/>
  <c r="AB61" i="1"/>
  <c r="AG37" i="1"/>
  <c r="AJ37" i="1" s="1"/>
  <c r="AB37" i="1"/>
  <c r="AI36" i="1"/>
  <c r="AL36" i="1" s="1"/>
  <c r="AE36" i="1"/>
  <c r="AI61" i="1"/>
  <c r="AL61" i="1" s="1"/>
  <c r="AE61" i="1"/>
  <c r="AI53" i="1"/>
  <c r="AL53" i="1" s="1"/>
  <c r="AE53" i="1"/>
  <c r="AG44" i="1"/>
  <c r="AJ44" i="1" s="1"/>
  <c r="AB44" i="1"/>
  <c r="AG74" i="1"/>
  <c r="AJ74" i="1" s="1"/>
  <c r="AB74" i="1"/>
  <c r="AD35" i="1"/>
  <c r="Z35" i="1"/>
  <c r="AD34" i="1"/>
  <c r="Z34" i="1"/>
  <c r="AD31" i="1"/>
  <c r="Z31" i="1"/>
  <c r="AD30" i="1"/>
  <c r="Z30" i="1"/>
  <c r="AI34" i="1" l="1"/>
  <c r="AL34" i="1" s="1"/>
  <c r="AE34" i="1"/>
  <c r="AG30" i="1"/>
  <c r="AJ30" i="1" s="1"/>
  <c r="AB30" i="1"/>
  <c r="AI30" i="1"/>
  <c r="AL30" i="1" s="1"/>
  <c r="AE30" i="1"/>
  <c r="AG31" i="1"/>
  <c r="AJ31" i="1" s="1"/>
  <c r="AB31" i="1"/>
  <c r="AG35" i="1"/>
  <c r="AJ35" i="1" s="1"/>
  <c r="AB35" i="1"/>
  <c r="AG34" i="1"/>
  <c r="AJ34" i="1" s="1"/>
  <c r="AB34" i="1"/>
  <c r="AI31" i="1"/>
  <c r="AL31" i="1" s="1"/>
  <c r="AE31" i="1"/>
  <c r="AI35" i="1"/>
  <c r="AL35" i="1" s="1"/>
  <c r="AE35" i="1"/>
  <c r="Z17" i="1"/>
  <c r="AG17" i="1" l="1"/>
  <c r="AJ17" i="1" s="1"/>
  <c r="AB17" i="1"/>
  <c r="Z73" i="1"/>
  <c r="AD72" i="1"/>
  <c r="Z72" i="1"/>
  <c r="AD50" i="1"/>
  <c r="AD49" i="1"/>
  <c r="AD59" i="1"/>
  <c r="Z59" i="1"/>
  <c r="AD42" i="1"/>
  <c r="Z42" i="1"/>
  <c r="AD40" i="1"/>
  <c r="Z40" i="1"/>
  <c r="AD33" i="1"/>
  <c r="Z33" i="1"/>
  <c r="AD32" i="1"/>
  <c r="Z32" i="1"/>
  <c r="AD29" i="1"/>
  <c r="Z29" i="1"/>
  <c r="AD28" i="1"/>
  <c r="Z28" i="1"/>
  <c r="AD27" i="1"/>
  <c r="Z27" i="1"/>
  <c r="AD26" i="1"/>
  <c r="Z26" i="1"/>
  <c r="AD25" i="1"/>
  <c r="Z25" i="1"/>
  <c r="AP24" i="1"/>
  <c r="AD24" i="1"/>
  <c r="Z24" i="1"/>
  <c r="AP23" i="1"/>
  <c r="AP22" i="1"/>
  <c r="AD22" i="1"/>
  <c r="Z22" i="1"/>
  <c r="AP21" i="1"/>
  <c r="AD21" i="1"/>
  <c r="Z21" i="1"/>
  <c r="AD20" i="1"/>
  <c r="Z20" i="1"/>
  <c r="AD18" i="1"/>
  <c r="Z18" i="1"/>
  <c r="AD19" i="1"/>
  <c r="Z19" i="1"/>
  <c r="AP16" i="1"/>
  <c r="AD16" i="1"/>
  <c r="Z16" i="1"/>
  <c r="AI16" i="1" l="1"/>
  <c r="AL16" i="1" s="1"/>
  <c r="AE16" i="1"/>
  <c r="AI22" i="1"/>
  <c r="AL22" i="1" s="1"/>
  <c r="AE22" i="1"/>
  <c r="AG27" i="1"/>
  <c r="AJ27" i="1" s="1"/>
  <c r="AB27" i="1"/>
  <c r="AG42" i="1"/>
  <c r="AJ42" i="1" s="1"/>
  <c r="AB42" i="1"/>
  <c r="AG73" i="1"/>
  <c r="AJ73" i="1" s="1"/>
  <c r="AB73" i="1"/>
  <c r="AI18" i="1"/>
  <c r="AL18" i="1" s="1"/>
  <c r="AE18" i="1"/>
  <c r="AI21" i="1"/>
  <c r="AL21" i="1" s="1"/>
  <c r="AE21" i="1"/>
  <c r="AG24" i="1"/>
  <c r="AJ24" i="1" s="1"/>
  <c r="AB24" i="1"/>
  <c r="AI25" i="1"/>
  <c r="AL25" i="1" s="1"/>
  <c r="AE25" i="1"/>
  <c r="AI27" i="1"/>
  <c r="AL27" i="1" s="1"/>
  <c r="AE27" i="1"/>
  <c r="AI29" i="1"/>
  <c r="AL29" i="1" s="1"/>
  <c r="AE29" i="1"/>
  <c r="AI33" i="1"/>
  <c r="AL33" i="1" s="1"/>
  <c r="AE33" i="1"/>
  <c r="AI42" i="1"/>
  <c r="AL42" i="1" s="1"/>
  <c r="AE42" i="1"/>
  <c r="AI59" i="1"/>
  <c r="AL59" i="1" s="1"/>
  <c r="AE59" i="1"/>
  <c r="AI50" i="1"/>
  <c r="AL50" i="1" s="1"/>
  <c r="AE50" i="1"/>
  <c r="AI73" i="1"/>
  <c r="AL73" i="1" s="1"/>
  <c r="AE73" i="1"/>
  <c r="AG21" i="1"/>
  <c r="AJ21" i="1" s="1"/>
  <c r="AB21" i="1"/>
  <c r="AG25" i="1"/>
  <c r="AJ25" i="1" s="1"/>
  <c r="AB25" i="1"/>
  <c r="AG33" i="1"/>
  <c r="AJ33" i="1" s="1"/>
  <c r="AB33" i="1"/>
  <c r="AG50" i="1"/>
  <c r="AJ50" i="1" s="1"/>
  <c r="AB50" i="1"/>
  <c r="AG23" i="1"/>
  <c r="AJ23" i="1" s="1"/>
  <c r="AG40" i="1"/>
  <c r="AJ40" i="1" s="1"/>
  <c r="AB40" i="1"/>
  <c r="AG18" i="1"/>
  <c r="AJ18" i="1" s="1"/>
  <c r="AB18" i="1"/>
  <c r="AG29" i="1"/>
  <c r="AJ29" i="1" s="1"/>
  <c r="AB29" i="1"/>
  <c r="AG59" i="1"/>
  <c r="AJ59" i="1" s="1"/>
  <c r="AB59" i="1"/>
  <c r="AG19" i="1"/>
  <c r="AJ19" i="1" s="1"/>
  <c r="AB19" i="1"/>
  <c r="AG20" i="1"/>
  <c r="AJ20" i="1" s="1"/>
  <c r="AB20" i="1"/>
  <c r="AI24" i="1"/>
  <c r="AL24" i="1" s="1"/>
  <c r="AE24" i="1"/>
  <c r="AG26" i="1"/>
  <c r="AJ26" i="1" s="1"/>
  <c r="AB26" i="1"/>
  <c r="AG28" i="1"/>
  <c r="AJ28" i="1" s="1"/>
  <c r="AB28" i="1"/>
  <c r="AG32" i="1"/>
  <c r="AJ32" i="1" s="1"/>
  <c r="AB32" i="1"/>
  <c r="AJ49" i="1"/>
  <c r="AG72" i="1"/>
  <c r="AJ72" i="1" s="1"/>
  <c r="AB72" i="1"/>
  <c r="AI19" i="1"/>
  <c r="AL19" i="1" s="1"/>
  <c r="AE19" i="1"/>
  <c r="AI20" i="1"/>
  <c r="AL20" i="1" s="1"/>
  <c r="AE20" i="1"/>
  <c r="AG22" i="1"/>
  <c r="AJ22" i="1" s="1"/>
  <c r="AB22" i="1"/>
  <c r="AI23" i="1"/>
  <c r="AL23" i="1" s="1"/>
  <c r="AI26" i="1"/>
  <c r="AL26" i="1" s="1"/>
  <c r="AE26" i="1"/>
  <c r="AI28" i="1"/>
  <c r="AL28" i="1" s="1"/>
  <c r="AE28" i="1"/>
  <c r="AI32" i="1"/>
  <c r="AL32" i="1" s="1"/>
  <c r="AE32" i="1"/>
  <c r="AI40" i="1"/>
  <c r="AL40" i="1" s="1"/>
  <c r="AE40" i="1"/>
  <c r="AI49" i="1"/>
  <c r="AL49" i="1" s="1"/>
  <c r="AI72" i="1"/>
  <c r="AL72" i="1" s="1"/>
  <c r="AE72" i="1"/>
  <c r="AG16" i="1"/>
  <c r="AE77" i="1" l="1"/>
  <c r="AE78" i="1" s="1"/>
  <c r="AB77" i="1"/>
  <c r="AJ16" i="1"/>
  <c r="AB16" i="1"/>
  <c r="AB78" i="1" l="1"/>
</calcChain>
</file>

<file path=xl/comments1.xml><?xml version="1.0" encoding="utf-8"?>
<comments xmlns="http://schemas.openxmlformats.org/spreadsheetml/2006/main">
  <authors>
    <author>W10 PRO</author>
  </authors>
  <commentList>
    <comment ref="Q37" authorId="0" shapeId="0">
      <text>
        <r>
          <rPr>
            <b/>
            <sz val="12"/>
            <color indexed="81"/>
            <rFont val="Tahoma"/>
            <family val="2"/>
          </rPr>
          <t>Divisi ALRI</t>
        </r>
      </text>
    </comment>
    <comment ref="T37" authorId="0" shapeId="0">
      <text>
        <r>
          <rPr>
            <b/>
            <sz val="12"/>
            <color indexed="81"/>
            <rFont val="Tahoma"/>
            <family val="2"/>
          </rPr>
          <t>70 Org HUT RI</t>
        </r>
      </text>
    </comment>
    <comment ref="W37" authorId="0" shapeId="0">
      <text>
        <r>
          <rPr>
            <b/>
            <sz val="12"/>
            <color indexed="81"/>
            <rFont val="Tahoma"/>
            <family val="2"/>
          </rPr>
          <t>70 Org HUT RI</t>
        </r>
      </text>
    </comment>
    <comment ref="H40" authorId="0" shapeId="0">
      <text>
        <r>
          <rPr>
            <b/>
            <sz val="12"/>
            <color indexed="81"/>
            <rFont val="Tahoma"/>
            <family val="2"/>
          </rPr>
          <t>Jumlah PMKS penerima program pemberdayaan/jumlah PMKS terdata dikali 100</t>
        </r>
      </text>
    </comment>
    <comment ref="H41" authorId="0" shapeId="0">
      <text>
        <r>
          <rPr>
            <b/>
            <sz val="12"/>
            <color indexed="81"/>
            <rFont val="Tahoma"/>
            <family val="2"/>
          </rPr>
          <t>Jumlah PMKS penerima program pemberdayaan/jumlah PMKS terdata dikali 100</t>
        </r>
      </text>
    </comment>
    <comment ref="T42" authorId="0" shapeId="0">
      <text>
        <r>
          <rPr>
            <b/>
            <sz val="12"/>
            <color indexed="81"/>
            <rFont val="Tahoma"/>
            <family val="2"/>
          </rPr>
          <t>209 buah rumah</t>
        </r>
      </text>
    </comment>
    <comment ref="W42" authorId="0" shapeId="0">
      <text>
        <r>
          <rPr>
            <b/>
            <sz val="12"/>
            <color indexed="81"/>
            <rFont val="Tahoma"/>
            <family val="2"/>
          </rPr>
          <t>370 buah rumah</t>
        </r>
      </text>
    </comment>
    <comment ref="K44" authorId="0" shapeId="0">
      <text>
        <r>
          <rPr>
            <b/>
            <sz val="12"/>
            <color indexed="81"/>
            <rFont val="Tahoma"/>
            <family val="2"/>
          </rPr>
          <t>anggaran dipotong</t>
        </r>
      </text>
    </comment>
    <comment ref="H49" authorId="0" shapeId="0">
      <text>
        <r>
          <rPr>
            <b/>
            <sz val="12"/>
            <color indexed="81"/>
            <rFont val="Tahoma"/>
            <family val="2"/>
          </rPr>
          <t>Jumlah PMKS yg mendapatkan perlindungan sosial/jumlah PMKS terdata dikali 100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</rPr>
          <t>W10 PRO:</t>
        </r>
        <r>
          <rPr>
            <sz val="9"/>
            <color indexed="81"/>
            <rFont val="Tahoma"/>
            <family val="2"/>
          </rPr>
          <t xml:space="preserve">
87/263 jiwa</t>
        </r>
      </text>
    </comment>
    <comment ref="N52" authorId="0" shapeId="0">
      <text>
        <r>
          <rPr>
            <b/>
            <sz val="12"/>
            <color indexed="81"/>
            <rFont val="Tahoma"/>
            <family val="2"/>
          </rPr>
          <t>Tidak ada laporan tindak kekerasan</t>
        </r>
      </text>
    </comment>
    <comment ref="H57" authorId="0" shapeId="0">
      <text>
        <r>
          <rPr>
            <b/>
            <sz val="12"/>
            <color indexed="81"/>
            <rFont val="Tahoma"/>
            <family val="2"/>
          </rPr>
          <t>Jumlah PMKS yg mendapatkan pelayanan sosial/jumlah PMKS yg terdata dikali 100</t>
        </r>
      </text>
    </comment>
    <comment ref="H58" authorId="0" shapeId="0">
      <text>
        <r>
          <rPr>
            <b/>
            <sz val="12"/>
            <color indexed="81"/>
            <rFont val="Tahoma"/>
            <family val="2"/>
          </rPr>
          <t>Jumlah PMKS yg mendapatkan rehabilitasi sosial/jumlah PMKS yg terdata dikali 100</t>
        </r>
      </text>
    </comment>
    <comment ref="H72" authorId="0" shapeId="0">
      <text>
        <r>
          <rPr>
            <b/>
            <sz val="12"/>
            <color indexed="81"/>
            <rFont val="Tahoma"/>
            <family val="2"/>
          </rPr>
          <t>Jumlah Lembaga/Organisasi sosial yg aktif/jumlah seluruh lembaga organisasi sosial dikali 100</t>
        </r>
      </text>
    </comment>
    <comment ref="K72" authorId="0" shapeId="0">
      <text>
        <r>
          <rPr>
            <b/>
            <sz val="12"/>
            <color indexed="81"/>
            <rFont val="Tahoma"/>
            <family val="2"/>
          </rPr>
          <t>Jumlah seluruh relawan/ organisasi sosial 427
Lembaga 64
Relawan 363</t>
        </r>
      </text>
    </comment>
  </commentList>
</comments>
</file>

<file path=xl/sharedStrings.xml><?xml version="1.0" encoding="utf-8"?>
<sst xmlns="http://schemas.openxmlformats.org/spreadsheetml/2006/main" count="764" uniqueCount="195">
  <si>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</si>
  <si>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</si>
  <si>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</si>
  <si>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</si>
  <si>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</si>
  <si>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</si>
  <si>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</si>
  <si>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</si>
  <si>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</si>
  <si>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</si>
  <si>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</si>
  <si>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</si>
  <si>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</si>
  <si>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</si>
  <si>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</si>
  <si>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</si>
  <si>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</si>
  <si>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</si>
  <si>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</si>
  <si>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</si>
  <si>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</si>
  <si>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</si>
  <si>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</si>
  <si>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</si>
  <si>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</si>
  <si>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</si>
  <si>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</si>
  <si>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</si>
  <si>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</si>
  <si>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</si>
  <si>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</si>
  <si>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</si>
  <si>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</si>
  <si>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</si>
  <si>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</si>
  <si>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</si>
  <si>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</si>
  <si>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</si>
  <si>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</si>
  <si>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</si>
  <si>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</si>
  <si>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Program Peningkatan Sarana dan Prasarana Aparatur</t>
  </si>
  <si>
    <t>Pemeliharaan rutin/berkala kendaraan dinas/operasional</t>
  </si>
  <si>
    <t>Pemeliharaan peralatan dan perlengkapan kantor</t>
  </si>
  <si>
    <t>Program Peningkatan Pelayanan Kinerja Perangkat Daerah</t>
  </si>
  <si>
    <t>Rata-rata Capaian Kinerja (%)</t>
  </si>
  <si>
    <t>Predikat Kinerja</t>
  </si>
  <si>
    <t>Faktor pendorong keberhasilan pencapaian:</t>
  </si>
  <si>
    <t>Faktor penghambat pencapaian kinerja: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</si>
  <si>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</si>
  <si>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</si>
  <si>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</si>
  <si>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</si>
  <si>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</si>
  <si>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</si>
  <si>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</si>
  <si>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</si>
  <si>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</si>
  <si>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</si>
  <si>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</si>
  <si>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</si>
  <si>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</si>
  <si>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</si>
  <si>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</si>
  <si>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</si>
  <si>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</si>
  <si>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</si>
  <si>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</si>
  <si>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</si>
  <si>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</si>
  <si>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Org</t>
  </si>
  <si>
    <t>%</t>
  </si>
  <si>
    <t xml:space="preserve"> Tingkat pemenuhan aspek kualitas dokumen AKIP</t>
  </si>
  <si>
    <t>Tingkat pemenuhan aspek kualitas dokumen keuangan daerah</t>
  </si>
  <si>
    <t>Laporan Keuangan yang memenuhi aspek kualitas</t>
  </si>
  <si>
    <t>Dokumen AKIP memenuhi aspek kualitas</t>
  </si>
  <si>
    <t>Pelayanan Administrasi sesuai standar</t>
  </si>
  <si>
    <t>Penyediaan peralatan dan perlengkapan kantor</t>
  </si>
  <si>
    <t>Pemeliharaan rutin/berkala gedung kantor</t>
  </si>
  <si>
    <t>DINAS SOSIAL</t>
  </si>
  <si>
    <t>Dinas Sosial</t>
  </si>
  <si>
    <t>Penyediaan Jasa dan Administrasi Kantor</t>
  </si>
  <si>
    <t>Penyediaan jasa komunikasi, sumber daya air dan listrik</t>
  </si>
  <si>
    <t>Penyebarluasan Informasi Tugas Pokok Dan Fungsi SKPD</t>
  </si>
  <si>
    <t>Penyediaan makanan dan minuman</t>
  </si>
  <si>
    <t>Kegiatan Penyediaan Jasa Tenaga Pendukung Administrasi/Teknis Lainnya</t>
  </si>
  <si>
    <t>Rapat Rapat Koordinasi, Konsultasi dan Lapangan</t>
  </si>
  <si>
    <t>Peralatan dan perlengkapan gedung kantor kondisi baik</t>
  </si>
  <si>
    <t>Gedung kantor kondisi baik</t>
  </si>
  <si>
    <t>Mobil dan kendaraan operasional kondisi baik</t>
  </si>
  <si>
    <t>Pelayanan Kegiatan Hari-Hari Besar Nasional / Daerah</t>
  </si>
  <si>
    <t>Pelayanan Administrasi bagi Potensi dan Sumber Kesejahteraan Sosial (PSKS)</t>
  </si>
  <si>
    <t>Lomba-Lomba bagi Potensi dan Sumber Kesejahteraan Sosial (PSKS)</t>
  </si>
  <si>
    <t>Pembinaan Kepeloporan, Keperintisan dan Kepahlawanan</t>
  </si>
  <si>
    <t>Jumlah peringatan yang dilaksanakan</t>
  </si>
  <si>
    <t>Jumlah pelayanan administrasi Potensi dan Sumber Kesejahteraan Sosial (PSKS) yang dilaksanakan tepat waktu</t>
  </si>
  <si>
    <t>Jumlah lomba bagi Potensi dan Sumber Kesejahteraan Sosial (PSKS) yang dilaksanakan sesuai ketentuan</t>
  </si>
  <si>
    <t>Jumlah Taman Makam Pahlawan dengan kondisi baik</t>
  </si>
  <si>
    <t>Jumlah veteran dan janda veteran yang menerima bantuan sosial</t>
  </si>
  <si>
    <t>Peringatan</t>
  </si>
  <si>
    <t>Jenis PSKS</t>
  </si>
  <si>
    <t>Lomba</t>
  </si>
  <si>
    <t>Lokasi</t>
  </si>
  <si>
    <t>Program Pemberdayaan Penyandang Masalah Kesejahteraan Sosial (PMKS)</t>
  </si>
  <si>
    <t>Penyusunan Dokumen Calon Penerima Rumah Sejahtera</t>
  </si>
  <si>
    <t>Bantuan Usaha bagi Penyandang Masalah Kesejahteraan Sosial (PMKS)</t>
  </si>
  <si>
    <t>Jumlah Dokumen Calon Penerima Rumah Sejahtera yang dibuat sesuai dengan standar</t>
  </si>
  <si>
    <t xml:space="preserve">Jumlah Perempuan Rawan Sosial Ekonomi (PRSE) yang memperoleh Bimbingan Kewirausahaan </t>
  </si>
  <si>
    <t>Jumlah PMKS yang memperoleh bantuan usaha ekonomi produktif (UEP) usaha</t>
  </si>
  <si>
    <t>Meningkatnya Perlindungan Sosial dan Masyarakat</t>
  </si>
  <si>
    <t>Program Pelayanan dan Rehabilitasi Kesejahteraan Sosial</t>
  </si>
  <si>
    <t>Pelayanan Sosial bagi Penyandang Masalah Kesejehteraan Sosial (PMKS)</t>
  </si>
  <si>
    <t>Tingkat rehabilitasi sosial terhadap Penyandang Masalah Kesejahteraan Sosial (PMKS)</t>
  </si>
  <si>
    <t>Jumlah PMKS yang mendapatkan pelayanan sosial</t>
  </si>
  <si>
    <t xml:space="preserve">Persentase gelandangan, pengemis dan masyarakat terlantar yang mendapatkan pelayanan sosial </t>
  </si>
  <si>
    <t>Jumlah PMKS yang mendapatkan rehabilitasi sosial</t>
  </si>
  <si>
    <t>Rehabilitasi Sosial Bagi Penyandang Masalah Kesejehteraan Sosial (PMKS)</t>
  </si>
  <si>
    <t xml:space="preserve">Program Perlindungan Penyandang Masalah Kesejahteraan Sosial (PMKS) </t>
  </si>
  <si>
    <t>Penyaluran Pangan Bagi Masyarakat Miskin</t>
  </si>
  <si>
    <t>Perlindungan Sosial Korban Bencana</t>
  </si>
  <si>
    <t>Verifikasi Calon Penerima Bansos Anak, Lanjut Usia dan Masyarakat Miskin/Terlantar karena Kondisi Darurat</t>
  </si>
  <si>
    <t>Pelayanan Rujukan Terpadu Data Mayarakat Miskin</t>
  </si>
  <si>
    <t>Jumlah Keluarga Penerima Manfaat (KPM) yang mendapatkan bantuan beras sejahtera</t>
  </si>
  <si>
    <t>Persentase korban tindak kekerasan yang mendapatkan perlindungan sosial</t>
  </si>
  <si>
    <t>Persentase korban bencana yang mendapat bantuan tanggap darurat korban bencana</t>
  </si>
  <si>
    <t>Jumlah PMKS yang mendapatkan bantuan sosial</t>
  </si>
  <si>
    <t>Jumlah Basis Data Terpadu kemiskinan yang terverifikasi dan validasi sesuai ketentuan</t>
  </si>
  <si>
    <t>KPM</t>
  </si>
  <si>
    <t>Aplikasi</t>
  </si>
  <si>
    <t>Program Peningkatan Potensi dan Sumber Kesejahteraan Sosial (PSKS)</t>
  </si>
  <si>
    <t>Pembinaan Potensi dan Sumber Kesejahteraan Sosial (PSKS)</t>
  </si>
  <si>
    <t>Jumlah relawan/petugas sosial yang dibina dan aktif</t>
  </si>
  <si>
    <t>Jumlah lembaga/organisasi sosial yang dibina dan aktif</t>
  </si>
  <si>
    <t>Cakupan Lembaga/Organisasi sosial dan relawan/petugas sosial yang aktif dalam penanganan masalah sosial</t>
  </si>
  <si>
    <t>Tingkat Kepuasan Pelayanan</t>
  </si>
  <si>
    <t>Keg</t>
  </si>
  <si>
    <t>Pelayanan Hari-Hari Besar Nasional / Daerah</t>
  </si>
  <si>
    <t>Pelayanan Rujukan Terpadu Data Masyarakat Miskin</t>
  </si>
  <si>
    <t>Bantuan Usaha bagi Masyarakat Misikin</t>
  </si>
  <si>
    <t>Bantuan Usaha bagi Anak Terlantar</t>
  </si>
  <si>
    <t>Bantuan Usaha bagi Perempuan Rawan Sosial Ekonomi (PRSE)</t>
  </si>
  <si>
    <t>Bantuan Usaha bagi Penyandang Disabilitas</t>
  </si>
  <si>
    <t>Pelayanan Sosial bagi Anak Terlantar</t>
  </si>
  <si>
    <t>Pelayanan Sosial bagi lanjut usia terlantar</t>
  </si>
  <si>
    <t>Pelayanan Sosial bagi Penyandang Penyakit Sosial dan Masyarakat Terlantar</t>
  </si>
  <si>
    <t>Pelayanan Sosial Bagi Penyandang Disabilitas</t>
  </si>
  <si>
    <t>Rehabilitasi Sosial Bagi Penyandang Disabilitas</t>
  </si>
  <si>
    <t>Rehabilitasi Sosial bagi Perempuan Rawan Sosial Ekonomi (PRSE)</t>
  </si>
  <si>
    <t>Rehabilitasi Sosial bagi Tuna Sosial dan Penyandang Penyakit Sosial Lainnya</t>
  </si>
  <si>
    <t>Perlindungan Sosial Bagi Anak Terlantar</t>
  </si>
  <si>
    <t>Perlindungan Sosial bagi Lanjut Usia Terlantar</t>
  </si>
  <si>
    <t>Tingkat pemberdayaan sosial terhadap Penyandang Masalah Kesejahteraan Sosial (PMKS)</t>
  </si>
  <si>
    <t>Jumlah masyarakat miskin yang memperoleh bantuan usaha ekonomi produktif (UEP)</t>
  </si>
  <si>
    <t>Jumlah anak terlantar yang memperoleh bantuan usaha ekonomi produktif (UEP)</t>
  </si>
  <si>
    <t>Jumlah perempuan rawan sosial ekonomi (PRSE) yang memperoleh bantuan usaha ekonomi produktif (UEP)</t>
  </si>
  <si>
    <t>Jumlah penyandang disabilitas yang memperoleh bantuan usaha ekonomi produktif (UEP)</t>
  </si>
  <si>
    <t>Jumlah anak terlantar yang mendapatkan pelayanan sosial di dalam dan di luar panti</t>
  </si>
  <si>
    <t>Persentase adopsi yang ditangani sesuai standar</t>
  </si>
  <si>
    <t>Jumlah lanjut usia terlantar yang mendapatkan pelayanan sosial di dalam dan di luar panti</t>
  </si>
  <si>
    <t xml:space="preserve">Persentase gelandangan dan pengemis yang mendapatkan pelayanan sosial </t>
  </si>
  <si>
    <t>Persentase penyandang penyakit sosial lainnya dan masyarakat terlantar yang mendapatkan pelayanan sosial</t>
  </si>
  <si>
    <t>Jumlah penyandang disabilitas yang mendapatkan pelayanan sosial di luar panti</t>
  </si>
  <si>
    <t>Jumlah penyandang disabilitas yang mendapatkan rehabilitasi sosial di dalam panti</t>
  </si>
  <si>
    <t>Jumlah penyandang disabilitas yang mendapatkan alat bantu tubuh</t>
  </si>
  <si>
    <t>Jumlah PRSE yang mendapatkan rehabilitasi sosial di dalam panti</t>
  </si>
  <si>
    <t>Tingkat perlindungan sosial terhadap Penyandang Masalah Kesejahteraan Sosial (PMKS)</t>
  </si>
  <si>
    <t>Jumlah anak terlantar yang mendapatkan bantuan sosial</t>
  </si>
  <si>
    <t>Jumlah lanjut usia terlantar yang mendapatkan bantuan sosial</t>
  </si>
  <si>
    <t>Peningkatan kompetensi Potensi dan Sumber Kesejahteraan Sosial (PSKS)</t>
  </si>
  <si>
    <t>Lembaga/Organisasi</t>
  </si>
  <si>
    <t>Paket</t>
  </si>
  <si>
    <t>393.720</t>
  </si>
  <si>
    <t>Tingkat pelayanan sosial terhadap Penyandang Masalah Kesejahteraan Sosial (PMKS)</t>
  </si>
  <si>
    <t>Persentase gelandangan Penyakit rengemis yang mendapatkan rehabilitasi sosial</t>
  </si>
  <si>
    <t>Jumlah PMKS yang terdata sebenarnya ada berapa?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</si>
  <si>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</si>
  <si>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</si>
  <si>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</si>
  <si>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</si>
  <si>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</si>
  <si>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</si>
  <si>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</si>
  <si>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</si>
  <si>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</si>
  <si>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Sosial</t>
  </si>
  <si>
    <t>program</t>
  </si>
  <si>
    <t>NORDIANSYAH, S.Sos, M.Si</t>
  </si>
  <si>
    <t>NIP. 19681010 199603 1 004</t>
  </si>
  <si>
    <t>Faktor pendorong keberhasilan pencapaian: Dukungan potensi sosial terhadap pengumpulan data dan pelaksanaan dilapangan, serta peningkatan kapasitas kinerja Samping Desa dengan anggaran kegiatan yang sudah direncanakan.</t>
  </si>
  <si>
    <t>Tindak lanjut yang diperlukan dalam Renja Perangkat Daerah Kabupaten berikutnya*): Masih melanjutakan program dan kegiatan sesuai dengan rencana yang sudah ditetapkan dan mengevaluasi setiap kegiatan sebagai bahan perbaikan.</t>
  </si>
  <si>
    <t>Tindak lanjut yang diperlukan dalam triwulan berikutnya*): Tetap menjalankan rencana kegiatan dengan menyesuaikan penerapan protokol Kesehatan dengan mengatur waktu dan tempat pelaksanaan, dan memaksimalkan Potensi dalam update data</t>
  </si>
  <si>
    <t>Faktor penghambat pencapaian kinerja: Keterbatasan Kegiatan karna adanya penerapan Protokol Kesehatan Covid-19 dalam pelaksanaan kegiatan yang melibatkan orang banyak, update data untuk bantuan orang miskin masih secara manual sehingga memerlukan waktu yang lama, dengan jumlah kurang lebih 33.000 KPM</t>
  </si>
  <si>
    <t>PERIODE PELAKSANAAN TRIWULAN IV TAHUN 2020</t>
  </si>
  <si>
    <t>Kandangan, 4 Januari 2021</t>
  </si>
  <si>
    <t>Persentase Angka PMKS yang Mandiri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</si>
</sst>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8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vertical="top"/>
    </xf>
    <xf numFmtId="0" fontId="8" fillId="0" borderId="6" xfId="0" applyFont="1" applyFill="1" applyBorder="1" applyAlignment="1">
      <alignment horizontal="left" vertical="top" wrapText="1"/>
    </xf>
    <xf numFmtId="166" fontId="8" fillId="0" borderId="15" xfId="2" applyFont="1" applyFill="1" applyBorder="1" applyAlignment="1">
      <alignment vertical="top"/>
    </xf>
    <xf numFmtId="166" fontId="8" fillId="0" borderId="2" xfId="2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66" fontId="8" fillId="0" borderId="2" xfId="0" applyNumberFormat="1" applyFont="1" applyFill="1" applyBorder="1" applyAlignment="1">
      <alignment horizontal="center" vertical="top"/>
    </xf>
    <xf numFmtId="166" fontId="8" fillId="0" borderId="6" xfId="2" applyFont="1" applyFill="1" applyBorder="1" applyAlignment="1">
      <alignment vertical="top"/>
    </xf>
    <xf numFmtId="165" fontId="8" fillId="0" borderId="6" xfId="1" applyNumberFormat="1" applyFont="1" applyFill="1" applyBorder="1" applyAlignment="1">
      <alignment vertical="top"/>
    </xf>
    <xf numFmtId="165" fontId="8" fillId="0" borderId="6" xfId="1" quotePrefix="1" applyNumberFormat="1" applyFont="1" applyFill="1" applyBorder="1" applyAlignment="1">
      <alignment vertical="top"/>
    </xf>
    <xf numFmtId="166" fontId="8" fillId="0" borderId="2" xfId="2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/>
    </xf>
    <xf numFmtId="1" fontId="8" fillId="0" borderId="2" xfId="2" applyNumberFormat="1" applyFont="1" applyFill="1" applyBorder="1" applyAlignment="1">
      <alignment horizontal="center" vertical="top" wrapText="1"/>
    </xf>
    <xf numFmtId="166" fontId="6" fillId="0" borderId="2" xfId="2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 wrapText="1"/>
    </xf>
    <xf numFmtId="1" fontId="8" fillId="0" borderId="15" xfId="0" applyNumberFormat="1" applyFont="1" applyFill="1" applyBorder="1" applyAlignment="1">
      <alignment horizontal="center" vertical="top"/>
    </xf>
    <xf numFmtId="165" fontId="6" fillId="0" borderId="6" xfId="1" quotePrefix="1" applyNumberFormat="1" applyFont="1" applyFill="1" applyBorder="1" applyAlignment="1">
      <alignment vertical="top"/>
    </xf>
    <xf numFmtId="166" fontId="8" fillId="0" borderId="6" xfId="0" applyNumberFormat="1" applyFont="1" applyFill="1" applyBorder="1" applyAlignment="1">
      <alignment horizontal="center" vertical="top"/>
    </xf>
    <xf numFmtId="166" fontId="8" fillId="0" borderId="15" xfId="0" applyNumberFormat="1" applyFont="1" applyFill="1" applyBorder="1" applyAlignment="1">
      <alignment horizontal="center" vertical="top"/>
    </xf>
    <xf numFmtId="2" fontId="8" fillId="0" borderId="6" xfId="0" applyNumberFormat="1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6" fontId="6" fillId="0" borderId="6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horizontal="center"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6" fillId="0" borderId="15" xfId="0" applyFont="1" applyFill="1" applyBorder="1"/>
    <xf numFmtId="165" fontId="6" fillId="0" borderId="15" xfId="1" applyNumberFormat="1" applyFont="1" applyFill="1" applyBorder="1" applyAlignment="1">
      <alignment vertical="top"/>
    </xf>
    <xf numFmtId="166" fontId="8" fillId="0" borderId="2" xfId="2" quotePrefix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93"/>
  <sheetViews>
    <sheetView tabSelected="1" showRuler="0" view="pageBreakPreview" topLeftCell="A51" zoomScale="70" zoomScaleNormal="40" zoomScaleSheetLayoutView="70" zoomScalePageLayoutView="55" workbookViewId="0">
      <selection activeCell="AE54" sqref="AE54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9" style="2" customWidth="1"/>
    <col min="6" max="6" width="7.7109375" style="2" customWidth="1"/>
    <col min="7" max="7" width="18.28515625" style="2" customWidth="1"/>
    <col min="8" max="8" width="9.425781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9.42578125" style="2" customWidth="1"/>
    <col min="15" max="15" width="8" style="2" customWidth="1"/>
    <col min="16" max="16" width="18.28515625" style="2" customWidth="1"/>
    <col min="17" max="17" width="9.7109375" style="2" customWidth="1"/>
    <col min="18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9.28515625" style="2" customWidth="1"/>
    <col min="27" max="27" width="5.5703125" style="4" customWidth="1"/>
    <col min="28" max="28" width="8" style="2" customWidth="1"/>
    <col min="29" max="29" width="5.5703125" style="4" customWidth="1"/>
    <col min="30" max="30" width="17.28515625" style="2" customWidth="1"/>
    <col min="31" max="31" width="8" style="2" customWidth="1"/>
    <col min="32" max="32" width="5.5703125" style="4" customWidth="1"/>
    <col min="33" max="33" width="9.5703125" style="2" customWidth="1"/>
    <col min="34" max="34" width="5.5703125" style="4" customWidth="1"/>
    <col min="35" max="35" width="16.7109375" style="2" customWidth="1"/>
    <col min="36" max="36" width="8" style="2" customWidth="1"/>
    <col min="37" max="37" width="5.5703125" style="4" customWidth="1"/>
    <col min="38" max="38" width="10.855468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"/>
    </row>
    <row r="2" spans="1:45" ht="23.25" x14ac:dyDescent="0.3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3"/>
    </row>
    <row r="3" spans="1:45" ht="23.25" x14ac:dyDescent="0.35">
      <c r="A3" s="116" t="s">
        <v>79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3"/>
    </row>
    <row r="4" spans="1:45" ht="23.25" x14ac:dyDescent="0.35">
      <c r="A4" s="117" t="s">
        <v>192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"/>
    </row>
    <row r="5" spans="1:45" ht="18" x14ac:dyDescent="0.2">
      <c r="A5" s="118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</row>
    <row r="6" spans="1:45" ht="18" x14ac:dyDescent="0.25">
      <c r="A6" s="112" t="s">
        <v>79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</row>
    <row r="7" spans="1:45" ht="81" customHeight="1" x14ac:dyDescent="0.2">
      <c r="A7" s="119" t="s">
        <v>3</v>
      </c>
      <c r="B7" s="119" t="s">
        <v>4</v>
      </c>
      <c r="C7" s="120" t="s">
        <v>5</v>
      </c>
      <c r="D7" s="120" t="s">
        <v>6</v>
      </c>
      <c r="E7" s="121" t="s">
        <v>7</v>
      </c>
      <c r="F7" s="122"/>
      <c r="G7" s="123"/>
      <c r="H7" s="121" t="s">
        <v>8</v>
      </c>
      <c r="I7" s="122"/>
      <c r="J7" s="123"/>
      <c r="K7" s="121" t="s">
        <v>9</v>
      </c>
      <c r="L7" s="122"/>
      <c r="M7" s="122"/>
      <c r="N7" s="121" t="s">
        <v>10</v>
      </c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3"/>
      <c r="Z7" s="121" t="s">
        <v>177</v>
      </c>
      <c r="AA7" s="122"/>
      <c r="AB7" s="122"/>
      <c r="AC7" s="122"/>
      <c r="AD7" s="122"/>
      <c r="AE7" s="122"/>
      <c r="AF7" s="123"/>
      <c r="AG7" s="121" t="s">
        <v>11</v>
      </c>
      <c r="AH7" s="122"/>
      <c r="AI7" s="123"/>
      <c r="AJ7" s="121" t="s">
        <v>12</v>
      </c>
      <c r="AK7" s="122"/>
      <c r="AL7" s="122"/>
      <c r="AM7" s="133" t="s">
        <v>13</v>
      </c>
      <c r="AO7" s="4"/>
      <c r="AP7" s="4"/>
      <c r="AQ7" s="4"/>
      <c r="AR7" s="4"/>
      <c r="AS7" s="4"/>
    </row>
    <row r="8" spans="1:45" ht="18" customHeight="1" x14ac:dyDescent="0.2">
      <c r="A8" s="119"/>
      <c r="B8" s="119"/>
      <c r="C8" s="120"/>
      <c r="D8" s="120"/>
      <c r="E8" s="124"/>
      <c r="F8" s="125"/>
      <c r="G8" s="126"/>
      <c r="H8" s="124"/>
      <c r="I8" s="125"/>
      <c r="J8" s="126"/>
      <c r="K8" s="127"/>
      <c r="L8" s="128"/>
      <c r="M8" s="128"/>
      <c r="N8" s="127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9"/>
      <c r="Z8" s="127"/>
      <c r="AA8" s="128"/>
      <c r="AB8" s="128"/>
      <c r="AC8" s="128"/>
      <c r="AD8" s="128"/>
      <c r="AE8" s="128"/>
      <c r="AF8" s="129"/>
      <c r="AG8" s="127"/>
      <c r="AH8" s="128"/>
      <c r="AI8" s="129"/>
      <c r="AJ8" s="127"/>
      <c r="AK8" s="128"/>
      <c r="AL8" s="128"/>
      <c r="AM8" s="134"/>
    </row>
    <row r="9" spans="1:45" ht="15.75" customHeight="1" x14ac:dyDescent="0.2">
      <c r="A9" s="119"/>
      <c r="B9" s="119"/>
      <c r="C9" s="120"/>
      <c r="D9" s="120"/>
      <c r="E9" s="127"/>
      <c r="F9" s="128"/>
      <c r="G9" s="129"/>
      <c r="H9" s="127"/>
      <c r="I9" s="128"/>
      <c r="J9" s="129"/>
      <c r="K9" s="135">
        <v>2020</v>
      </c>
      <c r="L9" s="136"/>
      <c r="M9" s="137"/>
      <c r="N9" s="113" t="s">
        <v>14</v>
      </c>
      <c r="O9" s="114"/>
      <c r="P9" s="115"/>
      <c r="Q9" s="113" t="s">
        <v>15</v>
      </c>
      <c r="R9" s="114"/>
      <c r="S9" s="115"/>
      <c r="T9" s="113" t="s">
        <v>16</v>
      </c>
      <c r="U9" s="114"/>
      <c r="V9" s="115"/>
      <c r="W9" s="113" t="s">
        <v>17</v>
      </c>
      <c r="X9" s="114"/>
      <c r="Y9" s="115"/>
      <c r="Z9" s="113">
        <v>2020</v>
      </c>
      <c r="AA9" s="114"/>
      <c r="AB9" s="114"/>
      <c r="AC9" s="114"/>
      <c r="AD9" s="114"/>
      <c r="AE9" s="114"/>
      <c r="AF9" s="115"/>
      <c r="AG9" s="113">
        <v>2020</v>
      </c>
      <c r="AH9" s="114"/>
      <c r="AI9" s="115"/>
      <c r="AJ9" s="113">
        <v>2020</v>
      </c>
      <c r="AK9" s="114"/>
      <c r="AL9" s="115"/>
      <c r="AM9" s="5"/>
    </row>
    <row r="10" spans="1:45" s="7" customFormat="1" ht="15.75" x14ac:dyDescent="0.25">
      <c r="A10" s="138">
        <v>1</v>
      </c>
      <c r="B10" s="138">
        <v>2</v>
      </c>
      <c r="C10" s="138">
        <v>3</v>
      </c>
      <c r="D10" s="138">
        <v>4</v>
      </c>
      <c r="E10" s="130">
        <v>5</v>
      </c>
      <c r="F10" s="131"/>
      <c r="G10" s="132"/>
      <c r="H10" s="130">
        <v>6</v>
      </c>
      <c r="I10" s="131"/>
      <c r="J10" s="132"/>
      <c r="K10" s="147">
        <v>7</v>
      </c>
      <c r="L10" s="148"/>
      <c r="M10" s="149"/>
      <c r="N10" s="147">
        <v>8</v>
      </c>
      <c r="O10" s="148"/>
      <c r="P10" s="149"/>
      <c r="Q10" s="147">
        <v>9</v>
      </c>
      <c r="R10" s="148"/>
      <c r="S10" s="149"/>
      <c r="T10" s="147">
        <v>10</v>
      </c>
      <c r="U10" s="148"/>
      <c r="V10" s="149"/>
      <c r="W10" s="147">
        <v>11</v>
      </c>
      <c r="X10" s="148"/>
      <c r="Y10" s="149"/>
      <c r="Z10" s="144">
        <v>12</v>
      </c>
      <c r="AA10" s="145"/>
      <c r="AB10" s="145"/>
      <c r="AC10" s="145"/>
      <c r="AD10" s="145"/>
      <c r="AE10" s="145"/>
      <c r="AF10" s="146"/>
      <c r="AG10" s="144">
        <v>13</v>
      </c>
      <c r="AH10" s="145"/>
      <c r="AI10" s="146"/>
      <c r="AJ10" s="144">
        <v>14</v>
      </c>
      <c r="AK10" s="145"/>
      <c r="AL10" s="146"/>
      <c r="AM10" s="6">
        <v>15</v>
      </c>
    </row>
    <row r="11" spans="1:45" s="7" customFormat="1" ht="87" customHeight="1" x14ac:dyDescent="0.2">
      <c r="A11" s="176"/>
      <c r="B11" s="176"/>
      <c r="C11" s="176"/>
      <c r="D11" s="176"/>
      <c r="E11" s="140" t="s">
        <v>18</v>
      </c>
      <c r="F11" s="141"/>
      <c r="G11" s="139" t="s">
        <v>19</v>
      </c>
      <c r="H11" s="140" t="s">
        <v>18</v>
      </c>
      <c r="I11" s="141"/>
      <c r="J11" s="139" t="s">
        <v>19</v>
      </c>
      <c r="K11" s="140" t="s">
        <v>18</v>
      </c>
      <c r="L11" s="141"/>
      <c r="M11" s="138" t="s">
        <v>19</v>
      </c>
      <c r="N11" s="140" t="s">
        <v>18</v>
      </c>
      <c r="O11" s="141"/>
      <c r="P11" s="138" t="s">
        <v>19</v>
      </c>
      <c r="Q11" s="140" t="s">
        <v>18</v>
      </c>
      <c r="R11" s="141"/>
      <c r="S11" s="138" t="s">
        <v>19</v>
      </c>
      <c r="T11" s="140" t="s">
        <v>18</v>
      </c>
      <c r="U11" s="141"/>
      <c r="V11" s="138" t="s">
        <v>19</v>
      </c>
      <c r="W11" s="140" t="s">
        <v>18</v>
      </c>
      <c r="X11" s="141"/>
      <c r="Y11" s="138" t="s">
        <v>19</v>
      </c>
      <c r="Z11" s="130" t="s">
        <v>20</v>
      </c>
      <c r="AA11" s="132"/>
      <c r="AB11" s="130" t="s">
        <v>175</v>
      </c>
      <c r="AC11" s="132"/>
      <c r="AD11" s="8" t="s">
        <v>21</v>
      </c>
      <c r="AE11" s="130" t="s">
        <v>176</v>
      </c>
      <c r="AF11" s="132"/>
      <c r="AG11" s="130" t="s">
        <v>22</v>
      </c>
      <c r="AH11" s="132"/>
      <c r="AI11" s="8" t="s">
        <v>23</v>
      </c>
      <c r="AJ11" s="130" t="s">
        <v>24</v>
      </c>
      <c r="AK11" s="132"/>
      <c r="AL11" s="8" t="s">
        <v>25</v>
      </c>
      <c r="AM11" s="9"/>
    </row>
    <row r="12" spans="1:45" s="7" customFormat="1" ht="15.75" x14ac:dyDescent="0.2">
      <c r="A12" s="139"/>
      <c r="B12" s="139"/>
      <c r="C12" s="139"/>
      <c r="D12" s="139"/>
      <c r="E12" s="142"/>
      <c r="F12" s="143"/>
      <c r="G12" s="150"/>
      <c r="H12" s="142"/>
      <c r="I12" s="143"/>
      <c r="J12" s="150"/>
      <c r="K12" s="142"/>
      <c r="L12" s="143"/>
      <c r="M12" s="139"/>
      <c r="N12" s="142"/>
      <c r="O12" s="143"/>
      <c r="P12" s="139"/>
      <c r="Q12" s="142"/>
      <c r="R12" s="143"/>
      <c r="S12" s="139"/>
      <c r="T12" s="142"/>
      <c r="U12" s="143"/>
      <c r="V12" s="139"/>
      <c r="W12" s="142"/>
      <c r="X12" s="143"/>
      <c r="Y12" s="139"/>
      <c r="Z12" s="142" t="s">
        <v>18</v>
      </c>
      <c r="AA12" s="143"/>
      <c r="AB12" s="142" t="s">
        <v>18</v>
      </c>
      <c r="AC12" s="143"/>
      <c r="AD12" s="10" t="s">
        <v>19</v>
      </c>
      <c r="AE12" s="142" t="s">
        <v>19</v>
      </c>
      <c r="AF12" s="143"/>
      <c r="AG12" s="142" t="s">
        <v>18</v>
      </c>
      <c r="AH12" s="143"/>
      <c r="AI12" s="10" t="s">
        <v>19</v>
      </c>
      <c r="AJ12" s="142" t="s">
        <v>18</v>
      </c>
      <c r="AK12" s="143"/>
      <c r="AL12" s="10" t="s">
        <v>19</v>
      </c>
      <c r="AM12" s="105"/>
    </row>
    <row r="13" spans="1:45" ht="15" hidden="1" customHeight="1" x14ac:dyDescent="0.2">
      <c r="A13" s="161"/>
      <c r="B13" s="164" t="s">
        <v>26</v>
      </c>
      <c r="C13" s="152" t="s">
        <v>27</v>
      </c>
      <c r="D13" s="164" t="s">
        <v>28</v>
      </c>
      <c r="E13" s="167" t="s">
        <v>29</v>
      </c>
      <c r="F13" s="168"/>
      <c r="G13" s="161"/>
      <c r="H13" s="167" t="s">
        <v>30</v>
      </c>
      <c r="I13" s="168"/>
      <c r="J13" s="152" t="s">
        <v>31</v>
      </c>
      <c r="K13" s="155" t="s">
        <v>32</v>
      </c>
      <c r="L13" s="156"/>
      <c r="M13" s="152" t="s">
        <v>33</v>
      </c>
      <c r="N13" s="155" t="s">
        <v>34</v>
      </c>
      <c r="O13" s="156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  <c r="AB13" s="11"/>
      <c r="AC13" s="99"/>
      <c r="AD13" s="11"/>
      <c r="AE13" s="11"/>
      <c r="AF13" s="99"/>
      <c r="AG13" s="11"/>
      <c r="AH13" s="12"/>
      <c r="AI13" s="11"/>
      <c r="AJ13" s="11"/>
      <c r="AK13" s="12"/>
      <c r="AL13" s="11"/>
      <c r="AM13" s="13"/>
    </row>
    <row r="14" spans="1:45" ht="15" hidden="1" customHeight="1" x14ac:dyDescent="0.2">
      <c r="A14" s="162"/>
      <c r="B14" s="165"/>
      <c r="C14" s="153"/>
      <c r="D14" s="165"/>
      <c r="E14" s="169"/>
      <c r="F14" s="170"/>
      <c r="G14" s="162"/>
      <c r="H14" s="169"/>
      <c r="I14" s="170"/>
      <c r="J14" s="153"/>
      <c r="K14" s="157"/>
      <c r="L14" s="158"/>
      <c r="M14" s="153"/>
      <c r="N14" s="157"/>
      <c r="O14" s="158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4"/>
      <c r="AC14" s="100"/>
      <c r="AD14" s="14"/>
      <c r="AE14" s="14"/>
      <c r="AF14" s="100"/>
      <c r="AG14" s="14"/>
      <c r="AH14" s="15"/>
      <c r="AI14" s="14"/>
      <c r="AJ14" s="14"/>
      <c r="AK14" s="15"/>
      <c r="AL14" s="14"/>
      <c r="AM14" s="13"/>
    </row>
    <row r="15" spans="1:45" ht="15" hidden="1" customHeight="1" x14ac:dyDescent="0.2">
      <c r="A15" s="163"/>
      <c r="B15" s="166"/>
      <c r="C15" s="154"/>
      <c r="D15" s="166"/>
      <c r="E15" s="171"/>
      <c r="F15" s="172"/>
      <c r="G15" s="163"/>
      <c r="H15" s="171"/>
      <c r="I15" s="172"/>
      <c r="J15" s="154"/>
      <c r="K15" s="159"/>
      <c r="L15" s="160"/>
      <c r="M15" s="154"/>
      <c r="N15" s="159"/>
      <c r="O15" s="160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6"/>
      <c r="AC15" s="101"/>
      <c r="AD15" s="16"/>
      <c r="AE15" s="16"/>
      <c r="AF15" s="101"/>
      <c r="AG15" s="16"/>
      <c r="AH15" s="17"/>
      <c r="AI15" s="16"/>
      <c r="AJ15" s="16"/>
      <c r="AK15" s="17"/>
      <c r="AL15" s="16"/>
      <c r="AM15" s="13"/>
    </row>
    <row r="16" spans="1:45" ht="141.75" x14ac:dyDescent="0.2">
      <c r="A16" s="54">
        <v>1</v>
      </c>
      <c r="B16" s="19" t="s">
        <v>35</v>
      </c>
      <c r="C16" s="20" t="s">
        <v>36</v>
      </c>
      <c r="D16" s="21" t="s">
        <v>72</v>
      </c>
      <c r="E16" s="49">
        <v>89.06</v>
      </c>
      <c r="F16" s="50" t="s">
        <v>67</v>
      </c>
      <c r="G16" s="71">
        <f>SUM(G18:G19)</f>
        <v>43625000</v>
      </c>
      <c r="H16" s="49">
        <v>81.569999999999993</v>
      </c>
      <c r="I16" s="50" t="s">
        <v>67</v>
      </c>
      <c r="J16" s="71">
        <f>SUM(J18:J19)</f>
        <v>7125000</v>
      </c>
      <c r="K16" s="49">
        <v>82.55</v>
      </c>
      <c r="L16" s="50" t="s">
        <v>67</v>
      </c>
      <c r="M16" s="71">
        <f>SUM(M18:M19)</f>
        <v>4200000</v>
      </c>
      <c r="N16" s="69">
        <v>0.02</v>
      </c>
      <c r="O16" s="50" t="s">
        <v>67</v>
      </c>
      <c r="P16" s="71">
        <f>SUM(P18:P19)</f>
        <v>300000</v>
      </c>
      <c r="Q16" s="69">
        <v>0</v>
      </c>
      <c r="R16" s="50" t="s">
        <v>67</v>
      </c>
      <c r="S16" s="71">
        <f>SUM(S18:S19)</f>
        <v>1844000</v>
      </c>
      <c r="T16" s="69">
        <v>0</v>
      </c>
      <c r="U16" s="50" t="s">
        <v>67</v>
      </c>
      <c r="V16" s="71">
        <f>SUM(V18:V19)</f>
        <v>0</v>
      </c>
      <c r="W16" s="69">
        <v>0</v>
      </c>
      <c r="X16" s="50" t="s">
        <v>67</v>
      </c>
      <c r="Y16" s="71">
        <f>SUM(Y18:Y19)</f>
        <v>1893000</v>
      </c>
      <c r="Z16" s="76">
        <f>N16+Q16+T16+W16</f>
        <v>0.02</v>
      </c>
      <c r="AA16" s="50" t="s">
        <v>67</v>
      </c>
      <c r="AB16" s="76">
        <f>AG16/K16*100</f>
        <v>98.837068443367642</v>
      </c>
      <c r="AC16" s="78" t="s">
        <v>71</v>
      </c>
      <c r="AD16" s="77">
        <f>P16+S16+V16+Y16</f>
        <v>4037000</v>
      </c>
      <c r="AE16" s="79">
        <f>AD16/M16*100</f>
        <v>96.11904761904762</v>
      </c>
      <c r="AF16" s="54" t="s">
        <v>71</v>
      </c>
      <c r="AG16" s="76">
        <f>H16+Z16</f>
        <v>81.589999999999989</v>
      </c>
      <c r="AH16" s="50" t="s">
        <v>67</v>
      </c>
      <c r="AI16" s="77">
        <f>J16+AD16</f>
        <v>11162000</v>
      </c>
      <c r="AJ16" s="76">
        <f>AG16/E16*100</f>
        <v>91.612396137435425</v>
      </c>
      <c r="AK16" s="78" t="s">
        <v>71</v>
      </c>
      <c r="AL16" s="79">
        <f>AI16/G16*100</f>
        <v>25.58624641833811</v>
      </c>
      <c r="AM16" s="27" t="s">
        <v>80</v>
      </c>
      <c r="AP16" s="28">
        <f t="shared" ref="AP16:AP24" si="0">P16+S16+V16+Y16</f>
        <v>4037000</v>
      </c>
    </row>
    <row r="17" spans="1:42" ht="110.25" x14ac:dyDescent="0.2">
      <c r="A17" s="18"/>
      <c r="B17" s="19"/>
      <c r="C17" s="20"/>
      <c r="D17" s="21" t="s">
        <v>73</v>
      </c>
      <c r="E17" s="49">
        <v>100</v>
      </c>
      <c r="F17" s="50" t="s">
        <v>71</v>
      </c>
      <c r="G17" s="16"/>
      <c r="H17" s="49">
        <v>100</v>
      </c>
      <c r="I17" s="50" t="s">
        <v>71</v>
      </c>
      <c r="J17" s="31"/>
      <c r="K17" s="49">
        <v>100</v>
      </c>
      <c r="L17" s="50" t="s">
        <v>71</v>
      </c>
      <c r="M17" s="45"/>
      <c r="N17" s="51">
        <f>N19/K19*100</f>
        <v>33.333333333333329</v>
      </c>
      <c r="O17" s="50" t="s">
        <v>71</v>
      </c>
      <c r="P17" s="58"/>
      <c r="Q17" s="51">
        <f>Q19/K19*100</f>
        <v>25</v>
      </c>
      <c r="R17" s="50" t="s">
        <v>71</v>
      </c>
      <c r="S17" s="58"/>
      <c r="T17" s="51">
        <f>T19/K19*100</f>
        <v>33.333333333333329</v>
      </c>
      <c r="U17" s="50" t="s">
        <v>71</v>
      </c>
      <c r="V17" s="58"/>
      <c r="W17" s="51">
        <f>W19/K19*100</f>
        <v>8.3333333333333321</v>
      </c>
      <c r="X17" s="50" t="s">
        <v>71</v>
      </c>
      <c r="Y17" s="58"/>
      <c r="Z17" s="76">
        <f>N17+Q17+T17+W17</f>
        <v>99.999999999999986</v>
      </c>
      <c r="AA17" s="50" t="s">
        <v>71</v>
      </c>
      <c r="AB17" s="76">
        <f>Z17/K17*100</f>
        <v>99.999999999999986</v>
      </c>
      <c r="AC17" s="78" t="s">
        <v>71</v>
      </c>
      <c r="AD17" s="80"/>
      <c r="AE17" s="81"/>
      <c r="AF17" s="102"/>
      <c r="AG17" s="76">
        <f>H17+Z17</f>
        <v>200</v>
      </c>
      <c r="AH17" s="50" t="s">
        <v>71</v>
      </c>
      <c r="AI17" s="80"/>
      <c r="AJ17" s="76">
        <f>AG17/E17*100</f>
        <v>200</v>
      </c>
      <c r="AK17" s="78" t="s">
        <v>71</v>
      </c>
      <c r="AL17" s="81"/>
      <c r="AM17" s="27"/>
      <c r="AP17" s="28"/>
    </row>
    <row r="18" spans="1:42" ht="60.75" customHeight="1" x14ac:dyDescent="0.2">
      <c r="A18" s="18"/>
      <c r="B18" s="19"/>
      <c r="C18" s="29" t="s">
        <v>38</v>
      </c>
      <c r="D18" s="33" t="s">
        <v>75</v>
      </c>
      <c r="E18" s="22">
        <f>15*5</f>
        <v>75</v>
      </c>
      <c r="F18" s="23" t="s">
        <v>68</v>
      </c>
      <c r="G18" s="56">
        <v>21625000</v>
      </c>
      <c r="H18" s="22">
        <v>15</v>
      </c>
      <c r="I18" s="23" t="s">
        <v>68</v>
      </c>
      <c r="J18" s="25">
        <v>3525000</v>
      </c>
      <c r="K18" s="22">
        <v>15</v>
      </c>
      <c r="L18" s="23" t="s">
        <v>68</v>
      </c>
      <c r="M18" s="26">
        <v>2100000</v>
      </c>
      <c r="N18" s="22">
        <v>6</v>
      </c>
      <c r="O18" s="23" t="s">
        <v>68</v>
      </c>
      <c r="P18" s="26">
        <v>300000</v>
      </c>
      <c r="Q18" s="22">
        <v>3</v>
      </c>
      <c r="R18" s="23" t="s">
        <v>68</v>
      </c>
      <c r="S18" s="26">
        <v>950000</v>
      </c>
      <c r="T18" s="22">
        <v>3</v>
      </c>
      <c r="U18" s="23" t="s">
        <v>68</v>
      </c>
      <c r="V18" s="26">
        <v>0</v>
      </c>
      <c r="W18" s="22">
        <v>3</v>
      </c>
      <c r="X18" s="23" t="s">
        <v>68</v>
      </c>
      <c r="Y18" s="26">
        <v>750000</v>
      </c>
      <c r="Z18" s="83">
        <f>N18+Q18+T18+W18</f>
        <v>15</v>
      </c>
      <c r="AA18" s="23" t="s">
        <v>68</v>
      </c>
      <c r="AB18" s="60">
        <f>Z18/K18*100</f>
        <v>100</v>
      </c>
      <c r="AC18" s="39" t="s">
        <v>71</v>
      </c>
      <c r="AD18" s="61">
        <f>P18+S18+V18+Y18</f>
        <v>2000000</v>
      </c>
      <c r="AE18" s="60">
        <f>AD18/M18*100</f>
        <v>95.238095238095227</v>
      </c>
      <c r="AF18" s="39" t="s">
        <v>71</v>
      </c>
      <c r="AG18" s="83">
        <f>H18+Z18</f>
        <v>30</v>
      </c>
      <c r="AH18" s="23" t="s">
        <v>68</v>
      </c>
      <c r="AI18" s="61">
        <f>J18+AD18</f>
        <v>5525000</v>
      </c>
      <c r="AJ18" s="60">
        <f>AG18/E18*100</f>
        <v>40</v>
      </c>
      <c r="AK18" s="39" t="s">
        <v>71</v>
      </c>
      <c r="AL18" s="60">
        <f>AI18/G18*100</f>
        <v>25.549132947976876</v>
      </c>
      <c r="AM18" s="13"/>
      <c r="AP18" s="28"/>
    </row>
    <row r="19" spans="1:42" ht="78" customHeight="1" x14ac:dyDescent="0.2">
      <c r="A19" s="18"/>
      <c r="B19" s="19"/>
      <c r="C19" s="29" t="s">
        <v>37</v>
      </c>
      <c r="D19" s="33" t="s">
        <v>74</v>
      </c>
      <c r="E19" s="22">
        <f>12*5</f>
        <v>60</v>
      </c>
      <c r="F19" s="23" t="s">
        <v>68</v>
      </c>
      <c r="G19" s="56">
        <v>22000000</v>
      </c>
      <c r="H19" s="22">
        <v>12</v>
      </c>
      <c r="I19" s="23" t="s">
        <v>68</v>
      </c>
      <c r="J19" s="25">
        <v>3600000</v>
      </c>
      <c r="K19" s="22">
        <v>12</v>
      </c>
      <c r="L19" s="23" t="s">
        <v>68</v>
      </c>
      <c r="M19" s="26">
        <v>2100000</v>
      </c>
      <c r="N19" s="22">
        <v>4</v>
      </c>
      <c r="O19" s="23" t="s">
        <v>68</v>
      </c>
      <c r="P19" s="26">
        <v>0</v>
      </c>
      <c r="Q19" s="22">
        <v>3</v>
      </c>
      <c r="R19" s="23" t="s">
        <v>68</v>
      </c>
      <c r="S19" s="26">
        <v>894000</v>
      </c>
      <c r="T19" s="22">
        <v>4</v>
      </c>
      <c r="U19" s="23" t="s">
        <v>68</v>
      </c>
      <c r="V19" s="26">
        <v>0</v>
      </c>
      <c r="W19" s="22">
        <v>1</v>
      </c>
      <c r="X19" s="23" t="s">
        <v>68</v>
      </c>
      <c r="Y19" s="26">
        <v>1143000</v>
      </c>
      <c r="Z19" s="83">
        <f t="shared" ref="Z19:Z74" si="1">N19+Q19+T19+W19</f>
        <v>12</v>
      </c>
      <c r="AA19" s="23" t="s">
        <v>68</v>
      </c>
      <c r="AB19" s="60">
        <f>Z19/K19*100</f>
        <v>100</v>
      </c>
      <c r="AC19" s="39" t="s">
        <v>71</v>
      </c>
      <c r="AD19" s="61">
        <f>P19+S19+V19+Y19</f>
        <v>2037000</v>
      </c>
      <c r="AE19" s="60">
        <f>AD19/M19*100</f>
        <v>97</v>
      </c>
      <c r="AF19" s="39" t="s">
        <v>71</v>
      </c>
      <c r="AG19" s="83">
        <f t="shared" ref="AG19:AG74" si="2">H19+Z19</f>
        <v>24</v>
      </c>
      <c r="AH19" s="23" t="s">
        <v>68</v>
      </c>
      <c r="AI19" s="61">
        <f t="shared" ref="AI19:AI73" si="3">J19+AD19</f>
        <v>5637000</v>
      </c>
      <c r="AJ19" s="60">
        <f>AG19/E19*100</f>
        <v>40</v>
      </c>
      <c r="AK19" s="39" t="s">
        <v>71</v>
      </c>
      <c r="AL19" s="60">
        <f t="shared" ref="AL19:AL73" si="4">AI19/G19*100</f>
        <v>25.622727272727275</v>
      </c>
      <c r="AM19" s="13"/>
      <c r="AP19" s="28"/>
    </row>
    <row r="20" spans="1:42" ht="85.5" customHeight="1" x14ac:dyDescent="0.2">
      <c r="A20" s="54">
        <v>2</v>
      </c>
      <c r="B20" s="55" t="s">
        <v>39</v>
      </c>
      <c r="C20" s="19" t="s">
        <v>40</v>
      </c>
      <c r="D20" s="20" t="s">
        <v>134</v>
      </c>
      <c r="E20" s="49">
        <v>100</v>
      </c>
      <c r="F20" s="50" t="s">
        <v>71</v>
      </c>
      <c r="G20" s="45">
        <f>SUM(G21:G26)</f>
        <v>3600167500</v>
      </c>
      <c r="H20" s="49">
        <v>100</v>
      </c>
      <c r="I20" s="50" t="s">
        <v>71</v>
      </c>
      <c r="J20" s="45">
        <f>SUM(J21:J26)</f>
        <v>623970958</v>
      </c>
      <c r="K20" s="49">
        <v>100</v>
      </c>
      <c r="L20" s="50" t="s">
        <v>71</v>
      </c>
      <c r="M20" s="45">
        <f>SUM(M21:M26)</f>
        <v>454668100</v>
      </c>
      <c r="N20" s="49">
        <v>25</v>
      </c>
      <c r="O20" s="50" t="s">
        <v>71</v>
      </c>
      <c r="P20" s="45">
        <f>SUM(P21:P26)</f>
        <v>168933506</v>
      </c>
      <c r="Q20" s="49">
        <v>25</v>
      </c>
      <c r="R20" s="50" t="s">
        <v>71</v>
      </c>
      <c r="S20" s="45">
        <f>SUM(S21:S26)</f>
        <v>66300715</v>
      </c>
      <c r="T20" s="49">
        <v>25</v>
      </c>
      <c r="U20" s="50" t="s">
        <v>71</v>
      </c>
      <c r="V20" s="45">
        <f>SUM(V21:V26)</f>
        <v>18000000</v>
      </c>
      <c r="W20" s="49">
        <v>25</v>
      </c>
      <c r="X20" s="50" t="s">
        <v>71</v>
      </c>
      <c r="Y20" s="45">
        <f>SUM(Y21:Y26)</f>
        <v>138609374</v>
      </c>
      <c r="Z20" s="82">
        <f t="shared" si="1"/>
        <v>100</v>
      </c>
      <c r="AA20" s="50" t="s">
        <v>71</v>
      </c>
      <c r="AB20" s="76">
        <f>Z20/K20*100</f>
        <v>100</v>
      </c>
      <c r="AC20" s="78" t="s">
        <v>71</v>
      </c>
      <c r="AD20" s="84">
        <f t="shared" ref="AD20:AD73" si="5">P20+S20+V20+Y20</f>
        <v>391843595</v>
      </c>
      <c r="AE20" s="76">
        <f>AD20/M20*100</f>
        <v>86.182337181781605</v>
      </c>
      <c r="AF20" s="78" t="s">
        <v>71</v>
      </c>
      <c r="AG20" s="82">
        <f t="shared" si="2"/>
        <v>200</v>
      </c>
      <c r="AH20" s="50" t="s">
        <v>71</v>
      </c>
      <c r="AI20" s="84">
        <f t="shared" si="3"/>
        <v>1015814553</v>
      </c>
      <c r="AJ20" s="76">
        <f t="shared" ref="AJ20:AJ73" si="6">AG20/E20*100</f>
        <v>200</v>
      </c>
      <c r="AK20" s="78" t="s">
        <v>71</v>
      </c>
      <c r="AL20" s="76">
        <f t="shared" si="4"/>
        <v>28.215758100143951</v>
      </c>
      <c r="AM20" s="13"/>
      <c r="AP20" s="28"/>
    </row>
    <row r="21" spans="1:42" ht="60" x14ac:dyDescent="0.2">
      <c r="A21" s="18"/>
      <c r="B21" s="19"/>
      <c r="C21" s="33" t="s">
        <v>81</v>
      </c>
      <c r="D21" s="29" t="s">
        <v>76</v>
      </c>
      <c r="E21" s="22">
        <f>12*5</f>
        <v>60</v>
      </c>
      <c r="F21" s="30" t="s">
        <v>69</v>
      </c>
      <c r="G21" s="58">
        <v>404997500</v>
      </c>
      <c r="H21" s="47">
        <v>12</v>
      </c>
      <c r="I21" s="30" t="s">
        <v>69</v>
      </c>
      <c r="J21" s="31">
        <v>78669330</v>
      </c>
      <c r="K21" s="47">
        <v>12</v>
      </c>
      <c r="L21" s="30" t="s">
        <v>69</v>
      </c>
      <c r="M21" s="32">
        <v>71394100</v>
      </c>
      <c r="N21" s="70">
        <v>3</v>
      </c>
      <c r="O21" s="30" t="s">
        <v>69</v>
      </c>
      <c r="P21" s="32">
        <v>25644700</v>
      </c>
      <c r="Q21" s="70">
        <v>3</v>
      </c>
      <c r="R21" s="30" t="s">
        <v>69</v>
      </c>
      <c r="S21" s="32">
        <v>6018750</v>
      </c>
      <c r="T21" s="70">
        <v>3</v>
      </c>
      <c r="U21" s="30" t="s">
        <v>69</v>
      </c>
      <c r="V21" s="32">
        <v>0</v>
      </c>
      <c r="W21" s="70">
        <v>3</v>
      </c>
      <c r="X21" s="30" t="s">
        <v>69</v>
      </c>
      <c r="Y21" s="32">
        <v>38192100</v>
      </c>
      <c r="Z21" s="83">
        <f t="shared" si="1"/>
        <v>12</v>
      </c>
      <c r="AA21" s="30" t="s">
        <v>69</v>
      </c>
      <c r="AB21" s="60">
        <f>Z21/K21*100</f>
        <v>100</v>
      </c>
      <c r="AC21" s="39" t="s">
        <v>71</v>
      </c>
      <c r="AD21" s="61">
        <f t="shared" si="5"/>
        <v>69855550</v>
      </c>
      <c r="AE21" s="60">
        <f>AD21/M21*100</f>
        <v>97.844989992170213</v>
      </c>
      <c r="AF21" s="39" t="s">
        <v>71</v>
      </c>
      <c r="AG21" s="83">
        <f t="shared" si="2"/>
        <v>24</v>
      </c>
      <c r="AH21" s="30" t="s">
        <v>69</v>
      </c>
      <c r="AI21" s="61">
        <f t="shared" si="3"/>
        <v>148524880</v>
      </c>
      <c r="AJ21" s="60">
        <f t="shared" si="6"/>
        <v>40</v>
      </c>
      <c r="AK21" s="39" t="s">
        <v>71</v>
      </c>
      <c r="AL21" s="60">
        <f t="shared" si="4"/>
        <v>36.673036253310201</v>
      </c>
      <c r="AM21" s="34"/>
      <c r="AP21" s="28">
        <f t="shared" si="0"/>
        <v>69855550</v>
      </c>
    </row>
    <row r="22" spans="1:42" ht="75" x14ac:dyDescent="0.2">
      <c r="A22" s="18"/>
      <c r="B22" s="19"/>
      <c r="C22" s="33" t="s">
        <v>82</v>
      </c>
      <c r="D22" s="33" t="s">
        <v>76</v>
      </c>
      <c r="E22" s="22">
        <f t="shared" ref="E22:E31" si="7">12*5</f>
        <v>60</v>
      </c>
      <c r="F22" s="23" t="s">
        <v>69</v>
      </c>
      <c r="G22" s="56">
        <v>459010000</v>
      </c>
      <c r="H22" s="48">
        <v>12</v>
      </c>
      <c r="I22" s="23" t="s">
        <v>69</v>
      </c>
      <c r="J22" s="25">
        <v>62421755</v>
      </c>
      <c r="K22" s="48">
        <v>12</v>
      </c>
      <c r="L22" s="23" t="s">
        <v>69</v>
      </c>
      <c r="M22" s="26">
        <v>91802000</v>
      </c>
      <c r="N22" s="70">
        <v>3</v>
      </c>
      <c r="O22" s="23" t="s">
        <v>69</v>
      </c>
      <c r="P22" s="26">
        <v>11194150</v>
      </c>
      <c r="Q22" s="70">
        <v>3</v>
      </c>
      <c r="R22" s="23" t="s">
        <v>69</v>
      </c>
      <c r="S22" s="26">
        <v>16099965</v>
      </c>
      <c r="T22" s="70">
        <v>3</v>
      </c>
      <c r="U22" s="23" t="s">
        <v>69</v>
      </c>
      <c r="V22" s="26">
        <v>0</v>
      </c>
      <c r="W22" s="70">
        <v>3</v>
      </c>
      <c r="X22" s="23" t="s">
        <v>69</v>
      </c>
      <c r="Y22" s="26">
        <v>34918786</v>
      </c>
      <c r="Z22" s="83">
        <f t="shared" si="1"/>
        <v>12</v>
      </c>
      <c r="AA22" s="23" t="s">
        <v>69</v>
      </c>
      <c r="AB22" s="60">
        <f t="shared" ref="AB22:AB37" si="8">Z22/K22*100</f>
        <v>100</v>
      </c>
      <c r="AC22" s="39" t="s">
        <v>71</v>
      </c>
      <c r="AD22" s="61">
        <f t="shared" si="5"/>
        <v>62212901</v>
      </c>
      <c r="AE22" s="60">
        <f t="shared" ref="AE22:AE36" si="9">AD22/M22*100</f>
        <v>67.768568222914539</v>
      </c>
      <c r="AF22" s="39" t="s">
        <v>71</v>
      </c>
      <c r="AG22" s="83">
        <f t="shared" si="2"/>
        <v>24</v>
      </c>
      <c r="AH22" s="23" t="s">
        <v>69</v>
      </c>
      <c r="AI22" s="61">
        <f t="shared" si="3"/>
        <v>124634656</v>
      </c>
      <c r="AJ22" s="60">
        <f t="shared" si="6"/>
        <v>40</v>
      </c>
      <c r="AK22" s="39" t="s">
        <v>71</v>
      </c>
      <c r="AL22" s="60">
        <f t="shared" si="4"/>
        <v>27.152928258643605</v>
      </c>
      <c r="AM22" s="13"/>
      <c r="AP22" s="28">
        <f t="shared" si="0"/>
        <v>62212901</v>
      </c>
    </row>
    <row r="23" spans="1:42" ht="75" x14ac:dyDescent="0.2">
      <c r="A23" s="18"/>
      <c r="B23" s="19"/>
      <c r="C23" s="106" t="s">
        <v>83</v>
      </c>
      <c r="D23" s="107" t="s">
        <v>76</v>
      </c>
      <c r="E23" s="22">
        <v>15</v>
      </c>
      <c r="F23" s="30" t="s">
        <v>135</v>
      </c>
      <c r="G23" s="56">
        <v>70000000</v>
      </c>
      <c r="H23" s="22">
        <v>3</v>
      </c>
      <c r="I23" s="30" t="s">
        <v>135</v>
      </c>
      <c r="J23" s="25">
        <v>14000000</v>
      </c>
      <c r="K23" s="22">
        <v>3</v>
      </c>
      <c r="L23" s="30" t="s">
        <v>135</v>
      </c>
      <c r="M23" s="26">
        <v>0</v>
      </c>
      <c r="N23" s="22"/>
      <c r="O23" s="30"/>
      <c r="P23" s="26"/>
      <c r="Q23" s="22"/>
      <c r="R23" s="30"/>
      <c r="S23" s="26"/>
      <c r="T23" s="22"/>
      <c r="U23" s="30"/>
      <c r="V23" s="26"/>
      <c r="W23" s="22"/>
      <c r="X23" s="30"/>
      <c r="Y23" s="26">
        <v>0</v>
      </c>
      <c r="Z23" s="83"/>
      <c r="AA23" s="30"/>
      <c r="AB23" s="60"/>
      <c r="AC23" s="39"/>
      <c r="AD23" s="61"/>
      <c r="AE23" s="60"/>
      <c r="AF23" s="39"/>
      <c r="AG23" s="83">
        <f t="shared" si="2"/>
        <v>3</v>
      </c>
      <c r="AH23" s="30" t="s">
        <v>69</v>
      </c>
      <c r="AI23" s="61">
        <f t="shared" si="3"/>
        <v>14000000</v>
      </c>
      <c r="AJ23" s="60">
        <f t="shared" si="6"/>
        <v>20</v>
      </c>
      <c r="AK23" s="39" t="s">
        <v>71</v>
      </c>
      <c r="AL23" s="60">
        <f t="shared" si="4"/>
        <v>20</v>
      </c>
      <c r="AM23" s="13"/>
      <c r="AP23" s="28">
        <f t="shared" si="0"/>
        <v>0</v>
      </c>
    </row>
    <row r="24" spans="1:42" ht="60" x14ac:dyDescent="0.2">
      <c r="A24" s="18"/>
      <c r="B24" s="19"/>
      <c r="C24" s="33" t="s">
        <v>84</v>
      </c>
      <c r="D24" s="33" t="s">
        <v>76</v>
      </c>
      <c r="E24" s="22">
        <f t="shared" si="7"/>
        <v>60</v>
      </c>
      <c r="F24" s="30" t="s">
        <v>69</v>
      </c>
      <c r="G24" s="56">
        <v>116660000</v>
      </c>
      <c r="H24" s="47">
        <v>12</v>
      </c>
      <c r="I24" s="30" t="s">
        <v>69</v>
      </c>
      <c r="J24" s="25">
        <v>23332000</v>
      </c>
      <c r="K24" s="47">
        <v>12</v>
      </c>
      <c r="L24" s="30" t="s">
        <v>69</v>
      </c>
      <c r="M24" s="26">
        <v>13332000</v>
      </c>
      <c r="N24" s="70">
        <v>3</v>
      </c>
      <c r="O24" s="30" t="s">
        <v>69</v>
      </c>
      <c r="P24" s="26">
        <v>1812000</v>
      </c>
      <c r="Q24" s="70">
        <v>3</v>
      </c>
      <c r="R24" s="30" t="s">
        <v>69</v>
      </c>
      <c r="S24" s="26">
        <v>1812000</v>
      </c>
      <c r="T24" s="70">
        <v>3</v>
      </c>
      <c r="U24" s="30" t="s">
        <v>69</v>
      </c>
      <c r="V24" s="26">
        <v>0</v>
      </c>
      <c r="W24" s="70">
        <v>3</v>
      </c>
      <c r="X24" s="30" t="s">
        <v>69</v>
      </c>
      <c r="Y24" s="26">
        <v>5124000</v>
      </c>
      <c r="Z24" s="83">
        <f t="shared" si="1"/>
        <v>12</v>
      </c>
      <c r="AA24" s="30" t="s">
        <v>69</v>
      </c>
      <c r="AB24" s="60">
        <f t="shared" si="8"/>
        <v>100</v>
      </c>
      <c r="AC24" s="39" t="s">
        <v>71</v>
      </c>
      <c r="AD24" s="61">
        <f t="shared" si="5"/>
        <v>8748000</v>
      </c>
      <c r="AE24" s="60">
        <f t="shared" si="9"/>
        <v>65.616561656165615</v>
      </c>
      <c r="AF24" s="39" t="s">
        <v>71</v>
      </c>
      <c r="AG24" s="83">
        <f t="shared" si="2"/>
        <v>24</v>
      </c>
      <c r="AH24" s="30" t="s">
        <v>69</v>
      </c>
      <c r="AI24" s="61">
        <f t="shared" si="3"/>
        <v>32080000</v>
      </c>
      <c r="AJ24" s="60">
        <f t="shared" si="6"/>
        <v>40</v>
      </c>
      <c r="AK24" s="39" t="s">
        <v>71</v>
      </c>
      <c r="AL24" s="60">
        <f t="shared" si="4"/>
        <v>27.498714212240699</v>
      </c>
      <c r="AM24" s="13"/>
      <c r="AP24" s="28">
        <f t="shared" si="0"/>
        <v>8748000</v>
      </c>
    </row>
    <row r="25" spans="1:42" ht="105" x14ac:dyDescent="0.2">
      <c r="A25" s="18"/>
      <c r="B25" s="19"/>
      <c r="C25" s="29" t="s">
        <v>85</v>
      </c>
      <c r="D25" s="33" t="s">
        <v>76</v>
      </c>
      <c r="E25" s="22">
        <f t="shared" si="7"/>
        <v>60</v>
      </c>
      <c r="F25" s="30" t="s">
        <v>69</v>
      </c>
      <c r="G25" s="56">
        <v>650750000</v>
      </c>
      <c r="H25" s="47">
        <v>12</v>
      </c>
      <c r="I25" s="30" t="s">
        <v>69</v>
      </c>
      <c r="J25" s="25">
        <v>86550000</v>
      </c>
      <c r="K25" s="47">
        <v>12</v>
      </c>
      <c r="L25" s="30" t="s">
        <v>69</v>
      </c>
      <c r="M25" s="26">
        <v>113750000</v>
      </c>
      <c r="N25" s="70">
        <v>3</v>
      </c>
      <c r="O25" s="30" t="s">
        <v>69</v>
      </c>
      <c r="P25" s="26">
        <v>36250000</v>
      </c>
      <c r="Q25" s="70">
        <v>3</v>
      </c>
      <c r="R25" s="30" t="s">
        <v>69</v>
      </c>
      <c r="S25" s="26">
        <v>18250000</v>
      </c>
      <c r="T25" s="70">
        <v>3</v>
      </c>
      <c r="U25" s="30" t="s">
        <v>69</v>
      </c>
      <c r="V25" s="26">
        <v>18000000</v>
      </c>
      <c r="W25" s="70">
        <v>3</v>
      </c>
      <c r="X25" s="30" t="s">
        <v>69</v>
      </c>
      <c r="Y25" s="26">
        <v>27500000</v>
      </c>
      <c r="Z25" s="83">
        <f t="shared" si="1"/>
        <v>12</v>
      </c>
      <c r="AA25" s="30" t="s">
        <v>69</v>
      </c>
      <c r="AB25" s="60">
        <f t="shared" si="8"/>
        <v>100</v>
      </c>
      <c r="AC25" s="39" t="s">
        <v>71</v>
      </c>
      <c r="AD25" s="61">
        <f t="shared" si="5"/>
        <v>100000000</v>
      </c>
      <c r="AE25" s="60">
        <f t="shared" si="9"/>
        <v>87.912087912087912</v>
      </c>
      <c r="AF25" s="39" t="s">
        <v>71</v>
      </c>
      <c r="AG25" s="83">
        <f t="shared" si="2"/>
        <v>24</v>
      </c>
      <c r="AH25" s="30" t="s">
        <v>69</v>
      </c>
      <c r="AI25" s="61">
        <f t="shared" si="3"/>
        <v>186550000</v>
      </c>
      <c r="AJ25" s="60">
        <f t="shared" si="6"/>
        <v>40</v>
      </c>
      <c r="AK25" s="39" t="s">
        <v>71</v>
      </c>
      <c r="AL25" s="60">
        <f t="shared" si="4"/>
        <v>28.666922781406068</v>
      </c>
      <c r="AM25" s="13"/>
      <c r="AP25" s="28"/>
    </row>
    <row r="26" spans="1:42" ht="75" x14ac:dyDescent="0.2">
      <c r="A26" s="18"/>
      <c r="B26" s="19"/>
      <c r="C26" s="29" t="s">
        <v>86</v>
      </c>
      <c r="D26" s="33" t="s">
        <v>76</v>
      </c>
      <c r="E26" s="22">
        <f t="shared" si="7"/>
        <v>60</v>
      </c>
      <c r="F26" s="23" t="s">
        <v>69</v>
      </c>
      <c r="G26" s="56">
        <v>1898750000</v>
      </c>
      <c r="H26" s="22">
        <v>12</v>
      </c>
      <c r="I26" s="23" t="s">
        <v>69</v>
      </c>
      <c r="J26" s="25">
        <v>358997873</v>
      </c>
      <c r="K26" s="22">
        <v>12</v>
      </c>
      <c r="L26" s="23" t="s">
        <v>69</v>
      </c>
      <c r="M26" s="26">
        <v>164390000</v>
      </c>
      <c r="N26" s="70">
        <v>3</v>
      </c>
      <c r="O26" s="23" t="s">
        <v>69</v>
      </c>
      <c r="P26" s="26">
        <v>94032656</v>
      </c>
      <c r="Q26" s="70">
        <v>3</v>
      </c>
      <c r="R26" s="23" t="s">
        <v>69</v>
      </c>
      <c r="S26" s="26">
        <v>24120000</v>
      </c>
      <c r="T26" s="70">
        <v>3</v>
      </c>
      <c r="U26" s="23" t="s">
        <v>69</v>
      </c>
      <c r="V26" s="26">
        <v>0</v>
      </c>
      <c r="W26" s="70">
        <v>3</v>
      </c>
      <c r="X26" s="23" t="s">
        <v>69</v>
      </c>
      <c r="Y26" s="26">
        <v>32874488</v>
      </c>
      <c r="Z26" s="83">
        <f t="shared" si="1"/>
        <v>12</v>
      </c>
      <c r="AA26" s="23" t="s">
        <v>69</v>
      </c>
      <c r="AB26" s="60">
        <f t="shared" si="8"/>
        <v>100</v>
      </c>
      <c r="AC26" s="39" t="s">
        <v>71</v>
      </c>
      <c r="AD26" s="61">
        <f t="shared" si="5"/>
        <v>151027144</v>
      </c>
      <c r="AE26" s="60">
        <f t="shared" si="9"/>
        <v>91.871247642800654</v>
      </c>
      <c r="AF26" s="39" t="s">
        <v>71</v>
      </c>
      <c r="AG26" s="83">
        <f t="shared" si="2"/>
        <v>24</v>
      </c>
      <c r="AH26" s="23" t="s">
        <v>69</v>
      </c>
      <c r="AI26" s="61">
        <f t="shared" si="3"/>
        <v>510025017</v>
      </c>
      <c r="AJ26" s="60">
        <f t="shared" si="6"/>
        <v>40</v>
      </c>
      <c r="AK26" s="39" t="s">
        <v>71</v>
      </c>
      <c r="AL26" s="60">
        <f t="shared" si="4"/>
        <v>26.861093719552336</v>
      </c>
      <c r="AM26" s="13"/>
      <c r="AP26" s="28"/>
    </row>
    <row r="27" spans="1:42" ht="97.5" customHeight="1" x14ac:dyDescent="0.2">
      <c r="A27" s="18"/>
      <c r="B27" s="19"/>
      <c r="C27" s="20" t="s">
        <v>41</v>
      </c>
      <c r="D27" s="20" t="s">
        <v>134</v>
      </c>
      <c r="E27" s="49">
        <v>100</v>
      </c>
      <c r="F27" s="50" t="s">
        <v>71</v>
      </c>
      <c r="G27" s="46">
        <f>SUM(G28:G31)</f>
        <v>1843089000</v>
      </c>
      <c r="H27" s="49">
        <v>100</v>
      </c>
      <c r="I27" s="50" t="s">
        <v>71</v>
      </c>
      <c r="J27" s="46">
        <f>SUM(J28:J31)</f>
        <v>297334400</v>
      </c>
      <c r="K27" s="49">
        <v>100</v>
      </c>
      <c r="L27" s="50" t="s">
        <v>71</v>
      </c>
      <c r="M27" s="46">
        <f>SUM(M28:M31)</f>
        <v>511720000</v>
      </c>
      <c r="N27" s="49">
        <v>25</v>
      </c>
      <c r="O27" s="50" t="s">
        <v>71</v>
      </c>
      <c r="P27" s="46">
        <f>SUM(P28:P31)</f>
        <v>13860050</v>
      </c>
      <c r="Q27" s="49">
        <v>25</v>
      </c>
      <c r="R27" s="50" t="s">
        <v>71</v>
      </c>
      <c r="S27" s="46">
        <f>SUM(S28:S31)</f>
        <v>167500110</v>
      </c>
      <c r="T27" s="49">
        <v>25</v>
      </c>
      <c r="U27" s="50" t="s">
        <v>71</v>
      </c>
      <c r="V27" s="46">
        <f>SUM(V28:V31)</f>
        <v>22530000</v>
      </c>
      <c r="W27" s="49">
        <v>25</v>
      </c>
      <c r="X27" s="50" t="s">
        <v>71</v>
      </c>
      <c r="Y27" s="46">
        <f>SUM(Y28:Y31)</f>
        <v>100778202</v>
      </c>
      <c r="Z27" s="82">
        <f t="shared" si="1"/>
        <v>100</v>
      </c>
      <c r="AA27" s="50" t="s">
        <v>71</v>
      </c>
      <c r="AB27" s="76">
        <f t="shared" si="8"/>
        <v>100</v>
      </c>
      <c r="AC27" s="78" t="s">
        <v>71</v>
      </c>
      <c r="AD27" s="84">
        <f t="shared" si="5"/>
        <v>304668362</v>
      </c>
      <c r="AE27" s="76">
        <f t="shared" si="9"/>
        <v>59.538099351207698</v>
      </c>
      <c r="AF27" s="78" t="s">
        <v>71</v>
      </c>
      <c r="AG27" s="82">
        <f t="shared" si="2"/>
        <v>200</v>
      </c>
      <c r="AH27" s="50" t="s">
        <v>71</v>
      </c>
      <c r="AI27" s="84">
        <f t="shared" si="3"/>
        <v>602002762</v>
      </c>
      <c r="AJ27" s="76">
        <f t="shared" si="6"/>
        <v>200</v>
      </c>
      <c r="AK27" s="78" t="s">
        <v>71</v>
      </c>
      <c r="AL27" s="76">
        <f t="shared" si="4"/>
        <v>32.662707118321471</v>
      </c>
      <c r="AM27" s="13"/>
      <c r="AP27" s="28"/>
    </row>
    <row r="28" spans="1:42" ht="75" customHeight="1" x14ac:dyDescent="0.2">
      <c r="A28" s="18"/>
      <c r="B28" s="19"/>
      <c r="C28" s="29" t="s">
        <v>77</v>
      </c>
      <c r="D28" s="33" t="s">
        <v>87</v>
      </c>
      <c r="E28" s="22">
        <f t="shared" si="7"/>
        <v>60</v>
      </c>
      <c r="F28" s="23" t="s">
        <v>69</v>
      </c>
      <c r="G28" s="56">
        <v>499339000</v>
      </c>
      <c r="H28" s="22">
        <v>12</v>
      </c>
      <c r="I28" s="23" t="s">
        <v>69</v>
      </c>
      <c r="J28" s="25">
        <v>89417800</v>
      </c>
      <c r="K28" s="22">
        <v>12</v>
      </c>
      <c r="L28" s="23" t="s">
        <v>69</v>
      </c>
      <c r="M28" s="26">
        <v>135698000</v>
      </c>
      <c r="N28" s="70">
        <v>3</v>
      </c>
      <c r="O28" s="23" t="s">
        <v>69</v>
      </c>
      <c r="P28" s="26">
        <v>415000</v>
      </c>
      <c r="Q28" s="70">
        <v>3</v>
      </c>
      <c r="R28" s="23" t="s">
        <v>69</v>
      </c>
      <c r="S28" s="26">
        <v>89549500</v>
      </c>
      <c r="T28" s="70">
        <v>3</v>
      </c>
      <c r="U28" s="23" t="s">
        <v>69</v>
      </c>
      <c r="V28" s="26">
        <v>16830000</v>
      </c>
      <c r="W28" s="70">
        <v>3</v>
      </c>
      <c r="X28" s="23" t="s">
        <v>69</v>
      </c>
      <c r="Y28" s="26">
        <v>26415000</v>
      </c>
      <c r="Z28" s="83">
        <f t="shared" si="1"/>
        <v>12</v>
      </c>
      <c r="AA28" s="23" t="s">
        <v>69</v>
      </c>
      <c r="AB28" s="60">
        <f t="shared" si="8"/>
        <v>100</v>
      </c>
      <c r="AC28" s="39" t="s">
        <v>71</v>
      </c>
      <c r="AD28" s="61">
        <f t="shared" si="5"/>
        <v>133209500</v>
      </c>
      <c r="AE28" s="60">
        <f t="shared" si="9"/>
        <v>98.166148358855693</v>
      </c>
      <c r="AF28" s="39" t="s">
        <v>71</v>
      </c>
      <c r="AG28" s="83">
        <f t="shared" si="2"/>
        <v>24</v>
      </c>
      <c r="AH28" s="23" t="s">
        <v>69</v>
      </c>
      <c r="AI28" s="61">
        <f t="shared" si="3"/>
        <v>222627300</v>
      </c>
      <c r="AJ28" s="60">
        <f t="shared" si="6"/>
        <v>40</v>
      </c>
      <c r="AK28" s="39" t="s">
        <v>71</v>
      </c>
      <c r="AL28" s="60">
        <f t="shared" si="4"/>
        <v>44.584400577563535</v>
      </c>
      <c r="AM28" s="13"/>
      <c r="AP28" s="28"/>
    </row>
    <row r="29" spans="1:42" ht="75" x14ac:dyDescent="0.2">
      <c r="A29" s="18"/>
      <c r="B29" s="19"/>
      <c r="C29" s="29" t="s">
        <v>78</v>
      </c>
      <c r="D29" s="33" t="s">
        <v>88</v>
      </c>
      <c r="E29" s="22">
        <f>2*5</f>
        <v>10</v>
      </c>
      <c r="F29" s="23" t="s">
        <v>170</v>
      </c>
      <c r="G29" s="56">
        <v>518500000</v>
      </c>
      <c r="H29" s="22">
        <v>3</v>
      </c>
      <c r="I29" s="23" t="s">
        <v>170</v>
      </c>
      <c r="J29" s="25">
        <v>110220000</v>
      </c>
      <c r="K29" s="22">
        <v>2</v>
      </c>
      <c r="L29" s="23" t="s">
        <v>170</v>
      </c>
      <c r="M29" s="26">
        <v>217822000</v>
      </c>
      <c r="N29" s="70">
        <v>0</v>
      </c>
      <c r="O29" s="23" t="s">
        <v>170</v>
      </c>
      <c r="P29" s="26">
        <v>0</v>
      </c>
      <c r="Q29" s="70">
        <v>1</v>
      </c>
      <c r="R29" s="23" t="s">
        <v>170</v>
      </c>
      <c r="S29" s="26">
        <v>58478490</v>
      </c>
      <c r="T29" s="70">
        <v>0</v>
      </c>
      <c r="U29" s="23" t="s">
        <v>170</v>
      </c>
      <c r="V29" s="26">
        <v>5700000</v>
      </c>
      <c r="W29" s="70">
        <v>0</v>
      </c>
      <c r="X29" s="23" t="s">
        <v>170</v>
      </c>
      <c r="Y29" s="26">
        <v>15390000</v>
      </c>
      <c r="Z29" s="83">
        <f t="shared" si="1"/>
        <v>1</v>
      </c>
      <c r="AA29" s="23" t="s">
        <v>170</v>
      </c>
      <c r="AB29" s="60">
        <f t="shared" si="8"/>
        <v>50</v>
      </c>
      <c r="AC29" s="39" t="s">
        <v>71</v>
      </c>
      <c r="AD29" s="61">
        <f t="shared" si="5"/>
        <v>79568490</v>
      </c>
      <c r="AE29" s="60">
        <f t="shared" si="9"/>
        <v>36.52913387995703</v>
      </c>
      <c r="AF29" s="39" t="s">
        <v>71</v>
      </c>
      <c r="AG29" s="83">
        <f t="shared" si="2"/>
        <v>4</v>
      </c>
      <c r="AH29" s="23" t="s">
        <v>170</v>
      </c>
      <c r="AI29" s="61">
        <f t="shared" si="3"/>
        <v>189788490</v>
      </c>
      <c r="AJ29" s="60">
        <f t="shared" si="6"/>
        <v>40</v>
      </c>
      <c r="AK29" s="39" t="s">
        <v>71</v>
      </c>
      <c r="AL29" s="60">
        <f t="shared" si="4"/>
        <v>36.603373191899713</v>
      </c>
      <c r="AM29" s="13"/>
      <c r="AP29" s="28"/>
    </row>
    <row r="30" spans="1:42" ht="83.25" customHeight="1" x14ac:dyDescent="0.2">
      <c r="A30" s="18"/>
      <c r="B30" s="19"/>
      <c r="C30" s="29" t="s">
        <v>42</v>
      </c>
      <c r="D30" s="33" t="s">
        <v>89</v>
      </c>
      <c r="E30" s="22">
        <f t="shared" si="7"/>
        <v>60</v>
      </c>
      <c r="F30" s="23" t="s">
        <v>69</v>
      </c>
      <c r="G30" s="56">
        <v>727000000</v>
      </c>
      <c r="H30" s="22">
        <v>12</v>
      </c>
      <c r="I30" s="23" t="s">
        <v>69</v>
      </c>
      <c r="J30" s="25">
        <v>88596600</v>
      </c>
      <c r="K30" s="22">
        <v>12</v>
      </c>
      <c r="L30" s="23" t="s">
        <v>69</v>
      </c>
      <c r="M30" s="26">
        <v>147200000</v>
      </c>
      <c r="N30" s="70">
        <v>3</v>
      </c>
      <c r="O30" s="23" t="s">
        <v>69</v>
      </c>
      <c r="P30" s="26">
        <v>10395050</v>
      </c>
      <c r="Q30" s="70">
        <v>3</v>
      </c>
      <c r="R30" s="23" t="s">
        <v>69</v>
      </c>
      <c r="S30" s="26">
        <v>18722120</v>
      </c>
      <c r="T30" s="70">
        <v>3</v>
      </c>
      <c r="U30" s="23" t="s">
        <v>69</v>
      </c>
      <c r="V30" s="26">
        <v>0</v>
      </c>
      <c r="W30" s="70">
        <v>3</v>
      </c>
      <c r="X30" s="23" t="s">
        <v>69</v>
      </c>
      <c r="Y30" s="26">
        <v>56723202</v>
      </c>
      <c r="Z30" s="83">
        <f t="shared" ref="Z30:Z31" si="10">N30+Q30+T30+W30</f>
        <v>12</v>
      </c>
      <c r="AA30" s="23" t="s">
        <v>69</v>
      </c>
      <c r="AB30" s="60">
        <f t="shared" si="8"/>
        <v>100</v>
      </c>
      <c r="AC30" s="39" t="s">
        <v>71</v>
      </c>
      <c r="AD30" s="61">
        <f t="shared" ref="AD30:AD31" si="11">P30+S30+V30+Y30</f>
        <v>85840372</v>
      </c>
      <c r="AE30" s="60">
        <f t="shared" si="9"/>
        <v>58.315470108695656</v>
      </c>
      <c r="AF30" s="39" t="s">
        <v>71</v>
      </c>
      <c r="AG30" s="83">
        <f t="shared" ref="AG30:AG31" si="12">H30+Z30</f>
        <v>24</v>
      </c>
      <c r="AH30" s="23" t="s">
        <v>69</v>
      </c>
      <c r="AI30" s="61">
        <f t="shared" ref="AI30:AI31" si="13">J30+AD30</f>
        <v>174436972</v>
      </c>
      <c r="AJ30" s="60">
        <f t="shared" ref="AJ30:AJ31" si="14">AG30/E30*100</f>
        <v>40</v>
      </c>
      <c r="AK30" s="39" t="s">
        <v>71</v>
      </c>
      <c r="AL30" s="60">
        <f t="shared" ref="AL30:AL31" si="15">AI30/G30*100</f>
        <v>23.99408143053645</v>
      </c>
      <c r="AM30" s="13"/>
      <c r="AP30" s="28"/>
    </row>
    <row r="31" spans="1:42" ht="66.75" customHeight="1" x14ac:dyDescent="0.2">
      <c r="A31" s="18"/>
      <c r="B31" s="19"/>
      <c r="C31" s="29" t="s">
        <v>43</v>
      </c>
      <c r="D31" s="33" t="s">
        <v>87</v>
      </c>
      <c r="E31" s="22">
        <f t="shared" si="7"/>
        <v>60</v>
      </c>
      <c r="F31" s="23" t="s">
        <v>69</v>
      </c>
      <c r="G31" s="56">
        <v>98250000</v>
      </c>
      <c r="H31" s="22">
        <v>12</v>
      </c>
      <c r="I31" s="23" t="s">
        <v>69</v>
      </c>
      <c r="J31" s="25">
        <v>9100000</v>
      </c>
      <c r="K31" s="22">
        <v>12</v>
      </c>
      <c r="L31" s="23" t="s">
        <v>69</v>
      </c>
      <c r="M31" s="26">
        <v>11000000</v>
      </c>
      <c r="N31" s="70">
        <v>3</v>
      </c>
      <c r="O31" s="23" t="s">
        <v>69</v>
      </c>
      <c r="P31" s="26">
        <v>3050000</v>
      </c>
      <c r="Q31" s="70">
        <v>3</v>
      </c>
      <c r="R31" s="23" t="s">
        <v>69</v>
      </c>
      <c r="S31" s="26">
        <v>750000</v>
      </c>
      <c r="T31" s="70">
        <v>3</v>
      </c>
      <c r="U31" s="23" t="s">
        <v>69</v>
      </c>
      <c r="V31" s="26">
        <v>0</v>
      </c>
      <c r="W31" s="70">
        <v>3</v>
      </c>
      <c r="X31" s="23" t="s">
        <v>69</v>
      </c>
      <c r="Y31" s="26">
        <v>2250000</v>
      </c>
      <c r="Z31" s="83">
        <f t="shared" si="10"/>
        <v>12</v>
      </c>
      <c r="AA31" s="23" t="s">
        <v>69</v>
      </c>
      <c r="AB31" s="60">
        <f t="shared" si="8"/>
        <v>100</v>
      </c>
      <c r="AC31" s="39" t="s">
        <v>71</v>
      </c>
      <c r="AD31" s="61">
        <f t="shared" si="11"/>
        <v>6050000</v>
      </c>
      <c r="AE31" s="60">
        <f t="shared" si="9"/>
        <v>55.000000000000007</v>
      </c>
      <c r="AF31" s="39" t="s">
        <v>71</v>
      </c>
      <c r="AG31" s="83">
        <f t="shared" si="12"/>
        <v>24</v>
      </c>
      <c r="AH31" s="23" t="s">
        <v>69</v>
      </c>
      <c r="AI31" s="61">
        <f t="shared" si="13"/>
        <v>15150000</v>
      </c>
      <c r="AJ31" s="60">
        <f t="shared" si="14"/>
        <v>40</v>
      </c>
      <c r="AK31" s="39" t="s">
        <v>71</v>
      </c>
      <c r="AL31" s="60">
        <f t="shared" si="15"/>
        <v>15.419847328244273</v>
      </c>
      <c r="AM31" s="13"/>
      <c r="AP31" s="28"/>
    </row>
    <row r="32" spans="1:42" ht="102" customHeight="1" x14ac:dyDescent="0.2">
      <c r="A32" s="18"/>
      <c r="B32" s="19"/>
      <c r="C32" s="20" t="s">
        <v>44</v>
      </c>
      <c r="D32" s="20" t="s">
        <v>134</v>
      </c>
      <c r="E32" s="49">
        <v>100</v>
      </c>
      <c r="F32" s="50" t="s">
        <v>71</v>
      </c>
      <c r="G32" s="46">
        <f>SUM(G33:G39)</f>
        <v>24934853200</v>
      </c>
      <c r="H32" s="49">
        <v>100</v>
      </c>
      <c r="I32" s="50" t="s">
        <v>71</v>
      </c>
      <c r="J32" s="46">
        <f>SUM(J33:J39)</f>
        <v>5266759800</v>
      </c>
      <c r="K32" s="49">
        <v>100</v>
      </c>
      <c r="L32" s="50" t="s">
        <v>71</v>
      </c>
      <c r="M32" s="46">
        <f>SUM(M33:M39)</f>
        <v>597309500</v>
      </c>
      <c r="N32" s="49">
        <v>25</v>
      </c>
      <c r="O32" s="50" t="s">
        <v>71</v>
      </c>
      <c r="P32" s="46">
        <f>SUM(P33:P39)</f>
        <v>41775000</v>
      </c>
      <c r="Q32" s="49">
        <v>25</v>
      </c>
      <c r="R32" s="50" t="s">
        <v>71</v>
      </c>
      <c r="S32" s="46">
        <f>SUM(S33:S39)</f>
        <v>92781500</v>
      </c>
      <c r="T32" s="49">
        <v>25</v>
      </c>
      <c r="U32" s="50" t="s">
        <v>71</v>
      </c>
      <c r="V32" s="46">
        <f>SUM(V33:V39)</f>
        <v>189149000</v>
      </c>
      <c r="W32" s="49">
        <v>25</v>
      </c>
      <c r="X32" s="50" t="s">
        <v>71</v>
      </c>
      <c r="Y32" s="46">
        <f>SUM(Y33:Y39)</f>
        <v>154384000</v>
      </c>
      <c r="Z32" s="82">
        <f t="shared" si="1"/>
        <v>100</v>
      </c>
      <c r="AA32" s="50" t="s">
        <v>71</v>
      </c>
      <c r="AB32" s="76">
        <f t="shared" si="8"/>
        <v>100</v>
      </c>
      <c r="AC32" s="78" t="s">
        <v>71</v>
      </c>
      <c r="AD32" s="84">
        <f t="shared" si="5"/>
        <v>478089500</v>
      </c>
      <c r="AE32" s="76">
        <f t="shared" si="9"/>
        <v>80.040498267648516</v>
      </c>
      <c r="AF32" s="78" t="s">
        <v>71</v>
      </c>
      <c r="AG32" s="82">
        <f t="shared" si="2"/>
        <v>200</v>
      </c>
      <c r="AH32" s="50" t="s">
        <v>71</v>
      </c>
      <c r="AI32" s="84">
        <f t="shared" si="3"/>
        <v>5744849300</v>
      </c>
      <c r="AJ32" s="76">
        <f t="shared" si="6"/>
        <v>200</v>
      </c>
      <c r="AK32" s="78" t="s">
        <v>71</v>
      </c>
      <c r="AL32" s="76">
        <f t="shared" si="4"/>
        <v>23.039435018610817</v>
      </c>
      <c r="AM32" s="13"/>
      <c r="AP32" s="28"/>
    </row>
    <row r="33" spans="1:42" ht="90" x14ac:dyDescent="0.2">
      <c r="A33" s="18"/>
      <c r="B33" s="19"/>
      <c r="C33" s="29" t="s">
        <v>90</v>
      </c>
      <c r="D33" s="33" t="s">
        <v>94</v>
      </c>
      <c r="E33" s="22">
        <f>4*4</f>
        <v>16</v>
      </c>
      <c r="F33" s="53" t="s">
        <v>99</v>
      </c>
      <c r="G33" s="56">
        <f>43356200*4</f>
        <v>173424800</v>
      </c>
      <c r="H33" s="22"/>
      <c r="I33" s="53"/>
      <c r="J33" s="25"/>
      <c r="K33" s="22">
        <v>4</v>
      </c>
      <c r="L33" s="53" t="s">
        <v>99</v>
      </c>
      <c r="M33" s="26">
        <v>10500000</v>
      </c>
      <c r="N33" s="22">
        <v>0</v>
      </c>
      <c r="O33" s="53" t="s">
        <v>99</v>
      </c>
      <c r="P33" s="26">
        <v>0</v>
      </c>
      <c r="Q33" s="22">
        <v>1</v>
      </c>
      <c r="R33" s="53" t="s">
        <v>99</v>
      </c>
      <c r="S33" s="26">
        <v>10500000</v>
      </c>
      <c r="T33" s="22">
        <v>0</v>
      </c>
      <c r="U33" s="53" t="s">
        <v>99</v>
      </c>
      <c r="V33" s="26">
        <v>0</v>
      </c>
      <c r="W33" s="22">
        <v>0</v>
      </c>
      <c r="X33" s="53" t="s">
        <v>99</v>
      </c>
      <c r="Y33" s="26">
        <v>0</v>
      </c>
      <c r="Z33" s="83">
        <f t="shared" si="1"/>
        <v>1</v>
      </c>
      <c r="AA33" s="53" t="s">
        <v>99</v>
      </c>
      <c r="AB33" s="60">
        <f t="shared" si="8"/>
        <v>25</v>
      </c>
      <c r="AC33" s="39" t="s">
        <v>71</v>
      </c>
      <c r="AD33" s="61">
        <f t="shared" si="5"/>
        <v>10500000</v>
      </c>
      <c r="AE33" s="60">
        <f t="shared" si="9"/>
        <v>100</v>
      </c>
      <c r="AF33" s="39" t="s">
        <v>71</v>
      </c>
      <c r="AG33" s="83">
        <f t="shared" si="2"/>
        <v>1</v>
      </c>
      <c r="AH33" s="53" t="s">
        <v>99</v>
      </c>
      <c r="AI33" s="61">
        <f t="shared" si="3"/>
        <v>10500000</v>
      </c>
      <c r="AJ33" s="60">
        <f t="shared" si="6"/>
        <v>6.25</v>
      </c>
      <c r="AK33" s="39" t="s">
        <v>71</v>
      </c>
      <c r="AL33" s="60">
        <f t="shared" si="4"/>
        <v>6.0544973959895012</v>
      </c>
      <c r="AM33" s="13"/>
      <c r="AP33" s="28"/>
    </row>
    <row r="34" spans="1:42" ht="150" x14ac:dyDescent="0.2">
      <c r="A34" s="18"/>
      <c r="B34" s="19"/>
      <c r="C34" s="29" t="s">
        <v>91</v>
      </c>
      <c r="D34" s="33" t="s">
        <v>95</v>
      </c>
      <c r="E34" s="22">
        <v>45</v>
      </c>
      <c r="F34" s="53" t="s">
        <v>100</v>
      </c>
      <c r="G34" s="56">
        <v>23308655000</v>
      </c>
      <c r="H34" s="48">
        <v>9</v>
      </c>
      <c r="I34" s="53" t="s">
        <v>100</v>
      </c>
      <c r="J34" s="25">
        <v>4476940000</v>
      </c>
      <c r="K34" s="22">
        <v>9</v>
      </c>
      <c r="L34" s="53" t="s">
        <v>100</v>
      </c>
      <c r="M34" s="26">
        <v>314920000</v>
      </c>
      <c r="N34" s="22">
        <v>1</v>
      </c>
      <c r="O34" s="53" t="s">
        <v>100</v>
      </c>
      <c r="P34" s="26">
        <v>30450000</v>
      </c>
      <c r="Q34" s="22">
        <v>2</v>
      </c>
      <c r="R34" s="53" t="s">
        <v>100</v>
      </c>
      <c r="S34" s="26">
        <v>73750000</v>
      </c>
      <c r="T34" s="22">
        <v>0</v>
      </c>
      <c r="U34" s="53" t="s">
        <v>100</v>
      </c>
      <c r="V34" s="26">
        <v>0</v>
      </c>
      <c r="W34" s="22">
        <v>6</v>
      </c>
      <c r="X34" s="53" t="s">
        <v>100</v>
      </c>
      <c r="Y34" s="26">
        <v>136000000</v>
      </c>
      <c r="Z34" s="83">
        <f t="shared" ref="Z34" si="16">N34+Q34+T34+W34</f>
        <v>9</v>
      </c>
      <c r="AA34" s="53" t="s">
        <v>100</v>
      </c>
      <c r="AB34" s="60">
        <f t="shared" si="8"/>
        <v>100</v>
      </c>
      <c r="AC34" s="39" t="s">
        <v>71</v>
      </c>
      <c r="AD34" s="61">
        <f t="shared" ref="AD34" si="17">P34+S34+V34+Y34</f>
        <v>240200000</v>
      </c>
      <c r="AE34" s="60">
        <f t="shared" si="9"/>
        <v>76.273339260764644</v>
      </c>
      <c r="AF34" s="39" t="s">
        <v>71</v>
      </c>
      <c r="AG34" s="83">
        <f t="shared" ref="AG34" si="18">H34+Z34</f>
        <v>18</v>
      </c>
      <c r="AH34" s="53" t="s">
        <v>100</v>
      </c>
      <c r="AI34" s="61">
        <f t="shared" ref="AI34" si="19">J34+AD34</f>
        <v>4717140000</v>
      </c>
      <c r="AJ34" s="60">
        <f t="shared" ref="AJ34" si="20">AG34/E34*100</f>
        <v>40</v>
      </c>
      <c r="AK34" s="39" t="s">
        <v>71</v>
      </c>
      <c r="AL34" s="60">
        <f t="shared" ref="AL34" si="21">AI34/G34*100</f>
        <v>20.237718564198577</v>
      </c>
      <c r="AM34" s="13"/>
      <c r="AP34" s="28"/>
    </row>
    <row r="35" spans="1:42" ht="150" x14ac:dyDescent="0.2">
      <c r="A35" s="18"/>
      <c r="B35" s="19"/>
      <c r="C35" s="29" t="s">
        <v>92</v>
      </c>
      <c r="D35" s="33" t="s">
        <v>96</v>
      </c>
      <c r="E35" s="22">
        <v>20</v>
      </c>
      <c r="F35" s="23" t="s">
        <v>101</v>
      </c>
      <c r="G35" s="56">
        <v>173845500</v>
      </c>
      <c r="H35" s="22">
        <v>4</v>
      </c>
      <c r="I35" s="23" t="s">
        <v>101</v>
      </c>
      <c r="J35" s="25">
        <v>23645100</v>
      </c>
      <c r="K35" s="22">
        <v>4</v>
      </c>
      <c r="L35" s="23" t="s">
        <v>101</v>
      </c>
      <c r="M35" s="26">
        <v>2009500</v>
      </c>
      <c r="N35" s="22">
        <v>0</v>
      </c>
      <c r="O35" s="23" t="s">
        <v>101</v>
      </c>
      <c r="P35" s="26">
        <v>0</v>
      </c>
      <c r="Q35" s="22">
        <v>0</v>
      </c>
      <c r="R35" s="23" t="s">
        <v>101</v>
      </c>
      <c r="S35" s="26">
        <v>0</v>
      </c>
      <c r="T35" s="22">
        <v>0</v>
      </c>
      <c r="U35" s="23" t="s">
        <v>101</v>
      </c>
      <c r="V35" s="26">
        <v>0</v>
      </c>
      <c r="W35" s="22">
        <v>0</v>
      </c>
      <c r="X35" s="23" t="s">
        <v>101</v>
      </c>
      <c r="Y35" s="26">
        <v>0</v>
      </c>
      <c r="Z35" s="83">
        <f t="shared" ref="Z35" si="22">N35+Q35+T35+W35</f>
        <v>0</v>
      </c>
      <c r="AA35" s="53" t="s">
        <v>101</v>
      </c>
      <c r="AB35" s="60">
        <f t="shared" si="8"/>
        <v>0</v>
      </c>
      <c r="AC35" s="39" t="s">
        <v>71</v>
      </c>
      <c r="AD35" s="61">
        <f t="shared" ref="AD35" si="23">P35+S35+V35+Y35</f>
        <v>0</v>
      </c>
      <c r="AE35" s="60">
        <f t="shared" si="9"/>
        <v>0</v>
      </c>
      <c r="AF35" s="39" t="s">
        <v>71</v>
      </c>
      <c r="AG35" s="83">
        <f t="shared" ref="AG35" si="24">H35+Z35</f>
        <v>4</v>
      </c>
      <c r="AH35" s="53" t="s">
        <v>101</v>
      </c>
      <c r="AI35" s="61">
        <f t="shared" ref="AI35" si="25">J35+AD35</f>
        <v>23645100</v>
      </c>
      <c r="AJ35" s="60">
        <f t="shared" ref="AJ35" si="26">AG35/E35*100</f>
        <v>20</v>
      </c>
      <c r="AK35" s="39" t="s">
        <v>71</v>
      </c>
      <c r="AL35" s="60">
        <f t="shared" ref="AL35" si="27">AI35/G35*100</f>
        <v>13.601214871825846</v>
      </c>
      <c r="AM35" s="13"/>
      <c r="AP35" s="28"/>
    </row>
    <row r="36" spans="1:42" ht="90" x14ac:dyDescent="0.2">
      <c r="A36" s="18"/>
      <c r="B36" s="19"/>
      <c r="C36" s="57" t="s">
        <v>93</v>
      </c>
      <c r="D36" s="33" t="s">
        <v>97</v>
      </c>
      <c r="E36" s="22">
        <v>5</v>
      </c>
      <c r="F36" s="23" t="s">
        <v>102</v>
      </c>
      <c r="G36" s="62">
        <v>781212500</v>
      </c>
      <c r="H36" s="22">
        <v>1</v>
      </c>
      <c r="I36" s="23" t="s">
        <v>102</v>
      </c>
      <c r="J36" s="63">
        <v>113056500</v>
      </c>
      <c r="K36" s="22">
        <v>1</v>
      </c>
      <c r="L36" s="23" t="s">
        <v>102</v>
      </c>
      <c r="M36" s="64">
        <v>269880000</v>
      </c>
      <c r="N36" s="22">
        <v>1</v>
      </c>
      <c r="O36" s="23" t="s">
        <v>102</v>
      </c>
      <c r="P36" s="64">
        <v>11325000</v>
      </c>
      <c r="Q36" s="22">
        <v>0</v>
      </c>
      <c r="R36" s="23" t="s">
        <v>102</v>
      </c>
      <c r="S36" s="64">
        <v>8531500</v>
      </c>
      <c r="T36" s="22">
        <v>0</v>
      </c>
      <c r="U36" s="23" t="s">
        <v>102</v>
      </c>
      <c r="V36" s="64">
        <v>189149000</v>
      </c>
      <c r="W36" s="22">
        <v>0</v>
      </c>
      <c r="X36" s="23" t="s">
        <v>102</v>
      </c>
      <c r="Y36" s="64">
        <v>18384000</v>
      </c>
      <c r="Z36" s="83">
        <f t="shared" ref="Z36:Z37" si="28">N36+Q36+T36+W36</f>
        <v>1</v>
      </c>
      <c r="AA36" s="53" t="s">
        <v>102</v>
      </c>
      <c r="AB36" s="60">
        <f t="shared" si="8"/>
        <v>100</v>
      </c>
      <c r="AC36" s="39" t="s">
        <v>71</v>
      </c>
      <c r="AD36" s="72">
        <f t="shared" ref="AD36" si="29">P36+S36+V36+Y36</f>
        <v>227389500</v>
      </c>
      <c r="AE36" s="74">
        <f t="shared" si="9"/>
        <v>84.255780346820814</v>
      </c>
      <c r="AF36" s="103" t="s">
        <v>71</v>
      </c>
      <c r="AG36" s="83">
        <f t="shared" ref="AG36:AG38" si="30">H36+Z36</f>
        <v>2</v>
      </c>
      <c r="AH36" s="53" t="s">
        <v>102</v>
      </c>
      <c r="AI36" s="72">
        <f t="shared" ref="AI36" si="31">J36+AD36</f>
        <v>340446000</v>
      </c>
      <c r="AJ36" s="60">
        <f t="shared" ref="AJ36" si="32">AG36/E36*100</f>
        <v>40</v>
      </c>
      <c r="AK36" s="39" t="s">
        <v>71</v>
      </c>
      <c r="AL36" s="74">
        <f t="shared" ref="AL36" si="33">AI36/G36*100</f>
        <v>43.579179800630428</v>
      </c>
      <c r="AM36" s="13"/>
      <c r="AP36" s="28"/>
    </row>
    <row r="37" spans="1:42" ht="105" x14ac:dyDescent="0.2">
      <c r="A37" s="18"/>
      <c r="B37" s="19"/>
      <c r="C37" s="29"/>
      <c r="D37" s="33" t="s">
        <v>98</v>
      </c>
      <c r="E37" s="22">
        <f>89*5</f>
        <v>445</v>
      </c>
      <c r="F37" s="23" t="s">
        <v>70</v>
      </c>
      <c r="G37" s="58"/>
      <c r="H37" s="22">
        <v>86</v>
      </c>
      <c r="I37" s="23" t="s">
        <v>70</v>
      </c>
      <c r="J37" s="31"/>
      <c r="K37" s="22">
        <v>89</v>
      </c>
      <c r="L37" s="23" t="s">
        <v>70</v>
      </c>
      <c r="M37" s="32"/>
      <c r="N37" s="22">
        <v>0</v>
      </c>
      <c r="O37" s="23" t="s">
        <v>70</v>
      </c>
      <c r="P37" s="32"/>
      <c r="Q37" s="22">
        <v>73</v>
      </c>
      <c r="R37" s="23" t="s">
        <v>70</v>
      </c>
      <c r="S37" s="32"/>
      <c r="T37" s="22">
        <v>0</v>
      </c>
      <c r="U37" s="23" t="s">
        <v>70</v>
      </c>
      <c r="V37" s="32"/>
      <c r="W37" s="22">
        <v>0</v>
      </c>
      <c r="X37" s="23" t="s">
        <v>70</v>
      </c>
      <c r="Y37" s="32"/>
      <c r="Z37" s="83">
        <f t="shared" si="28"/>
        <v>73</v>
      </c>
      <c r="AA37" s="23" t="s">
        <v>70</v>
      </c>
      <c r="AB37" s="60">
        <f t="shared" si="8"/>
        <v>82.022471910112358</v>
      </c>
      <c r="AC37" s="39" t="s">
        <v>71</v>
      </c>
      <c r="AD37" s="73"/>
      <c r="AE37" s="75"/>
      <c r="AF37" s="104"/>
      <c r="AG37" s="83">
        <f t="shared" si="30"/>
        <v>159</v>
      </c>
      <c r="AH37" s="23" t="s">
        <v>70</v>
      </c>
      <c r="AI37" s="73"/>
      <c r="AJ37" s="60">
        <f t="shared" ref="AJ37:AJ38" si="34">AG37/E37*100</f>
        <v>35.730337078651687</v>
      </c>
      <c r="AK37" s="39" t="s">
        <v>71</v>
      </c>
      <c r="AL37" s="75"/>
      <c r="AM37" s="13"/>
      <c r="AP37" s="28"/>
    </row>
    <row r="38" spans="1:42" ht="75" x14ac:dyDescent="0.2">
      <c r="A38" s="18"/>
      <c r="B38" s="19"/>
      <c r="C38" s="85" t="s">
        <v>136</v>
      </c>
      <c r="D38" s="86" t="s">
        <v>94</v>
      </c>
      <c r="E38" s="22">
        <v>4</v>
      </c>
      <c r="F38" s="53" t="s">
        <v>99</v>
      </c>
      <c r="G38" s="56">
        <v>43356200</v>
      </c>
      <c r="H38" s="22">
        <v>4</v>
      </c>
      <c r="I38" s="53" t="s">
        <v>99</v>
      </c>
      <c r="J38" s="25">
        <v>206859000</v>
      </c>
      <c r="K38" s="22"/>
      <c r="L38" s="53"/>
      <c r="M38" s="26"/>
      <c r="N38" s="22"/>
      <c r="O38" s="53"/>
      <c r="P38" s="26"/>
      <c r="Q38" s="22"/>
      <c r="R38" s="53"/>
      <c r="S38" s="26"/>
      <c r="T38" s="22"/>
      <c r="U38" s="53"/>
      <c r="V38" s="26"/>
      <c r="W38" s="22"/>
      <c r="X38" s="53"/>
      <c r="Y38" s="26"/>
      <c r="Z38" s="83"/>
      <c r="AA38" s="53"/>
      <c r="AB38" s="60"/>
      <c r="AC38" s="39"/>
      <c r="AD38" s="61"/>
      <c r="AE38" s="60"/>
      <c r="AF38" s="39"/>
      <c r="AG38" s="83">
        <f t="shared" si="30"/>
        <v>4</v>
      </c>
      <c r="AH38" s="53" t="s">
        <v>99</v>
      </c>
      <c r="AI38" s="61">
        <f t="shared" ref="AI38" si="35">J38+AD38</f>
        <v>206859000</v>
      </c>
      <c r="AJ38" s="60">
        <f t="shared" si="34"/>
        <v>100</v>
      </c>
      <c r="AK38" s="39" t="s">
        <v>71</v>
      </c>
      <c r="AL38" s="60">
        <f t="shared" ref="AL38" si="36">AI38/G38*100</f>
        <v>477.11515308075894</v>
      </c>
      <c r="AM38" s="13"/>
      <c r="AP38" s="28"/>
    </row>
    <row r="39" spans="1:42" ht="135" x14ac:dyDescent="0.2">
      <c r="A39" s="18"/>
      <c r="B39" s="19"/>
      <c r="C39" s="85" t="s">
        <v>137</v>
      </c>
      <c r="D39" s="86" t="s">
        <v>126</v>
      </c>
      <c r="E39" s="22">
        <v>1</v>
      </c>
      <c r="F39" s="53" t="s">
        <v>128</v>
      </c>
      <c r="G39" s="56">
        <v>454359200</v>
      </c>
      <c r="H39" s="22">
        <v>1</v>
      </c>
      <c r="I39" s="53" t="s">
        <v>128</v>
      </c>
      <c r="J39" s="25">
        <v>446259200</v>
      </c>
      <c r="K39" s="22"/>
      <c r="L39" s="53"/>
      <c r="M39" s="26"/>
      <c r="N39" s="22"/>
      <c r="O39" s="53"/>
      <c r="P39" s="26"/>
      <c r="Q39" s="22"/>
      <c r="R39" s="53"/>
      <c r="S39" s="26"/>
      <c r="T39" s="22"/>
      <c r="U39" s="53"/>
      <c r="V39" s="26"/>
      <c r="W39" s="22"/>
      <c r="X39" s="53"/>
      <c r="Y39" s="26"/>
      <c r="Z39" s="83"/>
      <c r="AA39" s="53"/>
      <c r="AB39" s="60"/>
      <c r="AC39" s="39"/>
      <c r="AD39" s="61"/>
      <c r="AE39" s="60"/>
      <c r="AF39" s="39"/>
      <c r="AG39" s="83">
        <f t="shared" ref="AG39" si="37">H39+Z39</f>
        <v>1</v>
      </c>
      <c r="AH39" s="53" t="s">
        <v>128</v>
      </c>
      <c r="AI39" s="61">
        <f t="shared" ref="AI39" si="38">J39+AD39</f>
        <v>446259200</v>
      </c>
      <c r="AJ39" s="60">
        <f t="shared" ref="AJ39" si="39">AG39/E39*100</f>
        <v>100</v>
      </c>
      <c r="AK39" s="39" t="s">
        <v>71</v>
      </c>
      <c r="AL39" s="60">
        <f t="shared" ref="AL39" si="40">AI39/G39*100</f>
        <v>98.217269508353738</v>
      </c>
      <c r="AM39" s="13"/>
      <c r="AP39" s="28"/>
    </row>
    <row r="40" spans="1:42" ht="136.5" customHeight="1" x14ac:dyDescent="0.2">
      <c r="A40" s="54">
        <v>13</v>
      </c>
      <c r="B40" s="55" t="s">
        <v>109</v>
      </c>
      <c r="C40" s="55" t="s">
        <v>103</v>
      </c>
      <c r="D40" s="21" t="s">
        <v>194</v>
      </c>
      <c r="E40" s="51">
        <v>67.2</v>
      </c>
      <c r="F40" s="50" t="s">
        <v>71</v>
      </c>
      <c r="G40" s="46">
        <f>SUM(G42:G48)</f>
        <v>2081782500</v>
      </c>
      <c r="H40" s="51">
        <v>61.4</v>
      </c>
      <c r="I40" s="50" t="s">
        <v>71</v>
      </c>
      <c r="J40" s="46">
        <f>J41</f>
        <v>532926300</v>
      </c>
      <c r="K40" s="51">
        <v>60</v>
      </c>
      <c r="L40" s="50" t="s">
        <v>71</v>
      </c>
      <c r="M40" s="46">
        <f>M41</f>
        <v>300583000</v>
      </c>
      <c r="N40" s="51">
        <f>6164/17409*100</f>
        <v>35.406973404560858</v>
      </c>
      <c r="O40" s="50" t="s">
        <v>71</v>
      </c>
      <c r="P40" s="46">
        <f>P41</f>
        <v>27000000</v>
      </c>
      <c r="Q40" s="51">
        <f>2482/17409*100</f>
        <v>14.256993509104488</v>
      </c>
      <c r="R40" s="50" t="s">
        <v>71</v>
      </c>
      <c r="S40" s="46">
        <f>S41</f>
        <v>41230000</v>
      </c>
      <c r="T40" s="51">
        <f>330/17409*100</f>
        <v>1.895571256246769</v>
      </c>
      <c r="U40" s="50" t="s">
        <v>71</v>
      </c>
      <c r="V40" s="46">
        <f>V41</f>
        <v>25000000</v>
      </c>
      <c r="W40" s="51">
        <f>760/17409*100</f>
        <v>4.3655580446895286</v>
      </c>
      <c r="X40" s="50" t="s">
        <v>71</v>
      </c>
      <c r="Y40" s="46">
        <f>Y41</f>
        <v>198493000</v>
      </c>
      <c r="Z40" s="76">
        <f t="shared" si="1"/>
        <v>55.925096214601645</v>
      </c>
      <c r="AA40" s="50" t="s">
        <v>71</v>
      </c>
      <c r="AB40" s="76">
        <f t="shared" ref="AB40:AB44" si="41">Z40/K40*100</f>
        <v>93.20849369100273</v>
      </c>
      <c r="AC40" s="78" t="s">
        <v>71</v>
      </c>
      <c r="AD40" s="84">
        <f t="shared" si="5"/>
        <v>291723000</v>
      </c>
      <c r="AE40" s="76">
        <f t="shared" ref="AE40:AE43" si="42">AD40/M40*100</f>
        <v>97.052394846015915</v>
      </c>
      <c r="AF40" s="78" t="s">
        <v>71</v>
      </c>
      <c r="AG40" s="76">
        <f t="shared" si="2"/>
        <v>117.32509621460164</v>
      </c>
      <c r="AH40" s="50" t="s">
        <v>71</v>
      </c>
      <c r="AI40" s="84">
        <f t="shared" si="3"/>
        <v>824649300</v>
      </c>
      <c r="AJ40" s="76">
        <f t="shared" si="6"/>
        <v>174.59091698601435</v>
      </c>
      <c r="AK40" s="78" t="s">
        <v>71</v>
      </c>
      <c r="AL40" s="76">
        <f t="shared" si="4"/>
        <v>39.612654059682029</v>
      </c>
      <c r="AM40" s="13"/>
      <c r="AP40" s="28"/>
    </row>
    <row r="41" spans="1:42" ht="147" customHeight="1" x14ac:dyDescent="0.2">
      <c r="A41" s="18"/>
      <c r="B41" s="19"/>
      <c r="C41" s="20"/>
      <c r="D41" s="21" t="s">
        <v>151</v>
      </c>
      <c r="E41" s="51">
        <v>7.25</v>
      </c>
      <c r="F41" s="50" t="s">
        <v>71</v>
      </c>
      <c r="G41" s="46">
        <f>SUM(G43:G49)</f>
        <v>35067696800</v>
      </c>
      <c r="H41" s="51">
        <f>705/11638*100</f>
        <v>6.057741880048118</v>
      </c>
      <c r="I41" s="50" t="s">
        <v>71</v>
      </c>
      <c r="J41" s="46">
        <f>SUM(J42:J48)</f>
        <v>532926300</v>
      </c>
      <c r="K41" s="51">
        <v>7</v>
      </c>
      <c r="L41" s="50" t="s">
        <v>71</v>
      </c>
      <c r="M41" s="46">
        <f>SUM(M42:M48)</f>
        <v>300583000</v>
      </c>
      <c r="N41" s="49">
        <v>0</v>
      </c>
      <c r="O41" s="50" t="s">
        <v>71</v>
      </c>
      <c r="P41" s="46">
        <f>SUM(P42:P48)</f>
        <v>27000000</v>
      </c>
      <c r="Q41" s="51">
        <f>77/11272*100</f>
        <v>0.68310858765081617</v>
      </c>
      <c r="R41" s="50" t="s">
        <v>71</v>
      </c>
      <c r="S41" s="46">
        <f>SUM(S42:S48)</f>
        <v>41230000</v>
      </c>
      <c r="T41" s="51">
        <f>209/11272*100</f>
        <v>1.8541518807665012</v>
      </c>
      <c r="U41" s="50" t="s">
        <v>71</v>
      </c>
      <c r="V41" s="46">
        <f>SUM(V42:V48)</f>
        <v>25000000</v>
      </c>
      <c r="W41" s="51">
        <f>486/11272*100</f>
        <v>4.3115684882895664</v>
      </c>
      <c r="X41" s="50" t="s">
        <v>71</v>
      </c>
      <c r="Y41" s="46">
        <f>SUM(Y42:Y48)</f>
        <v>198493000</v>
      </c>
      <c r="Z41" s="76">
        <f t="shared" ref="Z41" si="43">N41+Q41+T41+W41</f>
        <v>6.8488289567068836</v>
      </c>
      <c r="AA41" s="50" t="s">
        <v>71</v>
      </c>
      <c r="AB41" s="76">
        <f t="shared" ref="AB41" si="44">Z41/K41*100</f>
        <v>97.840413667241194</v>
      </c>
      <c r="AC41" s="78" t="s">
        <v>71</v>
      </c>
      <c r="AD41" s="84">
        <f>P41+S41+V41+Y41</f>
        <v>291723000</v>
      </c>
      <c r="AE41" s="76">
        <f t="shared" ref="AE41" si="45">AD41/M41*100</f>
        <v>97.052394846015915</v>
      </c>
      <c r="AF41" s="78" t="s">
        <v>71</v>
      </c>
      <c r="AG41" s="76">
        <f t="shared" ref="AG41" si="46">H41+Z41</f>
        <v>12.906570836755002</v>
      </c>
      <c r="AH41" s="50" t="s">
        <v>71</v>
      </c>
      <c r="AI41" s="84">
        <f t="shared" ref="AI41" si="47">J41+AD41</f>
        <v>824649300</v>
      </c>
      <c r="AJ41" s="76">
        <f t="shared" ref="AJ41" si="48">AG41/E41*100</f>
        <v>178.02166671386209</v>
      </c>
      <c r="AK41" s="78" t="s">
        <v>71</v>
      </c>
      <c r="AL41" s="76">
        <f t="shared" ref="AL41" si="49">AI41/G41*100</f>
        <v>2.351592420520757</v>
      </c>
      <c r="AM41" s="13"/>
      <c r="AP41" s="28"/>
    </row>
    <row r="42" spans="1:42" ht="150" x14ac:dyDescent="0.2">
      <c r="A42" s="18"/>
      <c r="B42" s="19"/>
      <c r="C42" s="29" t="s">
        <v>104</v>
      </c>
      <c r="D42" s="33" t="s">
        <v>106</v>
      </c>
      <c r="E42" s="22">
        <v>5</v>
      </c>
      <c r="F42" s="23" t="s">
        <v>68</v>
      </c>
      <c r="G42" s="56">
        <v>743592500</v>
      </c>
      <c r="H42" s="48">
        <v>1</v>
      </c>
      <c r="I42" s="23" t="s">
        <v>68</v>
      </c>
      <c r="J42" s="25">
        <v>205288500</v>
      </c>
      <c r="K42" s="22">
        <v>1</v>
      </c>
      <c r="L42" s="23" t="s">
        <v>68</v>
      </c>
      <c r="M42" s="26">
        <v>212800000</v>
      </c>
      <c r="N42" s="22">
        <v>0</v>
      </c>
      <c r="O42" s="23" t="s">
        <v>68</v>
      </c>
      <c r="P42" s="26">
        <v>27000000</v>
      </c>
      <c r="Q42" s="22">
        <v>0</v>
      </c>
      <c r="R42" s="23" t="s">
        <v>68</v>
      </c>
      <c r="S42" s="26">
        <v>35000000</v>
      </c>
      <c r="T42" s="22">
        <v>1</v>
      </c>
      <c r="U42" s="23" t="s">
        <v>68</v>
      </c>
      <c r="V42" s="26">
        <v>25000000</v>
      </c>
      <c r="W42" s="22">
        <v>1</v>
      </c>
      <c r="X42" s="23" t="s">
        <v>68</v>
      </c>
      <c r="Y42" s="26">
        <v>125350000</v>
      </c>
      <c r="Z42" s="83">
        <f t="shared" si="1"/>
        <v>2</v>
      </c>
      <c r="AA42" s="23" t="s">
        <v>68</v>
      </c>
      <c r="AB42" s="60">
        <f t="shared" si="41"/>
        <v>200</v>
      </c>
      <c r="AC42" s="39" t="s">
        <v>71</v>
      </c>
      <c r="AD42" s="61">
        <f t="shared" si="5"/>
        <v>212350000</v>
      </c>
      <c r="AE42" s="60">
        <f t="shared" si="42"/>
        <v>99.788533834586474</v>
      </c>
      <c r="AF42" s="39" t="s">
        <v>71</v>
      </c>
      <c r="AG42" s="83">
        <f t="shared" si="2"/>
        <v>3</v>
      </c>
      <c r="AH42" s="23" t="s">
        <v>68</v>
      </c>
      <c r="AI42" s="61">
        <f t="shared" si="3"/>
        <v>417638500</v>
      </c>
      <c r="AJ42" s="60">
        <f t="shared" si="6"/>
        <v>60</v>
      </c>
      <c r="AK42" s="39" t="s">
        <v>71</v>
      </c>
      <c r="AL42" s="60">
        <f t="shared" si="4"/>
        <v>56.164969388475541</v>
      </c>
      <c r="AM42" s="13"/>
      <c r="AP42" s="28"/>
    </row>
    <row r="43" spans="1:42" ht="120" x14ac:dyDescent="0.2">
      <c r="A43" s="18"/>
      <c r="B43" s="19"/>
      <c r="C43" s="57" t="s">
        <v>105</v>
      </c>
      <c r="D43" s="33" t="s">
        <v>108</v>
      </c>
      <c r="E43" s="22">
        <v>900</v>
      </c>
      <c r="F43" s="23" t="s">
        <v>70</v>
      </c>
      <c r="G43" s="62">
        <v>1002472000</v>
      </c>
      <c r="H43" s="24"/>
      <c r="I43" s="23"/>
      <c r="J43" s="63"/>
      <c r="K43" s="22">
        <v>210</v>
      </c>
      <c r="L43" s="23" t="s">
        <v>70</v>
      </c>
      <c r="M43" s="64">
        <v>87783000</v>
      </c>
      <c r="N43" s="22">
        <v>0</v>
      </c>
      <c r="O43" s="23" t="s">
        <v>70</v>
      </c>
      <c r="P43" s="64">
        <v>0</v>
      </c>
      <c r="Q43" s="22">
        <v>77</v>
      </c>
      <c r="R43" s="23" t="s">
        <v>70</v>
      </c>
      <c r="S43" s="64">
        <v>6230000</v>
      </c>
      <c r="T43" s="22">
        <v>0</v>
      </c>
      <c r="U43" s="23" t="s">
        <v>70</v>
      </c>
      <c r="V43" s="64">
        <v>0</v>
      </c>
      <c r="W43" s="22">
        <v>116</v>
      </c>
      <c r="X43" s="23" t="s">
        <v>70</v>
      </c>
      <c r="Y43" s="64">
        <v>73143000</v>
      </c>
      <c r="Z43" s="83">
        <f t="shared" ref="Z43:Z44" si="50">N43+Q43+T43+W43</f>
        <v>193</v>
      </c>
      <c r="AA43" s="23" t="s">
        <v>70</v>
      </c>
      <c r="AB43" s="60">
        <f t="shared" si="41"/>
        <v>91.904761904761898</v>
      </c>
      <c r="AC43" s="39" t="s">
        <v>71</v>
      </c>
      <c r="AD43" s="72">
        <f t="shared" ref="AD43" si="51">P43+S43+V43+Y43</f>
        <v>79373000</v>
      </c>
      <c r="AE43" s="74">
        <f t="shared" si="42"/>
        <v>90.419557317476048</v>
      </c>
      <c r="AF43" s="103" t="s">
        <v>71</v>
      </c>
      <c r="AG43" s="83">
        <f t="shared" ref="AG43:AG45" si="52">H43+Z43</f>
        <v>193</v>
      </c>
      <c r="AH43" s="23" t="s">
        <v>70</v>
      </c>
      <c r="AI43" s="72">
        <f t="shared" ref="AI43" si="53">J43+AD43</f>
        <v>79373000</v>
      </c>
      <c r="AJ43" s="60">
        <f t="shared" ref="AJ43" si="54">AG43/E43*100</f>
        <v>21.444444444444443</v>
      </c>
      <c r="AK43" s="39" t="s">
        <v>71</v>
      </c>
      <c r="AL43" s="74">
        <f t="shared" ref="AL43" si="55">AI43/G43*100</f>
        <v>7.9177273779217776</v>
      </c>
      <c r="AM43" s="13"/>
      <c r="AP43" s="28"/>
    </row>
    <row r="44" spans="1:42" ht="138" customHeight="1" x14ac:dyDescent="0.2">
      <c r="A44" s="18"/>
      <c r="B44" s="19"/>
      <c r="C44" s="29"/>
      <c r="D44" s="33" t="s">
        <v>107</v>
      </c>
      <c r="E44" s="22">
        <v>400</v>
      </c>
      <c r="F44" s="23" t="s">
        <v>70</v>
      </c>
      <c r="G44" s="16"/>
      <c r="H44" s="24"/>
      <c r="I44" s="23"/>
      <c r="J44" s="31"/>
      <c r="K44" s="22">
        <v>100</v>
      </c>
      <c r="L44" s="23" t="s">
        <v>70</v>
      </c>
      <c r="M44" s="32"/>
      <c r="N44" s="22">
        <v>0</v>
      </c>
      <c r="O44" s="23" t="s">
        <v>70</v>
      </c>
      <c r="P44" s="32"/>
      <c r="Q44" s="22">
        <v>0</v>
      </c>
      <c r="R44" s="23" t="s">
        <v>70</v>
      </c>
      <c r="S44" s="32"/>
      <c r="T44" s="22">
        <v>0</v>
      </c>
      <c r="U44" s="23" t="s">
        <v>70</v>
      </c>
      <c r="V44" s="32"/>
      <c r="W44" s="22">
        <v>0</v>
      </c>
      <c r="X44" s="23" t="s">
        <v>70</v>
      </c>
      <c r="Y44" s="32"/>
      <c r="Z44" s="83">
        <f t="shared" si="50"/>
        <v>0</v>
      </c>
      <c r="AA44" s="23" t="s">
        <v>70</v>
      </c>
      <c r="AB44" s="60">
        <f t="shared" si="41"/>
        <v>0</v>
      </c>
      <c r="AC44" s="39" t="s">
        <v>71</v>
      </c>
      <c r="AD44" s="73"/>
      <c r="AE44" s="75"/>
      <c r="AF44" s="104"/>
      <c r="AG44" s="83">
        <f t="shared" si="52"/>
        <v>0</v>
      </c>
      <c r="AH44" s="23" t="s">
        <v>70</v>
      </c>
      <c r="AI44" s="73"/>
      <c r="AJ44" s="60">
        <f t="shared" ref="AJ44:AJ45" si="56">AG44/E44*100</f>
        <v>0</v>
      </c>
      <c r="AK44" s="39" t="s">
        <v>71</v>
      </c>
      <c r="AL44" s="75"/>
      <c r="AM44" s="13"/>
      <c r="AP44" s="28"/>
    </row>
    <row r="45" spans="1:42" ht="135" x14ac:dyDescent="0.2">
      <c r="A45" s="18"/>
      <c r="B45" s="19"/>
      <c r="C45" s="85" t="s">
        <v>138</v>
      </c>
      <c r="D45" s="86" t="s">
        <v>152</v>
      </c>
      <c r="E45" s="22">
        <v>130</v>
      </c>
      <c r="F45" s="23" t="s">
        <v>70</v>
      </c>
      <c r="G45" s="56">
        <v>53608000</v>
      </c>
      <c r="H45" s="48">
        <v>120</v>
      </c>
      <c r="I45" s="23" t="s">
        <v>70</v>
      </c>
      <c r="J45" s="25">
        <v>48652000</v>
      </c>
      <c r="K45" s="22"/>
      <c r="L45" s="23"/>
      <c r="M45" s="26"/>
      <c r="N45" s="22"/>
      <c r="O45" s="23"/>
      <c r="P45" s="26"/>
      <c r="Q45" s="22"/>
      <c r="R45" s="23"/>
      <c r="S45" s="26"/>
      <c r="T45" s="22"/>
      <c r="U45" s="23"/>
      <c r="V45" s="26"/>
      <c r="W45" s="22"/>
      <c r="X45" s="23"/>
      <c r="Y45" s="26"/>
      <c r="Z45" s="83"/>
      <c r="AA45" s="23"/>
      <c r="AB45" s="60"/>
      <c r="AC45" s="39"/>
      <c r="AD45" s="61"/>
      <c r="AE45" s="60"/>
      <c r="AF45" s="39"/>
      <c r="AG45" s="83">
        <f t="shared" si="52"/>
        <v>120</v>
      </c>
      <c r="AH45" s="23" t="s">
        <v>70</v>
      </c>
      <c r="AI45" s="61">
        <f t="shared" ref="AI45" si="57">J45+AD45</f>
        <v>48652000</v>
      </c>
      <c r="AJ45" s="60">
        <f t="shared" si="56"/>
        <v>92.307692307692307</v>
      </c>
      <c r="AK45" s="39" t="s">
        <v>71</v>
      </c>
      <c r="AL45" s="60">
        <f t="shared" ref="AL45" si="58">AI45/G45*100</f>
        <v>90.755111177436191</v>
      </c>
      <c r="AM45" s="13"/>
      <c r="AP45" s="28"/>
    </row>
    <row r="46" spans="1:42" ht="120" x14ac:dyDescent="0.2">
      <c r="A46" s="18"/>
      <c r="B46" s="19"/>
      <c r="C46" s="85" t="s">
        <v>139</v>
      </c>
      <c r="D46" s="86" t="s">
        <v>153</v>
      </c>
      <c r="E46" s="22">
        <v>40</v>
      </c>
      <c r="F46" s="23" t="s">
        <v>70</v>
      </c>
      <c r="G46" s="56">
        <v>115100000</v>
      </c>
      <c r="H46" s="48">
        <v>37</v>
      </c>
      <c r="I46" s="23" t="s">
        <v>70</v>
      </c>
      <c r="J46" s="25">
        <v>114799300</v>
      </c>
      <c r="K46" s="22"/>
      <c r="L46" s="23"/>
      <c r="M46" s="26"/>
      <c r="N46" s="22"/>
      <c r="O46" s="23"/>
      <c r="P46" s="26"/>
      <c r="Q46" s="22"/>
      <c r="R46" s="23"/>
      <c r="S46" s="26"/>
      <c r="T46" s="22"/>
      <c r="U46" s="23"/>
      <c r="V46" s="26"/>
      <c r="W46" s="22"/>
      <c r="X46" s="23"/>
      <c r="Y46" s="26"/>
      <c r="Z46" s="83"/>
      <c r="AA46" s="23"/>
      <c r="AB46" s="60"/>
      <c r="AC46" s="39"/>
      <c r="AD46" s="61"/>
      <c r="AE46" s="60"/>
      <c r="AF46" s="39"/>
      <c r="AG46" s="83">
        <f t="shared" ref="AG46:AG47" si="59">H46+Z46</f>
        <v>37</v>
      </c>
      <c r="AH46" s="23" t="s">
        <v>70</v>
      </c>
      <c r="AI46" s="61">
        <f t="shared" ref="AI46:AI47" si="60">J46+AD46</f>
        <v>114799300</v>
      </c>
      <c r="AJ46" s="60">
        <f t="shared" ref="AJ46:AJ47" si="61">AG46/E46*100</f>
        <v>92.5</v>
      </c>
      <c r="AK46" s="39" t="s">
        <v>71</v>
      </c>
      <c r="AL46" s="60">
        <f t="shared" ref="AL46:AL47" si="62">AI46/G46*100</f>
        <v>99.738748913987834</v>
      </c>
      <c r="AM46" s="13"/>
      <c r="AP46" s="28"/>
    </row>
    <row r="47" spans="1:42" ht="165" x14ac:dyDescent="0.2">
      <c r="A47" s="18"/>
      <c r="B47" s="19"/>
      <c r="C47" s="85" t="s">
        <v>140</v>
      </c>
      <c r="D47" s="86" t="s">
        <v>154</v>
      </c>
      <c r="E47" s="22">
        <v>20</v>
      </c>
      <c r="F47" s="23" t="s">
        <v>70</v>
      </c>
      <c r="G47" s="56">
        <v>141910000</v>
      </c>
      <c r="H47" s="48">
        <v>30</v>
      </c>
      <c r="I47" s="23" t="s">
        <v>70</v>
      </c>
      <c r="J47" s="25">
        <v>139086500</v>
      </c>
      <c r="K47" s="22"/>
      <c r="L47" s="23"/>
      <c r="M47" s="26"/>
      <c r="N47" s="22"/>
      <c r="O47" s="23"/>
      <c r="P47" s="26"/>
      <c r="Q47" s="22"/>
      <c r="R47" s="23"/>
      <c r="S47" s="26"/>
      <c r="T47" s="22"/>
      <c r="U47" s="23"/>
      <c r="V47" s="26"/>
      <c r="W47" s="22"/>
      <c r="X47" s="23"/>
      <c r="Y47" s="26"/>
      <c r="Z47" s="83"/>
      <c r="AA47" s="23"/>
      <c r="AB47" s="60"/>
      <c r="AC47" s="39"/>
      <c r="AD47" s="61"/>
      <c r="AE47" s="60"/>
      <c r="AF47" s="39"/>
      <c r="AG47" s="83">
        <f t="shared" si="59"/>
        <v>30</v>
      </c>
      <c r="AH47" s="23" t="s">
        <v>70</v>
      </c>
      <c r="AI47" s="61">
        <f t="shared" si="60"/>
        <v>139086500</v>
      </c>
      <c r="AJ47" s="60">
        <f t="shared" si="61"/>
        <v>150</v>
      </c>
      <c r="AK47" s="39" t="s">
        <v>71</v>
      </c>
      <c r="AL47" s="60">
        <f t="shared" si="62"/>
        <v>98.010358678035374</v>
      </c>
      <c r="AM47" s="13"/>
      <c r="AP47" s="28"/>
    </row>
    <row r="48" spans="1:42" ht="150" x14ac:dyDescent="0.2">
      <c r="A48" s="18"/>
      <c r="B48" s="19"/>
      <c r="C48" s="85" t="s">
        <v>141</v>
      </c>
      <c r="D48" s="86" t="s">
        <v>155</v>
      </c>
      <c r="E48" s="22">
        <v>8</v>
      </c>
      <c r="F48" s="23" t="s">
        <v>70</v>
      </c>
      <c r="G48" s="56">
        <v>25100000</v>
      </c>
      <c r="H48" s="48">
        <v>8</v>
      </c>
      <c r="I48" s="23" t="s">
        <v>70</v>
      </c>
      <c r="J48" s="25">
        <v>25100000</v>
      </c>
      <c r="K48" s="22"/>
      <c r="L48" s="23"/>
      <c r="M48" s="26"/>
      <c r="N48" s="22"/>
      <c r="O48" s="23"/>
      <c r="P48" s="26"/>
      <c r="Q48" s="22"/>
      <c r="R48" s="23"/>
      <c r="S48" s="26"/>
      <c r="T48" s="22"/>
      <c r="U48" s="23"/>
      <c r="V48" s="26"/>
      <c r="W48" s="22"/>
      <c r="X48" s="23"/>
      <c r="Y48" s="26"/>
      <c r="Z48" s="83"/>
      <c r="AA48" s="23"/>
      <c r="AB48" s="60"/>
      <c r="AC48" s="39"/>
      <c r="AD48" s="61"/>
      <c r="AE48" s="60"/>
      <c r="AF48" s="39"/>
      <c r="AG48" s="83">
        <f t="shared" ref="AG48" si="63">H48+Z48</f>
        <v>8</v>
      </c>
      <c r="AH48" s="23" t="s">
        <v>70</v>
      </c>
      <c r="AI48" s="61">
        <f t="shared" ref="AI48" si="64">J48+AD48</f>
        <v>25100000</v>
      </c>
      <c r="AJ48" s="60">
        <f t="shared" ref="AJ48" si="65">AG48/E48*100</f>
        <v>100</v>
      </c>
      <c r="AK48" s="39" t="s">
        <v>71</v>
      </c>
      <c r="AL48" s="60">
        <f t="shared" ref="AL48" si="66">AI48/G48*100</f>
        <v>100</v>
      </c>
      <c r="AM48" s="13"/>
      <c r="AP48" s="28"/>
    </row>
    <row r="49" spans="1:42" ht="150" customHeight="1" x14ac:dyDescent="0.2">
      <c r="A49" s="18"/>
      <c r="B49" s="19" t="s">
        <v>174</v>
      </c>
      <c r="C49" s="20" t="s">
        <v>117</v>
      </c>
      <c r="D49" s="21" t="s">
        <v>165</v>
      </c>
      <c r="E49" s="51">
        <v>86.2</v>
      </c>
      <c r="F49" s="50" t="s">
        <v>71</v>
      </c>
      <c r="G49" s="46">
        <f>SUM(G50:G56)</f>
        <v>33729506800</v>
      </c>
      <c r="H49" s="51">
        <f>8902/13163*100</f>
        <v>67.628959963534157</v>
      </c>
      <c r="I49" s="50" t="s">
        <v>71</v>
      </c>
      <c r="J49" s="46">
        <f>SUM(J50:J56)</f>
        <v>7507623850</v>
      </c>
      <c r="K49" s="49">
        <v>77.13</v>
      </c>
      <c r="L49" s="50" t="s">
        <v>71</v>
      </c>
      <c r="M49" s="46">
        <f>SUM(M50:M56)</f>
        <v>4097337200</v>
      </c>
      <c r="N49" s="51">
        <f>(6052+22)/14016*100</f>
        <v>43.336187214611869</v>
      </c>
      <c r="O49" s="50" t="s">
        <v>71</v>
      </c>
      <c r="P49" s="46">
        <f>SUM(P50:P56)</f>
        <v>82036250</v>
      </c>
      <c r="Q49" s="51">
        <f>(7+1976)/14016*100</f>
        <v>14.148116438356166</v>
      </c>
      <c r="R49" s="50" t="s">
        <v>71</v>
      </c>
      <c r="S49" s="46">
        <f>SUM(S50:S56)</f>
        <v>1976272750</v>
      </c>
      <c r="T49" s="51">
        <f>(56)/14016*100</f>
        <v>0.3995433789954338</v>
      </c>
      <c r="U49" s="50" t="s">
        <v>71</v>
      </c>
      <c r="V49" s="46">
        <f>SUM(V50:V56)</f>
        <v>29250000</v>
      </c>
      <c r="W49" s="51">
        <f>(219)/14016*100</f>
        <v>1.5625</v>
      </c>
      <c r="X49" s="50" t="s">
        <v>71</v>
      </c>
      <c r="Y49" s="46">
        <f>SUM(Y50:Y56)</f>
        <v>778895950</v>
      </c>
      <c r="Z49" s="76">
        <f>N49+Q49+T49+W49</f>
        <v>59.446347031963469</v>
      </c>
      <c r="AA49" s="50" t="s">
        <v>71</v>
      </c>
      <c r="AB49" s="76">
        <f>Z49/K49*100</f>
        <v>77.072924973374128</v>
      </c>
      <c r="AC49" s="78" t="s">
        <v>71</v>
      </c>
      <c r="AD49" s="84">
        <f>P49+S49+V49+Y49</f>
        <v>2866454950</v>
      </c>
      <c r="AE49" s="76">
        <f>AD49/M49*100</f>
        <v>69.958971158146326</v>
      </c>
      <c r="AF49" s="78" t="s">
        <v>71</v>
      </c>
      <c r="AG49" s="76">
        <f>H49+Z49</f>
        <v>127.07530699549763</v>
      </c>
      <c r="AH49" s="50" t="s">
        <v>71</v>
      </c>
      <c r="AI49" s="84">
        <f>J49+AD49</f>
        <v>10374078800</v>
      </c>
      <c r="AJ49" s="76">
        <f>AG49/E49*100</f>
        <v>147.41914964674899</v>
      </c>
      <c r="AK49" s="78" t="s">
        <v>71</v>
      </c>
      <c r="AL49" s="76">
        <f>AI49/G49*100</f>
        <v>30.756686901807882</v>
      </c>
      <c r="AM49" s="13"/>
      <c r="AP49" s="28"/>
    </row>
    <row r="50" spans="1:42" ht="135" x14ac:dyDescent="0.2">
      <c r="A50" s="18"/>
      <c r="B50" s="19"/>
      <c r="C50" s="29" t="s">
        <v>118</v>
      </c>
      <c r="D50" s="33" t="s">
        <v>122</v>
      </c>
      <c r="E50" s="98" t="s">
        <v>171</v>
      </c>
      <c r="F50" s="23" t="s">
        <v>127</v>
      </c>
      <c r="G50" s="56">
        <v>30859970000</v>
      </c>
      <c r="H50" s="59">
        <v>73743</v>
      </c>
      <c r="I50" s="23" t="s">
        <v>127</v>
      </c>
      <c r="J50" s="25">
        <v>7364361850</v>
      </c>
      <c r="K50" s="52">
        <f>6562*12</f>
        <v>78744</v>
      </c>
      <c r="L50" s="23" t="s">
        <v>127</v>
      </c>
      <c r="M50" s="26">
        <v>3584280000</v>
      </c>
      <c r="N50" s="65">
        <v>12108</v>
      </c>
      <c r="O50" s="23" t="s">
        <v>127</v>
      </c>
      <c r="P50" s="26">
        <v>736250</v>
      </c>
      <c r="Q50" s="65">
        <v>12094</v>
      </c>
      <c r="R50" s="23" t="s">
        <v>127</v>
      </c>
      <c r="S50" s="26">
        <v>1785091750</v>
      </c>
      <c r="T50" s="65">
        <v>0</v>
      </c>
      <c r="U50" s="23" t="s">
        <v>127</v>
      </c>
      <c r="V50" s="26">
        <v>0</v>
      </c>
      <c r="W50" s="65">
        <v>0</v>
      </c>
      <c r="X50" s="23" t="s">
        <v>127</v>
      </c>
      <c r="Y50" s="26">
        <v>598903000</v>
      </c>
      <c r="Z50" s="65">
        <f>N50+Q50+T50+W50</f>
        <v>24202</v>
      </c>
      <c r="AA50" s="23" t="s">
        <v>127</v>
      </c>
      <c r="AB50" s="60">
        <f t="shared" ref="AB50:AB54" si="67">Z50/K50*100</f>
        <v>30.735040130041654</v>
      </c>
      <c r="AC50" s="39" t="s">
        <v>71</v>
      </c>
      <c r="AD50" s="61">
        <f>P50+S50+V50+Y50</f>
        <v>2384731000</v>
      </c>
      <c r="AE50" s="60">
        <f t="shared" ref="AE50:AE54" si="68">AD50/M50*100</f>
        <v>66.533055453256992</v>
      </c>
      <c r="AF50" s="39" t="s">
        <v>71</v>
      </c>
      <c r="AG50" s="65">
        <f>H50+Z50</f>
        <v>97945</v>
      </c>
      <c r="AH50" s="23" t="s">
        <v>127</v>
      </c>
      <c r="AI50" s="61">
        <f>J50+AD50</f>
        <v>9749092850</v>
      </c>
      <c r="AJ50" s="60">
        <f>AG50/E50*100</f>
        <v>24.876816011378644</v>
      </c>
      <c r="AK50" s="39" t="s">
        <v>71</v>
      </c>
      <c r="AL50" s="60">
        <f>AI50/G50*100</f>
        <v>31.591387969592972</v>
      </c>
      <c r="AM50" s="13"/>
      <c r="AP50" s="28"/>
    </row>
    <row r="51" spans="1:42" ht="150" x14ac:dyDescent="0.2">
      <c r="A51" s="18"/>
      <c r="B51" s="19"/>
      <c r="C51" s="57" t="s">
        <v>119</v>
      </c>
      <c r="D51" s="33" t="s">
        <v>124</v>
      </c>
      <c r="E51" s="22">
        <v>100</v>
      </c>
      <c r="F51" s="23" t="s">
        <v>71</v>
      </c>
      <c r="G51" s="62">
        <v>780100000</v>
      </c>
      <c r="H51" s="22">
        <v>100</v>
      </c>
      <c r="I51" s="23" t="s">
        <v>71</v>
      </c>
      <c r="J51" s="64">
        <v>90170000</v>
      </c>
      <c r="K51" s="22">
        <v>100</v>
      </c>
      <c r="L51" s="23" t="s">
        <v>71</v>
      </c>
      <c r="M51" s="64">
        <v>120870000</v>
      </c>
      <c r="N51" s="22">
        <v>100</v>
      </c>
      <c r="O51" s="23" t="s">
        <v>71</v>
      </c>
      <c r="P51" s="64">
        <v>1950000</v>
      </c>
      <c r="Q51" s="22">
        <v>0</v>
      </c>
      <c r="R51" s="23" t="s">
        <v>71</v>
      </c>
      <c r="S51" s="64">
        <v>92170000</v>
      </c>
      <c r="T51" s="22">
        <v>0</v>
      </c>
      <c r="U51" s="23" t="s">
        <v>71</v>
      </c>
      <c r="V51" s="64">
        <v>600000</v>
      </c>
      <c r="W51" s="22">
        <v>0</v>
      </c>
      <c r="X51" s="23" t="s">
        <v>71</v>
      </c>
      <c r="Y51" s="64">
        <v>21200000</v>
      </c>
      <c r="Z51" s="83">
        <f t="shared" ref="Z51:Z53" si="69">N51+Q51+T51+W51</f>
        <v>100</v>
      </c>
      <c r="AA51" s="23" t="s">
        <v>71</v>
      </c>
      <c r="AB51" s="60">
        <f t="shared" si="67"/>
        <v>100</v>
      </c>
      <c r="AC51" s="39" t="s">
        <v>71</v>
      </c>
      <c r="AD51" s="72">
        <f t="shared" ref="AD51:AD53" si="70">P51+S51+V51+Y51</f>
        <v>115920000</v>
      </c>
      <c r="AE51" s="74">
        <f t="shared" si="68"/>
        <v>95.904690990320177</v>
      </c>
      <c r="AF51" s="103" t="s">
        <v>71</v>
      </c>
      <c r="AG51" s="83">
        <f t="shared" ref="AG51:AG53" si="71">H51+Z51</f>
        <v>200</v>
      </c>
      <c r="AH51" s="23" t="s">
        <v>71</v>
      </c>
      <c r="AI51" s="72">
        <f t="shared" ref="AI51:AI53" si="72">J51+AD51</f>
        <v>206090000</v>
      </c>
      <c r="AJ51" s="60">
        <f t="shared" ref="AJ51:AJ53" si="73">AG51/E51*100</f>
        <v>200</v>
      </c>
      <c r="AK51" s="39" t="s">
        <v>71</v>
      </c>
      <c r="AL51" s="74">
        <f t="shared" ref="AL51:AL53" si="74">AI51/G51*100</f>
        <v>26.418407896423535</v>
      </c>
      <c r="AM51" s="13"/>
      <c r="AP51" s="28"/>
    </row>
    <row r="52" spans="1:42" ht="105" x14ac:dyDescent="0.2">
      <c r="A52" s="18"/>
      <c r="B52" s="19"/>
      <c r="C52" s="29"/>
      <c r="D52" s="33" t="s">
        <v>123</v>
      </c>
      <c r="E52" s="22">
        <v>100</v>
      </c>
      <c r="F52" s="23" t="s">
        <v>71</v>
      </c>
      <c r="G52" s="16"/>
      <c r="H52" s="22">
        <v>100</v>
      </c>
      <c r="I52" s="23" t="s">
        <v>71</v>
      </c>
      <c r="J52" s="31"/>
      <c r="K52" s="22">
        <v>100</v>
      </c>
      <c r="L52" s="23" t="s">
        <v>71</v>
      </c>
      <c r="M52" s="32"/>
      <c r="N52" s="22">
        <v>0</v>
      </c>
      <c r="O52" s="23" t="s">
        <v>71</v>
      </c>
      <c r="P52" s="32"/>
      <c r="Q52" s="22">
        <v>0</v>
      </c>
      <c r="R52" s="23" t="s">
        <v>71</v>
      </c>
      <c r="S52" s="32"/>
      <c r="T52" s="22">
        <v>0</v>
      </c>
      <c r="U52" s="23" t="s">
        <v>71</v>
      </c>
      <c r="V52" s="32"/>
      <c r="W52" s="22">
        <v>0</v>
      </c>
      <c r="X52" s="23" t="s">
        <v>71</v>
      </c>
      <c r="Y52" s="32"/>
      <c r="Z52" s="83">
        <f t="shared" si="69"/>
        <v>0</v>
      </c>
      <c r="AA52" s="23" t="s">
        <v>71</v>
      </c>
      <c r="AB52" s="60">
        <f t="shared" si="67"/>
        <v>0</v>
      </c>
      <c r="AC52" s="39" t="s">
        <v>71</v>
      </c>
      <c r="AD52" s="73"/>
      <c r="AE52" s="75"/>
      <c r="AF52" s="104"/>
      <c r="AG52" s="83">
        <f t="shared" si="71"/>
        <v>100</v>
      </c>
      <c r="AH52" s="23" t="s">
        <v>71</v>
      </c>
      <c r="AI52" s="73"/>
      <c r="AJ52" s="60">
        <f t="shared" ref="AJ52" si="75">AG52/E52*100</f>
        <v>100</v>
      </c>
      <c r="AK52" s="39" t="s">
        <v>71</v>
      </c>
      <c r="AL52" s="75"/>
      <c r="AM52" s="13"/>
      <c r="AP52" s="28"/>
    </row>
    <row r="53" spans="1:42" ht="165" x14ac:dyDescent="0.2">
      <c r="A53" s="18"/>
      <c r="B53" s="19"/>
      <c r="C53" s="29" t="s">
        <v>120</v>
      </c>
      <c r="D53" s="33" t="s">
        <v>125</v>
      </c>
      <c r="E53" s="59">
        <v>16822</v>
      </c>
      <c r="F53" s="23" t="s">
        <v>70</v>
      </c>
      <c r="G53" s="56">
        <v>217600000</v>
      </c>
      <c r="H53" s="24"/>
      <c r="I53" s="23"/>
      <c r="J53" s="25"/>
      <c r="K53" s="52">
        <v>3626</v>
      </c>
      <c r="L53" s="23" t="s">
        <v>70</v>
      </c>
      <c r="M53" s="26">
        <v>42550000</v>
      </c>
      <c r="N53" s="22">
        <v>0</v>
      </c>
      <c r="O53" s="23" t="s">
        <v>70</v>
      </c>
      <c r="P53" s="26">
        <v>0</v>
      </c>
      <c r="Q53" s="59">
        <v>1976</v>
      </c>
      <c r="R53" s="23" t="s">
        <v>70</v>
      </c>
      <c r="S53" s="26">
        <v>751000</v>
      </c>
      <c r="T53" s="59">
        <v>0</v>
      </c>
      <c r="U53" s="23" t="s">
        <v>70</v>
      </c>
      <c r="V53" s="26">
        <v>0</v>
      </c>
      <c r="W53" s="59">
        <v>137</v>
      </c>
      <c r="X53" s="23" t="s">
        <v>70</v>
      </c>
      <c r="Y53" s="26">
        <v>19630750</v>
      </c>
      <c r="Z53" s="65">
        <f t="shared" si="69"/>
        <v>2113</v>
      </c>
      <c r="AA53" s="23" t="s">
        <v>70</v>
      </c>
      <c r="AB53" s="60">
        <f t="shared" si="67"/>
        <v>58.273579702151132</v>
      </c>
      <c r="AC53" s="39" t="s">
        <v>71</v>
      </c>
      <c r="AD53" s="61">
        <f t="shared" si="70"/>
        <v>20381750</v>
      </c>
      <c r="AE53" s="60">
        <f t="shared" si="68"/>
        <v>47.900705052878969</v>
      </c>
      <c r="AF53" s="39" t="s">
        <v>71</v>
      </c>
      <c r="AG53" s="83">
        <f t="shared" si="71"/>
        <v>2113</v>
      </c>
      <c r="AH53" s="23" t="s">
        <v>70</v>
      </c>
      <c r="AI53" s="61">
        <f t="shared" si="72"/>
        <v>20381750</v>
      </c>
      <c r="AJ53" s="60">
        <f t="shared" si="73"/>
        <v>12.560932112709548</v>
      </c>
      <c r="AK53" s="39" t="s">
        <v>71</v>
      </c>
      <c r="AL53" s="60">
        <f t="shared" si="74"/>
        <v>9.3666130514705888</v>
      </c>
      <c r="AM53" s="13"/>
      <c r="AP53" s="28"/>
    </row>
    <row r="54" spans="1:42" ht="135" x14ac:dyDescent="0.2">
      <c r="A54" s="18"/>
      <c r="B54" s="19"/>
      <c r="C54" s="29" t="s">
        <v>121</v>
      </c>
      <c r="D54" s="33" t="s">
        <v>126</v>
      </c>
      <c r="E54" s="22">
        <v>4</v>
      </c>
      <c r="F54" s="53" t="s">
        <v>128</v>
      </c>
      <c r="G54" s="56">
        <f>454359200*4</f>
        <v>1817436800</v>
      </c>
      <c r="H54" s="22"/>
      <c r="I54" s="53"/>
      <c r="J54" s="25"/>
      <c r="K54" s="22">
        <v>1</v>
      </c>
      <c r="L54" s="53" t="s">
        <v>128</v>
      </c>
      <c r="M54" s="26">
        <v>349637200</v>
      </c>
      <c r="N54" s="22">
        <v>1</v>
      </c>
      <c r="O54" s="53" t="s">
        <v>128</v>
      </c>
      <c r="P54" s="26">
        <v>79350000</v>
      </c>
      <c r="Q54" s="22">
        <v>0</v>
      </c>
      <c r="R54" s="53" t="s">
        <v>128</v>
      </c>
      <c r="S54" s="26">
        <v>98260000</v>
      </c>
      <c r="T54" s="22">
        <v>0</v>
      </c>
      <c r="U54" s="53" t="s">
        <v>128</v>
      </c>
      <c r="V54" s="26">
        <v>28650000</v>
      </c>
      <c r="W54" s="22">
        <v>0</v>
      </c>
      <c r="X54" s="53" t="s">
        <v>128</v>
      </c>
      <c r="Y54" s="26">
        <v>139162200</v>
      </c>
      <c r="Z54" s="83">
        <f t="shared" ref="Z54" si="76">N54+Q54+T54+W54</f>
        <v>1</v>
      </c>
      <c r="AA54" s="53" t="s">
        <v>128</v>
      </c>
      <c r="AB54" s="60">
        <f t="shared" si="67"/>
        <v>100</v>
      </c>
      <c r="AC54" s="39" t="s">
        <v>71</v>
      </c>
      <c r="AD54" s="61">
        <f t="shared" ref="AD54" si="77">P54+S54+V54+Y54</f>
        <v>345422200</v>
      </c>
      <c r="AE54" s="60">
        <f t="shared" si="68"/>
        <v>98.794464662227028</v>
      </c>
      <c r="AF54" s="39" t="s">
        <v>71</v>
      </c>
      <c r="AG54" s="83">
        <f t="shared" ref="AG54:AG55" si="78">H54+Z54</f>
        <v>1</v>
      </c>
      <c r="AH54" s="53" t="s">
        <v>128</v>
      </c>
      <c r="AI54" s="61">
        <f t="shared" ref="AI54:AI55" si="79">J54+AD54</f>
        <v>345422200</v>
      </c>
      <c r="AJ54" s="60">
        <f t="shared" ref="AJ54:AJ55" si="80">AG54/E54*100</f>
        <v>25</v>
      </c>
      <c r="AK54" s="39" t="s">
        <v>71</v>
      </c>
      <c r="AL54" s="60">
        <f t="shared" ref="AL54:AL55" si="81">AI54/G54*100</f>
        <v>19.006008902207768</v>
      </c>
      <c r="AM54" s="13"/>
      <c r="AP54" s="28"/>
    </row>
    <row r="55" spans="1:42" ht="75" x14ac:dyDescent="0.2">
      <c r="A55" s="18"/>
      <c r="B55" s="19"/>
      <c r="C55" s="85" t="s">
        <v>149</v>
      </c>
      <c r="D55" s="86" t="s">
        <v>166</v>
      </c>
      <c r="E55" s="67">
        <v>950</v>
      </c>
      <c r="F55" s="23" t="s">
        <v>70</v>
      </c>
      <c r="G55" s="56">
        <v>18300000</v>
      </c>
      <c r="H55" s="48">
        <v>385</v>
      </c>
      <c r="I55" s="23" t="s">
        <v>70</v>
      </c>
      <c r="J55" s="25">
        <v>17793000</v>
      </c>
      <c r="K55" s="52"/>
      <c r="L55" s="23"/>
      <c r="M55" s="26"/>
      <c r="N55" s="22"/>
      <c r="O55" s="23"/>
      <c r="P55" s="26"/>
      <c r="Q55" s="22"/>
      <c r="R55" s="23"/>
      <c r="S55" s="26"/>
      <c r="T55" s="22"/>
      <c r="U55" s="23"/>
      <c r="V55" s="26"/>
      <c r="W55" s="22"/>
      <c r="X55" s="23"/>
      <c r="Y55" s="26"/>
      <c r="Z55" s="83"/>
      <c r="AA55" s="23"/>
      <c r="AB55" s="60"/>
      <c r="AC55" s="39"/>
      <c r="AD55" s="61"/>
      <c r="AE55" s="60"/>
      <c r="AF55" s="39"/>
      <c r="AG55" s="83">
        <f t="shared" si="78"/>
        <v>385</v>
      </c>
      <c r="AH55" s="23" t="s">
        <v>70</v>
      </c>
      <c r="AI55" s="61">
        <f t="shared" si="79"/>
        <v>17793000</v>
      </c>
      <c r="AJ55" s="60">
        <f t="shared" si="80"/>
        <v>40.526315789473685</v>
      </c>
      <c r="AK55" s="39" t="s">
        <v>71</v>
      </c>
      <c r="AL55" s="60">
        <f t="shared" si="81"/>
        <v>97.229508196721312</v>
      </c>
      <c r="AM55" s="13"/>
      <c r="AP55" s="28"/>
    </row>
    <row r="56" spans="1:42" ht="90" x14ac:dyDescent="0.2">
      <c r="A56" s="18"/>
      <c r="B56" s="19"/>
      <c r="C56" s="85" t="s">
        <v>150</v>
      </c>
      <c r="D56" s="86" t="s">
        <v>167</v>
      </c>
      <c r="E56" s="65">
        <v>2347</v>
      </c>
      <c r="F56" s="53" t="s">
        <v>70</v>
      </c>
      <c r="G56" s="56">
        <v>36100000</v>
      </c>
      <c r="H56" s="59">
        <v>1997</v>
      </c>
      <c r="I56" s="53" t="s">
        <v>70</v>
      </c>
      <c r="J56" s="25">
        <v>35299000</v>
      </c>
      <c r="K56" s="22"/>
      <c r="L56" s="53"/>
      <c r="M56" s="26"/>
      <c r="N56" s="22"/>
      <c r="O56" s="53"/>
      <c r="P56" s="26"/>
      <c r="Q56" s="22"/>
      <c r="R56" s="53"/>
      <c r="S56" s="26"/>
      <c r="T56" s="22"/>
      <c r="U56" s="53"/>
      <c r="V56" s="26"/>
      <c r="W56" s="22"/>
      <c r="X56" s="53"/>
      <c r="Y56" s="26"/>
      <c r="Z56" s="83"/>
      <c r="AA56" s="53"/>
      <c r="AB56" s="60"/>
      <c r="AC56" s="39"/>
      <c r="AD56" s="61"/>
      <c r="AE56" s="60"/>
      <c r="AF56" s="39"/>
      <c r="AG56" s="83">
        <f t="shared" ref="AG56" si="82">H56+Z56</f>
        <v>1997</v>
      </c>
      <c r="AH56" s="53" t="s">
        <v>70</v>
      </c>
      <c r="AI56" s="61">
        <f t="shared" ref="AI56" si="83">J56+AD56</f>
        <v>35299000</v>
      </c>
      <c r="AJ56" s="60">
        <f t="shared" ref="AJ56" si="84">AG56/E56*100</f>
        <v>85.087345547507454</v>
      </c>
      <c r="AK56" s="39" t="s">
        <v>71</v>
      </c>
      <c r="AL56" s="60">
        <f t="shared" ref="AL56" si="85">AI56/G56*100</f>
        <v>97.78116343490305</v>
      </c>
      <c r="AM56" s="13"/>
      <c r="AP56" s="28"/>
    </row>
    <row r="57" spans="1:42" ht="146.25" customHeight="1" x14ac:dyDescent="0.2">
      <c r="A57" s="18"/>
      <c r="B57" s="19"/>
      <c r="C57" s="55" t="s">
        <v>110</v>
      </c>
      <c r="D57" s="21" t="s">
        <v>172</v>
      </c>
      <c r="E57" s="49">
        <v>6.87</v>
      </c>
      <c r="F57" s="50" t="s">
        <v>71</v>
      </c>
      <c r="G57" s="71">
        <f>SUM(G59:G71)</f>
        <v>2950731000</v>
      </c>
      <c r="H57" s="51">
        <f>526/7312*100</f>
        <v>7.1936542669584238</v>
      </c>
      <c r="I57" s="50" t="s">
        <v>71</v>
      </c>
      <c r="J57" s="71">
        <f>SUM(J59:J71)</f>
        <v>496448600</v>
      </c>
      <c r="K57" s="49">
        <v>6.74</v>
      </c>
      <c r="L57" s="50" t="s">
        <v>71</v>
      </c>
      <c r="M57" s="71">
        <f>SUM(M59:M71)</f>
        <v>472564000</v>
      </c>
      <c r="N57" s="51">
        <f>N59/7518*100</f>
        <v>0.66507049747273206</v>
      </c>
      <c r="O57" s="50" t="s">
        <v>71</v>
      </c>
      <c r="P57" s="71">
        <f>SUM(P59:P71)</f>
        <v>32144700</v>
      </c>
      <c r="Q57" s="51">
        <f>Q59/7518*100</f>
        <v>5.1742484703378553</v>
      </c>
      <c r="R57" s="50" t="s">
        <v>71</v>
      </c>
      <c r="S57" s="71">
        <f>SUM(S59:S71)</f>
        <v>231167000</v>
      </c>
      <c r="T57" s="51">
        <f>T59/7518*100</f>
        <v>0.3458366586858207</v>
      </c>
      <c r="U57" s="50" t="s">
        <v>71</v>
      </c>
      <c r="V57" s="71">
        <f>SUM(V59:V71)</f>
        <v>48400000</v>
      </c>
      <c r="W57" s="51">
        <f>W59/7518*100</f>
        <v>0.50545357807927649</v>
      </c>
      <c r="X57" s="50" t="s">
        <v>71</v>
      </c>
      <c r="Y57" s="71">
        <f>SUM(Y59:Y71)</f>
        <v>110378300</v>
      </c>
      <c r="Z57" s="76">
        <f t="shared" si="1"/>
        <v>6.6906092045756846</v>
      </c>
      <c r="AA57" s="50" t="s">
        <v>71</v>
      </c>
      <c r="AB57" s="76">
        <f t="shared" ref="AB57:AB61" si="86">Z57/K57*100</f>
        <v>99.267198880944875</v>
      </c>
      <c r="AC57" s="78" t="s">
        <v>71</v>
      </c>
      <c r="AD57" s="77">
        <f t="shared" si="5"/>
        <v>422090000</v>
      </c>
      <c r="AE57" s="79">
        <f>AD57/M57*100</f>
        <v>89.319118680221095</v>
      </c>
      <c r="AF57" s="54" t="s">
        <v>71</v>
      </c>
      <c r="AG57" s="76">
        <f t="shared" si="2"/>
        <v>13.884263471534108</v>
      </c>
      <c r="AH57" s="50" t="s">
        <v>71</v>
      </c>
      <c r="AI57" s="77">
        <f t="shared" si="3"/>
        <v>918538600</v>
      </c>
      <c r="AJ57" s="76">
        <f t="shared" si="6"/>
        <v>202.0999049713844</v>
      </c>
      <c r="AK57" s="78" t="s">
        <v>71</v>
      </c>
      <c r="AL57" s="79">
        <f t="shared" si="4"/>
        <v>31.129187987654582</v>
      </c>
      <c r="AM57" s="13"/>
      <c r="AP57" s="28"/>
    </row>
    <row r="58" spans="1:42" ht="146.25" customHeight="1" x14ac:dyDescent="0.25">
      <c r="A58" s="18"/>
      <c r="B58" s="19"/>
      <c r="C58" s="20"/>
      <c r="D58" s="21" t="s">
        <v>112</v>
      </c>
      <c r="E58" s="49">
        <v>4.26</v>
      </c>
      <c r="F58" s="50" t="s">
        <v>71</v>
      </c>
      <c r="G58" s="96"/>
      <c r="H58" s="51">
        <f>116/3564*100</f>
        <v>3.2547699214365879</v>
      </c>
      <c r="I58" s="50" t="s">
        <v>71</v>
      </c>
      <c r="J58" s="97"/>
      <c r="K58" s="49">
        <v>3.85</v>
      </c>
      <c r="L58" s="50" t="s">
        <v>71</v>
      </c>
      <c r="M58" s="45"/>
      <c r="N58" s="51">
        <f>N61/3149*100</f>
        <v>1.2702445220704985</v>
      </c>
      <c r="O58" s="50" t="s">
        <v>71</v>
      </c>
      <c r="P58" s="45"/>
      <c r="Q58" s="51">
        <f>Q61/3149*100</f>
        <v>1.0479517307081612</v>
      </c>
      <c r="R58" s="50" t="s">
        <v>71</v>
      </c>
      <c r="S58" s="45"/>
      <c r="T58" s="51">
        <f>T61/3149*100</f>
        <v>1.2384884090187362</v>
      </c>
      <c r="U58" s="50" t="s">
        <v>71</v>
      </c>
      <c r="V58" s="45"/>
      <c r="W58" s="51">
        <f>W61/3149*100</f>
        <v>0.53985392187996195</v>
      </c>
      <c r="X58" s="50" t="s">
        <v>71</v>
      </c>
      <c r="Y58" s="45"/>
      <c r="Z58" s="76">
        <f t="shared" si="1"/>
        <v>4.0965385836773578</v>
      </c>
      <c r="AA58" s="50" t="s">
        <v>71</v>
      </c>
      <c r="AB58" s="76">
        <f t="shared" si="86"/>
        <v>106.40359957603526</v>
      </c>
      <c r="AC58" s="78" t="s">
        <v>71</v>
      </c>
      <c r="AD58" s="80"/>
      <c r="AE58" s="81"/>
      <c r="AF58" s="102"/>
      <c r="AG58" s="76">
        <f t="shared" si="2"/>
        <v>7.3513085051139457</v>
      </c>
      <c r="AH58" s="50" t="s">
        <v>71</v>
      </c>
      <c r="AI58" s="80"/>
      <c r="AJ58" s="76">
        <f t="shared" ref="AJ58" si="87">AG58/E58*100</f>
        <v>172.56592735009264</v>
      </c>
      <c r="AK58" s="78" t="s">
        <v>71</v>
      </c>
      <c r="AL58" s="81"/>
      <c r="AM58" s="13"/>
      <c r="AP58" s="28"/>
    </row>
    <row r="59" spans="1:42" ht="105" x14ac:dyDescent="0.2">
      <c r="A59" s="18"/>
      <c r="B59" s="19"/>
      <c r="C59" s="57" t="s">
        <v>111</v>
      </c>
      <c r="D59" s="33" t="s">
        <v>113</v>
      </c>
      <c r="E59" s="65">
        <v>1998</v>
      </c>
      <c r="F59" s="53" t="s">
        <v>70</v>
      </c>
      <c r="G59" s="62">
        <v>1559740000</v>
      </c>
      <c r="H59" s="24"/>
      <c r="I59" s="53"/>
      <c r="J59" s="63"/>
      <c r="K59" s="22">
        <v>495</v>
      </c>
      <c r="L59" s="53" t="s">
        <v>70</v>
      </c>
      <c r="M59" s="64">
        <v>291965000</v>
      </c>
      <c r="N59" s="22">
        <v>50</v>
      </c>
      <c r="O59" s="53" t="s">
        <v>70</v>
      </c>
      <c r="P59" s="64">
        <v>7395000</v>
      </c>
      <c r="Q59" s="22">
        <v>389</v>
      </c>
      <c r="R59" s="53" t="s">
        <v>70</v>
      </c>
      <c r="S59" s="64">
        <v>179745000</v>
      </c>
      <c r="T59" s="22">
        <v>26</v>
      </c>
      <c r="U59" s="53" t="s">
        <v>70</v>
      </c>
      <c r="V59" s="64">
        <v>0</v>
      </c>
      <c r="W59" s="22">
        <v>38</v>
      </c>
      <c r="X59" s="53" t="s">
        <v>70</v>
      </c>
      <c r="Y59" s="64">
        <v>70684000</v>
      </c>
      <c r="Z59" s="83">
        <f t="shared" si="1"/>
        <v>503</v>
      </c>
      <c r="AA59" s="53" t="s">
        <v>70</v>
      </c>
      <c r="AB59" s="60">
        <f t="shared" si="86"/>
        <v>101.61616161616163</v>
      </c>
      <c r="AC59" s="39" t="s">
        <v>71</v>
      </c>
      <c r="AD59" s="72">
        <f t="shared" si="5"/>
        <v>257824000</v>
      </c>
      <c r="AE59" s="74">
        <f t="shared" ref="AE59:AE61" si="88">AD59/M59*100</f>
        <v>88.306475091192439</v>
      </c>
      <c r="AF59" s="103" t="s">
        <v>71</v>
      </c>
      <c r="AG59" s="83">
        <f t="shared" si="2"/>
        <v>503</v>
      </c>
      <c r="AH59" s="53" t="s">
        <v>70</v>
      </c>
      <c r="AI59" s="72">
        <f t="shared" si="3"/>
        <v>257824000</v>
      </c>
      <c r="AJ59" s="60">
        <f t="shared" si="6"/>
        <v>25.175175175175173</v>
      </c>
      <c r="AK59" s="39" t="s">
        <v>71</v>
      </c>
      <c r="AL59" s="74">
        <f t="shared" si="4"/>
        <v>16.529934476258866</v>
      </c>
      <c r="AM59" s="13"/>
      <c r="AP59" s="28"/>
    </row>
    <row r="60" spans="1:42" ht="135" x14ac:dyDescent="0.2">
      <c r="A60" s="18"/>
      <c r="B60" s="19"/>
      <c r="C60" s="29"/>
      <c r="D60" s="33" t="s">
        <v>114</v>
      </c>
      <c r="E60" s="22">
        <v>90</v>
      </c>
      <c r="F60" s="53" t="s">
        <v>71</v>
      </c>
      <c r="G60" s="16"/>
      <c r="H60" s="22"/>
      <c r="I60" s="53"/>
      <c r="J60" s="31"/>
      <c r="K60" s="22">
        <v>90</v>
      </c>
      <c r="L60" s="53" t="s">
        <v>71</v>
      </c>
      <c r="M60" s="32"/>
      <c r="N60" s="22">
        <v>100</v>
      </c>
      <c r="O60" s="53" t="s">
        <v>71</v>
      </c>
      <c r="P60" s="32"/>
      <c r="Q60" s="22">
        <v>0</v>
      </c>
      <c r="R60" s="53" t="s">
        <v>71</v>
      </c>
      <c r="S60" s="32"/>
      <c r="T60" s="22">
        <v>0</v>
      </c>
      <c r="U60" s="53" t="s">
        <v>71</v>
      </c>
      <c r="V60" s="32"/>
      <c r="W60" s="22">
        <v>0</v>
      </c>
      <c r="X60" s="53" t="s">
        <v>71</v>
      </c>
      <c r="Y60" s="32"/>
      <c r="Z60" s="83">
        <f t="shared" si="1"/>
        <v>100</v>
      </c>
      <c r="AA60" s="53" t="s">
        <v>71</v>
      </c>
      <c r="AB60" s="60">
        <f t="shared" si="86"/>
        <v>111.11111111111111</v>
      </c>
      <c r="AC60" s="39" t="s">
        <v>71</v>
      </c>
      <c r="AD60" s="73"/>
      <c r="AE60" s="75"/>
      <c r="AF60" s="104"/>
      <c r="AG60" s="83">
        <f t="shared" si="2"/>
        <v>100</v>
      </c>
      <c r="AH60" s="53" t="s">
        <v>71</v>
      </c>
      <c r="AI60" s="73"/>
      <c r="AJ60" s="60">
        <f t="shared" ref="AJ60" si="89">AG60/E60*100</f>
        <v>111.11111111111111</v>
      </c>
      <c r="AK60" s="39" t="s">
        <v>71</v>
      </c>
      <c r="AL60" s="75"/>
      <c r="AM60" s="13"/>
      <c r="AP60" s="28"/>
    </row>
    <row r="61" spans="1:42" ht="105" x14ac:dyDescent="0.2">
      <c r="A61" s="18"/>
      <c r="B61" s="19"/>
      <c r="C61" s="29" t="s">
        <v>116</v>
      </c>
      <c r="D61" s="33" t="s">
        <v>115</v>
      </c>
      <c r="E61" s="22">
        <v>582</v>
      </c>
      <c r="F61" s="53" t="s">
        <v>70</v>
      </c>
      <c r="G61" s="56">
        <v>800844800</v>
      </c>
      <c r="H61" s="24"/>
      <c r="I61" s="53"/>
      <c r="J61" s="25"/>
      <c r="K61" s="22">
        <v>138</v>
      </c>
      <c r="L61" s="53" t="s">
        <v>70</v>
      </c>
      <c r="M61" s="26">
        <v>180599000</v>
      </c>
      <c r="N61" s="22">
        <v>40</v>
      </c>
      <c r="O61" s="53" t="s">
        <v>70</v>
      </c>
      <c r="P61" s="26">
        <v>24749700</v>
      </c>
      <c r="Q61" s="22">
        <v>33</v>
      </c>
      <c r="R61" s="53" t="s">
        <v>70</v>
      </c>
      <c r="S61" s="26">
        <v>51422000</v>
      </c>
      <c r="T61" s="22">
        <v>39</v>
      </c>
      <c r="U61" s="53" t="s">
        <v>70</v>
      </c>
      <c r="V61" s="26">
        <v>48400000</v>
      </c>
      <c r="W61" s="22">
        <v>17</v>
      </c>
      <c r="X61" s="53" t="s">
        <v>70</v>
      </c>
      <c r="Y61" s="26">
        <v>39694300</v>
      </c>
      <c r="Z61" s="83">
        <f t="shared" ref="Z61" si="90">N61+Q61+T61+W61</f>
        <v>129</v>
      </c>
      <c r="AA61" s="53" t="s">
        <v>70</v>
      </c>
      <c r="AB61" s="60">
        <f t="shared" si="86"/>
        <v>93.478260869565219</v>
      </c>
      <c r="AC61" s="39" t="s">
        <v>71</v>
      </c>
      <c r="AD61" s="61">
        <f t="shared" ref="AD61" si="91">P61+S61+V61+Y61</f>
        <v>164266000</v>
      </c>
      <c r="AE61" s="60">
        <f t="shared" si="88"/>
        <v>90.956206844999144</v>
      </c>
      <c r="AF61" s="39" t="s">
        <v>71</v>
      </c>
      <c r="AG61" s="83">
        <f t="shared" ref="AG61:AG62" si="92">H61+Z61</f>
        <v>129</v>
      </c>
      <c r="AH61" s="53" t="s">
        <v>70</v>
      </c>
      <c r="AI61" s="61">
        <f t="shared" ref="AI61:AI62" si="93">J61+AD61</f>
        <v>164266000</v>
      </c>
      <c r="AJ61" s="60">
        <f t="shared" ref="AJ61:AJ62" si="94">AG61/E61*100</f>
        <v>22.164948453608247</v>
      </c>
      <c r="AK61" s="39" t="s">
        <v>71</v>
      </c>
      <c r="AL61" s="60">
        <f t="shared" ref="AL61:AL62" si="95">AI61/G61*100</f>
        <v>20.511589761212161</v>
      </c>
      <c r="AM61" s="13"/>
      <c r="AP61" s="28"/>
    </row>
    <row r="62" spans="1:42" ht="105" x14ac:dyDescent="0.2">
      <c r="A62" s="18"/>
      <c r="B62" s="19"/>
      <c r="C62" s="87" t="s">
        <v>142</v>
      </c>
      <c r="D62" s="86" t="s">
        <v>156</v>
      </c>
      <c r="E62" s="66">
        <v>67</v>
      </c>
      <c r="F62" s="53" t="s">
        <v>70</v>
      </c>
      <c r="G62" s="62">
        <v>112620000</v>
      </c>
      <c r="H62" s="48">
        <v>63</v>
      </c>
      <c r="I62" s="53" t="s">
        <v>70</v>
      </c>
      <c r="J62" s="63">
        <v>98767000</v>
      </c>
      <c r="K62" s="22"/>
      <c r="L62" s="53"/>
      <c r="M62" s="26"/>
      <c r="N62" s="22"/>
      <c r="O62" s="53"/>
      <c r="P62" s="26"/>
      <c r="Q62" s="22"/>
      <c r="R62" s="53"/>
      <c r="S62" s="26"/>
      <c r="T62" s="22"/>
      <c r="U62" s="53"/>
      <c r="V62" s="26"/>
      <c r="W62" s="22"/>
      <c r="X62" s="53"/>
      <c r="Y62" s="26"/>
      <c r="Z62" s="83"/>
      <c r="AA62" s="53"/>
      <c r="AB62" s="60"/>
      <c r="AC62" s="39"/>
      <c r="AD62" s="61"/>
      <c r="AE62" s="60"/>
      <c r="AF62" s="39"/>
      <c r="AG62" s="83">
        <f t="shared" si="92"/>
        <v>63</v>
      </c>
      <c r="AH62" s="53" t="s">
        <v>70</v>
      </c>
      <c r="AI62" s="72">
        <f t="shared" si="93"/>
        <v>98767000</v>
      </c>
      <c r="AJ62" s="60">
        <f t="shared" si="94"/>
        <v>94.029850746268664</v>
      </c>
      <c r="AK62" s="39" t="s">
        <v>71</v>
      </c>
      <c r="AL62" s="74">
        <f t="shared" si="95"/>
        <v>87.69934292310424</v>
      </c>
      <c r="AM62" s="13"/>
      <c r="AP62" s="28"/>
    </row>
    <row r="63" spans="1:42" ht="75" x14ac:dyDescent="0.2">
      <c r="A63" s="18"/>
      <c r="B63" s="19"/>
      <c r="C63" s="85"/>
      <c r="D63" s="86" t="s">
        <v>157</v>
      </c>
      <c r="E63" s="66">
        <v>100</v>
      </c>
      <c r="F63" s="53" t="s">
        <v>71</v>
      </c>
      <c r="G63" s="58"/>
      <c r="H63" s="24">
        <v>0</v>
      </c>
      <c r="I63" s="53" t="s">
        <v>71</v>
      </c>
      <c r="J63" s="31"/>
      <c r="K63" s="22"/>
      <c r="L63" s="53"/>
      <c r="M63" s="26"/>
      <c r="N63" s="22"/>
      <c r="O63" s="53"/>
      <c r="P63" s="26"/>
      <c r="Q63" s="22"/>
      <c r="R63" s="53"/>
      <c r="S63" s="26"/>
      <c r="T63" s="22"/>
      <c r="U63" s="53"/>
      <c r="V63" s="26"/>
      <c r="W63" s="22"/>
      <c r="X63" s="53"/>
      <c r="Y63" s="26"/>
      <c r="Z63" s="83"/>
      <c r="AA63" s="53"/>
      <c r="AB63" s="60"/>
      <c r="AC63" s="39"/>
      <c r="AD63" s="61"/>
      <c r="AE63" s="60"/>
      <c r="AF63" s="39"/>
      <c r="AG63" s="83">
        <f t="shared" ref="AG63" si="96">H63+Z63</f>
        <v>0</v>
      </c>
      <c r="AH63" s="53" t="s">
        <v>71</v>
      </c>
      <c r="AI63" s="73"/>
      <c r="AJ63" s="60">
        <f t="shared" ref="AJ63" si="97">AG63/E63*100</f>
        <v>0</v>
      </c>
      <c r="AK63" s="39" t="s">
        <v>71</v>
      </c>
      <c r="AL63" s="75"/>
      <c r="AM63" s="13"/>
      <c r="AP63" s="28"/>
    </row>
    <row r="64" spans="1:42" ht="120" x14ac:dyDescent="0.2">
      <c r="A64" s="18"/>
      <c r="B64" s="19"/>
      <c r="C64" s="85" t="s">
        <v>143</v>
      </c>
      <c r="D64" s="86" t="s">
        <v>158</v>
      </c>
      <c r="E64" s="22">
        <v>215</v>
      </c>
      <c r="F64" s="53" t="s">
        <v>70</v>
      </c>
      <c r="G64" s="56">
        <v>93895000</v>
      </c>
      <c r="H64" s="48">
        <v>215</v>
      </c>
      <c r="I64" s="53" t="s">
        <v>70</v>
      </c>
      <c r="J64" s="25">
        <v>86630400</v>
      </c>
      <c r="K64" s="22"/>
      <c r="L64" s="53"/>
      <c r="M64" s="26"/>
      <c r="N64" s="22"/>
      <c r="O64" s="53"/>
      <c r="P64" s="26"/>
      <c r="Q64" s="22"/>
      <c r="R64" s="53"/>
      <c r="S64" s="26"/>
      <c r="T64" s="22"/>
      <c r="U64" s="53"/>
      <c r="V64" s="26"/>
      <c r="W64" s="22"/>
      <c r="X64" s="53"/>
      <c r="Y64" s="26"/>
      <c r="Z64" s="83"/>
      <c r="AA64" s="53"/>
      <c r="AB64" s="60"/>
      <c r="AC64" s="39"/>
      <c r="AD64" s="61"/>
      <c r="AE64" s="60"/>
      <c r="AF64" s="39"/>
      <c r="AG64" s="83">
        <f t="shared" ref="AG64:AG65" si="98">H64+Z64</f>
        <v>215</v>
      </c>
      <c r="AH64" s="53" t="s">
        <v>70</v>
      </c>
      <c r="AI64" s="61">
        <f t="shared" ref="AI64:AI65" si="99">J64+AD64</f>
        <v>86630400</v>
      </c>
      <c r="AJ64" s="60">
        <f t="shared" ref="AJ64:AJ65" si="100">AG64/E64*100</f>
        <v>100</v>
      </c>
      <c r="AK64" s="39" t="s">
        <v>71</v>
      </c>
      <c r="AL64" s="60">
        <f t="shared" ref="AL64:AL65" si="101">AI64/G64*100</f>
        <v>92.263059800841361</v>
      </c>
      <c r="AM64" s="13"/>
      <c r="AP64" s="28"/>
    </row>
    <row r="65" spans="1:42" ht="120" x14ac:dyDescent="0.2">
      <c r="A65" s="18"/>
      <c r="B65" s="19"/>
      <c r="C65" s="87" t="s">
        <v>144</v>
      </c>
      <c r="D65" s="86" t="s">
        <v>159</v>
      </c>
      <c r="E65" s="66">
        <v>90</v>
      </c>
      <c r="F65" s="53" t="s">
        <v>71</v>
      </c>
      <c r="G65" s="62">
        <v>122320000</v>
      </c>
      <c r="H65" s="48">
        <v>100</v>
      </c>
      <c r="I65" s="53" t="s">
        <v>71</v>
      </c>
      <c r="J65" s="63">
        <v>75643100</v>
      </c>
      <c r="K65" s="22"/>
      <c r="L65" s="53"/>
      <c r="M65" s="26"/>
      <c r="N65" s="22"/>
      <c r="O65" s="53"/>
      <c r="P65" s="26"/>
      <c r="Q65" s="22"/>
      <c r="R65" s="53"/>
      <c r="S65" s="26"/>
      <c r="T65" s="22"/>
      <c r="U65" s="53"/>
      <c r="V65" s="26"/>
      <c r="W65" s="22"/>
      <c r="X65" s="53"/>
      <c r="Y65" s="26"/>
      <c r="Z65" s="83"/>
      <c r="AA65" s="53"/>
      <c r="AB65" s="60"/>
      <c r="AC65" s="39"/>
      <c r="AD65" s="61"/>
      <c r="AE65" s="60"/>
      <c r="AF65" s="39"/>
      <c r="AG65" s="83">
        <f t="shared" si="98"/>
        <v>100</v>
      </c>
      <c r="AH65" s="53" t="s">
        <v>71</v>
      </c>
      <c r="AI65" s="72">
        <f t="shared" si="99"/>
        <v>75643100</v>
      </c>
      <c r="AJ65" s="60">
        <f t="shared" si="100"/>
        <v>111.11111111111111</v>
      </c>
      <c r="AK65" s="39" t="s">
        <v>71</v>
      </c>
      <c r="AL65" s="74">
        <f t="shared" si="101"/>
        <v>61.840336821451928</v>
      </c>
      <c r="AM65" s="13"/>
      <c r="AP65" s="28"/>
    </row>
    <row r="66" spans="1:42" ht="150" x14ac:dyDescent="0.2">
      <c r="A66" s="18"/>
      <c r="B66" s="19"/>
      <c r="C66" s="85"/>
      <c r="D66" s="86" t="s">
        <v>160</v>
      </c>
      <c r="E66" s="66">
        <v>100</v>
      </c>
      <c r="F66" s="53" t="s">
        <v>71</v>
      </c>
      <c r="G66" s="58"/>
      <c r="H66" s="48">
        <v>100</v>
      </c>
      <c r="I66" s="53" t="s">
        <v>71</v>
      </c>
      <c r="J66" s="31"/>
      <c r="K66" s="22"/>
      <c r="L66" s="53"/>
      <c r="M66" s="26"/>
      <c r="N66" s="22"/>
      <c r="O66" s="53"/>
      <c r="P66" s="26"/>
      <c r="Q66" s="22"/>
      <c r="R66" s="53"/>
      <c r="S66" s="26"/>
      <c r="T66" s="22"/>
      <c r="U66" s="53"/>
      <c r="V66" s="26"/>
      <c r="W66" s="22"/>
      <c r="X66" s="53"/>
      <c r="Y66" s="26"/>
      <c r="Z66" s="83"/>
      <c r="AA66" s="53"/>
      <c r="AB66" s="60"/>
      <c r="AC66" s="39"/>
      <c r="AD66" s="61"/>
      <c r="AE66" s="60"/>
      <c r="AF66" s="39"/>
      <c r="AG66" s="83">
        <f t="shared" ref="AG66:AG70" si="102">H66+Z66</f>
        <v>100</v>
      </c>
      <c r="AH66" s="53" t="s">
        <v>71</v>
      </c>
      <c r="AI66" s="73"/>
      <c r="AJ66" s="60">
        <f t="shared" ref="AJ66:AJ70" si="103">AG66/E66*100</f>
        <v>100</v>
      </c>
      <c r="AK66" s="39" t="s">
        <v>71</v>
      </c>
      <c r="AL66" s="75"/>
      <c r="AM66" s="13"/>
      <c r="AP66" s="28"/>
    </row>
    <row r="67" spans="1:42" ht="120" x14ac:dyDescent="0.2">
      <c r="A67" s="18"/>
      <c r="B67" s="19"/>
      <c r="C67" s="86" t="s">
        <v>145</v>
      </c>
      <c r="D67" s="86" t="s">
        <v>161</v>
      </c>
      <c r="E67" s="66">
        <v>160</v>
      </c>
      <c r="F67" s="53" t="s">
        <v>70</v>
      </c>
      <c r="G67" s="56">
        <v>61100000</v>
      </c>
      <c r="H67" s="48">
        <v>160</v>
      </c>
      <c r="I67" s="53" t="s">
        <v>70</v>
      </c>
      <c r="J67" s="25">
        <v>56240000</v>
      </c>
      <c r="K67" s="22"/>
      <c r="L67" s="53"/>
      <c r="M67" s="26"/>
      <c r="N67" s="22"/>
      <c r="O67" s="53"/>
      <c r="P67" s="26"/>
      <c r="Q67" s="22"/>
      <c r="R67" s="53"/>
      <c r="S67" s="26"/>
      <c r="T67" s="22"/>
      <c r="U67" s="53"/>
      <c r="V67" s="26"/>
      <c r="W67" s="22"/>
      <c r="X67" s="53"/>
      <c r="Y67" s="26"/>
      <c r="Z67" s="83"/>
      <c r="AA67" s="53"/>
      <c r="AB67" s="60"/>
      <c r="AC67" s="39"/>
      <c r="AD67" s="61"/>
      <c r="AE67" s="60"/>
      <c r="AF67" s="39"/>
      <c r="AG67" s="83">
        <f t="shared" ref="AG67" si="104">H67+Z67</f>
        <v>160</v>
      </c>
      <c r="AH67" s="53" t="s">
        <v>70</v>
      </c>
      <c r="AI67" s="61">
        <f t="shared" ref="AI67" si="105">J67+AD67</f>
        <v>56240000</v>
      </c>
      <c r="AJ67" s="60">
        <f t="shared" ref="AJ67" si="106">AG67/E67*100</f>
        <v>100</v>
      </c>
      <c r="AK67" s="39" t="s">
        <v>71</v>
      </c>
      <c r="AL67" s="60">
        <f t="shared" ref="AL67" si="107">AI67/G67*100</f>
        <v>92.045826513911621</v>
      </c>
      <c r="AM67" s="13"/>
      <c r="AP67" s="28"/>
    </row>
    <row r="68" spans="1:42" ht="120" x14ac:dyDescent="0.2">
      <c r="A68" s="18"/>
      <c r="B68" s="19"/>
      <c r="C68" s="87" t="s">
        <v>146</v>
      </c>
      <c r="D68" s="86" t="s">
        <v>162</v>
      </c>
      <c r="E68" s="22">
        <v>7</v>
      </c>
      <c r="F68" s="53" t="s">
        <v>70</v>
      </c>
      <c r="G68" s="62">
        <v>122953200</v>
      </c>
      <c r="H68" s="48">
        <v>7</v>
      </c>
      <c r="I68" s="53" t="s">
        <v>70</v>
      </c>
      <c r="J68" s="63">
        <v>112685100</v>
      </c>
      <c r="K68" s="22"/>
      <c r="L68" s="53"/>
      <c r="M68" s="26"/>
      <c r="N68" s="22"/>
      <c r="O68" s="53"/>
      <c r="P68" s="26"/>
      <c r="Q68" s="22"/>
      <c r="R68" s="53"/>
      <c r="S68" s="26"/>
      <c r="T68" s="22"/>
      <c r="U68" s="53"/>
      <c r="V68" s="26"/>
      <c r="W68" s="22"/>
      <c r="X68" s="53"/>
      <c r="Y68" s="26"/>
      <c r="Z68" s="83"/>
      <c r="AA68" s="53"/>
      <c r="AB68" s="60"/>
      <c r="AC68" s="39"/>
      <c r="AD68" s="61"/>
      <c r="AE68" s="60"/>
      <c r="AF68" s="39"/>
      <c r="AG68" s="83">
        <f t="shared" si="102"/>
        <v>7</v>
      </c>
      <c r="AH68" s="53" t="s">
        <v>70</v>
      </c>
      <c r="AI68" s="72">
        <f t="shared" ref="AI68:AI70" si="108">J68+AD68</f>
        <v>112685100</v>
      </c>
      <c r="AJ68" s="60">
        <f t="shared" si="103"/>
        <v>100</v>
      </c>
      <c r="AK68" s="39" t="s">
        <v>71</v>
      </c>
      <c r="AL68" s="74">
        <f t="shared" ref="AL68:AL70" si="109">AI68/G68*100</f>
        <v>91.648773679741552</v>
      </c>
      <c r="AM68" s="13"/>
      <c r="AP68" s="28"/>
    </row>
    <row r="69" spans="1:42" ht="105" x14ac:dyDescent="0.2">
      <c r="A69" s="18"/>
      <c r="B69" s="19"/>
      <c r="C69" s="85"/>
      <c r="D69" s="86" t="s">
        <v>163</v>
      </c>
      <c r="E69" s="22">
        <v>12</v>
      </c>
      <c r="F69" s="53" t="s">
        <v>70</v>
      </c>
      <c r="G69" s="58"/>
      <c r="H69" s="48">
        <v>12</v>
      </c>
      <c r="I69" s="53" t="s">
        <v>70</v>
      </c>
      <c r="J69" s="31"/>
      <c r="K69" s="22"/>
      <c r="L69" s="53"/>
      <c r="M69" s="26"/>
      <c r="N69" s="22"/>
      <c r="O69" s="53"/>
      <c r="P69" s="26"/>
      <c r="Q69" s="22"/>
      <c r="R69" s="53"/>
      <c r="S69" s="26"/>
      <c r="T69" s="22"/>
      <c r="U69" s="53"/>
      <c r="V69" s="26"/>
      <c r="W69" s="22"/>
      <c r="X69" s="53"/>
      <c r="Y69" s="26"/>
      <c r="Z69" s="83"/>
      <c r="AA69" s="53"/>
      <c r="AB69" s="60"/>
      <c r="AC69" s="39"/>
      <c r="AD69" s="61"/>
      <c r="AE69" s="60"/>
      <c r="AF69" s="39"/>
      <c r="AG69" s="83">
        <f t="shared" ref="AG69" si="110">H69+Z69</f>
        <v>12</v>
      </c>
      <c r="AH69" s="53" t="s">
        <v>70</v>
      </c>
      <c r="AI69" s="73"/>
      <c r="AJ69" s="60">
        <f t="shared" ref="AJ69" si="111">AG69/E69*100</f>
        <v>100</v>
      </c>
      <c r="AK69" s="39" t="s">
        <v>71</v>
      </c>
      <c r="AL69" s="75"/>
      <c r="AM69" s="13"/>
      <c r="AP69" s="28"/>
    </row>
    <row r="70" spans="1:42" ht="105" x14ac:dyDescent="0.2">
      <c r="A70" s="18"/>
      <c r="B70" s="19"/>
      <c r="C70" s="87" t="s">
        <v>147</v>
      </c>
      <c r="D70" s="86" t="s">
        <v>164</v>
      </c>
      <c r="E70" s="67">
        <v>20</v>
      </c>
      <c r="F70" s="53" t="s">
        <v>70</v>
      </c>
      <c r="G70" s="56">
        <v>31158000</v>
      </c>
      <c r="H70" s="48">
        <v>20</v>
      </c>
      <c r="I70" s="53" t="s">
        <v>70</v>
      </c>
      <c r="J70" s="25">
        <v>30933000</v>
      </c>
      <c r="K70" s="22"/>
      <c r="L70" s="53"/>
      <c r="M70" s="26"/>
      <c r="N70" s="22"/>
      <c r="O70" s="53"/>
      <c r="P70" s="26"/>
      <c r="Q70" s="22"/>
      <c r="R70" s="53"/>
      <c r="S70" s="26"/>
      <c r="T70" s="22"/>
      <c r="U70" s="53"/>
      <c r="V70" s="26"/>
      <c r="W70" s="22"/>
      <c r="X70" s="53"/>
      <c r="Y70" s="26"/>
      <c r="Z70" s="83"/>
      <c r="AA70" s="53"/>
      <c r="AB70" s="60"/>
      <c r="AC70" s="39"/>
      <c r="AD70" s="61"/>
      <c r="AE70" s="60"/>
      <c r="AF70" s="39"/>
      <c r="AG70" s="83">
        <f t="shared" si="102"/>
        <v>20</v>
      </c>
      <c r="AH70" s="53" t="s">
        <v>70</v>
      </c>
      <c r="AI70" s="61">
        <f t="shared" si="108"/>
        <v>30933000</v>
      </c>
      <c r="AJ70" s="60">
        <f t="shared" si="103"/>
        <v>100</v>
      </c>
      <c r="AK70" s="39" t="s">
        <v>71</v>
      </c>
      <c r="AL70" s="60">
        <f t="shared" si="109"/>
        <v>99.277874061236275</v>
      </c>
      <c r="AM70" s="13"/>
      <c r="AP70" s="28"/>
    </row>
    <row r="71" spans="1:42" ht="120" x14ac:dyDescent="0.2">
      <c r="A71" s="18"/>
      <c r="B71" s="19"/>
      <c r="C71" s="86" t="s">
        <v>148</v>
      </c>
      <c r="D71" s="86" t="s">
        <v>173</v>
      </c>
      <c r="E71" s="67">
        <v>78</v>
      </c>
      <c r="F71" s="53" t="s">
        <v>70</v>
      </c>
      <c r="G71" s="56">
        <v>46100000</v>
      </c>
      <c r="H71" s="48">
        <v>67</v>
      </c>
      <c r="I71" s="53" t="s">
        <v>70</v>
      </c>
      <c r="J71" s="25">
        <v>35550000</v>
      </c>
      <c r="K71" s="22"/>
      <c r="L71" s="53"/>
      <c r="M71" s="26"/>
      <c r="N71" s="22"/>
      <c r="O71" s="53"/>
      <c r="P71" s="26"/>
      <c r="Q71" s="22"/>
      <c r="R71" s="53"/>
      <c r="S71" s="26"/>
      <c r="T71" s="22"/>
      <c r="U71" s="53"/>
      <c r="V71" s="26"/>
      <c r="W71" s="22"/>
      <c r="X71" s="53"/>
      <c r="Y71" s="26"/>
      <c r="Z71" s="83"/>
      <c r="AA71" s="53"/>
      <c r="AB71" s="60"/>
      <c r="AC71" s="39"/>
      <c r="AD71" s="61"/>
      <c r="AE71" s="60"/>
      <c r="AF71" s="39"/>
      <c r="AG71" s="83">
        <f t="shared" ref="AG71" si="112">H71+Z71</f>
        <v>67</v>
      </c>
      <c r="AH71" s="53" t="s">
        <v>70</v>
      </c>
      <c r="AI71" s="61">
        <f t="shared" ref="AI71" si="113">J71+AD71</f>
        <v>35550000</v>
      </c>
      <c r="AJ71" s="60">
        <f t="shared" ref="AJ71" si="114">AG71/E71*100</f>
        <v>85.897435897435898</v>
      </c>
      <c r="AK71" s="39" t="s">
        <v>71</v>
      </c>
      <c r="AL71" s="60">
        <f t="shared" ref="AL71" si="115">AI71/G71*100</f>
        <v>77.114967462039047</v>
      </c>
      <c r="AM71" s="13"/>
      <c r="AP71" s="28"/>
    </row>
    <row r="72" spans="1:42" ht="180" customHeight="1" x14ac:dyDescent="0.2">
      <c r="A72" s="18"/>
      <c r="B72" s="19"/>
      <c r="C72" s="20" t="s">
        <v>129</v>
      </c>
      <c r="D72" s="21" t="s">
        <v>133</v>
      </c>
      <c r="E72" s="49">
        <v>66.319999999999993</v>
      </c>
      <c r="F72" s="50" t="s">
        <v>71</v>
      </c>
      <c r="G72" s="68">
        <f>SUM(G73:G76)</f>
        <v>1154045000</v>
      </c>
      <c r="H72" s="51">
        <f>328/585*100</f>
        <v>56.068376068376068</v>
      </c>
      <c r="I72" s="50" t="s">
        <v>71</v>
      </c>
      <c r="J72" s="68">
        <f>SUM(J73:J76)</f>
        <v>452629700</v>
      </c>
      <c r="K72" s="49">
        <v>58.63</v>
      </c>
      <c r="L72" s="50" t="s">
        <v>71</v>
      </c>
      <c r="M72" s="68">
        <f>SUM(M73:M76)</f>
        <v>4373245000</v>
      </c>
      <c r="N72" s="51">
        <f>(N73+N74)/427*100</f>
        <v>34.660421545667447</v>
      </c>
      <c r="O72" s="50" t="s">
        <v>71</v>
      </c>
      <c r="P72" s="68">
        <f>SUM(P73:P76)</f>
        <v>1100835000</v>
      </c>
      <c r="Q72" s="51">
        <f>(Q73+Q74)/427*100</f>
        <v>6.3231850117096018</v>
      </c>
      <c r="R72" s="50" t="s">
        <v>71</v>
      </c>
      <c r="S72" s="68">
        <f>SUM(S73:S76)</f>
        <v>1416025000</v>
      </c>
      <c r="T72" s="51">
        <f>(T73+T74)/427*100</f>
        <v>5.8548009367681502</v>
      </c>
      <c r="U72" s="50" t="s">
        <v>71</v>
      </c>
      <c r="V72" s="68">
        <f>SUM(V73:V76)</f>
        <v>702850000</v>
      </c>
      <c r="W72" s="51">
        <f>(W73+W74)/427*100</f>
        <v>0</v>
      </c>
      <c r="X72" s="50" t="s">
        <v>71</v>
      </c>
      <c r="Y72" s="68">
        <f>SUM(Y73:Y76)</f>
        <v>1094985000</v>
      </c>
      <c r="Z72" s="76">
        <f t="shared" si="1"/>
        <v>46.838407494145201</v>
      </c>
      <c r="AA72" s="50" t="s">
        <v>71</v>
      </c>
      <c r="AB72" s="76">
        <f t="shared" ref="AB72:AB74" si="116">Z72/K72*100</f>
        <v>79.888124670211837</v>
      </c>
      <c r="AC72" s="78" t="s">
        <v>71</v>
      </c>
      <c r="AD72" s="84">
        <f t="shared" si="5"/>
        <v>4314695000</v>
      </c>
      <c r="AE72" s="76">
        <f t="shared" ref="AE72:AE73" si="117">AD72/M72*100</f>
        <v>98.66117722652173</v>
      </c>
      <c r="AF72" s="78" t="s">
        <v>71</v>
      </c>
      <c r="AG72" s="76">
        <f t="shared" si="2"/>
        <v>102.90678356252127</v>
      </c>
      <c r="AH72" s="50" t="s">
        <v>71</v>
      </c>
      <c r="AI72" s="84">
        <f t="shared" si="3"/>
        <v>4767324700</v>
      </c>
      <c r="AJ72" s="76">
        <f t="shared" si="6"/>
        <v>155.16704397243859</v>
      </c>
      <c r="AK72" s="78" t="s">
        <v>71</v>
      </c>
      <c r="AL72" s="76">
        <f t="shared" si="4"/>
        <v>413.09695029223298</v>
      </c>
      <c r="AM72" s="13"/>
      <c r="AP72" s="28"/>
    </row>
    <row r="73" spans="1:42" ht="90.75" customHeight="1" x14ac:dyDescent="0.2">
      <c r="A73" s="18"/>
      <c r="B73" s="19"/>
      <c r="C73" s="57" t="s">
        <v>130</v>
      </c>
      <c r="D73" s="33" t="s">
        <v>131</v>
      </c>
      <c r="E73" s="22">
        <v>310</v>
      </c>
      <c r="F73" s="53" t="s">
        <v>70</v>
      </c>
      <c r="G73" s="62">
        <v>679850000</v>
      </c>
      <c r="H73" s="24"/>
      <c r="I73" s="53"/>
      <c r="J73" s="63"/>
      <c r="K73" s="22">
        <v>280</v>
      </c>
      <c r="L73" s="53" t="s">
        <v>70</v>
      </c>
      <c r="M73" s="64">
        <v>4373245000</v>
      </c>
      <c r="N73" s="22">
        <v>148</v>
      </c>
      <c r="O73" s="53" t="s">
        <v>70</v>
      </c>
      <c r="P73" s="64">
        <v>1100835000</v>
      </c>
      <c r="Q73" s="22">
        <v>11</v>
      </c>
      <c r="R73" s="53" t="s">
        <v>70</v>
      </c>
      <c r="S73" s="64">
        <v>1416025000</v>
      </c>
      <c r="T73" s="22">
        <v>25</v>
      </c>
      <c r="U73" s="53" t="s">
        <v>70</v>
      </c>
      <c r="V73" s="64">
        <v>702850000</v>
      </c>
      <c r="W73" s="22">
        <v>0</v>
      </c>
      <c r="X73" s="53" t="s">
        <v>70</v>
      </c>
      <c r="Y73" s="64">
        <v>1094985000</v>
      </c>
      <c r="Z73" s="83">
        <f t="shared" si="1"/>
        <v>184</v>
      </c>
      <c r="AA73" s="53" t="s">
        <v>70</v>
      </c>
      <c r="AB73" s="60">
        <f t="shared" si="116"/>
        <v>65.714285714285708</v>
      </c>
      <c r="AC73" s="39" t="s">
        <v>71</v>
      </c>
      <c r="AD73" s="72">
        <f>P73+S73+V73+Y73</f>
        <v>4314695000</v>
      </c>
      <c r="AE73" s="74">
        <f t="shared" si="117"/>
        <v>98.66117722652173</v>
      </c>
      <c r="AF73" s="103" t="s">
        <v>71</v>
      </c>
      <c r="AG73" s="83">
        <f t="shared" si="2"/>
        <v>184</v>
      </c>
      <c r="AH73" s="53" t="s">
        <v>70</v>
      </c>
      <c r="AI73" s="72">
        <f t="shared" si="3"/>
        <v>4314695000</v>
      </c>
      <c r="AJ73" s="60">
        <f t="shared" si="6"/>
        <v>59.354838709677416</v>
      </c>
      <c r="AK73" s="39" t="s">
        <v>71</v>
      </c>
      <c r="AL73" s="74">
        <f t="shared" si="4"/>
        <v>634.65396778701177</v>
      </c>
      <c r="AM73" s="13"/>
      <c r="AP73" s="28"/>
    </row>
    <row r="74" spans="1:42" ht="85.5" customHeight="1" x14ac:dyDescent="0.2">
      <c r="A74" s="18"/>
      <c r="B74" s="19"/>
      <c r="C74" s="29"/>
      <c r="D74" s="33" t="s">
        <v>132</v>
      </c>
      <c r="E74" s="22">
        <v>78</v>
      </c>
      <c r="F74" s="53" t="s">
        <v>169</v>
      </c>
      <c r="G74" s="16"/>
      <c r="H74" s="24"/>
      <c r="I74" s="53"/>
      <c r="J74" s="31"/>
      <c r="K74" s="22">
        <v>63</v>
      </c>
      <c r="L74" s="53" t="s">
        <v>169</v>
      </c>
      <c r="M74" s="32"/>
      <c r="N74" s="22">
        <v>0</v>
      </c>
      <c r="O74" s="53" t="s">
        <v>169</v>
      </c>
      <c r="P74" s="32"/>
      <c r="Q74" s="22">
        <v>16</v>
      </c>
      <c r="R74" s="53" t="s">
        <v>169</v>
      </c>
      <c r="S74" s="32"/>
      <c r="T74" s="22">
        <v>0</v>
      </c>
      <c r="U74" s="53" t="s">
        <v>169</v>
      </c>
      <c r="V74" s="32"/>
      <c r="W74" s="22">
        <v>0</v>
      </c>
      <c r="X74" s="53" t="s">
        <v>169</v>
      </c>
      <c r="Y74" s="32"/>
      <c r="Z74" s="83">
        <f t="shared" si="1"/>
        <v>16</v>
      </c>
      <c r="AA74" s="53" t="s">
        <v>169</v>
      </c>
      <c r="AB74" s="60">
        <f t="shared" si="116"/>
        <v>25.396825396825395</v>
      </c>
      <c r="AC74" s="39" t="s">
        <v>71</v>
      </c>
      <c r="AD74" s="73"/>
      <c r="AE74" s="75"/>
      <c r="AF74" s="104"/>
      <c r="AG74" s="83">
        <f t="shared" si="2"/>
        <v>16</v>
      </c>
      <c r="AH74" s="53" t="s">
        <v>169</v>
      </c>
      <c r="AI74" s="73"/>
      <c r="AJ74" s="60">
        <f t="shared" ref="AJ74:AJ75" si="118">AG74/E74*100</f>
        <v>20.512820512820511</v>
      </c>
      <c r="AK74" s="39" t="s">
        <v>71</v>
      </c>
      <c r="AL74" s="75"/>
      <c r="AM74" s="13"/>
      <c r="AP74" s="28"/>
    </row>
    <row r="75" spans="1:42" ht="90.75" customHeight="1" x14ac:dyDescent="0.2">
      <c r="A75" s="18"/>
      <c r="B75" s="19"/>
      <c r="C75" s="87" t="s">
        <v>168</v>
      </c>
      <c r="D75" s="86" t="s">
        <v>131</v>
      </c>
      <c r="E75" s="22">
        <v>270</v>
      </c>
      <c r="F75" s="53" t="s">
        <v>70</v>
      </c>
      <c r="G75" s="62">
        <v>474195000</v>
      </c>
      <c r="H75" s="48">
        <v>270</v>
      </c>
      <c r="I75" s="53" t="s">
        <v>70</v>
      </c>
      <c r="J75" s="63">
        <v>452629700</v>
      </c>
      <c r="K75" s="22"/>
      <c r="L75" s="53"/>
      <c r="M75" s="26"/>
      <c r="N75" s="22"/>
      <c r="O75" s="53"/>
      <c r="P75" s="26"/>
      <c r="Q75" s="22"/>
      <c r="R75" s="53"/>
      <c r="S75" s="26"/>
      <c r="T75" s="22"/>
      <c r="U75" s="53"/>
      <c r="V75" s="26"/>
      <c r="W75" s="22"/>
      <c r="X75" s="53"/>
      <c r="Y75" s="26"/>
      <c r="Z75" s="83"/>
      <c r="AA75" s="53"/>
      <c r="AB75" s="60"/>
      <c r="AC75" s="39"/>
      <c r="AD75" s="61"/>
      <c r="AE75" s="60"/>
      <c r="AF75" s="39"/>
      <c r="AG75" s="83">
        <f t="shared" ref="AG75" si="119">H75+Z75</f>
        <v>270</v>
      </c>
      <c r="AH75" s="53" t="s">
        <v>70</v>
      </c>
      <c r="AI75" s="61">
        <f t="shared" ref="AI75" si="120">J75+AD75</f>
        <v>452629700</v>
      </c>
      <c r="AJ75" s="60">
        <f t="shared" si="118"/>
        <v>100</v>
      </c>
      <c r="AK75" s="39" t="s">
        <v>71</v>
      </c>
      <c r="AL75" s="74">
        <f t="shared" ref="AL75" si="121">AI75/G75*100</f>
        <v>95.452229568004725</v>
      </c>
      <c r="AM75" s="13"/>
      <c r="AP75" s="28"/>
    </row>
    <row r="76" spans="1:42" ht="90.75" customHeight="1" x14ac:dyDescent="0.2">
      <c r="A76" s="18"/>
      <c r="B76" s="19"/>
      <c r="C76" s="85"/>
      <c r="D76" s="86" t="s">
        <v>132</v>
      </c>
      <c r="E76" s="22">
        <v>58</v>
      </c>
      <c r="F76" s="53" t="s">
        <v>169</v>
      </c>
      <c r="G76" s="16"/>
      <c r="H76" s="48">
        <v>58</v>
      </c>
      <c r="I76" s="53" t="s">
        <v>169</v>
      </c>
      <c r="J76" s="31"/>
      <c r="K76" s="22"/>
      <c r="L76" s="53"/>
      <c r="M76" s="26"/>
      <c r="N76" s="22"/>
      <c r="O76" s="53"/>
      <c r="P76" s="26"/>
      <c r="Q76" s="22"/>
      <c r="R76" s="53"/>
      <c r="S76" s="26"/>
      <c r="T76" s="22"/>
      <c r="U76" s="53"/>
      <c r="V76" s="26"/>
      <c r="W76" s="22"/>
      <c r="X76" s="53"/>
      <c r="Y76" s="26"/>
      <c r="Z76" s="83"/>
      <c r="AA76" s="53"/>
      <c r="AB76" s="60"/>
      <c r="AC76" s="39"/>
      <c r="AD76" s="61"/>
      <c r="AE76" s="60"/>
      <c r="AF76" s="39"/>
      <c r="AG76" s="83">
        <f t="shared" ref="AG76" si="122">H76+Z76</f>
        <v>58</v>
      </c>
      <c r="AH76" s="53" t="s">
        <v>169</v>
      </c>
      <c r="AI76" s="61">
        <f t="shared" ref="AI76" si="123">J76+AD76</f>
        <v>0</v>
      </c>
      <c r="AJ76" s="60">
        <f t="shared" ref="AJ76" si="124">AG76/E76*100</f>
        <v>100</v>
      </c>
      <c r="AK76" s="39" t="s">
        <v>71</v>
      </c>
      <c r="AL76" s="75"/>
      <c r="AM76" s="13"/>
      <c r="AP76" s="28"/>
    </row>
    <row r="77" spans="1:42" ht="15" x14ac:dyDescent="0.2">
      <c r="A77" s="173" t="s">
        <v>45</v>
      </c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5"/>
      <c r="AB77" s="111">
        <f>AVERAGE(AB16:AB76)</f>
        <v>84.694258056429845</v>
      </c>
      <c r="AC77" s="90"/>
      <c r="AD77" s="88"/>
      <c r="AE77" s="111">
        <f>AVERAGE(AE16,AE20,AE27,AE32,AE40,AE49,AE57,AE72)</f>
        <v>84.608955541323823</v>
      </c>
      <c r="AF77" s="90"/>
      <c r="AG77" s="89"/>
      <c r="AH77" s="90"/>
      <c r="AI77" s="89"/>
      <c r="AJ77" s="89"/>
      <c r="AK77" s="90"/>
      <c r="AL77" s="91"/>
      <c r="AM77" s="13"/>
    </row>
    <row r="78" spans="1:42" ht="15" x14ac:dyDescent="0.2">
      <c r="A78" s="173" t="s">
        <v>46</v>
      </c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5"/>
      <c r="AB78" s="35" t="str">
        <f>IF(AB77&gt;=91,"Sangat Tinggi",IF(AB77&gt;=76,"Tinggi",IF(AB77&gt;=66,"Sedang",IF(AB77&gt;=51,"Rendah",IF(AB77&lt;=50,"Sangat Rendah")))))</f>
        <v>Tinggi</v>
      </c>
      <c r="AC78" s="90"/>
      <c r="AD78" s="92"/>
      <c r="AE78" s="35" t="str">
        <f>IF(AE77&gt;=91,"Sangat Tinggi",IF(AE77&gt;=76,"Tinggi",IF(AE77&gt;=66,"Sedang",IF(AE77&gt;=51,"Rendah",IF(AE77&lt;=50,"Sangat Rendah")))))</f>
        <v>Tinggi</v>
      </c>
      <c r="AF78" s="90"/>
      <c r="AG78" s="93"/>
      <c r="AH78" s="90"/>
      <c r="AI78" s="94"/>
      <c r="AJ78" s="93"/>
      <c r="AK78" s="90"/>
      <c r="AL78" s="95"/>
      <c r="AM78" s="13"/>
    </row>
    <row r="79" spans="1:42" ht="15" x14ac:dyDescent="0.2">
      <c r="A79" s="151" t="s">
        <v>188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3"/>
    </row>
    <row r="80" spans="1:42" ht="15" x14ac:dyDescent="0.2">
      <c r="A80" s="151" t="s">
        <v>191</v>
      </c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3"/>
    </row>
    <row r="81" spans="1:39" ht="15" x14ac:dyDescent="0.2">
      <c r="A81" s="151" t="s">
        <v>190</v>
      </c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3"/>
    </row>
    <row r="82" spans="1:39" ht="15" x14ac:dyDescent="0.2">
      <c r="A82" s="151" t="s">
        <v>189</v>
      </c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36"/>
    </row>
    <row r="83" spans="1:39" ht="15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8"/>
      <c r="AB83" s="37"/>
      <c r="AC83" s="38"/>
      <c r="AD83" s="37"/>
      <c r="AE83" s="37"/>
      <c r="AF83" s="38"/>
      <c r="AG83" s="37"/>
      <c r="AH83" s="38"/>
      <c r="AI83" s="37"/>
      <c r="AJ83" s="37"/>
      <c r="AK83" s="38"/>
      <c r="AL83" s="37"/>
    </row>
    <row r="84" spans="1:39" ht="15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177" t="s">
        <v>178</v>
      </c>
      <c r="AA84" s="177"/>
      <c r="AB84" s="177"/>
      <c r="AC84" s="177"/>
      <c r="AD84" s="177"/>
      <c r="AE84" s="177"/>
      <c r="AF84" s="38"/>
      <c r="AG84" s="37"/>
      <c r="AH84" s="177" t="s">
        <v>179</v>
      </c>
      <c r="AI84" s="177"/>
      <c r="AJ84" s="177"/>
      <c r="AK84" s="177"/>
      <c r="AL84" s="177"/>
      <c r="AM84" s="177"/>
    </row>
    <row r="85" spans="1:39" ht="15.75" x14ac:dyDescent="0.25">
      <c r="A85" s="43"/>
      <c r="B85" s="44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177" t="s">
        <v>193</v>
      </c>
      <c r="AA85" s="177"/>
      <c r="AB85" s="177"/>
      <c r="AC85" s="177"/>
      <c r="AD85" s="177"/>
      <c r="AE85" s="177"/>
      <c r="AF85" s="38"/>
      <c r="AG85" s="37"/>
      <c r="AH85" s="177" t="s">
        <v>193</v>
      </c>
      <c r="AI85" s="177"/>
      <c r="AJ85" s="177"/>
      <c r="AK85" s="177"/>
      <c r="AL85" s="177"/>
      <c r="AM85" s="177"/>
    </row>
    <row r="86" spans="1:39" ht="15" x14ac:dyDescent="0.2">
      <c r="Z86" s="177" t="s">
        <v>184</v>
      </c>
      <c r="AA86" s="177"/>
      <c r="AB86" s="177"/>
      <c r="AC86" s="177"/>
      <c r="AD86" s="177"/>
      <c r="AE86" s="177"/>
      <c r="AH86" s="177" t="s">
        <v>180</v>
      </c>
      <c r="AI86" s="177"/>
      <c r="AJ86" s="177"/>
      <c r="AK86" s="177"/>
      <c r="AL86" s="177"/>
      <c r="AM86" s="177"/>
    </row>
    <row r="87" spans="1:39" ht="15" x14ac:dyDescent="0.2">
      <c r="Z87" s="177" t="s">
        <v>181</v>
      </c>
      <c r="AA87" s="177"/>
      <c r="AB87" s="177"/>
      <c r="AC87" s="177"/>
      <c r="AD87" s="177"/>
      <c r="AE87" s="177"/>
      <c r="AH87" s="177" t="s">
        <v>181</v>
      </c>
      <c r="AI87" s="177"/>
      <c r="AJ87" s="177"/>
      <c r="AK87" s="177"/>
      <c r="AL87" s="177"/>
      <c r="AM87" s="177"/>
    </row>
    <row r="88" spans="1:39" ht="51" x14ac:dyDescent="0.2">
      <c r="A88" s="40" t="s">
        <v>49</v>
      </c>
      <c r="B88" s="40" t="s">
        <v>50</v>
      </c>
      <c r="C88" s="40" t="s">
        <v>51</v>
      </c>
      <c r="Z88" s="37"/>
      <c r="AA88" s="38"/>
      <c r="AB88" s="37"/>
      <c r="AC88" s="38"/>
      <c r="AD88" s="37"/>
      <c r="AH88" s="37"/>
      <c r="AI88" s="38"/>
      <c r="AJ88" s="37"/>
      <c r="AK88" s="38"/>
      <c r="AL88" s="37"/>
    </row>
    <row r="89" spans="1:39" ht="25.5" x14ac:dyDescent="0.25">
      <c r="A89" s="41" t="s">
        <v>52</v>
      </c>
      <c r="B89" s="41" t="s">
        <v>53</v>
      </c>
      <c r="C89" s="41" t="s">
        <v>54</v>
      </c>
      <c r="Z89" s="178" t="s">
        <v>186</v>
      </c>
      <c r="AA89" s="178"/>
      <c r="AB89" s="178"/>
      <c r="AC89" s="178"/>
      <c r="AD89" s="178"/>
      <c r="AE89" s="178"/>
      <c r="AH89" s="178" t="s">
        <v>182</v>
      </c>
      <c r="AI89" s="178"/>
      <c r="AJ89" s="178"/>
      <c r="AK89" s="178"/>
      <c r="AL89" s="178"/>
      <c r="AM89" s="178"/>
    </row>
    <row r="90" spans="1:39" ht="25.5" x14ac:dyDescent="0.2">
      <c r="A90" s="41" t="s">
        <v>55</v>
      </c>
      <c r="B90" s="41" t="s">
        <v>56</v>
      </c>
      <c r="C90" s="41" t="s">
        <v>57</v>
      </c>
      <c r="Z90" s="179" t="s">
        <v>187</v>
      </c>
      <c r="AA90" s="179"/>
      <c r="AB90" s="179"/>
      <c r="AC90" s="179"/>
      <c r="AD90" s="179"/>
      <c r="AE90" s="179"/>
      <c r="AH90" s="179" t="s">
        <v>183</v>
      </c>
      <c r="AI90" s="179"/>
      <c r="AJ90" s="179"/>
      <c r="AK90" s="179"/>
      <c r="AL90" s="179"/>
      <c r="AM90" s="179"/>
    </row>
    <row r="91" spans="1:39" ht="25.5" x14ac:dyDescent="0.2">
      <c r="A91" s="41" t="s">
        <v>58</v>
      </c>
      <c r="B91" s="41" t="s">
        <v>59</v>
      </c>
      <c r="C91" s="41" t="s">
        <v>60</v>
      </c>
    </row>
    <row r="92" spans="1:39" ht="25.5" x14ac:dyDescent="0.2">
      <c r="A92" s="41" t="s">
        <v>61</v>
      </c>
      <c r="B92" s="41" t="s">
        <v>62</v>
      </c>
      <c r="C92" s="41" t="s">
        <v>63</v>
      </c>
    </row>
    <row r="93" spans="1:39" ht="25.5" x14ac:dyDescent="0.2">
      <c r="A93" s="41" t="s">
        <v>64</v>
      </c>
      <c r="B93" s="42" t="s">
        <v>65</v>
      </c>
      <c r="C93" s="41" t="s">
        <v>66</v>
      </c>
    </row>
  </sheetData>
  <mergeCells count="93">
    <mergeCell ref="Z87:AE87"/>
    <mergeCell ref="AH87:AM87"/>
    <mergeCell ref="Z89:AE89"/>
    <mergeCell ref="AH89:AM89"/>
    <mergeCell ref="Z90:AE90"/>
    <mergeCell ref="AH90:AM90"/>
    <mergeCell ref="Z84:AE84"/>
    <mergeCell ref="AH84:AM84"/>
    <mergeCell ref="Z85:AE85"/>
    <mergeCell ref="AH85:AM85"/>
    <mergeCell ref="Z86:AE86"/>
    <mergeCell ref="AH86:AM86"/>
    <mergeCell ref="Z10:AF10"/>
    <mergeCell ref="A77:AA77"/>
    <mergeCell ref="A78:AA78"/>
    <mergeCell ref="A80:AL80"/>
    <mergeCell ref="A81:AL81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1:AF11"/>
    <mergeCell ref="AE12:AF12"/>
    <mergeCell ref="A82:AL82"/>
    <mergeCell ref="J13:J15"/>
    <mergeCell ref="K13:L15"/>
    <mergeCell ref="M13:M15"/>
    <mergeCell ref="N13:O15"/>
    <mergeCell ref="A79:AL79"/>
    <mergeCell ref="A13:A15"/>
    <mergeCell ref="B13:B15"/>
    <mergeCell ref="C13:C15"/>
    <mergeCell ref="D13:D15"/>
    <mergeCell ref="E13:F15"/>
    <mergeCell ref="G13:G15"/>
    <mergeCell ref="H13:I15"/>
    <mergeCell ref="E11:F12"/>
    <mergeCell ref="G11:G12"/>
    <mergeCell ref="H11:I12"/>
    <mergeCell ref="J11:J12"/>
    <mergeCell ref="K11:L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W10:Y10"/>
    <mergeCell ref="AG12:AH12"/>
    <mergeCell ref="AJ12:AK12"/>
    <mergeCell ref="Z11:AA11"/>
    <mergeCell ref="AG11:AH11"/>
    <mergeCell ref="AJ11:AK11"/>
    <mergeCell ref="AB11:AC11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9" scale="32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" sqref="C1"/>
    </sheetView>
  </sheetViews>
  <sheetFormatPr defaultRowHeight="15" x14ac:dyDescent="0.25"/>
  <sheetData>
    <row r="1" spans="1:3" ht="105" x14ac:dyDescent="0.25">
      <c r="A1" s="109" t="s">
        <v>185</v>
      </c>
      <c r="B1" s="108" t="s">
        <v>47</v>
      </c>
      <c r="C1" s="11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Dinas Sosial</vt:lpstr>
      <vt:lpstr>Sheet1</vt:lpstr>
      <vt:lpstr>'Dinas Sosial'!Print_Area</vt:lpstr>
      <vt:lpstr>'Dinas Sosial'!Print_Titles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2020-04-16T08:01:13Z</cp:lastPrinted>
  <dcterms:created xsi:type="dcterms:W3CDTF">2020-03-18T05:59:44Z</dcterms:created>
  <dcterms:modified xsi:type="dcterms:W3CDTF">2021-02-02T08:57:30Z</dcterms:modified>
</cp:coreProperties>
</file>