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PE\Downloads\Evalusi Renja TW IV 2022 Ori\"/>
    </mc:Choice>
  </mc:AlternateContent>
  <xr:revisionPtr revIDLastSave="0" documentId="13_ncr:1_{AF234728-D7B9-4B08-BBCD-DE4449F013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tpol PP dan Damkar (2)" sheetId="2" r:id="rId1"/>
  </sheets>
  <definedNames>
    <definedName name="_xlnm.Print_Area" localSheetId="0">'Satpol PP dan Damkar (2)'!$A$1:$AE$77</definedName>
    <definedName name="_xlnm.Print_Titles" localSheetId="0">'Satpol PP dan Damkar (2)'!$7:$12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7" i="2" l="1"/>
  <c r="M54" i="2"/>
  <c r="M51" i="2"/>
  <c r="M48" i="2"/>
  <c r="M43" i="2"/>
  <c r="W43" i="2" s="1"/>
  <c r="M38" i="2"/>
  <c r="M34" i="2"/>
  <c r="M27" i="2"/>
  <c r="M16" i="2" s="1"/>
  <c r="W16" i="2" s="1"/>
  <c r="M25" i="2"/>
  <c r="M20" i="2"/>
  <c r="M17" i="2"/>
  <c r="O57" i="2"/>
  <c r="O54" i="2"/>
  <c r="O51" i="2"/>
  <c r="O48" i="2"/>
  <c r="O38" i="2"/>
  <c r="W38" i="2" s="1"/>
  <c r="X38" i="2" s="1"/>
  <c r="O34" i="2"/>
  <c r="O27" i="2"/>
  <c r="O25" i="2"/>
  <c r="O20" i="2"/>
  <c r="O17" i="2"/>
  <c r="K17" i="2"/>
  <c r="K20" i="2"/>
  <c r="K25" i="2"/>
  <c r="K27" i="2"/>
  <c r="K36" i="2"/>
  <c r="K40" i="2"/>
  <c r="K45" i="2"/>
  <c r="K50" i="2"/>
  <c r="K53" i="2"/>
  <c r="K56" i="2"/>
  <c r="W19" i="2"/>
  <c r="W31" i="2"/>
  <c r="AA31" i="2" s="1"/>
  <c r="W35" i="2"/>
  <c r="AA35" i="2" s="1"/>
  <c r="W39" i="2"/>
  <c r="AA39" i="2" s="1"/>
  <c r="W47" i="2"/>
  <c r="AA47" i="2" s="1"/>
  <c r="X60" i="2"/>
  <c r="W60" i="2"/>
  <c r="AA60" i="2" s="1"/>
  <c r="T60" i="2"/>
  <c r="Z60" i="2" s="1"/>
  <c r="E60" i="2"/>
  <c r="E59" i="2" s="1"/>
  <c r="T59" i="2"/>
  <c r="Z59" i="2" s="1"/>
  <c r="S59" i="2"/>
  <c r="Q59" i="2"/>
  <c r="W59" i="2" s="1"/>
  <c r="O59" i="2"/>
  <c r="K59" i="2"/>
  <c r="J59" i="2"/>
  <c r="I59" i="2"/>
  <c r="G59" i="2"/>
  <c r="W58" i="2"/>
  <c r="AA58" i="2" s="1"/>
  <c r="T58" i="2"/>
  <c r="U58" i="2" s="1"/>
  <c r="W57" i="2"/>
  <c r="X57" i="2" s="1"/>
  <c r="T57" i="2"/>
  <c r="Z57" i="2" s="1"/>
  <c r="W56" i="2"/>
  <c r="L56" i="2"/>
  <c r="T56" i="2" s="1"/>
  <c r="I56" i="2"/>
  <c r="G56" i="2"/>
  <c r="G55" i="2" s="1"/>
  <c r="W54" i="2"/>
  <c r="X54" i="2" s="1"/>
  <c r="T54" i="2"/>
  <c r="Z54" i="2" s="1"/>
  <c r="T53" i="2"/>
  <c r="Z53" i="2" s="1"/>
  <c r="I53" i="2"/>
  <c r="G53" i="2"/>
  <c r="W52" i="2"/>
  <c r="X52" i="2" s="1"/>
  <c r="T52" i="2"/>
  <c r="Z52" i="2" s="1"/>
  <c r="G52" i="2"/>
  <c r="T51" i="2"/>
  <c r="Z51" i="2" s="1"/>
  <c r="T50" i="2"/>
  <c r="Z50" i="2" s="1"/>
  <c r="W50" i="2"/>
  <c r="X50" i="2" s="1"/>
  <c r="J50" i="2"/>
  <c r="I50" i="2"/>
  <c r="G50" i="2"/>
  <c r="W49" i="2"/>
  <c r="X49" i="2" s="1"/>
  <c r="T49" i="2"/>
  <c r="Z49" i="2" s="1"/>
  <c r="G49" i="2"/>
  <c r="T48" i="2"/>
  <c r="Z48" i="2" s="1"/>
  <c r="G48" i="2"/>
  <c r="T47" i="2"/>
  <c r="Z47" i="2" s="1"/>
  <c r="G47" i="2"/>
  <c r="G45" i="2" s="1"/>
  <c r="G44" i="2" s="1"/>
  <c r="E47" i="2"/>
  <c r="W46" i="2"/>
  <c r="AA46" i="2" s="1"/>
  <c r="T46" i="2"/>
  <c r="Z46" i="2" s="1"/>
  <c r="G46" i="2"/>
  <c r="W45" i="2"/>
  <c r="X45" i="2" s="1"/>
  <c r="T45" i="2"/>
  <c r="Z45" i="2" s="1"/>
  <c r="I45" i="2"/>
  <c r="I44" i="2" s="1"/>
  <c r="W44" i="2"/>
  <c r="L44" i="2"/>
  <c r="T44" i="2" s="1"/>
  <c r="T43" i="2"/>
  <c r="Z43" i="2" s="1"/>
  <c r="E43" i="2"/>
  <c r="T42" i="2"/>
  <c r="Z42" i="2" s="1"/>
  <c r="E42" i="2"/>
  <c r="W41" i="2"/>
  <c r="X41" i="2" s="1"/>
  <c r="T41" i="2"/>
  <c r="Z41" i="2" s="1"/>
  <c r="U40" i="2"/>
  <c r="T40" i="2"/>
  <c r="Z40" i="2" s="1"/>
  <c r="W40" i="2"/>
  <c r="X40" i="2" s="1"/>
  <c r="I40" i="2"/>
  <c r="G40" i="2"/>
  <c r="T39" i="2"/>
  <c r="Z39" i="2" s="1"/>
  <c r="E39" i="2"/>
  <c r="T38" i="2"/>
  <c r="Z38" i="2" s="1"/>
  <c r="E38" i="2"/>
  <c r="W37" i="2"/>
  <c r="AA37" i="2" s="1"/>
  <c r="T37" i="2"/>
  <c r="Z37" i="2" s="1"/>
  <c r="E37" i="2"/>
  <c r="T36" i="2"/>
  <c r="U36" i="2" s="1"/>
  <c r="W36" i="2"/>
  <c r="I36" i="2"/>
  <c r="G36" i="2"/>
  <c r="T35" i="2"/>
  <c r="Z35" i="2" s="1"/>
  <c r="W34" i="2"/>
  <c r="T34" i="2"/>
  <c r="Z34" i="2" s="1"/>
  <c r="I34" i="2"/>
  <c r="G34" i="2"/>
  <c r="W33" i="2"/>
  <c r="AA33" i="2" s="1"/>
  <c r="U33" i="2"/>
  <c r="T33" i="2"/>
  <c r="Z33" i="2" s="1"/>
  <c r="E33" i="2"/>
  <c r="W32" i="2"/>
  <c r="AA32" i="2" s="1"/>
  <c r="T32" i="2"/>
  <c r="Z32" i="2" s="1"/>
  <c r="E32" i="2"/>
  <c r="T31" i="2"/>
  <c r="Z31" i="2" s="1"/>
  <c r="E31" i="2"/>
  <c r="W30" i="2"/>
  <c r="X30" i="2" s="1"/>
  <c r="T30" i="2"/>
  <c r="Z30" i="2" s="1"/>
  <c r="E30" i="2"/>
  <c r="W29" i="2"/>
  <c r="X29" i="2" s="1"/>
  <c r="T29" i="2"/>
  <c r="Z29" i="2" s="1"/>
  <c r="E29" i="2"/>
  <c r="W28" i="2"/>
  <c r="AA28" i="2" s="1"/>
  <c r="T28" i="2"/>
  <c r="Z28" i="2" s="1"/>
  <c r="E28" i="2"/>
  <c r="T27" i="2"/>
  <c r="Z27" i="2" s="1"/>
  <c r="I27" i="2"/>
  <c r="G27" i="2"/>
  <c r="W26" i="2"/>
  <c r="AA26" i="2" s="1"/>
  <c r="T26" i="2"/>
  <c r="Z26" i="2" s="1"/>
  <c r="E26" i="2"/>
  <c r="T25" i="2"/>
  <c r="Z25" i="2" s="1"/>
  <c r="I25" i="2"/>
  <c r="G25" i="2"/>
  <c r="W24" i="2"/>
  <c r="AA24" i="2" s="1"/>
  <c r="T24" i="2"/>
  <c r="U24" i="2" s="1"/>
  <c r="E24" i="2"/>
  <c r="T23" i="2"/>
  <c r="U23" i="2" s="1"/>
  <c r="E23" i="2"/>
  <c r="W22" i="2"/>
  <c r="AA22" i="2" s="1"/>
  <c r="T22" i="2"/>
  <c r="U22" i="2" s="1"/>
  <c r="E22" i="2"/>
  <c r="W21" i="2"/>
  <c r="AA21" i="2" s="1"/>
  <c r="T21" i="2"/>
  <c r="U21" i="2" s="1"/>
  <c r="E21" i="2"/>
  <c r="P20" i="2"/>
  <c r="N20" i="2"/>
  <c r="L20" i="2"/>
  <c r="I20" i="2"/>
  <c r="G20" i="2"/>
  <c r="E20" i="2"/>
  <c r="T19" i="2"/>
  <c r="Z19" i="2" s="1"/>
  <c r="E19" i="2"/>
  <c r="W18" i="2"/>
  <c r="X18" i="2" s="1"/>
  <c r="T18" i="2"/>
  <c r="Z18" i="2" s="1"/>
  <c r="E18" i="2"/>
  <c r="W17" i="2"/>
  <c r="N17" i="2"/>
  <c r="L17" i="2"/>
  <c r="J17" i="2"/>
  <c r="I17" i="2"/>
  <c r="I16" i="2" s="1"/>
  <c r="G17" i="2"/>
  <c r="AC16" i="2"/>
  <c r="T16" i="2"/>
  <c r="Z16" i="2" s="1"/>
  <c r="U34" i="2" l="1"/>
  <c r="W27" i="2"/>
  <c r="AA27" i="2" s="1"/>
  <c r="W48" i="2"/>
  <c r="T20" i="2"/>
  <c r="X59" i="2"/>
  <c r="K44" i="2"/>
  <c r="X44" i="2" s="1"/>
  <c r="E17" i="2"/>
  <c r="U27" i="2"/>
  <c r="U39" i="2"/>
  <c r="U43" i="2"/>
  <c r="K55" i="2"/>
  <c r="U31" i="2"/>
  <c r="AA34" i="2"/>
  <c r="X36" i="2"/>
  <c r="U37" i="2"/>
  <c r="U60" i="2"/>
  <c r="AA59" i="2"/>
  <c r="X27" i="2"/>
  <c r="T17" i="2"/>
  <c r="Z17" i="2" s="1"/>
  <c r="U29" i="2"/>
  <c r="U41" i="2"/>
  <c r="X56" i="2"/>
  <c r="M53" i="2"/>
  <c r="W53" i="2" s="1"/>
  <c r="AA53" i="2" s="1"/>
  <c r="G16" i="2"/>
  <c r="K16" i="2"/>
  <c r="M42" i="2"/>
  <c r="W42" i="2" s="1"/>
  <c r="X42" i="2" s="1"/>
  <c r="U19" i="2"/>
  <c r="U52" i="2"/>
  <c r="U48" i="2"/>
  <c r="X53" i="2"/>
  <c r="X48" i="2"/>
  <c r="X19" i="2"/>
  <c r="AA19" i="2"/>
  <c r="AA43" i="2"/>
  <c r="X43" i="2"/>
  <c r="W23" i="2"/>
  <c r="AA23" i="2" s="1"/>
  <c r="W51" i="2"/>
  <c r="X51" i="2" s="1"/>
  <c r="AA29" i="2"/>
  <c r="AA45" i="2"/>
  <c r="AA41" i="2"/>
  <c r="AA48" i="2"/>
  <c r="AA44" i="2"/>
  <c r="AA52" i="2"/>
  <c r="AA56" i="2"/>
  <c r="X31" i="2"/>
  <c r="X34" i="2"/>
  <c r="X37" i="2"/>
  <c r="AA40" i="2"/>
  <c r="X16" i="2"/>
  <c r="X33" i="2"/>
  <c r="X39" i="2"/>
  <c r="W20" i="2"/>
  <c r="AA20" i="2" s="1"/>
  <c r="U17" i="2"/>
  <c r="AA36" i="2"/>
  <c r="Z44" i="2"/>
  <c r="U44" i="2"/>
  <c r="W55" i="2"/>
  <c r="X55" i="2" s="1"/>
  <c r="X17" i="2"/>
  <c r="AA17" i="2"/>
  <c r="U56" i="2"/>
  <c r="Z56" i="2"/>
  <c r="U20" i="2"/>
  <c r="Z20" i="2"/>
  <c r="AA50" i="2"/>
  <c r="Z21" i="2"/>
  <c r="Z22" i="2"/>
  <c r="Z23" i="2"/>
  <c r="Z24" i="2"/>
  <c r="U18" i="2"/>
  <c r="AA18" i="2"/>
  <c r="X21" i="2"/>
  <c r="X22" i="2"/>
  <c r="X24" i="2"/>
  <c r="X26" i="2"/>
  <c r="X28" i="2"/>
  <c r="U30" i="2"/>
  <c r="AA30" i="2"/>
  <c r="X32" i="2"/>
  <c r="X35" i="2"/>
  <c r="U38" i="2"/>
  <c r="AA38" i="2"/>
  <c r="U42" i="2"/>
  <c r="U45" i="2"/>
  <c r="X46" i="2"/>
  <c r="X47" i="2"/>
  <c r="U49" i="2"/>
  <c r="AA49" i="2"/>
  <c r="U51" i="2"/>
  <c r="U54" i="2"/>
  <c r="AA54" i="2"/>
  <c r="L55" i="2"/>
  <c r="T55" i="2" s="1"/>
  <c r="U57" i="2"/>
  <c r="AA57" i="2"/>
  <c r="X58" i="2"/>
  <c r="U59" i="2"/>
  <c r="Z36" i="2"/>
  <c r="Z58" i="2"/>
  <c r="U16" i="2"/>
  <c r="U25" i="2"/>
  <c r="U26" i="2"/>
  <c r="U28" i="2"/>
  <c r="U32" i="2"/>
  <c r="U47" i="2"/>
  <c r="U50" i="2"/>
  <c r="U53" i="2"/>
  <c r="I55" i="2"/>
  <c r="W25" i="2"/>
  <c r="X25" i="2" s="1"/>
  <c r="AA42" i="2" l="1"/>
  <c r="X23" i="2"/>
  <c r="X61" i="2"/>
  <c r="X62" i="2" s="1"/>
  <c r="AA55" i="2"/>
  <c r="X20" i="2"/>
  <c r="AA51" i="2"/>
  <c r="AA16" i="2"/>
  <c r="AA25" i="2"/>
  <c r="U55" i="2"/>
  <c r="U61" i="2" s="1"/>
  <c r="U62" i="2" s="1"/>
  <c r="Z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user</author>
  </authors>
  <commentList>
    <comment ref="J49" authorId="0" shapeId="0" xr:uid="{FD43E5D6-5E2A-4A8F-9A4F-8D364CAE7CED}">
      <text>
        <r>
          <rPr>
            <b/>
            <sz val="12"/>
            <color indexed="81"/>
            <rFont val="Tahoma"/>
            <family val="2"/>
          </rPr>
          <t>2 air softgun, 8 Borgol, 5 Alat Kejut, 10 Sangkur, 5 Senter</t>
        </r>
      </text>
    </comment>
    <comment ref="D52" authorId="1" shapeId="0" xr:uid="{CD5294CC-E6BD-4A6F-A763-AF3683A5951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pelanggaran Perda yang diselesaikan / jumlah pelanggaran perda yang ada x 100%</t>
        </r>
      </text>
    </comment>
    <comment ref="D53" authorId="1" shapeId="0" xr:uid="{05DADD4B-79C6-46C9-9C1F-51B9B2701F9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penindakan pelanggaran Perda melalui penyidikan, BAP dan Persidangan Tipiring / Jumlah pelanggaran Perda yg perlu dilakukan penyidikan, BAP dan Persidangan  x 100%</t>
        </r>
      </text>
    </comment>
    <comment ref="D54" authorId="1" shapeId="0" xr:uid="{159C2DA7-63BD-4AE9-BC3E-9F493C9D7A4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penindakan pelanggaran Perda melalui Penyidikan, BAP dan Persidangan / Jumlah pelanggaran Perda yg perlu dilakukan penyidikan, BAP dan Persidangan x 100%</t>
        </r>
      </text>
    </comment>
    <comment ref="D57" authorId="1" shapeId="0" xr:uid="{38E114CD-1A23-460E-88FD-4345B0B8CFBD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pemadaman dan pengendalian kebakaran / Jumlah kejadian kebakaran x 100%</t>
        </r>
      </text>
    </comment>
    <comment ref="J57" authorId="0" shapeId="0" xr:uid="{E7D8899B-0334-4A09-BEF1-5642D0568893}">
      <text>
        <r>
          <rPr>
            <b/>
            <sz val="12"/>
            <color indexed="81"/>
            <rFont val="Tahoma"/>
            <family val="2"/>
          </rPr>
          <t>Penyediaan BBM Mesin dan Mobil</t>
        </r>
      </text>
    </comment>
    <comment ref="D58" authorId="1" shapeId="0" xr:uid="{ECF32DB6-0896-419B-8A07-29B0D2E8338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Jumlah pemadaman dan pengendalian kebakaran / Jumlah kejadian kebakaran x 100%</t>
        </r>
      </text>
    </comment>
    <comment ref="J58" authorId="0" shapeId="0" xr:uid="{8F84E171-8F31-4E02-B344-BB8D537E3C01}">
      <text>
        <r>
          <rPr>
            <b/>
            <sz val="12"/>
            <color indexed="81"/>
            <rFont val="Tahoma"/>
            <family val="2"/>
          </rPr>
          <t>Penyediaan BBM Mesin dan Mobil</t>
        </r>
      </text>
    </comment>
    <comment ref="N60" authorId="0" shapeId="0" xr:uid="{ADD299B2-16FC-409A-A844-166CC18A043B}">
      <text>
        <r>
          <rPr>
            <b/>
            <sz val="9"/>
            <color indexed="81"/>
            <rFont val="Tahoma"/>
            <family val="2"/>
          </rPr>
          <t>Sosialisasi penggunaan apar dan jalur evakuasi di 3 Instansi (PD, Polres, Kejaksaan)</t>
        </r>
      </text>
    </comment>
  </commentList>
</comments>
</file>

<file path=xl/sharedStrings.xml><?xml version="1.0" encoding="utf-8"?>
<sst xmlns="http://schemas.openxmlformats.org/spreadsheetml/2006/main" count="344" uniqueCount="156">
  <si>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</si>
  <si>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</si>
  <si>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</si>
  <si>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</si>
  <si>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</si>
  <si>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</si>
  <si>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</si>
  <si>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</si>
  <si>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</si>
  <si>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</si>
  <si>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</si>
  <si>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</si>
  <si>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</si>
  <si>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</si>
  <si>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</si>
  <si>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</si>
  <si>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</si>
  <si>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</si>
  <si>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</si>
  <si>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</si>
  <si>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</si>
  <si>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tabel 5.2 rpjmd, misi 5, hal 207</t>
  </si>
  <si>
    <t>tabel  6,1 renstra kolom 5</t>
  </si>
  <si>
    <t>tabel  6,1 renstra kolom 6</t>
  </si>
  <si>
    <t>tabel  6,1 renstra kolom 9</t>
  </si>
  <si>
    <t>tabel  6,1 renstra kolom 18</t>
  </si>
  <si>
    <t>tabel  6,1 Renstra kolom 19</t>
  </si>
  <si>
    <t>tabel  6,1 Renstra kolom 10</t>
  </si>
  <si>
    <t>tabel  6,1 renstra kolom 11</t>
  </si>
  <si>
    <t>sistem emonev triwulan II</t>
  </si>
  <si>
    <t>Meningkatnya akuntabilitas Instansi Pemerintah dan Kualitas Pelayanan Publik</t>
  </si>
  <si>
    <t>Rata-rata Capaian Kinerja (%)</t>
  </si>
  <si>
    <t>Predikat Kinerja</t>
  </si>
  <si>
    <t>[kolom (12)(K) : kolom (7)(K)] x 100%</t>
  </si>
  <si>
    <t>[kolom (12)(Rp) : kolom (7)(Rp)] x 100%</t>
  </si>
  <si>
    <t>Realisasi dan Tingkat Capaian Kinerja dan Anggaran Renja Perangkat Daerah yang Dievaluasi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</si>
  <si>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</si>
  <si>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</si>
  <si>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</si>
  <si>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</si>
  <si>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</si>
  <si>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</si>
  <si>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</si>
  <si>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Kepegawaian Perangkat Daerah</t>
  </si>
  <si>
    <t>Pengadaan Pakaian Dinas Beserta Atribut Kelengkapannya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</si>
  <si>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</si>
  <si>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</si>
  <si>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</si>
  <si>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</si>
  <si>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</si>
  <si>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</si>
  <si>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</si>
  <si>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Pengadaan Barang Milik Daerah Penunjang Urusan Pemerintah Daerah</t>
  </si>
  <si>
    <t>Pengadaan Mebel</t>
  </si>
  <si>
    <t>Penyediaan Jasa Penunjang Urusan Pemerintahan Daerah</t>
  </si>
  <si>
    <t>Penyediaan Jasa Surat Menyurat</t>
  </si>
  <si>
    <t>Penyediaan Jasa Komunikasi, Sumber Daya Air dan Listrik</t>
  </si>
  <si>
    <t xml:space="preserve">Penyediaan Jasa Pelayanan Umum Kantor </t>
  </si>
  <si>
    <t>Pemeliharaan Barang Milik daerah Penunjang Urusan Pemerintahan Daerah</t>
  </si>
  <si>
    <t>Pemeliharaan/Rehabilitasi Gedung Kantor dan Bangunan Lainnya</t>
  </si>
  <si>
    <t>Pemeliharaan/Rehabilitasi Sarana dan Prasarana Gedung Kantor atau Bangunan Lainnya</t>
  </si>
  <si>
    <t>Penanganan Gangguan Ketenteraman dan Ketertiban Umum dalam 1 (satu) Daerah Kabupaten/Kota</t>
  </si>
  <si>
    <t>Pencegahan Gangguan Ketenteraman dan Ketertiban Umum melalui Deteksi Dini dan Cegah Dini, Pembinaan dan Penyuluhan, Pelaksanaan Patroli, Pengamanan, dan Pengawalan</t>
  </si>
  <si>
    <t>Peningkatan Kapasitas SDM Satuan Polisi Pamongpraja dan Satuan Perlindungan Masyarakat termasuk dalam Pelaksanaan Tugas yang Bernuansa Hak Asasi Manusia</t>
  </si>
  <si>
    <t>Kerjasama antar Lembaga dan Kemitraan dalam Teknik Pencegahan dan Penanganan Gangguan Ketentraman dan Ketertiban Umum</t>
  </si>
  <si>
    <t>Pengadaan dan Pemeliharaan Sarana dan Prasarana Ketentraman dan Ketertiban Umum</t>
  </si>
  <si>
    <t>Penegakan Peraturan Daerah Kabupaten/Kota dan Peraturan Bupati/Wali Kota</t>
  </si>
  <si>
    <t>Sosialisasi Penegakan Peraturan Daerah dan Peraturan Bupati/Wali Kota</t>
  </si>
  <si>
    <t>Penanganan atas Pelanggaran Peraturan Daerah dan Peraturan Bupati/Wali Kota</t>
  </si>
  <si>
    <t>Pembinaan Penyidik Pegawai Negeri Sipil (PPNS) Kabupaten/Kota</t>
  </si>
  <si>
    <t>Pengembangan Kapasitas dan Karier PPNS</t>
  </si>
  <si>
    <t>Pencegahan, Pengendalian, Pemadaman, Penyelamatan, dan Penanganan Bahan Berbahaya dan Beracun Kebakaran dalam Daerah Kabupaten/Kota</t>
  </si>
  <si>
    <t>Pemadaman dan Pengendalian Kebakaran dalam Daerah Kabupaten/Kota</t>
  </si>
  <si>
    <t>Pemberdayaan Masyarakat dalam Pencegahan Kebakaran</t>
  </si>
  <si>
    <t>Pemberdayaan Masyarakat dalam Pencegahan dan Penanggulangan Kebakaran melalui Sosialisasi dan Edukasi Masyarakat</t>
  </si>
  <si>
    <t>Perencanaan, Penganggaran dan Evaluasi Kinerja Perangkat Daerah</t>
  </si>
  <si>
    <t>Program Penunjang Urusan Pemerintahan Daerah Kabupaten/Kota</t>
  </si>
  <si>
    <t>Program Peningkatan Ketenteraman Dan Ketertiban Umum</t>
  </si>
  <si>
    <t>Program Pencegahan, Penanggulangan, Penyelamatan Kebakaran Dan Penyelamatan Non Kebakaran</t>
  </si>
  <si>
    <t>Dok</t>
  </si>
  <si>
    <t>Lap</t>
  </si>
  <si>
    <t>Jumlah dokumen administrasi Keuangan sesuai standar</t>
  </si>
  <si>
    <t>%</t>
  </si>
  <si>
    <t>Tingkat kepuasan pelayanan</t>
  </si>
  <si>
    <t>Jumlah dokumen Perencanaan dan Evaluasi Kinerja yang berkualitas</t>
  </si>
  <si>
    <t>Persentase Pelayanan Administrasi Umum Sesuai Kebutuhan</t>
  </si>
  <si>
    <t>Persentase pelayanan administrasi kepegawaian perangkat daerah sesuai kebutuhan</t>
  </si>
  <si>
    <t>Persentase Ppengadaan barang milik daerah sesuai kebutuhan</t>
  </si>
  <si>
    <t>Jumlah Penyediaan Jasa Penunjang Urusan Pemerintahan Daerah Sesuai Kebutuhan</t>
  </si>
  <si>
    <t>Penyediaan Jasa Pemeliharaan, Biaya Pemeliharaan, Pajak dan Perizinan Kendaraan Dinas Operasional atau Lapangan Sesuai Kebutuhan</t>
  </si>
  <si>
    <t>Keg</t>
  </si>
  <si>
    <t>Presentase penindakan pelanggaran Perda melalui penyidikan, BAP, dan persidangan tipiring</t>
  </si>
  <si>
    <t>Persentase pemenuhan pelayanan penyelamatan dan evakuasi</t>
  </si>
  <si>
    <t>Jumlah Kegiatan  Pemberdayaan masyarakat dalam pencegahan kebakaran</t>
  </si>
  <si>
    <t>2. Adanya hubungan  sinegritas antara  Satpol PP, SKPD terkait,  TNI dan Polri berjalan harmonis.</t>
  </si>
  <si>
    <t xml:space="preserve">Faktor penghambat pencapaian kinerja: </t>
  </si>
  <si>
    <t>1. Ada beberapa kegiatan yang  tidak bisa dilaksanakan karena adanya pandemi Covid-19.</t>
  </si>
  <si>
    <t>3. Kurangnya SDM PPNS untuk melakukan penyidikan kasus dikarenakan jumlahyang dimiliki  Satpol PP hanya 1 (satu) orang.</t>
  </si>
  <si>
    <t>4. Walaupun di setiap kecamatan terdapat anggota Satpol PP namun kualitas SDMnya belum memadai.</t>
  </si>
  <si>
    <t>1. Terus menjalankan inovasi PATANGGA RAMAN ANUM (Percepatan Penanganan Gangguan Ketenteraman dan Ketertiban Umum) baik melalui URC maupun Gabungan bersama  TNI dan Polri</t>
  </si>
  <si>
    <t>2. Belum diadakannya rapat koordinasi penanganan atas pelanggaran PERDA dan PERBUB dikarenakan masih pandemi Covid - 19</t>
  </si>
  <si>
    <t>Tindak lanjut yang diperlukan dalam Renja Perangkat Daerah Kabupaten berikutnya*): merubah beberapa indikator kinerja sub kegiatan.</t>
  </si>
  <si>
    <t>3. Kerjasama dan Komunikasi antara Satpol PP &amp; Damkar,  BPK/PMK dan Masyrakat di HSS berjalan denganbaik sehingga musibah kebakaran bisa cepat tertangani.</t>
  </si>
  <si>
    <t xml:space="preserve">5. Kurangnya anggota Pemadam Kebakaran yang dimiliki Satpol PP dan Damkar  Kab. HSS. </t>
  </si>
  <si>
    <t xml:space="preserve">Faktor pendorong keberhasilan pencapaian: </t>
  </si>
  <si>
    <t>1. Adanya  sumber dana (anggaran) pada Satuan Polisi Pamong Praja untuk mendukung kegiatan yg dilaksanakan.</t>
  </si>
  <si>
    <t xml:space="preserve">Tindak lanjut yang diperlukan dalam triwulan berikutnya*): </t>
  </si>
  <si>
    <t>2. Kegiatan rapat koordinasi penanganan  atas pelanggaran PERDA dan PERBUB bersama lembaga terkait akan dilaksanakan pada TW berikutnya</t>
  </si>
  <si>
    <t>SATUAN POLISI PAMONG PRAJA DAN PEMADAM KEBAKARAN</t>
  </si>
  <si>
    <t>Satuan Polisi Pamong Praja dan Pemadam Kebakaran</t>
  </si>
  <si>
    <t>Persentase Gangguan Trantibum Yang Dapat Diselesaikan</t>
  </si>
  <si>
    <t>Persentase Kawasan Ketertiban Umum yang Diobservasi</t>
  </si>
  <si>
    <t>Cakupan Penyelesaian Penegakan Perda</t>
  </si>
  <si>
    <t>Persentase pelayanan penyelamatan dan evakuasi korban bencana kebakaran</t>
  </si>
  <si>
    <t>Target Kinerja dan Anggaran Renja Perangkat Daerah Tahun Berjalan (Tahun 2022) yang Dievaluasi</t>
  </si>
  <si>
    <t>Realisasi Kinerja dan Anggaran Renstra Perangkat Daerah s/d Tahun 2022</t>
  </si>
  <si>
    <t>Tingkat Capaian Kinerja dan Realisasi Anggaran Renstra Perangkat Daerah s/d Tahun 2022 (%)</t>
  </si>
  <si>
    <t>Realisasi Capaian Kinerja Renstra Perangkat Daerah sampai dengan Renja Perangkat Daerah Tahun Lalu (2021)</t>
  </si>
  <si>
    <t>Penyediaan Jasa Pemeliharaan, Biaya Pemeliharaan dan Pajak Kendaraan Perorangan Dinas atau Kendaraan Dinas Jabatan</t>
  </si>
  <si>
    <t>Pengadaan Sarana dan Prasarana Pencegahan, Penanggulangan Kebakaran dan Alat Pelindung Diri</t>
  </si>
  <si>
    <t>Jumlah Dokumen Perencanaan Perangkat Daerah</t>
  </si>
  <si>
    <t>Jumlah Laporan Evaluasi Kinerja Perangkat Daerah</t>
  </si>
  <si>
    <t>Jumlah Orang yang Menerima Gaji dan Tunjangan ASN</t>
  </si>
  <si>
    <t>Jumlah Laporan Keuangan Akhir Tahun SKPD dan Laporan Hasil Koordinasi Penyusunan Laporan Keuangan Akhir Tahun SKPD</t>
  </si>
  <si>
    <t>Jumlah Laporan Keuangan Bulanan/Triwulanan/Semesteran SKPD dan Laporan Koordinasi Penyusunan Laporan Keuangan Bulanan/Triwulanan/Semesteran SKPD</t>
  </si>
  <si>
    <t>Jumlah Dokumen Pelaporan dan Analisis Prognosis Realisasi Anggaran</t>
  </si>
  <si>
    <t>Org</t>
  </si>
  <si>
    <t>Jumlah Paket Pakaian Dinas beserta Atribut Kelengkapan</t>
  </si>
  <si>
    <t>Paket</t>
  </si>
  <si>
    <t>Jumlah Paket Komponen Instalasi Listrik/Penerangan Bangunan Kantor yang Disediakan</t>
  </si>
  <si>
    <t>Jumlah Paket Peralatan dan Perlengkapan Kantor yang Disediakan</t>
  </si>
  <si>
    <t>Jumlah Paket Bahan Logistik Kantor yang Disediakan</t>
  </si>
  <si>
    <t>Jumlah Paket Barang Cetakan dan Penggandaan yang Disediakan</t>
  </si>
  <si>
    <t>Jumlah Dokumen Bahan Bacaan dan Peraturan Perundang-Undangan yang Disediakan</t>
  </si>
  <si>
    <t>Jumlah Laporan Penyelenggaraan Rapat Koordinasi dan Konsultasi SKPD</t>
  </si>
  <si>
    <t>Jumlah Paket Mebel yang Disediakan</t>
  </si>
  <si>
    <t>Unit</t>
  </si>
  <si>
    <t>Jumlah Laporan Penyediaan Jasa Surat Menyurat</t>
  </si>
  <si>
    <t>Jumlah Laporan Penyediaan Jasa Komunikasi, Sumber Daya Air dan Listrik yang Disediakan</t>
  </si>
  <si>
    <t>Jumlah Laporan Penyediaan Jasa Pelayanan Umum Kantor yang Disediakan</t>
  </si>
  <si>
    <t>Jumlah Gedung Kantor dan Bangunan Lainnya yang  Dipelihara/Direhabilitasi</t>
  </si>
  <si>
    <t>Jumlah Sarana dan Prasarana Gedung Kantor atau Bangunan Lainnya yang Dipelihara/Direhabilitasi</t>
  </si>
  <si>
    <t>Jumlah Kendaraan Perorangan Dinas atau Kendaraan Dinas Jabatan yang Dipelihara dan dibayarkan Pajaknya</t>
  </si>
  <si>
    <t>Jumlah Kasus Gangguan Ketenteraman dan Ketertiban Umum yang Dicegah Melalui Deteksi Dini dan Cegah Dini, Pembinaan dan Penyuluhan, Pelaksanaan Patroli, Pengamanan, dan Pengawalan</t>
  </si>
  <si>
    <t>Kasus</t>
  </si>
  <si>
    <t>Jumlah SDM Satuan Polisi Pamongpraja dan Satuan Perlindungan Masyarakat yang Ditingkatkan Kapasitasanya</t>
  </si>
  <si>
    <t>Jumlah Dokumen Hasil Pelaksanaan Kerja Sama antar Lembaga dan Kemitraan dalam Teknik Pencegahan Kejahatan</t>
  </si>
  <si>
    <t>Jumlah Sarana dan Prasarana Ketenteraman dan Ketertiban Umum yang Tersedia</t>
  </si>
  <si>
    <t>Jumlah Laporan Hasil Pelaksanaan Sosialisasi Penegakan Perda/Perkada Kepada Masyarakat/Kelompok Masyarakat/Pelaku Usaha</t>
  </si>
  <si>
    <t>Jumlah Laporan Pelaksanaan Penanganan Atas Pelanggaran Peraturan Daerah dan Peraturan Gubernur yang Dapat Ditangani Sesuai SOP</t>
  </si>
  <si>
    <t>Jumlah Laporan Hasil Pelaksanaan Peningkatan Kapasitas Pejabat PPNS dalam Mendukung Penyelenggaraan Ketertiban Umum dan Ketenteraman Masyarakat serta Penegakan Perda dan Perkada</t>
  </si>
  <si>
    <t>Jumlah Laporan Hasil Pelaksanaan Kegiatan Kesiapsiagaan Petugas Piket dan Pemadaman Kebakaran dalam Daerah Kabupaten/Kota</t>
  </si>
  <si>
    <t>Jumlah Sarana dan Prasarana Untuk Pencegahan dan Penanggulangan Kebakaran dan Alat Pelindung Diri yang Sah dan Legal Sesuai Standar Teknis Terkait</t>
  </si>
  <si>
    <t>Jumlah Warga Masyarakat yang Mendapatkan Sosialisasi Edukasi Pencegahan dan Penanggulangan Kebakaran Setiap Tahunnya</t>
  </si>
  <si>
    <t>PERIODE PELAKSANAAN TRIWULAN III TAHUN 2022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</si>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</sst>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0" xfId="0" applyFont="1" applyFill="1"/>
    <xf numFmtId="0" fontId="6" fillId="4" borderId="0" xfId="0" applyFont="1" applyFill="1"/>
    <xf numFmtId="0" fontId="7" fillId="5" borderId="4" xfId="0" applyFont="1" applyFill="1" applyBorder="1" applyAlignment="1">
      <alignment horizontal="left" vertical="top"/>
    </xf>
    <xf numFmtId="0" fontId="6" fillId="5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0" fontId="7" fillId="5" borderId="4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wrapText="1"/>
    </xf>
    <xf numFmtId="0" fontId="13" fillId="0" borderId="1" xfId="0" applyFont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top" wrapText="1"/>
    </xf>
    <xf numFmtId="0" fontId="15" fillId="3" borderId="6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4" xfId="0" applyFont="1" applyFill="1" applyBorder="1" applyAlignment="1">
      <alignment horizontal="center" vertical="top" wrapText="1"/>
    </xf>
    <xf numFmtId="0" fontId="15" fillId="3" borderId="12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5" fillId="3" borderId="1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wrapText="1"/>
    </xf>
    <xf numFmtId="0" fontId="15" fillId="3" borderId="15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wrapText="1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 wrapText="1"/>
    </xf>
    <xf numFmtId="0" fontId="14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 wrapText="1"/>
    </xf>
    <xf numFmtId="0" fontId="17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5" xfId="0" applyFont="1" applyBorder="1" applyAlignment="1">
      <alignment wrapText="1"/>
    </xf>
    <xf numFmtId="0" fontId="17" fillId="0" borderId="15" xfId="0" applyFont="1" applyBorder="1" applyAlignment="1">
      <alignment horizontal="center" wrapText="1"/>
    </xf>
    <xf numFmtId="0" fontId="15" fillId="0" borderId="6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top"/>
    </xf>
    <xf numFmtId="0" fontId="15" fillId="0" borderId="11" xfId="0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5" fillId="5" borderId="2" xfId="3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17" fillId="5" borderId="2" xfId="3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9" fillId="5" borderId="6" xfId="0" applyFont="1" applyFill="1" applyBorder="1" applyAlignment="1">
      <alignment vertical="center" wrapText="1"/>
    </xf>
    <xf numFmtId="0" fontId="17" fillId="0" borderId="2" xfId="3" applyFont="1" applyBorder="1" applyAlignment="1">
      <alignment vertical="center" wrapText="1"/>
    </xf>
    <xf numFmtId="0" fontId="21" fillId="5" borderId="6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vertical="center" wrapText="1"/>
    </xf>
    <xf numFmtId="0" fontId="17" fillId="4" borderId="12" xfId="0" applyFont="1" applyFill="1" applyBorder="1" applyAlignment="1">
      <alignment horizontal="right"/>
    </xf>
    <xf numFmtId="0" fontId="17" fillId="4" borderId="13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right"/>
    </xf>
    <xf numFmtId="2" fontId="17" fillId="4" borderId="2" xfId="0" applyNumberFormat="1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wrapText="1"/>
    </xf>
    <xf numFmtId="2" fontId="17" fillId="4" borderId="12" xfId="0" applyNumberFormat="1" applyFont="1" applyFill="1" applyBorder="1" applyAlignment="1">
      <alignment horizontal="right" wrapText="1"/>
    </xf>
    <xf numFmtId="2" fontId="17" fillId="4" borderId="13" xfId="0" applyNumberFormat="1" applyFont="1" applyFill="1" applyBorder="1" applyAlignment="1">
      <alignment horizontal="right" wrapText="1"/>
    </xf>
    <xf numFmtId="2" fontId="17" fillId="4" borderId="14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left" wrapText="1"/>
    </xf>
    <xf numFmtId="0" fontId="17" fillId="4" borderId="12" xfId="0" applyFont="1" applyFill="1" applyBorder="1" applyAlignment="1">
      <alignment wrapText="1"/>
    </xf>
    <xf numFmtId="0" fontId="17" fillId="4" borderId="13" xfId="0" applyFont="1" applyFill="1" applyBorder="1" applyAlignment="1">
      <alignment horizontal="left" wrapText="1"/>
    </xf>
    <xf numFmtId="0" fontId="17" fillId="4" borderId="13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5" fillId="4" borderId="2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/>
    </xf>
    <xf numFmtId="0" fontId="17" fillId="4" borderId="12" xfId="0" applyFont="1" applyFill="1" applyBorder="1" applyAlignment="1">
      <alignment horizontal="left" vertical="top"/>
    </xf>
    <xf numFmtId="0" fontId="17" fillId="4" borderId="13" xfId="0" applyFont="1" applyFill="1" applyBorder="1" applyAlignment="1">
      <alignment horizontal="left" vertical="top"/>
    </xf>
    <xf numFmtId="0" fontId="17" fillId="4" borderId="14" xfId="0" applyFont="1" applyFill="1" applyBorder="1" applyAlignment="1">
      <alignment horizontal="left" vertical="top"/>
    </xf>
    <xf numFmtId="0" fontId="15" fillId="4" borderId="2" xfId="0" applyFont="1" applyFill="1" applyBorder="1" applyAlignment="1">
      <alignment horizontal="left" vertical="top"/>
    </xf>
    <xf numFmtId="0" fontId="15" fillId="0" borderId="2" xfId="0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41" fontId="15" fillId="0" borderId="2" xfId="0" applyNumberFormat="1" applyFont="1" applyBorder="1" applyAlignment="1">
      <alignment vertical="center" wrapText="1"/>
    </xf>
    <xf numFmtId="41" fontId="15" fillId="6" borderId="2" xfId="0" applyNumberFormat="1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2" fontId="15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166" fontId="17" fillId="0" borderId="2" xfId="3" applyNumberFormat="1" applyFont="1" applyBorder="1" applyAlignment="1">
      <alignment vertical="center" wrapText="1"/>
    </xf>
    <xf numFmtId="166" fontId="17" fillId="0" borderId="2" xfId="1" applyNumberFormat="1" applyFont="1" applyFill="1" applyBorder="1" applyAlignment="1">
      <alignment vertical="center" wrapText="1"/>
    </xf>
    <xf numFmtId="41" fontId="17" fillId="0" borderId="0" xfId="0" applyNumberFormat="1" applyFont="1" applyAlignment="1">
      <alignment vertical="center" wrapText="1"/>
    </xf>
    <xf numFmtId="166" fontId="17" fillId="6" borderId="2" xfId="1" quotePrefix="1" applyNumberFormat="1" applyFont="1" applyFill="1" applyBorder="1" applyAlignment="1">
      <alignment vertical="center" wrapText="1"/>
    </xf>
    <xf numFmtId="41" fontId="17" fillId="6" borderId="12" xfId="0" applyNumberFormat="1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center" vertical="center" wrapText="1"/>
    </xf>
    <xf numFmtId="41" fontId="17" fillId="6" borderId="2" xfId="0" applyNumberFormat="1" applyFont="1" applyFill="1" applyBorder="1" applyAlignment="1">
      <alignment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top" wrapText="1"/>
    </xf>
    <xf numFmtId="41" fontId="17" fillId="0" borderId="2" xfId="0" applyNumberFormat="1" applyFont="1" applyBorder="1" applyAlignment="1">
      <alignment vertical="center" wrapText="1"/>
    </xf>
    <xf numFmtId="1" fontId="15" fillId="0" borderId="15" xfId="0" applyNumberFormat="1" applyFont="1" applyBorder="1" applyAlignment="1">
      <alignment horizontal="center" vertical="center" wrapText="1"/>
    </xf>
    <xf numFmtId="9" fontId="15" fillId="0" borderId="15" xfId="0" applyNumberFormat="1" applyFont="1" applyBorder="1" applyAlignment="1">
      <alignment horizontal="center" vertical="center" wrapText="1"/>
    </xf>
    <xf numFmtId="1" fontId="15" fillId="5" borderId="15" xfId="0" applyNumberFormat="1" applyFont="1" applyFill="1" applyBorder="1" applyAlignment="1">
      <alignment horizontal="center" vertical="center" wrapText="1"/>
    </xf>
    <xf numFmtId="1" fontId="15" fillId="5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" fontId="17" fillId="0" borderId="15" xfId="0" applyNumberFormat="1" applyFont="1" applyBorder="1" applyAlignment="1">
      <alignment horizontal="center" vertical="center" wrapText="1"/>
    </xf>
    <xf numFmtId="9" fontId="17" fillId="0" borderId="15" xfId="0" applyNumberFormat="1" applyFont="1" applyBorder="1" applyAlignment="1">
      <alignment horizontal="center" vertical="center" wrapText="1"/>
    </xf>
    <xf numFmtId="166" fontId="17" fillId="0" borderId="2" xfId="3" applyNumberFormat="1" applyFont="1" applyBorder="1" applyAlignment="1">
      <alignment vertical="center"/>
    </xf>
    <xf numFmtId="1" fontId="17" fillId="5" borderId="2" xfId="0" applyNumberFormat="1" applyFont="1" applyFill="1" applyBorder="1" applyAlignment="1">
      <alignment horizontal="center" vertical="center" wrapText="1"/>
    </xf>
    <xf numFmtId="166" fontId="15" fillId="0" borderId="2" xfId="1" quotePrefix="1" applyNumberFormat="1" applyFont="1" applyFill="1" applyBorder="1" applyAlignment="1">
      <alignment vertical="center" wrapText="1"/>
    </xf>
    <xf numFmtId="166" fontId="15" fillId="6" borderId="2" xfId="1" quotePrefix="1" applyNumberFormat="1" applyFont="1" applyFill="1" applyBorder="1" applyAlignment="1">
      <alignment vertical="center" wrapText="1"/>
    </xf>
    <xf numFmtId="166" fontId="17" fillId="0" borderId="2" xfId="1" quotePrefix="1" applyNumberFormat="1" applyFont="1" applyFill="1" applyBorder="1" applyAlignment="1">
      <alignment vertical="center" wrapText="1"/>
    </xf>
    <xf numFmtId="1" fontId="15" fillId="0" borderId="2" xfId="0" applyNumberFormat="1" applyFont="1" applyBorder="1" applyAlignment="1">
      <alignment vertical="center" wrapText="1"/>
    </xf>
    <xf numFmtId="1" fontId="17" fillId="0" borderId="2" xfId="0" applyNumberFormat="1" applyFont="1" applyBorder="1" applyAlignment="1">
      <alignment vertical="center" wrapText="1"/>
    </xf>
    <xf numFmtId="41" fontId="15" fillId="6" borderId="12" xfId="0" applyNumberFormat="1" applyFont="1" applyFill="1" applyBorder="1" applyAlignment="1">
      <alignment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41" fontId="15" fillId="6" borderId="3" xfId="0" applyNumberFormat="1" applyFont="1" applyFill="1" applyBorder="1" applyAlignment="1">
      <alignment vertical="center" wrapText="1"/>
    </xf>
    <xf numFmtId="164" fontId="17" fillId="0" borderId="2" xfId="2" applyFont="1" applyFill="1" applyBorder="1" applyAlignment="1">
      <alignment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164" fontId="17" fillId="0" borderId="6" xfId="0" applyNumberFormat="1" applyFont="1" applyBorder="1" applyAlignment="1">
      <alignment vertical="center" wrapText="1"/>
    </xf>
    <xf numFmtId="2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2" fontId="17" fillId="0" borderId="6" xfId="0" applyNumberFormat="1" applyFont="1" applyBorder="1" applyAlignment="1">
      <alignment horizontal="center" vertical="top" wrapText="1"/>
    </xf>
    <xf numFmtId="41" fontId="17" fillId="0" borderId="15" xfId="0" applyNumberFormat="1" applyFont="1" applyBorder="1" applyAlignment="1">
      <alignment vertical="center" wrapText="1"/>
    </xf>
    <xf numFmtId="0" fontId="17" fillId="0" borderId="15" xfId="0" applyFont="1" applyBorder="1" applyAlignment="1">
      <alignment horizontal="center" vertical="center" wrapText="1"/>
    </xf>
    <xf numFmtId="166" fontId="17" fillId="0" borderId="15" xfId="1" applyNumberFormat="1" applyFont="1" applyFill="1" applyBorder="1" applyAlignment="1">
      <alignment vertical="center" wrapText="1"/>
    </xf>
    <xf numFmtId="41" fontId="17" fillId="0" borderId="15" xfId="0" applyNumberFormat="1" applyFont="1" applyBorder="1" applyAlignment="1">
      <alignment horizontal="center" vertical="center" wrapText="1"/>
    </xf>
    <xf numFmtId="41" fontId="15" fillId="6" borderId="2" xfId="0" applyNumberFormat="1" applyFont="1" applyFill="1" applyBorder="1" applyAlignment="1">
      <alignment horizontal="center" vertical="center" wrapText="1"/>
    </xf>
    <xf numFmtId="41" fontId="15" fillId="0" borderId="2" xfId="0" applyNumberFormat="1" applyFont="1" applyBorder="1" applyAlignment="1">
      <alignment horizontal="center" vertical="center" wrapText="1"/>
    </xf>
    <xf numFmtId="166" fontId="15" fillId="6" borderId="2" xfId="0" applyNumberFormat="1" applyFont="1" applyFill="1" applyBorder="1" applyAlignment="1">
      <alignment vertical="center" wrapText="1"/>
    </xf>
    <xf numFmtId="166" fontId="15" fillId="6" borderId="12" xfId="0" applyNumberFormat="1" applyFont="1" applyFill="1" applyBorder="1" applyAlignment="1">
      <alignment vertical="center" wrapText="1"/>
    </xf>
    <xf numFmtId="166" fontId="17" fillId="6" borderId="12" xfId="1" quotePrefix="1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top"/>
    </xf>
    <xf numFmtId="0" fontId="15" fillId="0" borderId="11" xfId="0" applyFont="1" applyBorder="1" applyAlignment="1">
      <alignment vertical="center" textRotation="255"/>
    </xf>
    <xf numFmtId="0" fontId="15" fillId="0" borderId="15" xfId="0" applyFont="1" applyBorder="1" applyAlignment="1">
      <alignment vertical="center" textRotation="255"/>
    </xf>
    <xf numFmtId="0" fontId="15" fillId="0" borderId="11" xfId="0" applyFont="1" applyBorder="1" applyAlignment="1">
      <alignment horizontal="center" vertical="top" wrapText="1" readingOrder="1"/>
    </xf>
  </cellXfs>
  <cellStyles count="5">
    <cellStyle name="Comma" xfId="1" builtinId="3"/>
    <cellStyle name="Comma [0]" xfId="2" builtinId="6"/>
    <cellStyle name="Comm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FB70-5D0E-4713-BB47-F4ECC20C2FC5}">
  <sheetPr>
    <tabColor theme="9" tint="-0.249977111117893"/>
  </sheetPr>
  <dimension ref="A1:AG77"/>
  <sheetViews>
    <sheetView showGridLines="0" tabSelected="1" showRuler="0" view="pageBreakPreview" topLeftCell="I1" zoomScale="55" zoomScaleNormal="40" zoomScaleSheetLayoutView="55" zoomScalePageLayoutView="55" workbookViewId="0">
      <selection activeCell="AA20" sqref="AA20"/>
    </sheetView>
  </sheetViews>
  <sheetFormatPr defaultColWidth="9.140625" defaultRowHeight="15" x14ac:dyDescent="0.25"/>
  <cols>
    <col min="1" max="1" width="6.42578125" style="1" customWidth="1"/>
    <col min="2" max="2" width="26.140625" style="1" customWidth="1"/>
    <col min="3" max="4" width="31.7109375" style="1" customWidth="1"/>
    <col min="5" max="6" width="15.7109375" style="10" customWidth="1"/>
    <col min="7" max="7" width="25.7109375" style="10" customWidth="1"/>
    <col min="8" max="8" width="15.7109375" style="10" customWidth="1"/>
    <col min="9" max="9" width="25.7109375" style="10" customWidth="1"/>
    <col min="10" max="10" width="15.7109375" style="10" customWidth="1"/>
    <col min="11" max="11" width="25.7109375" style="10" customWidth="1"/>
    <col min="12" max="12" width="15.7109375" style="10" customWidth="1"/>
    <col min="13" max="13" width="25.7109375" style="10" customWidth="1"/>
    <col min="14" max="14" width="15.7109375" style="10" customWidth="1"/>
    <col min="15" max="15" width="25.7109375" style="10" customWidth="1"/>
    <col min="16" max="16" width="15.7109375" style="10" customWidth="1"/>
    <col min="17" max="17" width="25.7109375" style="10" customWidth="1"/>
    <col min="18" max="18" width="15.7109375" style="10" customWidth="1"/>
    <col min="19" max="19" width="25.7109375" style="10" customWidth="1"/>
    <col min="20" max="21" width="15.7109375" style="10" customWidth="1"/>
    <col min="22" max="22" width="15.7109375" style="13" customWidth="1"/>
    <col min="23" max="23" width="25.7109375" style="10" customWidth="1"/>
    <col min="24" max="24" width="15.7109375" style="10" customWidth="1"/>
    <col min="25" max="25" width="15.7109375" style="13" customWidth="1"/>
    <col min="26" max="26" width="15.7109375" style="10" customWidth="1"/>
    <col min="27" max="27" width="25.7109375" style="10" customWidth="1"/>
    <col min="28" max="28" width="15.7109375" style="10" customWidth="1"/>
    <col min="29" max="29" width="15.7109375" style="13" customWidth="1"/>
    <col min="30" max="31" width="15.7109375" style="10" customWidth="1"/>
    <col min="32" max="32" width="9.140625" style="1"/>
    <col min="33" max="33" width="19.5703125" style="1" customWidth="1"/>
    <col min="34" max="16384" width="9.140625" style="1"/>
  </cols>
  <sheetData>
    <row r="1" spans="1:33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</row>
    <row r="2" spans="1:33" ht="23.25" x14ac:dyDescent="0.3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6"/>
    </row>
    <row r="3" spans="1:33" ht="23.25" x14ac:dyDescent="0.35">
      <c r="A3" s="14" t="s">
        <v>108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6"/>
    </row>
    <row r="4" spans="1:33" ht="23.25" x14ac:dyDescent="0.35">
      <c r="A4" s="17" t="s">
        <v>154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5"/>
    </row>
    <row r="5" spans="1:33" ht="18" x14ac:dyDescent="0.25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9"/>
    </row>
    <row r="6" spans="1:33" ht="18" x14ac:dyDescent="0.25">
      <c r="A6" s="20" t="s">
        <v>108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19"/>
    </row>
    <row r="7" spans="1:33" ht="81" customHeight="1" x14ac:dyDescent="0.25">
      <c r="A7" s="21" t="s">
        <v>3</v>
      </c>
      <c r="B7" s="21" t="s">
        <v>4</v>
      </c>
      <c r="C7" s="22" t="s">
        <v>5</v>
      </c>
      <c r="D7" s="22" t="s">
        <v>155</v>
      </c>
      <c r="E7" s="23" t="s">
        <v>6</v>
      </c>
      <c r="F7" s="24"/>
      <c r="G7" s="25"/>
      <c r="H7" s="23" t="s">
        <v>117</v>
      </c>
      <c r="I7" s="25"/>
      <c r="J7" s="23" t="s">
        <v>114</v>
      </c>
      <c r="K7" s="24"/>
      <c r="L7" s="23" t="s">
        <v>7</v>
      </c>
      <c r="M7" s="24"/>
      <c r="N7" s="24"/>
      <c r="O7" s="24"/>
      <c r="P7" s="24"/>
      <c r="Q7" s="24"/>
      <c r="R7" s="24"/>
      <c r="S7" s="25"/>
      <c r="T7" s="23" t="s">
        <v>35</v>
      </c>
      <c r="U7" s="24"/>
      <c r="V7" s="24"/>
      <c r="W7" s="24"/>
      <c r="X7" s="24"/>
      <c r="Y7" s="25"/>
      <c r="Z7" s="23" t="s">
        <v>115</v>
      </c>
      <c r="AA7" s="25"/>
      <c r="AB7" s="23" t="s">
        <v>116</v>
      </c>
      <c r="AC7" s="24"/>
      <c r="AD7" s="24"/>
      <c r="AE7" s="26" t="s">
        <v>8</v>
      </c>
      <c r="AG7" s="2"/>
    </row>
    <row r="8" spans="1:33" ht="18" customHeight="1" x14ac:dyDescent="0.25">
      <c r="A8" s="21"/>
      <c r="B8" s="21"/>
      <c r="C8" s="22"/>
      <c r="D8" s="22"/>
      <c r="E8" s="27"/>
      <c r="F8" s="28"/>
      <c r="G8" s="29"/>
      <c r="H8" s="27"/>
      <c r="I8" s="29"/>
      <c r="J8" s="30"/>
      <c r="K8" s="31"/>
      <c r="L8" s="30"/>
      <c r="M8" s="31"/>
      <c r="N8" s="31"/>
      <c r="O8" s="31"/>
      <c r="P8" s="31"/>
      <c r="Q8" s="31"/>
      <c r="R8" s="31"/>
      <c r="S8" s="32"/>
      <c r="T8" s="30"/>
      <c r="U8" s="31"/>
      <c r="V8" s="31"/>
      <c r="W8" s="31"/>
      <c r="X8" s="31"/>
      <c r="Y8" s="32"/>
      <c r="Z8" s="30"/>
      <c r="AA8" s="32"/>
      <c r="AB8" s="30"/>
      <c r="AC8" s="31"/>
      <c r="AD8" s="31"/>
      <c r="AE8" s="33"/>
    </row>
    <row r="9" spans="1:33" ht="15.75" customHeight="1" x14ac:dyDescent="0.25">
      <c r="A9" s="21"/>
      <c r="B9" s="21"/>
      <c r="C9" s="22"/>
      <c r="D9" s="22"/>
      <c r="E9" s="30"/>
      <c r="F9" s="31"/>
      <c r="G9" s="32"/>
      <c r="H9" s="30"/>
      <c r="I9" s="32"/>
      <c r="J9" s="30">
        <v>2022</v>
      </c>
      <c r="K9" s="32"/>
      <c r="L9" s="34" t="s">
        <v>9</v>
      </c>
      <c r="M9" s="35"/>
      <c r="N9" s="34" t="s">
        <v>10</v>
      </c>
      <c r="O9" s="35"/>
      <c r="P9" s="34" t="s">
        <v>11</v>
      </c>
      <c r="Q9" s="35"/>
      <c r="R9" s="34" t="s">
        <v>12</v>
      </c>
      <c r="S9" s="35"/>
      <c r="T9" s="34">
        <v>2022</v>
      </c>
      <c r="U9" s="36"/>
      <c r="V9" s="36"/>
      <c r="W9" s="36"/>
      <c r="X9" s="36"/>
      <c r="Y9" s="35"/>
      <c r="Z9" s="34">
        <v>2022</v>
      </c>
      <c r="AA9" s="35"/>
      <c r="AB9" s="34">
        <v>2022</v>
      </c>
      <c r="AC9" s="36"/>
      <c r="AD9" s="35"/>
      <c r="AE9" s="37"/>
    </row>
    <row r="10" spans="1:33" s="3" customFormat="1" ht="15.75" x14ac:dyDescent="0.25">
      <c r="A10" s="38">
        <v>1</v>
      </c>
      <c r="B10" s="38">
        <v>2</v>
      </c>
      <c r="C10" s="38">
        <v>3</v>
      </c>
      <c r="D10" s="38">
        <v>4</v>
      </c>
      <c r="E10" s="39">
        <v>5</v>
      </c>
      <c r="F10" s="40"/>
      <c r="G10" s="41"/>
      <c r="H10" s="39">
        <v>6</v>
      </c>
      <c r="I10" s="41"/>
      <c r="J10" s="39">
        <v>7</v>
      </c>
      <c r="K10" s="41"/>
      <c r="L10" s="39">
        <v>8</v>
      </c>
      <c r="M10" s="41"/>
      <c r="N10" s="39">
        <v>9</v>
      </c>
      <c r="O10" s="41"/>
      <c r="P10" s="39">
        <v>10</v>
      </c>
      <c r="Q10" s="41"/>
      <c r="R10" s="39">
        <v>11</v>
      </c>
      <c r="S10" s="41"/>
      <c r="T10" s="42">
        <v>12</v>
      </c>
      <c r="U10" s="43"/>
      <c r="V10" s="43"/>
      <c r="W10" s="43"/>
      <c r="X10" s="43"/>
      <c r="Y10" s="44"/>
      <c r="Z10" s="42">
        <v>13</v>
      </c>
      <c r="AA10" s="44"/>
      <c r="AB10" s="42">
        <v>14</v>
      </c>
      <c r="AC10" s="43"/>
      <c r="AD10" s="44"/>
      <c r="AE10" s="45">
        <v>15</v>
      </c>
    </row>
    <row r="11" spans="1:33" s="3" customFormat="1" ht="14.25" customHeight="1" x14ac:dyDescent="0.25">
      <c r="A11" s="46"/>
      <c r="B11" s="46"/>
      <c r="C11" s="46"/>
      <c r="D11" s="46"/>
      <c r="E11" s="47" t="s">
        <v>13</v>
      </c>
      <c r="F11" s="48"/>
      <c r="G11" s="49" t="s">
        <v>14</v>
      </c>
      <c r="H11" s="47" t="s">
        <v>13</v>
      </c>
      <c r="I11" s="49" t="s">
        <v>14</v>
      </c>
      <c r="J11" s="47" t="s">
        <v>13</v>
      </c>
      <c r="K11" s="50" t="s">
        <v>14</v>
      </c>
      <c r="L11" s="47" t="s">
        <v>13</v>
      </c>
      <c r="M11" s="50" t="s">
        <v>14</v>
      </c>
      <c r="N11" s="47" t="s">
        <v>13</v>
      </c>
      <c r="O11" s="50" t="s">
        <v>14</v>
      </c>
      <c r="P11" s="47" t="s">
        <v>13</v>
      </c>
      <c r="Q11" s="50" t="s">
        <v>14</v>
      </c>
      <c r="R11" s="47" t="s">
        <v>13</v>
      </c>
      <c r="S11" s="50" t="s">
        <v>14</v>
      </c>
      <c r="T11" s="51" t="s">
        <v>15</v>
      </c>
      <c r="U11" s="39" t="s">
        <v>33</v>
      </c>
      <c r="V11" s="41"/>
      <c r="W11" s="52" t="s">
        <v>16</v>
      </c>
      <c r="X11" s="39" t="s">
        <v>34</v>
      </c>
      <c r="Y11" s="41"/>
      <c r="Z11" s="51" t="s">
        <v>17</v>
      </c>
      <c r="AA11" s="52" t="s">
        <v>18</v>
      </c>
      <c r="AB11" s="39" t="s">
        <v>19</v>
      </c>
      <c r="AC11" s="41"/>
      <c r="AD11" s="52" t="s">
        <v>20</v>
      </c>
      <c r="AE11" s="53"/>
    </row>
    <row r="12" spans="1:33" s="3" customFormat="1" ht="15.75" x14ac:dyDescent="0.25">
      <c r="A12" s="54"/>
      <c r="B12" s="54"/>
      <c r="C12" s="54"/>
      <c r="D12" s="54"/>
      <c r="E12" s="55"/>
      <c r="F12" s="56"/>
      <c r="G12" s="57"/>
      <c r="H12" s="55"/>
      <c r="I12" s="57"/>
      <c r="J12" s="55"/>
      <c r="K12" s="49"/>
      <c r="L12" s="55"/>
      <c r="M12" s="49"/>
      <c r="N12" s="55"/>
      <c r="O12" s="49"/>
      <c r="P12" s="55"/>
      <c r="Q12" s="49"/>
      <c r="R12" s="55"/>
      <c r="S12" s="49"/>
      <c r="T12" s="58" t="s">
        <v>13</v>
      </c>
      <c r="U12" s="55" t="s">
        <v>13</v>
      </c>
      <c r="V12" s="56"/>
      <c r="W12" s="59" t="s">
        <v>14</v>
      </c>
      <c r="X12" s="55" t="s">
        <v>14</v>
      </c>
      <c r="Y12" s="56"/>
      <c r="Z12" s="58" t="s">
        <v>13</v>
      </c>
      <c r="AA12" s="59" t="s">
        <v>14</v>
      </c>
      <c r="AB12" s="55" t="s">
        <v>13</v>
      </c>
      <c r="AC12" s="56"/>
      <c r="AD12" s="59" t="s">
        <v>14</v>
      </c>
      <c r="AE12" s="60"/>
    </row>
    <row r="13" spans="1:33" ht="15" hidden="1" customHeight="1" x14ac:dyDescent="0.25">
      <c r="A13" s="61"/>
      <c r="B13" s="62" t="s">
        <v>21</v>
      </c>
      <c r="C13" s="63" t="s">
        <v>22</v>
      </c>
      <c r="D13" s="63" t="s">
        <v>23</v>
      </c>
      <c r="E13" s="64" t="s">
        <v>24</v>
      </c>
      <c r="F13" s="65"/>
      <c r="G13" s="66"/>
      <c r="H13" s="64" t="s">
        <v>25</v>
      </c>
      <c r="I13" s="66" t="s">
        <v>26</v>
      </c>
      <c r="J13" s="67" t="s">
        <v>27</v>
      </c>
      <c r="K13" s="66" t="s">
        <v>28</v>
      </c>
      <c r="L13" s="67" t="s">
        <v>29</v>
      </c>
      <c r="M13" s="68"/>
      <c r="N13" s="68"/>
      <c r="O13" s="68"/>
      <c r="P13" s="68"/>
      <c r="Q13" s="68"/>
      <c r="R13" s="68"/>
      <c r="S13" s="68"/>
      <c r="T13" s="68"/>
      <c r="U13" s="68"/>
      <c r="V13" s="69"/>
      <c r="W13" s="68"/>
      <c r="X13" s="68"/>
      <c r="Y13" s="69"/>
      <c r="Z13" s="68"/>
      <c r="AA13" s="68"/>
      <c r="AB13" s="68"/>
      <c r="AC13" s="69"/>
      <c r="AD13" s="68"/>
      <c r="AE13" s="70"/>
    </row>
    <row r="14" spans="1:33" ht="15" hidden="1" customHeight="1" x14ac:dyDescent="0.25">
      <c r="A14" s="71"/>
      <c r="B14" s="72"/>
      <c r="C14" s="73"/>
      <c r="D14" s="73"/>
      <c r="E14" s="74"/>
      <c r="F14" s="75"/>
      <c r="G14" s="76"/>
      <c r="H14" s="74"/>
      <c r="I14" s="76"/>
      <c r="J14" s="77"/>
      <c r="K14" s="76"/>
      <c r="L14" s="77"/>
      <c r="M14" s="78"/>
      <c r="N14" s="78"/>
      <c r="O14" s="78"/>
      <c r="P14" s="78"/>
      <c r="Q14" s="78"/>
      <c r="R14" s="78"/>
      <c r="S14" s="78"/>
      <c r="T14" s="78"/>
      <c r="U14" s="78"/>
      <c r="V14" s="79"/>
      <c r="W14" s="78"/>
      <c r="X14" s="78"/>
      <c r="Y14" s="79"/>
      <c r="Z14" s="78"/>
      <c r="AA14" s="78"/>
      <c r="AB14" s="78"/>
      <c r="AC14" s="79"/>
      <c r="AD14" s="78"/>
      <c r="AE14" s="70"/>
    </row>
    <row r="15" spans="1:33" ht="15" hidden="1" customHeight="1" x14ac:dyDescent="0.25">
      <c r="A15" s="80"/>
      <c r="B15" s="81"/>
      <c r="C15" s="82"/>
      <c r="D15" s="82"/>
      <c r="E15" s="83"/>
      <c r="F15" s="84"/>
      <c r="G15" s="85"/>
      <c r="H15" s="83"/>
      <c r="I15" s="85"/>
      <c r="J15" s="86"/>
      <c r="K15" s="85"/>
      <c r="L15" s="86"/>
      <c r="M15" s="87"/>
      <c r="N15" s="87"/>
      <c r="O15" s="87"/>
      <c r="P15" s="78"/>
      <c r="Q15" s="78"/>
      <c r="R15" s="78"/>
      <c r="S15" s="78"/>
      <c r="T15" s="87"/>
      <c r="U15" s="87"/>
      <c r="V15" s="88"/>
      <c r="W15" s="87"/>
      <c r="X15" s="87"/>
      <c r="Y15" s="88"/>
      <c r="Z15" s="87"/>
      <c r="AA15" s="87"/>
      <c r="AB15" s="87"/>
      <c r="AC15" s="88"/>
      <c r="AD15" s="87"/>
      <c r="AE15" s="70"/>
    </row>
    <row r="16" spans="1:33" s="8" customFormat="1" ht="75" customHeight="1" x14ac:dyDescent="0.25">
      <c r="A16" s="185">
        <v>1</v>
      </c>
      <c r="B16" s="89" t="s">
        <v>30</v>
      </c>
      <c r="C16" s="93" t="s">
        <v>76</v>
      </c>
      <c r="D16" s="93" t="s">
        <v>83</v>
      </c>
      <c r="E16" s="129">
        <v>100</v>
      </c>
      <c r="F16" s="130" t="s">
        <v>82</v>
      </c>
      <c r="G16" s="131">
        <f>G17+G20+G25+G27+G34+G36+G40</f>
        <v>23839354878</v>
      </c>
      <c r="H16" s="129">
        <v>100</v>
      </c>
      <c r="I16" s="131">
        <f>I17+I20+I25+I27+I34+I36+I40</f>
        <v>6886063306</v>
      </c>
      <c r="J16" s="129">
        <v>100</v>
      </c>
      <c r="K16" s="131">
        <f>K17+K20+K25+K27+K34+K36+K40</f>
        <v>7891498256</v>
      </c>
      <c r="L16" s="129">
        <v>100</v>
      </c>
      <c r="M16" s="132">
        <f>M17+M20+M25+M27+M34+M38</f>
        <v>926335808</v>
      </c>
      <c r="N16" s="129">
        <v>100</v>
      </c>
      <c r="O16" s="132">
        <v>2730681735</v>
      </c>
      <c r="P16" s="133">
        <v>100</v>
      </c>
      <c r="Q16" s="132">
        <v>1819402977</v>
      </c>
      <c r="R16" s="156">
        <v>100</v>
      </c>
      <c r="S16" s="132">
        <v>1813390947</v>
      </c>
      <c r="T16" s="134">
        <f>AVERAGE(L16,N16,P16,R16)</f>
        <v>100</v>
      </c>
      <c r="U16" s="135">
        <f t="shared" ref="U16:U34" si="0">T16/J16*100</f>
        <v>100</v>
      </c>
      <c r="V16" s="129" t="s">
        <v>82</v>
      </c>
      <c r="W16" s="136">
        <f>M16+O16+Q16+S16</f>
        <v>7289811467</v>
      </c>
      <c r="X16" s="135">
        <f t="shared" ref="X16:X60" si="1">W16/K16*100</f>
        <v>92.375506279273012</v>
      </c>
      <c r="Y16" s="129" t="s">
        <v>82</v>
      </c>
      <c r="Z16" s="135">
        <f t="shared" ref="Z16:Z60" si="2">H16+T16</f>
        <v>200</v>
      </c>
      <c r="AA16" s="136">
        <f t="shared" ref="AA16:AA60" si="3">I16+W16</f>
        <v>14175874773</v>
      </c>
      <c r="AB16" s="135"/>
      <c r="AC16" s="129" t="str">
        <f>V16</f>
        <v>%</v>
      </c>
      <c r="AD16" s="137"/>
      <c r="AE16" s="188" t="s">
        <v>109</v>
      </c>
    </row>
    <row r="17" spans="1:31" s="7" customFormat="1" ht="75" customHeight="1" x14ac:dyDescent="0.25">
      <c r="A17" s="90"/>
      <c r="B17" s="91"/>
      <c r="C17" s="92" t="s">
        <v>75</v>
      </c>
      <c r="D17" s="93" t="s">
        <v>84</v>
      </c>
      <c r="E17" s="129">
        <f>SUM(E18:E19)</f>
        <v>45</v>
      </c>
      <c r="F17" s="130" t="s">
        <v>79</v>
      </c>
      <c r="G17" s="131">
        <f>SUM(G18:G19)</f>
        <v>28500000</v>
      </c>
      <c r="H17" s="129">
        <v>15</v>
      </c>
      <c r="I17" s="131">
        <f>SUM(I18:I19)</f>
        <v>9490000</v>
      </c>
      <c r="J17" s="129">
        <f>SUM(J18:J19)</f>
        <v>15</v>
      </c>
      <c r="K17" s="131">
        <f>SUM(K18:K19)</f>
        <v>9499750</v>
      </c>
      <c r="L17" s="129">
        <f>SUM(L18:L19)</f>
        <v>1</v>
      </c>
      <c r="M17" s="132">
        <f>M18+M19</f>
        <v>375000</v>
      </c>
      <c r="N17" s="129">
        <f>SUM(N18:N19)</f>
        <v>4</v>
      </c>
      <c r="O17" s="132">
        <f>O18+O19</f>
        <v>0</v>
      </c>
      <c r="P17" s="133">
        <v>6</v>
      </c>
      <c r="Q17" s="132">
        <v>1350000</v>
      </c>
      <c r="R17" s="133">
        <v>4</v>
      </c>
      <c r="S17" s="132">
        <v>7771400</v>
      </c>
      <c r="T17" s="134">
        <f t="shared" ref="T17:T24" si="4">SUM(L17,N17,P17,R17)</f>
        <v>15</v>
      </c>
      <c r="U17" s="135">
        <f t="shared" si="0"/>
        <v>100</v>
      </c>
      <c r="V17" s="129" t="s">
        <v>82</v>
      </c>
      <c r="W17" s="136">
        <f t="shared" ref="W17:W60" si="5">SUM(M17,O17,Q17,S17)</f>
        <v>9496400</v>
      </c>
      <c r="X17" s="135">
        <f t="shared" si="1"/>
        <v>99.964735914103002</v>
      </c>
      <c r="Y17" s="129" t="s">
        <v>82</v>
      </c>
      <c r="Z17" s="135">
        <f t="shared" si="2"/>
        <v>30</v>
      </c>
      <c r="AA17" s="136">
        <f t="shared" si="3"/>
        <v>18986400</v>
      </c>
      <c r="AB17" s="135"/>
      <c r="AC17" s="129" t="s">
        <v>82</v>
      </c>
      <c r="AD17" s="137"/>
      <c r="AE17" s="188"/>
    </row>
    <row r="18" spans="1:31" ht="75" customHeight="1" x14ac:dyDescent="0.25">
      <c r="A18" s="90"/>
      <c r="B18" s="91"/>
      <c r="C18" s="94" t="s">
        <v>36</v>
      </c>
      <c r="D18" s="95" t="s">
        <v>120</v>
      </c>
      <c r="E18" s="138">
        <f>J18*3</f>
        <v>15</v>
      </c>
      <c r="F18" s="139" t="s">
        <v>79</v>
      </c>
      <c r="G18" s="140">
        <v>24000000</v>
      </c>
      <c r="H18" s="138">
        <v>5</v>
      </c>
      <c r="I18" s="141">
        <v>7992750</v>
      </c>
      <c r="J18" s="138">
        <v>5</v>
      </c>
      <c r="K18" s="142">
        <v>7999900</v>
      </c>
      <c r="L18" s="138">
        <v>0</v>
      </c>
      <c r="M18" s="143">
        <v>375000</v>
      </c>
      <c r="N18" s="138">
        <v>2</v>
      </c>
      <c r="O18" s="144">
        <v>0</v>
      </c>
      <c r="P18" s="145">
        <v>2</v>
      </c>
      <c r="Q18" s="144">
        <v>1350000</v>
      </c>
      <c r="R18" s="145">
        <v>1</v>
      </c>
      <c r="S18" s="146">
        <v>6272000</v>
      </c>
      <c r="T18" s="147">
        <f t="shared" si="4"/>
        <v>5</v>
      </c>
      <c r="U18" s="148">
        <f t="shared" si="0"/>
        <v>100</v>
      </c>
      <c r="V18" s="138" t="s">
        <v>82</v>
      </c>
      <c r="W18" s="149">
        <f t="shared" si="5"/>
        <v>7997000</v>
      </c>
      <c r="X18" s="148">
        <f t="shared" si="1"/>
        <v>99.963749546869337</v>
      </c>
      <c r="Y18" s="138" t="s">
        <v>82</v>
      </c>
      <c r="Z18" s="150">
        <f t="shared" si="2"/>
        <v>10</v>
      </c>
      <c r="AA18" s="149">
        <f t="shared" si="3"/>
        <v>15989750</v>
      </c>
      <c r="AB18" s="148"/>
      <c r="AC18" s="138" t="s">
        <v>82</v>
      </c>
      <c r="AD18" s="151"/>
      <c r="AE18" s="186"/>
    </row>
    <row r="19" spans="1:31" ht="75" customHeight="1" x14ac:dyDescent="0.25">
      <c r="A19" s="90"/>
      <c r="B19" s="91"/>
      <c r="C19" s="94" t="s">
        <v>37</v>
      </c>
      <c r="D19" s="95" t="s">
        <v>121</v>
      </c>
      <c r="E19" s="138">
        <f>J19*3</f>
        <v>30</v>
      </c>
      <c r="F19" s="139" t="s">
        <v>80</v>
      </c>
      <c r="G19" s="140">
        <v>4500000</v>
      </c>
      <c r="H19" s="138">
        <v>10</v>
      </c>
      <c r="I19" s="141">
        <v>1497250</v>
      </c>
      <c r="J19" s="138">
        <v>10</v>
      </c>
      <c r="K19" s="152">
        <v>1499850</v>
      </c>
      <c r="L19" s="138">
        <v>1</v>
      </c>
      <c r="M19" s="143">
        <v>0</v>
      </c>
      <c r="N19" s="138">
        <v>2</v>
      </c>
      <c r="O19" s="144">
        <v>0</v>
      </c>
      <c r="P19" s="145">
        <v>4</v>
      </c>
      <c r="Q19" s="144">
        <v>0</v>
      </c>
      <c r="R19" s="145">
        <v>3</v>
      </c>
      <c r="S19" s="146">
        <v>1499400</v>
      </c>
      <c r="T19" s="147">
        <f t="shared" si="4"/>
        <v>10</v>
      </c>
      <c r="U19" s="148">
        <f t="shared" si="0"/>
        <v>100</v>
      </c>
      <c r="V19" s="138" t="s">
        <v>82</v>
      </c>
      <c r="W19" s="149">
        <f t="shared" si="5"/>
        <v>1499400</v>
      </c>
      <c r="X19" s="148">
        <f t="shared" si="1"/>
        <v>99.969996999699973</v>
      </c>
      <c r="Y19" s="138" t="s">
        <v>82</v>
      </c>
      <c r="Z19" s="150">
        <f t="shared" si="2"/>
        <v>20</v>
      </c>
      <c r="AA19" s="149">
        <f t="shared" si="3"/>
        <v>2996650</v>
      </c>
      <c r="AB19" s="148"/>
      <c r="AC19" s="138" t="s">
        <v>82</v>
      </c>
      <c r="AD19" s="151"/>
      <c r="AE19" s="186"/>
    </row>
    <row r="20" spans="1:31" s="7" customFormat="1" ht="75" customHeight="1" x14ac:dyDescent="0.25">
      <c r="A20" s="90"/>
      <c r="B20" s="91"/>
      <c r="C20" s="92" t="s">
        <v>38</v>
      </c>
      <c r="D20" s="93" t="s">
        <v>81</v>
      </c>
      <c r="E20" s="153">
        <f>J20*3</f>
        <v>36</v>
      </c>
      <c r="F20" s="154" t="s">
        <v>79</v>
      </c>
      <c r="G20" s="131">
        <f>SUM(G21:G24)</f>
        <v>20760865987</v>
      </c>
      <c r="H20" s="129">
        <v>14</v>
      </c>
      <c r="I20" s="131">
        <f>SUM(I21:I24)</f>
        <v>5961761435</v>
      </c>
      <c r="J20" s="153">
        <v>12</v>
      </c>
      <c r="K20" s="131">
        <f>SUM(K21:K24)</f>
        <v>7052218756</v>
      </c>
      <c r="L20" s="153">
        <f>SUM(L22:L24)</f>
        <v>3</v>
      </c>
      <c r="M20" s="132">
        <f>SUM(M21:M24)</f>
        <v>798515562</v>
      </c>
      <c r="N20" s="153">
        <f>SUM(N22:N24)</f>
        <v>3</v>
      </c>
      <c r="O20" s="132">
        <f>SUM(O21:O24)</f>
        <v>2566363667</v>
      </c>
      <c r="P20" s="155">
        <f>SUM(P22:P24)</f>
        <v>4</v>
      </c>
      <c r="Q20" s="132">
        <v>1505561760</v>
      </c>
      <c r="R20" s="156">
        <v>3</v>
      </c>
      <c r="S20" s="132">
        <v>1428167597</v>
      </c>
      <c r="T20" s="134">
        <f t="shared" si="4"/>
        <v>13</v>
      </c>
      <c r="U20" s="135">
        <f t="shared" si="0"/>
        <v>108.33333333333333</v>
      </c>
      <c r="V20" s="129" t="s">
        <v>82</v>
      </c>
      <c r="W20" s="136">
        <f t="shared" si="5"/>
        <v>6298608586</v>
      </c>
      <c r="X20" s="135">
        <f t="shared" si="1"/>
        <v>89.313857155114036</v>
      </c>
      <c r="Y20" s="129" t="s">
        <v>82</v>
      </c>
      <c r="Z20" s="157">
        <f t="shared" si="2"/>
        <v>27</v>
      </c>
      <c r="AA20" s="136">
        <f t="shared" si="3"/>
        <v>12260370021</v>
      </c>
      <c r="AB20" s="135"/>
      <c r="AC20" s="129" t="s">
        <v>82</v>
      </c>
      <c r="AD20" s="137"/>
      <c r="AE20" s="186"/>
    </row>
    <row r="21" spans="1:31" ht="75" customHeight="1" x14ac:dyDescent="0.25">
      <c r="A21" s="90"/>
      <c r="B21" s="91"/>
      <c r="C21" s="94" t="s">
        <v>39</v>
      </c>
      <c r="D21" s="96" t="s">
        <v>122</v>
      </c>
      <c r="E21" s="158">
        <f t="shared" ref="E21:E24" si="6">J21*3</f>
        <v>291</v>
      </c>
      <c r="F21" s="159" t="s">
        <v>126</v>
      </c>
      <c r="G21" s="160">
        <v>20745865987</v>
      </c>
      <c r="H21" s="150"/>
      <c r="I21" s="141">
        <v>5956764185</v>
      </c>
      <c r="J21" s="158">
        <v>97</v>
      </c>
      <c r="K21" s="152">
        <v>7047228856</v>
      </c>
      <c r="L21" s="150">
        <v>97</v>
      </c>
      <c r="M21" s="143">
        <v>798515562</v>
      </c>
      <c r="N21" s="150">
        <v>97</v>
      </c>
      <c r="O21" s="144">
        <v>2566363667</v>
      </c>
      <c r="P21" s="161">
        <v>97</v>
      </c>
      <c r="Q21" s="144">
        <v>1494961760</v>
      </c>
      <c r="R21" s="161">
        <v>97</v>
      </c>
      <c r="S21" s="146">
        <v>1433784697</v>
      </c>
      <c r="T21" s="147">
        <f>AVERAGE(L21,N21,P21,R21)</f>
        <v>97</v>
      </c>
      <c r="U21" s="148">
        <f t="shared" si="0"/>
        <v>100</v>
      </c>
      <c r="V21" s="138" t="s">
        <v>82</v>
      </c>
      <c r="W21" s="149">
        <f t="shared" si="5"/>
        <v>6293625686</v>
      </c>
      <c r="X21" s="148">
        <f t="shared" si="1"/>
        <v>89.306389995290374</v>
      </c>
      <c r="Y21" s="138" t="s">
        <v>82</v>
      </c>
      <c r="Z21" s="150">
        <f t="shared" si="2"/>
        <v>97</v>
      </c>
      <c r="AA21" s="149">
        <f t="shared" si="3"/>
        <v>12250389871</v>
      </c>
      <c r="AB21" s="148"/>
      <c r="AC21" s="138" t="s">
        <v>82</v>
      </c>
      <c r="AD21" s="151"/>
      <c r="AE21" s="186"/>
    </row>
    <row r="22" spans="1:31" ht="75" customHeight="1" x14ac:dyDescent="0.25">
      <c r="A22" s="90"/>
      <c r="B22" s="91"/>
      <c r="C22" s="94" t="s">
        <v>40</v>
      </c>
      <c r="D22" s="95" t="s">
        <v>123</v>
      </c>
      <c r="E22" s="158">
        <f t="shared" si="6"/>
        <v>3</v>
      </c>
      <c r="F22" s="159" t="s">
        <v>80</v>
      </c>
      <c r="G22" s="140">
        <v>5000000</v>
      </c>
      <c r="H22" s="150">
        <v>1</v>
      </c>
      <c r="I22" s="141">
        <v>1997250</v>
      </c>
      <c r="J22" s="158">
        <v>1</v>
      </c>
      <c r="K22" s="152">
        <v>2000000</v>
      </c>
      <c r="L22" s="150">
        <v>0</v>
      </c>
      <c r="M22" s="143">
        <v>0</v>
      </c>
      <c r="N22" s="150">
        <v>0</v>
      </c>
      <c r="O22" s="144">
        <v>0</v>
      </c>
      <c r="P22" s="161">
        <v>1</v>
      </c>
      <c r="Q22" s="144">
        <v>0</v>
      </c>
      <c r="R22" s="161"/>
      <c r="S22" s="146">
        <v>2000000</v>
      </c>
      <c r="T22" s="147">
        <f t="shared" si="4"/>
        <v>1</v>
      </c>
      <c r="U22" s="148">
        <f t="shared" si="0"/>
        <v>100</v>
      </c>
      <c r="V22" s="138" t="s">
        <v>82</v>
      </c>
      <c r="W22" s="149">
        <f t="shared" si="5"/>
        <v>2000000</v>
      </c>
      <c r="X22" s="148">
        <f t="shared" si="1"/>
        <v>100</v>
      </c>
      <c r="Y22" s="138" t="s">
        <v>82</v>
      </c>
      <c r="Z22" s="150">
        <f t="shared" si="2"/>
        <v>2</v>
      </c>
      <c r="AA22" s="149">
        <f t="shared" si="3"/>
        <v>3997250</v>
      </c>
      <c r="AB22" s="148"/>
      <c r="AC22" s="138" t="s">
        <v>82</v>
      </c>
      <c r="AD22" s="151"/>
      <c r="AE22" s="186"/>
    </row>
    <row r="23" spans="1:31" ht="75" customHeight="1" x14ac:dyDescent="0.25">
      <c r="A23" s="90"/>
      <c r="B23" s="97"/>
      <c r="C23" s="94" t="s">
        <v>41</v>
      </c>
      <c r="D23" s="95" t="s">
        <v>124</v>
      </c>
      <c r="E23" s="158">
        <f t="shared" si="6"/>
        <v>36</v>
      </c>
      <c r="F23" s="159" t="s">
        <v>80</v>
      </c>
      <c r="G23" s="140">
        <v>4500000</v>
      </c>
      <c r="H23" s="150">
        <v>12</v>
      </c>
      <c r="I23" s="141">
        <v>1500000</v>
      </c>
      <c r="J23" s="158">
        <v>12</v>
      </c>
      <c r="K23" s="152">
        <v>1499900</v>
      </c>
      <c r="L23" s="150">
        <v>3</v>
      </c>
      <c r="M23" s="143">
        <v>0</v>
      </c>
      <c r="N23" s="150">
        <v>3</v>
      </c>
      <c r="O23" s="144">
        <v>0</v>
      </c>
      <c r="P23" s="161">
        <v>3</v>
      </c>
      <c r="Q23" s="144">
        <v>10000000</v>
      </c>
      <c r="R23" s="161">
        <v>3</v>
      </c>
      <c r="S23" s="146">
        <v>8501500</v>
      </c>
      <c r="T23" s="147">
        <f t="shared" si="4"/>
        <v>12</v>
      </c>
      <c r="U23" s="148">
        <f t="shared" si="0"/>
        <v>100</v>
      </c>
      <c r="V23" s="138" t="s">
        <v>82</v>
      </c>
      <c r="W23" s="149">
        <f t="shared" si="5"/>
        <v>18501500</v>
      </c>
      <c r="X23" s="148">
        <f t="shared" si="1"/>
        <v>1233.5155677045136</v>
      </c>
      <c r="Y23" s="138" t="s">
        <v>82</v>
      </c>
      <c r="Z23" s="150">
        <f t="shared" si="2"/>
        <v>24</v>
      </c>
      <c r="AA23" s="149">
        <f t="shared" si="3"/>
        <v>20001500</v>
      </c>
      <c r="AB23" s="148"/>
      <c r="AC23" s="138" t="s">
        <v>82</v>
      </c>
      <c r="AD23" s="151"/>
      <c r="AE23" s="186"/>
    </row>
    <row r="24" spans="1:31" ht="75" customHeight="1" x14ac:dyDescent="0.25">
      <c r="A24" s="90"/>
      <c r="B24" s="97"/>
      <c r="C24" s="94" t="s">
        <v>42</v>
      </c>
      <c r="D24" s="95" t="s">
        <v>125</v>
      </c>
      <c r="E24" s="158">
        <f t="shared" si="6"/>
        <v>3</v>
      </c>
      <c r="F24" s="159" t="s">
        <v>79</v>
      </c>
      <c r="G24" s="140">
        <v>5500000</v>
      </c>
      <c r="H24" s="150">
        <v>1</v>
      </c>
      <c r="I24" s="141">
        <v>1500000</v>
      </c>
      <c r="J24" s="158">
        <v>1</v>
      </c>
      <c r="K24" s="152">
        <v>1490000</v>
      </c>
      <c r="L24" s="150">
        <v>0</v>
      </c>
      <c r="M24" s="143">
        <v>0</v>
      </c>
      <c r="N24" s="150">
        <v>0</v>
      </c>
      <c r="O24" s="144">
        <v>0</v>
      </c>
      <c r="P24" s="161">
        <v>0</v>
      </c>
      <c r="Q24" s="144">
        <v>600000</v>
      </c>
      <c r="R24" s="161">
        <v>1</v>
      </c>
      <c r="S24" s="146">
        <v>884400</v>
      </c>
      <c r="T24" s="147">
        <f t="shared" si="4"/>
        <v>1</v>
      </c>
      <c r="U24" s="148">
        <f t="shared" si="0"/>
        <v>100</v>
      </c>
      <c r="V24" s="138" t="s">
        <v>82</v>
      </c>
      <c r="W24" s="149">
        <f t="shared" si="5"/>
        <v>1484400</v>
      </c>
      <c r="X24" s="148">
        <f t="shared" si="1"/>
        <v>99.624161073825505</v>
      </c>
      <c r="Y24" s="138" t="s">
        <v>82</v>
      </c>
      <c r="Z24" s="150">
        <f t="shared" si="2"/>
        <v>2</v>
      </c>
      <c r="AA24" s="149">
        <f t="shared" si="3"/>
        <v>2984400</v>
      </c>
      <c r="AB24" s="148"/>
      <c r="AC24" s="138" t="s">
        <v>82</v>
      </c>
      <c r="AD24" s="151"/>
      <c r="AE24" s="186"/>
    </row>
    <row r="25" spans="1:31" s="7" customFormat="1" ht="75" customHeight="1" x14ac:dyDescent="0.25">
      <c r="A25" s="90"/>
      <c r="B25" s="97"/>
      <c r="C25" s="92" t="s">
        <v>43</v>
      </c>
      <c r="D25" s="93" t="s">
        <v>86</v>
      </c>
      <c r="E25" s="129">
        <v>100</v>
      </c>
      <c r="F25" s="130" t="s">
        <v>82</v>
      </c>
      <c r="G25" s="131">
        <f>SUM(G26)</f>
        <v>474775000</v>
      </c>
      <c r="H25" s="157">
        <v>100</v>
      </c>
      <c r="I25" s="131">
        <f>SUM(I26)</f>
        <v>196175000</v>
      </c>
      <c r="J25" s="129">
        <v>100</v>
      </c>
      <c r="K25" s="131">
        <f>SUM(K26)</f>
        <v>137350000</v>
      </c>
      <c r="L25" s="157">
        <v>100</v>
      </c>
      <c r="M25" s="132">
        <f>M26</f>
        <v>0</v>
      </c>
      <c r="N25" s="157">
        <v>100</v>
      </c>
      <c r="O25" s="132">
        <f>SUM(O26)</f>
        <v>0</v>
      </c>
      <c r="P25" s="156">
        <v>100</v>
      </c>
      <c r="Q25" s="132">
        <v>137350000</v>
      </c>
      <c r="R25" s="156">
        <v>100</v>
      </c>
      <c r="S25" s="132">
        <v>1219600</v>
      </c>
      <c r="T25" s="134">
        <f>AVERAGE(L25,N25,P25,R25)</f>
        <v>100</v>
      </c>
      <c r="U25" s="135">
        <f t="shared" si="0"/>
        <v>100</v>
      </c>
      <c r="V25" s="129" t="s">
        <v>82</v>
      </c>
      <c r="W25" s="136">
        <f t="shared" si="5"/>
        <v>138569600</v>
      </c>
      <c r="X25" s="135">
        <f t="shared" si="1"/>
        <v>100.88795049144521</v>
      </c>
      <c r="Y25" s="129" t="s">
        <v>82</v>
      </c>
      <c r="Z25" s="157">
        <f t="shared" si="2"/>
        <v>200</v>
      </c>
      <c r="AA25" s="136">
        <f t="shared" si="3"/>
        <v>334744600</v>
      </c>
      <c r="AB25" s="135"/>
      <c r="AC25" s="129" t="s">
        <v>82</v>
      </c>
      <c r="AD25" s="137"/>
      <c r="AE25" s="186"/>
    </row>
    <row r="26" spans="1:31" ht="75" customHeight="1" x14ac:dyDescent="0.25">
      <c r="A26" s="90"/>
      <c r="B26" s="97"/>
      <c r="C26" s="94" t="s">
        <v>44</v>
      </c>
      <c r="D26" s="95" t="s">
        <v>127</v>
      </c>
      <c r="E26" s="138">
        <f>J26+105*2</f>
        <v>325</v>
      </c>
      <c r="F26" s="139" t="s">
        <v>128</v>
      </c>
      <c r="G26" s="140">
        <v>474775000</v>
      </c>
      <c r="H26" s="138">
        <v>115</v>
      </c>
      <c r="I26" s="141">
        <v>196175000</v>
      </c>
      <c r="J26" s="138">
        <v>115</v>
      </c>
      <c r="K26" s="152">
        <v>137350000</v>
      </c>
      <c r="L26" s="138">
        <v>0</v>
      </c>
      <c r="M26" s="143">
        <v>0</v>
      </c>
      <c r="N26" s="138"/>
      <c r="O26" s="144">
        <v>0</v>
      </c>
      <c r="P26" s="145">
        <v>115</v>
      </c>
      <c r="Q26" s="144">
        <v>137350000</v>
      </c>
      <c r="R26" s="145">
        <v>0</v>
      </c>
      <c r="S26" s="146">
        <v>1219600</v>
      </c>
      <c r="T26" s="147">
        <f t="shared" ref="T26:T35" si="7">SUM(L26,N26,P26,R26)</f>
        <v>115</v>
      </c>
      <c r="U26" s="150">
        <f t="shared" si="0"/>
        <v>100</v>
      </c>
      <c r="V26" s="138" t="s">
        <v>82</v>
      </c>
      <c r="W26" s="149">
        <f t="shared" si="5"/>
        <v>138569600</v>
      </c>
      <c r="X26" s="148">
        <f t="shared" si="1"/>
        <v>100.88795049144521</v>
      </c>
      <c r="Y26" s="138" t="s">
        <v>82</v>
      </c>
      <c r="Z26" s="150">
        <f t="shared" si="2"/>
        <v>230</v>
      </c>
      <c r="AA26" s="149">
        <f t="shared" si="3"/>
        <v>334744600</v>
      </c>
      <c r="AB26" s="148"/>
      <c r="AC26" s="138" t="s">
        <v>82</v>
      </c>
      <c r="AD26" s="151"/>
      <c r="AE26" s="186"/>
    </row>
    <row r="27" spans="1:31" s="7" customFormat="1" ht="75" customHeight="1" x14ac:dyDescent="0.25">
      <c r="A27" s="90"/>
      <c r="B27" s="97"/>
      <c r="C27" s="92" t="s">
        <v>45</v>
      </c>
      <c r="D27" s="98" t="s">
        <v>85</v>
      </c>
      <c r="E27" s="153">
        <v>100</v>
      </c>
      <c r="F27" s="154" t="s">
        <v>82</v>
      </c>
      <c r="G27" s="162">
        <f>SUM(G28:G33)</f>
        <v>2306663464</v>
      </c>
      <c r="H27" s="157">
        <v>100</v>
      </c>
      <c r="I27" s="162">
        <f>SUM(I28:I33)</f>
        <v>637329121</v>
      </c>
      <c r="J27" s="153">
        <v>100</v>
      </c>
      <c r="K27" s="162">
        <f>SUM(K28:K33)</f>
        <v>462035750</v>
      </c>
      <c r="L27" s="153">
        <v>100</v>
      </c>
      <c r="M27" s="163">
        <f>SUM(M28:M33)</f>
        <v>102859600</v>
      </c>
      <c r="N27" s="153">
        <v>100</v>
      </c>
      <c r="O27" s="132">
        <f>SUM(O28:O33)</f>
        <v>134263500</v>
      </c>
      <c r="P27" s="155">
        <v>100</v>
      </c>
      <c r="Q27" s="132">
        <v>140168980</v>
      </c>
      <c r="R27" s="133">
        <v>100</v>
      </c>
      <c r="S27" s="132">
        <v>286999100</v>
      </c>
      <c r="T27" s="134">
        <f>AVERAGE(L27,N27,P27,R27)</f>
        <v>100</v>
      </c>
      <c r="U27" s="135">
        <f t="shared" si="0"/>
        <v>100</v>
      </c>
      <c r="V27" s="129" t="s">
        <v>82</v>
      </c>
      <c r="W27" s="136">
        <f t="shared" si="5"/>
        <v>664291180</v>
      </c>
      <c r="X27" s="135">
        <f t="shared" si="1"/>
        <v>143.77484426259224</v>
      </c>
      <c r="Y27" s="129" t="s">
        <v>82</v>
      </c>
      <c r="Z27" s="157">
        <f t="shared" si="2"/>
        <v>200</v>
      </c>
      <c r="AA27" s="136">
        <f t="shared" si="3"/>
        <v>1301620301</v>
      </c>
      <c r="AB27" s="135"/>
      <c r="AC27" s="129" t="s">
        <v>82</v>
      </c>
      <c r="AD27" s="137"/>
      <c r="AE27" s="186"/>
    </row>
    <row r="28" spans="1:31" ht="75" customHeight="1" x14ac:dyDescent="0.25">
      <c r="A28" s="90"/>
      <c r="B28" s="97"/>
      <c r="C28" s="94" t="s">
        <v>46</v>
      </c>
      <c r="D28" s="95" t="s">
        <v>129</v>
      </c>
      <c r="E28" s="158">
        <f t="shared" ref="E28:E33" si="8">J28*3</f>
        <v>36</v>
      </c>
      <c r="F28" s="139" t="s">
        <v>128</v>
      </c>
      <c r="G28" s="140">
        <v>37267940</v>
      </c>
      <c r="H28" s="150">
        <v>12</v>
      </c>
      <c r="I28" s="141">
        <v>17417678</v>
      </c>
      <c r="J28" s="158">
        <v>12</v>
      </c>
      <c r="K28" s="152">
        <v>9476800</v>
      </c>
      <c r="L28" s="150">
        <v>3</v>
      </c>
      <c r="M28" s="143">
        <v>0</v>
      </c>
      <c r="N28" s="150">
        <v>3</v>
      </c>
      <c r="O28" s="144">
        <v>9333300</v>
      </c>
      <c r="P28" s="161">
        <v>3</v>
      </c>
      <c r="Q28" s="144">
        <v>0</v>
      </c>
      <c r="R28" s="161">
        <v>3</v>
      </c>
      <c r="S28" s="146">
        <v>0</v>
      </c>
      <c r="T28" s="147">
        <f t="shared" si="7"/>
        <v>12</v>
      </c>
      <c r="U28" s="148">
        <f t="shared" si="0"/>
        <v>100</v>
      </c>
      <c r="V28" s="138" t="s">
        <v>82</v>
      </c>
      <c r="W28" s="149">
        <f t="shared" si="5"/>
        <v>9333300</v>
      </c>
      <c r="X28" s="148">
        <f t="shared" si="1"/>
        <v>98.485775789295957</v>
      </c>
      <c r="Y28" s="138" t="s">
        <v>82</v>
      </c>
      <c r="Z28" s="150">
        <f t="shared" si="2"/>
        <v>24</v>
      </c>
      <c r="AA28" s="149">
        <f t="shared" si="3"/>
        <v>26750978</v>
      </c>
      <c r="AB28" s="148"/>
      <c r="AC28" s="138" t="s">
        <v>82</v>
      </c>
      <c r="AD28" s="151"/>
      <c r="AE28" s="186"/>
    </row>
    <row r="29" spans="1:31" ht="75" customHeight="1" x14ac:dyDescent="0.25">
      <c r="A29" s="90"/>
      <c r="B29" s="97"/>
      <c r="C29" s="94" t="s">
        <v>47</v>
      </c>
      <c r="D29" s="95" t="s">
        <v>130</v>
      </c>
      <c r="E29" s="158">
        <f t="shared" si="8"/>
        <v>36</v>
      </c>
      <c r="F29" s="139" t="s">
        <v>128</v>
      </c>
      <c r="G29" s="140">
        <v>196328783</v>
      </c>
      <c r="H29" s="138">
        <v>12</v>
      </c>
      <c r="I29" s="164">
        <v>86588097</v>
      </c>
      <c r="J29" s="158">
        <v>12</v>
      </c>
      <c r="K29" s="152">
        <v>51669900</v>
      </c>
      <c r="L29" s="150">
        <v>3</v>
      </c>
      <c r="M29" s="143">
        <v>17688300</v>
      </c>
      <c r="N29" s="150">
        <v>3</v>
      </c>
      <c r="O29" s="144">
        <v>16634200</v>
      </c>
      <c r="P29" s="161">
        <v>3</v>
      </c>
      <c r="Q29" s="144">
        <v>11261300</v>
      </c>
      <c r="R29" s="161">
        <v>3</v>
      </c>
      <c r="S29" s="146">
        <v>3202900</v>
      </c>
      <c r="T29" s="147">
        <f t="shared" si="7"/>
        <v>12</v>
      </c>
      <c r="U29" s="148">
        <f t="shared" si="0"/>
        <v>100</v>
      </c>
      <c r="V29" s="138" t="s">
        <v>82</v>
      </c>
      <c r="W29" s="149">
        <f t="shared" si="5"/>
        <v>48786700</v>
      </c>
      <c r="X29" s="148">
        <f t="shared" si="1"/>
        <v>94.419962105597264</v>
      </c>
      <c r="Y29" s="138" t="s">
        <v>82</v>
      </c>
      <c r="Z29" s="150">
        <f t="shared" si="2"/>
        <v>24</v>
      </c>
      <c r="AA29" s="149">
        <f t="shared" si="3"/>
        <v>135374797</v>
      </c>
      <c r="AB29" s="148"/>
      <c r="AC29" s="138" t="s">
        <v>82</v>
      </c>
      <c r="AD29" s="151"/>
      <c r="AE29" s="186"/>
    </row>
    <row r="30" spans="1:31" ht="75" customHeight="1" x14ac:dyDescent="0.25">
      <c r="A30" s="90"/>
      <c r="B30" s="97"/>
      <c r="C30" s="94" t="s">
        <v>48</v>
      </c>
      <c r="D30" s="96" t="s">
        <v>131</v>
      </c>
      <c r="E30" s="158">
        <f t="shared" si="8"/>
        <v>36</v>
      </c>
      <c r="F30" s="139" t="s">
        <v>128</v>
      </c>
      <c r="G30" s="140">
        <v>217075000</v>
      </c>
      <c r="H30" s="150">
        <v>12</v>
      </c>
      <c r="I30" s="141">
        <v>20010000</v>
      </c>
      <c r="J30" s="158">
        <v>12</v>
      </c>
      <c r="K30" s="152">
        <v>39025000</v>
      </c>
      <c r="L30" s="150">
        <v>3</v>
      </c>
      <c r="M30" s="143">
        <v>3300000</v>
      </c>
      <c r="N30" s="150">
        <v>3</v>
      </c>
      <c r="O30" s="144">
        <v>4400000</v>
      </c>
      <c r="P30" s="161">
        <v>3</v>
      </c>
      <c r="Q30" s="144">
        <v>6700000</v>
      </c>
      <c r="R30" s="161">
        <v>3</v>
      </c>
      <c r="S30" s="146">
        <v>25390500</v>
      </c>
      <c r="T30" s="147">
        <f t="shared" si="7"/>
        <v>12</v>
      </c>
      <c r="U30" s="148">
        <f t="shared" si="0"/>
        <v>100</v>
      </c>
      <c r="V30" s="138" t="s">
        <v>82</v>
      </c>
      <c r="W30" s="149">
        <f t="shared" si="5"/>
        <v>39790500</v>
      </c>
      <c r="X30" s="148">
        <f t="shared" si="1"/>
        <v>101.96156310057656</v>
      </c>
      <c r="Y30" s="138" t="s">
        <v>82</v>
      </c>
      <c r="Z30" s="150">
        <f t="shared" si="2"/>
        <v>24</v>
      </c>
      <c r="AA30" s="149">
        <f t="shared" si="3"/>
        <v>59800500</v>
      </c>
      <c r="AB30" s="148"/>
      <c r="AC30" s="138" t="s">
        <v>82</v>
      </c>
      <c r="AD30" s="151"/>
      <c r="AE30" s="186"/>
    </row>
    <row r="31" spans="1:31" ht="75" customHeight="1" x14ac:dyDescent="0.25">
      <c r="A31" s="90"/>
      <c r="B31" s="97"/>
      <c r="C31" s="94" t="s">
        <v>49</v>
      </c>
      <c r="D31" s="96" t="s">
        <v>132</v>
      </c>
      <c r="E31" s="158">
        <f t="shared" si="8"/>
        <v>36</v>
      </c>
      <c r="F31" s="139" t="s">
        <v>128</v>
      </c>
      <c r="G31" s="140">
        <v>117693350</v>
      </c>
      <c r="H31" s="150">
        <v>12</v>
      </c>
      <c r="I31" s="141">
        <v>24569564</v>
      </c>
      <c r="J31" s="158">
        <v>12</v>
      </c>
      <c r="K31" s="152">
        <v>38564050</v>
      </c>
      <c r="L31" s="150">
        <v>3</v>
      </c>
      <c r="M31" s="143">
        <v>6446500</v>
      </c>
      <c r="N31" s="150">
        <v>3</v>
      </c>
      <c r="O31" s="144">
        <v>3150000</v>
      </c>
      <c r="P31" s="161">
        <v>3</v>
      </c>
      <c r="Q31" s="144">
        <v>4775000</v>
      </c>
      <c r="R31" s="161">
        <v>3</v>
      </c>
      <c r="S31" s="146">
        <v>16846000</v>
      </c>
      <c r="T31" s="147">
        <f t="shared" si="7"/>
        <v>12</v>
      </c>
      <c r="U31" s="148">
        <f t="shared" si="0"/>
        <v>100</v>
      </c>
      <c r="V31" s="138" t="s">
        <v>82</v>
      </c>
      <c r="W31" s="149">
        <f t="shared" si="5"/>
        <v>31217500</v>
      </c>
      <c r="X31" s="148">
        <f t="shared" si="1"/>
        <v>80.949744645596084</v>
      </c>
      <c r="Y31" s="138" t="s">
        <v>82</v>
      </c>
      <c r="Z31" s="150">
        <f t="shared" si="2"/>
        <v>24</v>
      </c>
      <c r="AA31" s="149">
        <f t="shared" si="3"/>
        <v>55787064</v>
      </c>
      <c r="AB31" s="148"/>
      <c r="AC31" s="138" t="s">
        <v>82</v>
      </c>
      <c r="AD31" s="151"/>
      <c r="AE31" s="186"/>
    </row>
    <row r="32" spans="1:31" ht="75" customHeight="1" x14ac:dyDescent="0.25">
      <c r="A32" s="90"/>
      <c r="B32" s="97"/>
      <c r="C32" s="94" t="s">
        <v>50</v>
      </c>
      <c r="D32" s="99" t="s">
        <v>133</v>
      </c>
      <c r="E32" s="158">
        <f t="shared" si="8"/>
        <v>36</v>
      </c>
      <c r="F32" s="139" t="s">
        <v>79</v>
      </c>
      <c r="G32" s="140">
        <v>10800000</v>
      </c>
      <c r="H32" s="150">
        <v>12</v>
      </c>
      <c r="I32" s="141">
        <v>1320000</v>
      </c>
      <c r="J32" s="158">
        <v>12</v>
      </c>
      <c r="K32" s="152">
        <v>3300000</v>
      </c>
      <c r="L32" s="150">
        <v>3</v>
      </c>
      <c r="M32" s="143">
        <v>240000</v>
      </c>
      <c r="N32" s="138">
        <v>3</v>
      </c>
      <c r="O32" s="144">
        <v>360000</v>
      </c>
      <c r="P32" s="145">
        <v>3</v>
      </c>
      <c r="Q32" s="144">
        <v>240000</v>
      </c>
      <c r="R32" s="145">
        <v>3</v>
      </c>
      <c r="S32" s="146">
        <v>660000</v>
      </c>
      <c r="T32" s="147">
        <f t="shared" si="7"/>
        <v>12</v>
      </c>
      <c r="U32" s="148">
        <f t="shared" si="0"/>
        <v>100</v>
      </c>
      <c r="V32" s="138" t="s">
        <v>82</v>
      </c>
      <c r="W32" s="149">
        <f t="shared" si="5"/>
        <v>1500000</v>
      </c>
      <c r="X32" s="148">
        <f t="shared" si="1"/>
        <v>45.454545454545453</v>
      </c>
      <c r="Y32" s="138" t="s">
        <v>82</v>
      </c>
      <c r="Z32" s="150">
        <f t="shared" si="2"/>
        <v>24</v>
      </c>
      <c r="AA32" s="149">
        <f t="shared" si="3"/>
        <v>2820000</v>
      </c>
      <c r="AB32" s="148"/>
      <c r="AC32" s="138" t="s">
        <v>82</v>
      </c>
      <c r="AD32" s="151"/>
      <c r="AE32" s="186"/>
    </row>
    <row r="33" spans="1:31" ht="75" customHeight="1" x14ac:dyDescent="0.25">
      <c r="A33" s="90"/>
      <c r="B33" s="97"/>
      <c r="C33" s="94" t="s">
        <v>51</v>
      </c>
      <c r="D33" s="99" t="s">
        <v>134</v>
      </c>
      <c r="E33" s="158">
        <f t="shared" si="8"/>
        <v>36</v>
      </c>
      <c r="F33" s="139" t="s">
        <v>80</v>
      </c>
      <c r="G33" s="140">
        <v>1727498391</v>
      </c>
      <c r="H33" s="150">
        <v>12</v>
      </c>
      <c r="I33" s="141">
        <v>487423782</v>
      </c>
      <c r="J33" s="158">
        <v>12</v>
      </c>
      <c r="K33" s="152">
        <v>320000000</v>
      </c>
      <c r="L33" s="150">
        <v>3</v>
      </c>
      <c r="M33" s="143">
        <v>75184800</v>
      </c>
      <c r="N33" s="138">
        <v>3</v>
      </c>
      <c r="O33" s="144">
        <v>100386000</v>
      </c>
      <c r="P33" s="145">
        <v>3</v>
      </c>
      <c r="Q33" s="144">
        <v>117192680</v>
      </c>
      <c r="R33" s="145">
        <v>3</v>
      </c>
      <c r="S33" s="146">
        <v>240899700</v>
      </c>
      <c r="T33" s="147">
        <f t="shared" si="7"/>
        <v>12</v>
      </c>
      <c r="U33" s="148">
        <f t="shared" si="0"/>
        <v>100</v>
      </c>
      <c r="V33" s="138" t="s">
        <v>82</v>
      </c>
      <c r="W33" s="149">
        <f t="shared" si="5"/>
        <v>533663180</v>
      </c>
      <c r="X33" s="148">
        <f t="shared" si="1"/>
        <v>166.76974375</v>
      </c>
      <c r="Y33" s="138" t="s">
        <v>82</v>
      </c>
      <c r="Z33" s="150">
        <f t="shared" si="2"/>
        <v>24</v>
      </c>
      <c r="AA33" s="149">
        <f t="shared" si="3"/>
        <v>1021086962</v>
      </c>
      <c r="AB33" s="148"/>
      <c r="AC33" s="138" t="s">
        <v>82</v>
      </c>
      <c r="AD33" s="151"/>
      <c r="AE33" s="186"/>
    </row>
    <row r="34" spans="1:31" s="7" customFormat="1" ht="75" customHeight="1" x14ac:dyDescent="0.25">
      <c r="A34" s="90"/>
      <c r="B34" s="97"/>
      <c r="C34" s="100" t="s">
        <v>52</v>
      </c>
      <c r="D34" s="101" t="s">
        <v>87</v>
      </c>
      <c r="E34" s="153">
        <v>100</v>
      </c>
      <c r="F34" s="154" t="s">
        <v>82</v>
      </c>
      <c r="G34" s="131">
        <f>SUM(G35)</f>
        <v>5000000</v>
      </c>
      <c r="H34" s="157">
        <v>100</v>
      </c>
      <c r="I34" s="131">
        <f>SUM(I35)</f>
        <v>5000000</v>
      </c>
      <c r="J34" s="153">
        <v>100</v>
      </c>
      <c r="K34" s="165">
        <v>0</v>
      </c>
      <c r="L34" s="157">
        <v>0</v>
      </c>
      <c r="M34" s="132">
        <f>SUM(M35:M37)</f>
        <v>7648146</v>
      </c>
      <c r="N34" s="157">
        <v>0</v>
      </c>
      <c r="O34" s="132">
        <f>SUM(O35:O37)</f>
        <v>10845568</v>
      </c>
      <c r="P34" s="156">
        <v>0</v>
      </c>
      <c r="Q34" s="132">
        <v>6124487</v>
      </c>
      <c r="R34" s="133"/>
      <c r="S34" s="132">
        <v>12800450</v>
      </c>
      <c r="T34" s="134">
        <f t="shared" si="7"/>
        <v>0</v>
      </c>
      <c r="U34" s="135">
        <f t="shared" si="0"/>
        <v>0</v>
      </c>
      <c r="V34" s="129"/>
      <c r="W34" s="136">
        <f t="shared" si="5"/>
        <v>37418651</v>
      </c>
      <c r="X34" s="135" t="e">
        <f t="shared" si="1"/>
        <v>#DIV/0!</v>
      </c>
      <c r="Y34" s="129"/>
      <c r="Z34" s="157">
        <f t="shared" si="2"/>
        <v>100</v>
      </c>
      <c r="AA34" s="136">
        <f t="shared" si="3"/>
        <v>42418651</v>
      </c>
      <c r="AB34" s="135"/>
      <c r="AC34" s="129" t="s">
        <v>82</v>
      </c>
      <c r="AD34" s="137"/>
      <c r="AE34" s="186"/>
    </row>
    <row r="35" spans="1:31" ht="75" customHeight="1" x14ac:dyDescent="0.25">
      <c r="A35" s="90"/>
      <c r="B35" s="97"/>
      <c r="C35" s="102" t="s">
        <v>53</v>
      </c>
      <c r="D35" s="103" t="s">
        <v>135</v>
      </c>
      <c r="E35" s="150">
        <v>1</v>
      </c>
      <c r="F35" s="139" t="s">
        <v>136</v>
      </c>
      <c r="G35" s="140">
        <v>5000000</v>
      </c>
      <c r="H35" s="150">
        <v>1</v>
      </c>
      <c r="I35" s="164">
        <v>5000000</v>
      </c>
      <c r="J35" s="150"/>
      <c r="K35" s="166">
        <v>0</v>
      </c>
      <c r="L35" s="150">
        <v>0</v>
      </c>
      <c r="M35" s="143">
        <v>0</v>
      </c>
      <c r="N35" s="150">
        <v>0</v>
      </c>
      <c r="O35" s="144">
        <v>0</v>
      </c>
      <c r="P35" s="161">
        <v>0</v>
      </c>
      <c r="Q35" s="144">
        <v>0</v>
      </c>
      <c r="R35" s="161">
        <v>0</v>
      </c>
      <c r="S35" s="146">
        <v>1000000</v>
      </c>
      <c r="T35" s="147">
        <f t="shared" si="7"/>
        <v>0</v>
      </c>
      <c r="U35" s="148"/>
      <c r="V35" s="138"/>
      <c r="W35" s="149">
        <f t="shared" si="5"/>
        <v>1000000</v>
      </c>
      <c r="X35" s="148" t="e">
        <f t="shared" si="1"/>
        <v>#DIV/0!</v>
      </c>
      <c r="Y35" s="138"/>
      <c r="Z35" s="150">
        <f t="shared" si="2"/>
        <v>1</v>
      </c>
      <c r="AA35" s="149">
        <f t="shared" si="3"/>
        <v>6000000</v>
      </c>
      <c r="AB35" s="148"/>
      <c r="AC35" s="138" t="s">
        <v>82</v>
      </c>
      <c r="AD35" s="151"/>
      <c r="AE35" s="186"/>
    </row>
    <row r="36" spans="1:31" s="7" customFormat="1" ht="75" customHeight="1" x14ac:dyDescent="0.25">
      <c r="A36" s="90"/>
      <c r="B36" s="97"/>
      <c r="C36" s="92" t="s">
        <v>54</v>
      </c>
      <c r="D36" s="104" t="s">
        <v>88</v>
      </c>
      <c r="E36" s="153">
        <v>100</v>
      </c>
      <c r="F36" s="154" t="s">
        <v>82</v>
      </c>
      <c r="G36" s="131">
        <f>SUM(G37:G39)</f>
        <v>178750427</v>
      </c>
      <c r="H36" s="129">
        <v>100</v>
      </c>
      <c r="I36" s="131">
        <f>SUM(I37:I39)</f>
        <v>41535750</v>
      </c>
      <c r="J36" s="153">
        <v>100</v>
      </c>
      <c r="K36" s="131">
        <f>SUM(K37:K39)</f>
        <v>58044000</v>
      </c>
      <c r="L36" s="153">
        <v>100</v>
      </c>
      <c r="M36" s="163">
        <v>2799369</v>
      </c>
      <c r="N36" s="153">
        <v>100</v>
      </c>
      <c r="O36" s="167">
        <v>4363432</v>
      </c>
      <c r="P36" s="155">
        <v>100</v>
      </c>
      <c r="Q36" s="167">
        <v>2875769</v>
      </c>
      <c r="R36" s="156">
        <v>100</v>
      </c>
      <c r="S36" s="132">
        <v>4777432</v>
      </c>
      <c r="T36" s="134">
        <f>AVERAGE(L36,N36,P36,R36)</f>
        <v>100</v>
      </c>
      <c r="U36" s="135">
        <f t="shared" ref="U36:U60" si="9">T36/J36*100</f>
        <v>100</v>
      </c>
      <c r="V36" s="129" t="s">
        <v>82</v>
      </c>
      <c r="W36" s="136">
        <f t="shared" si="5"/>
        <v>14816002</v>
      </c>
      <c r="X36" s="135">
        <f t="shared" si="1"/>
        <v>25.52546688718903</v>
      </c>
      <c r="Y36" s="129" t="s">
        <v>82</v>
      </c>
      <c r="Z36" s="157">
        <f t="shared" si="2"/>
        <v>200</v>
      </c>
      <c r="AA36" s="136">
        <f t="shared" si="3"/>
        <v>56351752</v>
      </c>
      <c r="AB36" s="135"/>
      <c r="AC36" s="129" t="s">
        <v>82</v>
      </c>
      <c r="AD36" s="137"/>
      <c r="AE36" s="186"/>
    </row>
    <row r="37" spans="1:31" ht="75" customHeight="1" x14ac:dyDescent="0.25">
      <c r="A37" s="90"/>
      <c r="B37" s="97"/>
      <c r="C37" s="94" t="s">
        <v>55</v>
      </c>
      <c r="D37" s="95" t="s">
        <v>137</v>
      </c>
      <c r="E37" s="150">
        <f t="shared" ref="E37:E39" si="10">J37*3</f>
        <v>36</v>
      </c>
      <c r="F37" s="139" t="s">
        <v>80</v>
      </c>
      <c r="G37" s="140">
        <v>3018427</v>
      </c>
      <c r="H37" s="150">
        <v>12</v>
      </c>
      <c r="I37" s="141">
        <v>0</v>
      </c>
      <c r="J37" s="150">
        <v>12</v>
      </c>
      <c r="K37" s="152">
        <v>1000000</v>
      </c>
      <c r="L37" s="150">
        <v>3</v>
      </c>
      <c r="M37" s="143">
        <v>4848777</v>
      </c>
      <c r="N37" s="150">
        <v>3</v>
      </c>
      <c r="O37" s="144">
        <v>6482136</v>
      </c>
      <c r="P37" s="161">
        <v>3</v>
      </c>
      <c r="Q37" s="144">
        <v>3248718</v>
      </c>
      <c r="R37" s="161">
        <v>3</v>
      </c>
      <c r="S37" s="146">
        <v>7023018</v>
      </c>
      <c r="T37" s="147">
        <f t="shared" ref="T37:T43" si="11">SUM(L37,N37,P37,R37)</f>
        <v>12</v>
      </c>
      <c r="U37" s="148">
        <f t="shared" si="9"/>
        <v>100</v>
      </c>
      <c r="V37" s="138" t="s">
        <v>82</v>
      </c>
      <c r="W37" s="149">
        <f t="shared" si="5"/>
        <v>21602649</v>
      </c>
      <c r="X37" s="148">
        <f t="shared" si="1"/>
        <v>2160.2649000000001</v>
      </c>
      <c r="Y37" s="138" t="s">
        <v>82</v>
      </c>
      <c r="Z37" s="150">
        <f t="shared" si="2"/>
        <v>24</v>
      </c>
      <c r="AA37" s="149">
        <f t="shared" si="3"/>
        <v>21602649</v>
      </c>
      <c r="AB37" s="148"/>
      <c r="AC37" s="138" t="s">
        <v>82</v>
      </c>
      <c r="AD37" s="151"/>
      <c r="AE37" s="186"/>
    </row>
    <row r="38" spans="1:31" ht="75" customHeight="1" x14ac:dyDescent="0.25">
      <c r="A38" s="90"/>
      <c r="B38" s="97"/>
      <c r="C38" s="94" t="s">
        <v>56</v>
      </c>
      <c r="D38" s="95" t="s">
        <v>138</v>
      </c>
      <c r="E38" s="150">
        <f t="shared" si="10"/>
        <v>36</v>
      </c>
      <c r="F38" s="139" t="s">
        <v>80</v>
      </c>
      <c r="G38" s="140">
        <v>108000000</v>
      </c>
      <c r="H38" s="150">
        <v>12</v>
      </c>
      <c r="I38" s="141">
        <v>22073586</v>
      </c>
      <c r="J38" s="150">
        <v>12</v>
      </c>
      <c r="K38" s="152">
        <v>33000000</v>
      </c>
      <c r="L38" s="150">
        <v>3</v>
      </c>
      <c r="M38" s="132">
        <f>SUM(M39:M41)</f>
        <v>16937500</v>
      </c>
      <c r="N38" s="150">
        <v>3</v>
      </c>
      <c r="O38" s="132">
        <f>SUM(O39:O41)</f>
        <v>19209000</v>
      </c>
      <c r="P38" s="161">
        <v>3</v>
      </c>
      <c r="Q38" s="132">
        <v>28874750</v>
      </c>
      <c r="R38" s="161">
        <v>3</v>
      </c>
      <c r="S38" s="132">
        <v>78872000</v>
      </c>
      <c r="T38" s="147">
        <f t="shared" si="11"/>
        <v>12</v>
      </c>
      <c r="U38" s="148">
        <f t="shared" si="9"/>
        <v>100</v>
      </c>
      <c r="V38" s="138" t="s">
        <v>82</v>
      </c>
      <c r="W38" s="149">
        <f t="shared" si="5"/>
        <v>143893250</v>
      </c>
      <c r="X38" s="148">
        <f t="shared" si="1"/>
        <v>436.04015151515148</v>
      </c>
      <c r="Y38" s="138" t="s">
        <v>82</v>
      </c>
      <c r="Z38" s="150">
        <f t="shared" si="2"/>
        <v>24</v>
      </c>
      <c r="AA38" s="149">
        <f t="shared" si="3"/>
        <v>165966836</v>
      </c>
      <c r="AB38" s="148"/>
      <c r="AC38" s="138" t="s">
        <v>82</v>
      </c>
      <c r="AD38" s="151"/>
      <c r="AE38" s="186"/>
    </row>
    <row r="39" spans="1:31" ht="75" customHeight="1" x14ac:dyDescent="0.25">
      <c r="A39" s="90"/>
      <c r="B39" s="97"/>
      <c r="C39" s="94" t="s">
        <v>57</v>
      </c>
      <c r="D39" s="95" t="s">
        <v>139</v>
      </c>
      <c r="E39" s="150">
        <f t="shared" si="10"/>
        <v>36</v>
      </c>
      <c r="F39" s="139" t="s">
        <v>80</v>
      </c>
      <c r="G39" s="140">
        <v>67732000</v>
      </c>
      <c r="H39" s="150">
        <v>12</v>
      </c>
      <c r="I39" s="141">
        <v>19462164</v>
      </c>
      <c r="J39" s="150">
        <v>12</v>
      </c>
      <c r="K39" s="152">
        <v>24044000</v>
      </c>
      <c r="L39" s="150">
        <v>3</v>
      </c>
      <c r="M39" s="143">
        <v>16937500</v>
      </c>
      <c r="N39" s="150">
        <v>3</v>
      </c>
      <c r="O39" s="144">
        <v>18204000</v>
      </c>
      <c r="P39" s="161">
        <v>3</v>
      </c>
      <c r="Q39" s="144">
        <v>28397750</v>
      </c>
      <c r="R39" s="161">
        <v>3</v>
      </c>
      <c r="S39" s="146">
        <v>66897500</v>
      </c>
      <c r="T39" s="147">
        <f t="shared" si="11"/>
        <v>12</v>
      </c>
      <c r="U39" s="148">
        <f t="shared" si="9"/>
        <v>100</v>
      </c>
      <c r="V39" s="138" t="s">
        <v>82</v>
      </c>
      <c r="W39" s="149">
        <f t="shared" si="5"/>
        <v>130436750</v>
      </c>
      <c r="X39" s="148">
        <f t="shared" si="1"/>
        <v>542.49188986857428</v>
      </c>
      <c r="Y39" s="138" t="s">
        <v>82</v>
      </c>
      <c r="Z39" s="150">
        <f t="shared" si="2"/>
        <v>24</v>
      </c>
      <c r="AA39" s="149">
        <f t="shared" si="3"/>
        <v>149898914</v>
      </c>
      <c r="AB39" s="148"/>
      <c r="AC39" s="138" t="s">
        <v>82</v>
      </c>
      <c r="AD39" s="151"/>
      <c r="AE39" s="186"/>
    </row>
    <row r="40" spans="1:31" s="7" customFormat="1" ht="75" customHeight="1" x14ac:dyDescent="0.25">
      <c r="A40" s="90"/>
      <c r="B40" s="97"/>
      <c r="C40" s="92" t="s">
        <v>58</v>
      </c>
      <c r="D40" s="93" t="s">
        <v>89</v>
      </c>
      <c r="E40" s="153">
        <v>100</v>
      </c>
      <c r="F40" s="154" t="s">
        <v>82</v>
      </c>
      <c r="G40" s="131">
        <f>SUM(G41:G43)</f>
        <v>84800000</v>
      </c>
      <c r="H40" s="157">
        <v>100</v>
      </c>
      <c r="I40" s="131">
        <f>SUM(I41:I43)</f>
        <v>34772000</v>
      </c>
      <c r="J40" s="153">
        <v>100</v>
      </c>
      <c r="K40" s="131">
        <f>SUM(K41:K43)</f>
        <v>172350000</v>
      </c>
      <c r="L40" s="153">
        <v>100</v>
      </c>
      <c r="M40" s="163">
        <v>0</v>
      </c>
      <c r="N40" s="153">
        <v>100</v>
      </c>
      <c r="O40" s="167">
        <v>0</v>
      </c>
      <c r="P40" s="155">
        <v>100</v>
      </c>
      <c r="Q40" s="167">
        <v>0</v>
      </c>
      <c r="R40" s="156">
        <v>100</v>
      </c>
      <c r="S40" s="132">
        <v>4993500</v>
      </c>
      <c r="T40" s="134">
        <f>AVERAGE(L40,N40,P40,R40)</f>
        <v>100</v>
      </c>
      <c r="U40" s="135">
        <f t="shared" si="9"/>
        <v>100</v>
      </c>
      <c r="V40" s="129" t="s">
        <v>82</v>
      </c>
      <c r="W40" s="136">
        <f t="shared" si="5"/>
        <v>4993500</v>
      </c>
      <c r="X40" s="135">
        <f t="shared" si="1"/>
        <v>2.8973020017406439</v>
      </c>
      <c r="Y40" s="129" t="s">
        <v>82</v>
      </c>
      <c r="Z40" s="157">
        <f t="shared" si="2"/>
        <v>200</v>
      </c>
      <c r="AA40" s="136">
        <f t="shared" si="3"/>
        <v>39765500</v>
      </c>
      <c r="AB40" s="135"/>
      <c r="AC40" s="129" t="s">
        <v>82</v>
      </c>
      <c r="AD40" s="137"/>
      <c r="AE40" s="186"/>
    </row>
    <row r="41" spans="1:31" ht="75" customHeight="1" x14ac:dyDescent="0.25">
      <c r="A41" s="90"/>
      <c r="B41" s="97"/>
      <c r="C41" s="94" t="s">
        <v>118</v>
      </c>
      <c r="D41" s="105" t="s">
        <v>142</v>
      </c>
      <c r="E41" s="150"/>
      <c r="F41" s="139" t="s">
        <v>136</v>
      </c>
      <c r="G41" s="140"/>
      <c r="H41" s="168"/>
      <c r="I41" s="141"/>
      <c r="J41" s="150">
        <v>12</v>
      </c>
      <c r="K41" s="152">
        <v>158350000</v>
      </c>
      <c r="L41" s="150">
        <v>3</v>
      </c>
      <c r="M41" s="143">
        <v>0</v>
      </c>
      <c r="N41" s="150">
        <v>3</v>
      </c>
      <c r="O41" s="144">
        <v>1005000</v>
      </c>
      <c r="P41" s="161">
        <v>3</v>
      </c>
      <c r="Q41" s="144">
        <v>450000</v>
      </c>
      <c r="R41" s="161">
        <v>3</v>
      </c>
      <c r="S41" s="146">
        <v>6981000</v>
      </c>
      <c r="T41" s="147">
        <f t="shared" si="11"/>
        <v>12</v>
      </c>
      <c r="U41" s="148">
        <f t="shared" si="9"/>
        <v>100</v>
      </c>
      <c r="V41" s="138" t="s">
        <v>82</v>
      </c>
      <c r="W41" s="149">
        <f t="shared" si="5"/>
        <v>8436000</v>
      </c>
      <c r="X41" s="148">
        <f t="shared" si="1"/>
        <v>5.3274392169245344</v>
      </c>
      <c r="Y41" s="138" t="s">
        <v>82</v>
      </c>
      <c r="Z41" s="150">
        <f t="shared" si="2"/>
        <v>12</v>
      </c>
      <c r="AA41" s="149">
        <f t="shared" si="3"/>
        <v>8436000</v>
      </c>
      <c r="AB41" s="148"/>
      <c r="AC41" s="138" t="s">
        <v>82</v>
      </c>
      <c r="AD41" s="151"/>
      <c r="AE41" s="186"/>
    </row>
    <row r="42" spans="1:31" ht="75" customHeight="1" x14ac:dyDescent="0.25">
      <c r="A42" s="90"/>
      <c r="B42" s="97"/>
      <c r="C42" s="94" t="s">
        <v>59</v>
      </c>
      <c r="D42" s="95" t="s">
        <v>140</v>
      </c>
      <c r="E42" s="150">
        <f t="shared" ref="E42:E43" si="12">J42*3</f>
        <v>36</v>
      </c>
      <c r="F42" s="139" t="s">
        <v>136</v>
      </c>
      <c r="G42" s="140">
        <v>56000000</v>
      </c>
      <c r="H42" s="168">
        <v>12</v>
      </c>
      <c r="I42" s="141">
        <v>25902000</v>
      </c>
      <c r="J42" s="150">
        <v>12</v>
      </c>
      <c r="K42" s="152">
        <v>5000000</v>
      </c>
      <c r="L42" s="150">
        <v>3</v>
      </c>
      <c r="M42" s="132">
        <f>M43+M48+M51</f>
        <v>220005109</v>
      </c>
      <c r="N42" s="150">
        <v>3</v>
      </c>
      <c r="O42" s="132"/>
      <c r="P42" s="161">
        <v>3</v>
      </c>
      <c r="Q42" s="132">
        <v>142250688</v>
      </c>
      <c r="R42" s="161">
        <v>3</v>
      </c>
      <c r="S42" s="132">
        <v>456418155</v>
      </c>
      <c r="T42" s="147">
        <f t="shared" si="11"/>
        <v>12</v>
      </c>
      <c r="U42" s="148">
        <f t="shared" si="9"/>
        <v>100</v>
      </c>
      <c r="V42" s="138" t="s">
        <v>82</v>
      </c>
      <c r="W42" s="149">
        <f t="shared" si="5"/>
        <v>818673952</v>
      </c>
      <c r="X42" s="148">
        <f t="shared" si="1"/>
        <v>16373.47904</v>
      </c>
      <c r="Y42" s="138" t="s">
        <v>82</v>
      </c>
      <c r="Z42" s="150">
        <f t="shared" si="2"/>
        <v>24</v>
      </c>
      <c r="AA42" s="149">
        <f t="shared" si="3"/>
        <v>844575952</v>
      </c>
      <c r="AB42" s="148"/>
      <c r="AC42" s="138" t="s">
        <v>82</v>
      </c>
      <c r="AD42" s="151"/>
      <c r="AE42" s="186"/>
    </row>
    <row r="43" spans="1:31" ht="75" customHeight="1" x14ac:dyDescent="0.25">
      <c r="A43" s="90"/>
      <c r="B43" s="97"/>
      <c r="C43" s="94" t="s">
        <v>60</v>
      </c>
      <c r="D43" s="99" t="s">
        <v>141</v>
      </c>
      <c r="E43" s="150">
        <f t="shared" si="12"/>
        <v>36</v>
      </c>
      <c r="F43" s="139" t="s">
        <v>136</v>
      </c>
      <c r="G43" s="140">
        <v>28800000</v>
      </c>
      <c r="H43" s="150">
        <v>12</v>
      </c>
      <c r="I43" s="141">
        <v>8870000</v>
      </c>
      <c r="J43" s="150">
        <v>12</v>
      </c>
      <c r="K43" s="152">
        <v>9000000</v>
      </c>
      <c r="L43" s="150">
        <v>3</v>
      </c>
      <c r="M43" s="132">
        <f>SUM(M44:M47)</f>
        <v>220005109</v>
      </c>
      <c r="N43" s="150">
        <v>3</v>
      </c>
      <c r="O43" s="132">
        <v>319353176</v>
      </c>
      <c r="P43" s="161">
        <v>3</v>
      </c>
      <c r="Q43" s="132">
        <v>138550688</v>
      </c>
      <c r="R43" s="161">
        <v>3</v>
      </c>
      <c r="S43" s="132">
        <v>422018155</v>
      </c>
      <c r="T43" s="147">
        <f t="shared" si="11"/>
        <v>12</v>
      </c>
      <c r="U43" s="148">
        <f t="shared" si="9"/>
        <v>100</v>
      </c>
      <c r="V43" s="138" t="s">
        <v>82</v>
      </c>
      <c r="W43" s="149">
        <f t="shared" si="5"/>
        <v>1099927128</v>
      </c>
      <c r="X43" s="148">
        <f t="shared" si="1"/>
        <v>12221.412533333332</v>
      </c>
      <c r="Y43" s="138" t="s">
        <v>82</v>
      </c>
      <c r="Z43" s="150">
        <f t="shared" si="2"/>
        <v>24</v>
      </c>
      <c r="AA43" s="149">
        <f t="shared" si="3"/>
        <v>1108797128</v>
      </c>
      <c r="AB43" s="148"/>
      <c r="AC43" s="138" t="s">
        <v>82</v>
      </c>
      <c r="AD43" s="151"/>
      <c r="AE43" s="186"/>
    </row>
    <row r="44" spans="1:31" s="9" customFormat="1" ht="75" customHeight="1" x14ac:dyDescent="0.25">
      <c r="A44" s="90"/>
      <c r="B44" s="97"/>
      <c r="C44" s="93" t="s">
        <v>77</v>
      </c>
      <c r="D44" s="93" t="s">
        <v>110</v>
      </c>
      <c r="E44" s="129">
        <v>100</v>
      </c>
      <c r="F44" s="130" t="s">
        <v>82</v>
      </c>
      <c r="G44" s="131">
        <f>G45+G50+G53</f>
        <v>3581196266</v>
      </c>
      <c r="H44" s="129">
        <v>200</v>
      </c>
      <c r="I44" s="131">
        <f>I45+I50+I53</f>
        <v>939035821</v>
      </c>
      <c r="J44" s="129">
        <v>100</v>
      </c>
      <c r="K44" s="131">
        <f>K45+K50+K53</f>
        <v>1404703570</v>
      </c>
      <c r="L44" s="129">
        <f>12/12*100</f>
        <v>100</v>
      </c>
      <c r="M44" s="163">
        <v>12000000</v>
      </c>
      <c r="N44" s="129">
        <v>100</v>
      </c>
      <c r="O44" s="167">
        <v>7660000</v>
      </c>
      <c r="P44" s="129">
        <v>100</v>
      </c>
      <c r="Q44" s="167">
        <v>720000</v>
      </c>
      <c r="R44" s="129">
        <v>100</v>
      </c>
      <c r="S44" s="132">
        <v>4900000</v>
      </c>
      <c r="T44" s="134">
        <f t="shared" ref="T44:T50" si="13">AVERAGE(L44,N44,P44,R44)</f>
        <v>100</v>
      </c>
      <c r="U44" s="157">
        <f t="shared" si="9"/>
        <v>100</v>
      </c>
      <c r="V44" s="129" t="s">
        <v>82</v>
      </c>
      <c r="W44" s="136">
        <f t="shared" si="5"/>
        <v>25280000</v>
      </c>
      <c r="X44" s="135">
        <f t="shared" si="1"/>
        <v>1.7996679541435208</v>
      </c>
      <c r="Y44" s="129" t="s">
        <v>82</v>
      </c>
      <c r="Z44" s="157">
        <f t="shared" si="2"/>
        <v>300</v>
      </c>
      <c r="AA44" s="136">
        <f t="shared" si="3"/>
        <v>964315821</v>
      </c>
      <c r="AB44" s="135"/>
      <c r="AC44" s="129" t="s">
        <v>82</v>
      </c>
      <c r="AD44" s="137"/>
      <c r="AE44" s="186"/>
    </row>
    <row r="45" spans="1:31" s="7" customFormat="1" ht="75" customHeight="1" x14ac:dyDescent="0.25">
      <c r="A45" s="90"/>
      <c r="B45" s="97"/>
      <c r="C45" s="92" t="s">
        <v>61</v>
      </c>
      <c r="D45" s="93" t="s">
        <v>111</v>
      </c>
      <c r="E45" s="129">
        <v>100</v>
      </c>
      <c r="F45" s="130" t="s">
        <v>82</v>
      </c>
      <c r="G45" s="131">
        <f>SUM(G46:G49)</f>
        <v>3326133009</v>
      </c>
      <c r="H45" s="129">
        <v>200</v>
      </c>
      <c r="I45" s="131">
        <f>SUM(I46:I49)</f>
        <v>926620821</v>
      </c>
      <c r="J45" s="129">
        <v>100</v>
      </c>
      <c r="K45" s="131">
        <f>SUM(K46:K49)</f>
        <v>1315874520</v>
      </c>
      <c r="L45" s="129">
        <v>100</v>
      </c>
      <c r="M45" s="163">
        <v>208005109</v>
      </c>
      <c r="N45" s="129">
        <v>100</v>
      </c>
      <c r="O45" s="169">
        <v>262213176</v>
      </c>
      <c r="P45" s="129">
        <v>100</v>
      </c>
      <c r="Q45" s="169">
        <v>137830688</v>
      </c>
      <c r="R45" s="129">
        <v>100</v>
      </c>
      <c r="S45" s="132">
        <v>374998155</v>
      </c>
      <c r="T45" s="134">
        <f t="shared" si="13"/>
        <v>100</v>
      </c>
      <c r="U45" s="157">
        <f t="shared" si="9"/>
        <v>100</v>
      </c>
      <c r="V45" s="129" t="s">
        <v>82</v>
      </c>
      <c r="W45" s="136">
        <f t="shared" si="5"/>
        <v>983047128</v>
      </c>
      <c r="X45" s="135">
        <f t="shared" si="1"/>
        <v>74.706753042075775</v>
      </c>
      <c r="Y45" s="129" t="s">
        <v>82</v>
      </c>
      <c r="Z45" s="157">
        <f t="shared" si="2"/>
        <v>300</v>
      </c>
      <c r="AA45" s="136">
        <f t="shared" si="3"/>
        <v>1909667949</v>
      </c>
      <c r="AB45" s="135"/>
      <c r="AC45" s="129" t="s">
        <v>82</v>
      </c>
      <c r="AD45" s="137"/>
      <c r="AE45" s="186"/>
    </row>
    <row r="46" spans="1:31" ht="75" customHeight="1" x14ac:dyDescent="0.25">
      <c r="A46" s="90"/>
      <c r="B46" s="97"/>
      <c r="C46" s="94" t="s">
        <v>62</v>
      </c>
      <c r="D46" s="106" t="s">
        <v>143</v>
      </c>
      <c r="E46" s="138">
        <v>100</v>
      </c>
      <c r="F46" s="139" t="s">
        <v>144</v>
      </c>
      <c r="G46" s="152">
        <f>10000000+10000000+10000000</f>
        <v>30000000</v>
      </c>
      <c r="H46" s="138">
        <v>100</v>
      </c>
      <c r="I46" s="164">
        <v>2800000</v>
      </c>
      <c r="J46" s="138">
        <v>0</v>
      </c>
      <c r="K46" s="152">
        <v>10000000</v>
      </c>
      <c r="L46" s="138">
        <v>100</v>
      </c>
      <c r="M46" s="143">
        <v>0</v>
      </c>
      <c r="N46" s="138">
        <v>100</v>
      </c>
      <c r="O46" s="144">
        <v>55000000</v>
      </c>
      <c r="P46" s="138">
        <v>100</v>
      </c>
      <c r="Q46" s="144">
        <v>0</v>
      </c>
      <c r="R46" s="138">
        <v>100</v>
      </c>
      <c r="S46" s="146">
        <v>39400000</v>
      </c>
      <c r="T46" s="147">
        <f t="shared" si="13"/>
        <v>100</v>
      </c>
      <c r="U46" s="150">
        <v>0</v>
      </c>
      <c r="V46" s="138" t="s">
        <v>82</v>
      </c>
      <c r="W46" s="149">
        <f t="shared" si="5"/>
        <v>94400000</v>
      </c>
      <c r="X46" s="148">
        <f t="shared" si="1"/>
        <v>944</v>
      </c>
      <c r="Y46" s="138" t="s">
        <v>82</v>
      </c>
      <c r="Z46" s="150">
        <f t="shared" si="2"/>
        <v>200</v>
      </c>
      <c r="AA46" s="149">
        <f t="shared" si="3"/>
        <v>97200000</v>
      </c>
      <c r="AB46" s="148"/>
      <c r="AC46" s="138" t="s">
        <v>82</v>
      </c>
      <c r="AD46" s="151"/>
      <c r="AE46" s="186"/>
    </row>
    <row r="47" spans="1:31" ht="75" customHeight="1" x14ac:dyDescent="0.25">
      <c r="A47" s="90"/>
      <c r="B47" s="97"/>
      <c r="C47" s="107" t="s">
        <v>63</v>
      </c>
      <c r="D47" s="106" t="s">
        <v>145</v>
      </c>
      <c r="E47" s="138">
        <f t="shared" ref="E47" si="14">J47*3</f>
        <v>291</v>
      </c>
      <c r="F47" s="139" t="s">
        <v>126</v>
      </c>
      <c r="G47" s="152">
        <f>860351009+973541000*2</f>
        <v>2807433009</v>
      </c>
      <c r="H47" s="138">
        <v>10</v>
      </c>
      <c r="I47" s="170">
        <v>782070385</v>
      </c>
      <c r="J47" s="138">
        <v>97</v>
      </c>
      <c r="K47" s="171">
        <v>1197860750</v>
      </c>
      <c r="L47" s="138">
        <v>97</v>
      </c>
      <c r="M47" s="143">
        <v>0</v>
      </c>
      <c r="N47" s="138">
        <v>97</v>
      </c>
      <c r="O47" s="144">
        <v>9800000</v>
      </c>
      <c r="P47" s="138">
        <v>100</v>
      </c>
      <c r="Q47" s="144">
        <v>0</v>
      </c>
      <c r="R47" s="138">
        <v>100</v>
      </c>
      <c r="S47" s="146">
        <v>2720000</v>
      </c>
      <c r="T47" s="147">
        <f t="shared" si="13"/>
        <v>98.5</v>
      </c>
      <c r="U47" s="150">
        <f t="shared" si="9"/>
        <v>101.54639175257731</v>
      </c>
      <c r="V47" s="138" t="s">
        <v>82</v>
      </c>
      <c r="W47" s="172">
        <f t="shared" si="5"/>
        <v>12520000</v>
      </c>
      <c r="X47" s="173">
        <f t="shared" si="1"/>
        <v>1.0451966140471671</v>
      </c>
      <c r="Y47" s="174" t="s">
        <v>82</v>
      </c>
      <c r="Z47" s="150">
        <f t="shared" si="2"/>
        <v>108.5</v>
      </c>
      <c r="AA47" s="172">
        <f t="shared" si="3"/>
        <v>794590385</v>
      </c>
      <c r="AB47" s="148"/>
      <c r="AC47" s="138" t="s">
        <v>82</v>
      </c>
      <c r="AD47" s="175"/>
      <c r="AE47" s="186"/>
    </row>
    <row r="48" spans="1:31" ht="75" customHeight="1" x14ac:dyDescent="0.25">
      <c r="A48" s="90"/>
      <c r="B48" s="97"/>
      <c r="C48" s="94" t="s">
        <v>64</v>
      </c>
      <c r="D48" s="106" t="s">
        <v>146</v>
      </c>
      <c r="E48" s="138">
        <v>100</v>
      </c>
      <c r="F48" s="139" t="s">
        <v>79</v>
      </c>
      <c r="G48" s="176">
        <f>143400000+143400000+143400000</f>
        <v>430200000</v>
      </c>
      <c r="H48" s="177">
        <v>200</v>
      </c>
      <c r="I48" s="178">
        <v>127800000</v>
      </c>
      <c r="J48" s="177">
        <v>2</v>
      </c>
      <c r="K48" s="179">
        <v>94400000</v>
      </c>
      <c r="L48" s="138">
        <v>0</v>
      </c>
      <c r="M48" s="180">
        <f>SUM(M49:M50)</f>
        <v>0</v>
      </c>
      <c r="N48" s="138">
        <v>1</v>
      </c>
      <c r="O48" s="132">
        <f>O49+O50</f>
        <v>2400000</v>
      </c>
      <c r="P48" s="138">
        <v>100</v>
      </c>
      <c r="Q48" s="132">
        <v>3700000</v>
      </c>
      <c r="R48" s="138">
        <v>100</v>
      </c>
      <c r="S48" s="132">
        <v>22670000</v>
      </c>
      <c r="T48" s="147">
        <f t="shared" si="13"/>
        <v>50.25</v>
      </c>
      <c r="U48" s="148">
        <f t="shared" si="9"/>
        <v>2512.5</v>
      </c>
      <c r="V48" s="138" t="s">
        <v>82</v>
      </c>
      <c r="W48" s="149">
        <f t="shared" si="5"/>
        <v>28770000</v>
      </c>
      <c r="X48" s="148">
        <f t="shared" si="1"/>
        <v>30.476694915254239</v>
      </c>
      <c r="Y48" s="138" t="s">
        <v>82</v>
      </c>
      <c r="Z48" s="150">
        <f t="shared" si="2"/>
        <v>250.25</v>
      </c>
      <c r="AA48" s="149">
        <f t="shared" si="3"/>
        <v>156570000</v>
      </c>
      <c r="AB48" s="148"/>
      <c r="AC48" s="138" t="s">
        <v>82</v>
      </c>
      <c r="AD48" s="151"/>
      <c r="AE48" s="186"/>
    </row>
    <row r="49" spans="1:31" ht="75" customHeight="1" x14ac:dyDescent="0.25">
      <c r="A49" s="90"/>
      <c r="B49" s="97"/>
      <c r="C49" s="94" t="s">
        <v>65</v>
      </c>
      <c r="D49" s="106" t="s">
        <v>147</v>
      </c>
      <c r="E49" s="138">
        <v>100</v>
      </c>
      <c r="F49" s="139" t="s">
        <v>136</v>
      </c>
      <c r="G49" s="152">
        <f>19500000+19500000+19500000</f>
        <v>58500000</v>
      </c>
      <c r="H49" s="138">
        <v>200</v>
      </c>
      <c r="I49" s="141">
        <v>13950436</v>
      </c>
      <c r="J49" s="138">
        <v>34</v>
      </c>
      <c r="K49" s="171">
        <v>13613770</v>
      </c>
      <c r="L49" s="138">
        <v>34</v>
      </c>
      <c r="M49" s="143">
        <v>0</v>
      </c>
      <c r="N49" s="150">
        <v>34</v>
      </c>
      <c r="O49" s="144">
        <v>2400000</v>
      </c>
      <c r="P49" s="138">
        <v>100</v>
      </c>
      <c r="Q49" s="144">
        <v>0</v>
      </c>
      <c r="R49" s="138">
        <v>100</v>
      </c>
      <c r="S49" s="146">
        <v>9000000</v>
      </c>
      <c r="T49" s="147">
        <f t="shared" si="13"/>
        <v>67</v>
      </c>
      <c r="U49" s="148">
        <f t="shared" si="9"/>
        <v>197.05882352941177</v>
      </c>
      <c r="V49" s="138" t="s">
        <v>82</v>
      </c>
      <c r="W49" s="149">
        <f t="shared" si="5"/>
        <v>11400000</v>
      </c>
      <c r="X49" s="148">
        <f t="shared" si="1"/>
        <v>83.738743933532007</v>
      </c>
      <c r="Y49" s="138" t="s">
        <v>82</v>
      </c>
      <c r="Z49" s="150">
        <f t="shared" si="2"/>
        <v>267</v>
      </c>
      <c r="AA49" s="149">
        <f t="shared" si="3"/>
        <v>25350436</v>
      </c>
      <c r="AB49" s="148"/>
      <c r="AC49" s="138" t="s">
        <v>82</v>
      </c>
      <c r="AD49" s="151"/>
      <c r="AE49" s="186"/>
    </row>
    <row r="50" spans="1:31" s="7" customFormat="1" ht="75" customHeight="1" x14ac:dyDescent="0.25">
      <c r="A50" s="90"/>
      <c r="B50" s="97"/>
      <c r="C50" s="92" t="s">
        <v>66</v>
      </c>
      <c r="D50" s="93" t="s">
        <v>112</v>
      </c>
      <c r="E50" s="129">
        <v>100</v>
      </c>
      <c r="F50" s="130" t="s">
        <v>82</v>
      </c>
      <c r="G50" s="131">
        <f>SUM(G51:G52)</f>
        <v>124229000</v>
      </c>
      <c r="H50" s="129">
        <v>200</v>
      </c>
      <c r="I50" s="131">
        <f>SUM(I51:I52)</f>
        <v>11415000</v>
      </c>
      <c r="J50" s="129">
        <f>7/7*100</f>
        <v>100</v>
      </c>
      <c r="K50" s="181">
        <f>SUM(K51:K52)</f>
        <v>45219500</v>
      </c>
      <c r="L50" s="129">
        <v>100</v>
      </c>
      <c r="M50" s="163">
        <v>0</v>
      </c>
      <c r="N50" s="129">
        <v>100</v>
      </c>
      <c r="O50" s="167">
        <v>0</v>
      </c>
      <c r="P50" s="129">
        <v>100</v>
      </c>
      <c r="Q50" s="167">
        <v>3700000</v>
      </c>
      <c r="R50" s="129">
        <v>100</v>
      </c>
      <c r="S50" s="132">
        <v>13670000</v>
      </c>
      <c r="T50" s="134">
        <f t="shared" si="13"/>
        <v>100</v>
      </c>
      <c r="U50" s="135">
        <f t="shared" si="9"/>
        <v>100</v>
      </c>
      <c r="V50" s="129" t="s">
        <v>82</v>
      </c>
      <c r="W50" s="136">
        <f t="shared" si="5"/>
        <v>17370000</v>
      </c>
      <c r="X50" s="135">
        <f t="shared" si="1"/>
        <v>38.412631718616971</v>
      </c>
      <c r="Y50" s="129" t="s">
        <v>82</v>
      </c>
      <c r="Z50" s="157">
        <f t="shared" si="2"/>
        <v>300</v>
      </c>
      <c r="AA50" s="136">
        <f t="shared" si="3"/>
        <v>28785000</v>
      </c>
      <c r="AB50" s="135"/>
      <c r="AC50" s="129" t="s">
        <v>82</v>
      </c>
      <c r="AD50" s="137"/>
      <c r="AE50" s="186"/>
    </row>
    <row r="51" spans="1:31" ht="75" customHeight="1" x14ac:dyDescent="0.25">
      <c r="A51" s="90"/>
      <c r="B51" s="97"/>
      <c r="C51" s="94" t="s">
        <v>67</v>
      </c>
      <c r="D51" s="106" t="s">
        <v>148</v>
      </c>
      <c r="E51" s="138">
        <v>7</v>
      </c>
      <c r="F51" s="139" t="s">
        <v>80</v>
      </c>
      <c r="G51" s="140">
        <v>35250000</v>
      </c>
      <c r="H51" s="138">
        <v>14</v>
      </c>
      <c r="I51" s="141">
        <v>11415000</v>
      </c>
      <c r="J51" s="138">
        <v>2</v>
      </c>
      <c r="K51" s="171">
        <v>11742500</v>
      </c>
      <c r="L51" s="138">
        <v>0</v>
      </c>
      <c r="M51" s="180">
        <f>SUM(M52)</f>
        <v>0</v>
      </c>
      <c r="N51" s="138">
        <v>1</v>
      </c>
      <c r="O51" s="132">
        <f>SUM(O52)</f>
        <v>0</v>
      </c>
      <c r="P51" s="138">
        <v>100</v>
      </c>
      <c r="Q51" s="132">
        <v>0</v>
      </c>
      <c r="R51" s="138">
        <v>100</v>
      </c>
      <c r="S51" s="132">
        <v>11730000</v>
      </c>
      <c r="T51" s="147">
        <f>SUM(L51,N51,P51,R51)</f>
        <v>201</v>
      </c>
      <c r="U51" s="148">
        <f t="shared" si="9"/>
        <v>10050</v>
      </c>
      <c r="V51" s="138" t="s">
        <v>82</v>
      </c>
      <c r="W51" s="149">
        <f t="shared" si="5"/>
        <v>11730000</v>
      </c>
      <c r="X51" s="148">
        <f t="shared" si="1"/>
        <v>99.89354907387694</v>
      </c>
      <c r="Y51" s="138" t="s">
        <v>82</v>
      </c>
      <c r="Z51" s="150">
        <f t="shared" si="2"/>
        <v>215</v>
      </c>
      <c r="AA51" s="149">
        <f t="shared" si="3"/>
        <v>23145000</v>
      </c>
      <c r="AB51" s="148"/>
      <c r="AC51" s="138" t="s">
        <v>82</v>
      </c>
      <c r="AD51" s="151"/>
      <c r="AE51" s="186"/>
    </row>
    <row r="52" spans="1:31" ht="75" customHeight="1" x14ac:dyDescent="0.25">
      <c r="A52" s="90"/>
      <c r="B52" s="97"/>
      <c r="C52" s="94" t="s">
        <v>68</v>
      </c>
      <c r="D52" s="106" t="s">
        <v>149</v>
      </c>
      <c r="E52" s="138">
        <v>100</v>
      </c>
      <c r="F52" s="139" t="s">
        <v>80</v>
      </c>
      <c r="G52" s="152">
        <f>25979000+31500000*2</f>
        <v>88979000</v>
      </c>
      <c r="H52" s="138">
        <v>200</v>
      </c>
      <c r="I52" s="141">
        <v>0</v>
      </c>
      <c r="J52" s="138">
        <v>2</v>
      </c>
      <c r="K52" s="171">
        <v>33477000</v>
      </c>
      <c r="L52" s="138">
        <v>0</v>
      </c>
      <c r="M52" s="143">
        <v>0</v>
      </c>
      <c r="N52" s="138">
        <v>1</v>
      </c>
      <c r="O52" s="144">
        <v>0</v>
      </c>
      <c r="P52" s="138">
        <v>100</v>
      </c>
      <c r="Q52" s="144">
        <v>0</v>
      </c>
      <c r="R52" s="138">
        <v>100</v>
      </c>
      <c r="S52" s="146">
        <v>11730000</v>
      </c>
      <c r="T52" s="147">
        <f>AVERAGE(L52,N52,P52,R52)</f>
        <v>50.25</v>
      </c>
      <c r="U52" s="148">
        <f t="shared" si="9"/>
        <v>2512.5</v>
      </c>
      <c r="V52" s="138" t="s">
        <v>82</v>
      </c>
      <c r="W52" s="149">
        <f t="shared" si="5"/>
        <v>11730000</v>
      </c>
      <c r="X52" s="148">
        <f t="shared" si="1"/>
        <v>35.038981987633299</v>
      </c>
      <c r="Y52" s="138" t="s">
        <v>82</v>
      </c>
      <c r="Z52" s="150">
        <f t="shared" si="2"/>
        <v>250.25</v>
      </c>
      <c r="AA52" s="149">
        <f t="shared" si="3"/>
        <v>11730000</v>
      </c>
      <c r="AB52" s="148"/>
      <c r="AC52" s="138" t="s">
        <v>82</v>
      </c>
      <c r="AD52" s="151"/>
      <c r="AE52" s="186"/>
    </row>
    <row r="53" spans="1:31" s="7" customFormat="1" ht="75" customHeight="1" x14ac:dyDescent="0.25">
      <c r="A53" s="90"/>
      <c r="B53" s="97"/>
      <c r="C53" s="92" t="s">
        <v>69</v>
      </c>
      <c r="D53" s="108" t="s">
        <v>91</v>
      </c>
      <c r="E53" s="129">
        <v>100</v>
      </c>
      <c r="F53" s="130" t="s">
        <v>82</v>
      </c>
      <c r="G53" s="131">
        <f>SUM(G54)</f>
        <v>130834257</v>
      </c>
      <c r="H53" s="129">
        <v>200</v>
      </c>
      <c r="I53" s="131">
        <f>SUM(I54)</f>
        <v>1000000</v>
      </c>
      <c r="J53" s="129">
        <v>100</v>
      </c>
      <c r="K53" s="181">
        <f>SUM(K54)</f>
        <v>43609550</v>
      </c>
      <c r="L53" s="129">
        <v>100</v>
      </c>
      <c r="M53" s="180">
        <f>M54+M57</f>
        <v>1377000</v>
      </c>
      <c r="N53" s="129">
        <v>100</v>
      </c>
      <c r="O53" s="132"/>
      <c r="P53" s="129">
        <v>100</v>
      </c>
      <c r="Q53" s="132">
        <v>5930000</v>
      </c>
      <c r="R53" s="129">
        <v>100</v>
      </c>
      <c r="S53" s="132">
        <v>35612573</v>
      </c>
      <c r="T53" s="134">
        <f>AVERAGE(L53,N53,P53,R53)</f>
        <v>100</v>
      </c>
      <c r="U53" s="135">
        <f t="shared" si="9"/>
        <v>100</v>
      </c>
      <c r="V53" s="129" t="s">
        <v>82</v>
      </c>
      <c r="W53" s="136">
        <f t="shared" si="5"/>
        <v>42919573</v>
      </c>
      <c r="X53" s="135">
        <f t="shared" si="1"/>
        <v>98.417830498136311</v>
      </c>
      <c r="Y53" s="129" t="s">
        <v>82</v>
      </c>
      <c r="Z53" s="157">
        <f t="shared" si="2"/>
        <v>300</v>
      </c>
      <c r="AA53" s="136">
        <f t="shared" si="3"/>
        <v>43919573</v>
      </c>
      <c r="AB53" s="135"/>
      <c r="AC53" s="129" t="s">
        <v>82</v>
      </c>
      <c r="AD53" s="137"/>
      <c r="AE53" s="186"/>
    </row>
    <row r="54" spans="1:31" ht="75" customHeight="1" x14ac:dyDescent="0.25">
      <c r="A54" s="90"/>
      <c r="B54" s="97"/>
      <c r="C54" s="94" t="s">
        <v>70</v>
      </c>
      <c r="D54" s="106" t="s">
        <v>150</v>
      </c>
      <c r="E54" s="138">
        <v>100</v>
      </c>
      <c r="F54" s="139" t="s">
        <v>80</v>
      </c>
      <c r="G54" s="140">
        <v>130834257</v>
      </c>
      <c r="H54" s="138">
        <v>200</v>
      </c>
      <c r="I54" s="141">
        <v>1000000</v>
      </c>
      <c r="J54" s="138">
        <v>7</v>
      </c>
      <c r="K54" s="171">
        <v>43609550</v>
      </c>
      <c r="L54" s="138">
        <v>0</v>
      </c>
      <c r="M54" s="180">
        <f>SUM(M55:M56)</f>
        <v>1377000</v>
      </c>
      <c r="N54" s="138">
        <v>0</v>
      </c>
      <c r="O54" s="132">
        <f>SUM(O55:O56)</f>
        <v>840000</v>
      </c>
      <c r="P54" s="138">
        <v>100</v>
      </c>
      <c r="Q54" s="132">
        <v>3670000</v>
      </c>
      <c r="R54" s="138">
        <v>100</v>
      </c>
      <c r="S54" s="132">
        <v>29147573</v>
      </c>
      <c r="T54" s="147">
        <f>SUM(L54,N54,P54,R54)</f>
        <v>200</v>
      </c>
      <c r="U54" s="148">
        <f t="shared" si="9"/>
        <v>2857.1428571428573</v>
      </c>
      <c r="V54" s="138" t="s">
        <v>82</v>
      </c>
      <c r="W54" s="149">
        <f t="shared" si="5"/>
        <v>35034573</v>
      </c>
      <c r="X54" s="148">
        <f t="shared" si="1"/>
        <v>80.336928493873472</v>
      </c>
      <c r="Y54" s="138" t="s">
        <v>82</v>
      </c>
      <c r="Z54" s="150">
        <f t="shared" si="2"/>
        <v>400</v>
      </c>
      <c r="AA54" s="149">
        <f t="shared" si="3"/>
        <v>36034573</v>
      </c>
      <c r="AB54" s="148"/>
      <c r="AC54" s="138" t="s">
        <v>82</v>
      </c>
      <c r="AD54" s="151"/>
      <c r="AE54" s="186"/>
    </row>
    <row r="55" spans="1:31" s="7" customFormat="1" ht="75" customHeight="1" x14ac:dyDescent="0.25">
      <c r="A55" s="90"/>
      <c r="B55" s="97"/>
      <c r="C55" s="92" t="s">
        <v>78</v>
      </c>
      <c r="D55" s="93" t="s">
        <v>113</v>
      </c>
      <c r="E55" s="129">
        <v>100</v>
      </c>
      <c r="F55" s="130" t="s">
        <v>82</v>
      </c>
      <c r="G55" s="131">
        <f>G56+G59</f>
        <v>1238249500</v>
      </c>
      <c r="H55" s="129">
        <v>200</v>
      </c>
      <c r="I55" s="131">
        <f>I56+I59</f>
        <v>701316000</v>
      </c>
      <c r="J55" s="129">
        <v>100</v>
      </c>
      <c r="K55" s="181">
        <f>K56+K59</f>
        <v>264816200</v>
      </c>
      <c r="L55" s="129">
        <f>L56</f>
        <v>0</v>
      </c>
      <c r="M55" s="163">
        <v>1377000</v>
      </c>
      <c r="N55" s="129"/>
      <c r="O55" s="167">
        <v>840000</v>
      </c>
      <c r="P55" s="129">
        <v>100</v>
      </c>
      <c r="Q55" s="167">
        <v>3670000</v>
      </c>
      <c r="R55" s="129">
        <v>100</v>
      </c>
      <c r="S55" s="132">
        <v>8747573</v>
      </c>
      <c r="T55" s="134">
        <f>AVERAGE(L55,N55,P55,R55)</f>
        <v>66.666666666666671</v>
      </c>
      <c r="U55" s="135">
        <f t="shared" si="9"/>
        <v>66.666666666666671</v>
      </c>
      <c r="V55" s="129" t="s">
        <v>82</v>
      </c>
      <c r="W55" s="136">
        <f t="shared" si="5"/>
        <v>14634573</v>
      </c>
      <c r="X55" s="135">
        <f t="shared" si="1"/>
        <v>5.5263133448784485</v>
      </c>
      <c r="Y55" s="129" t="s">
        <v>82</v>
      </c>
      <c r="Z55" s="157">
        <f t="shared" si="2"/>
        <v>266.66666666666669</v>
      </c>
      <c r="AA55" s="136">
        <f t="shared" si="3"/>
        <v>715950573</v>
      </c>
      <c r="AB55" s="135"/>
      <c r="AC55" s="129" t="s">
        <v>82</v>
      </c>
      <c r="AD55" s="137"/>
      <c r="AE55" s="186"/>
    </row>
    <row r="56" spans="1:31" s="7" customFormat="1" ht="75" customHeight="1" x14ac:dyDescent="0.25">
      <c r="A56" s="90"/>
      <c r="B56" s="97"/>
      <c r="C56" s="92" t="s">
        <v>71</v>
      </c>
      <c r="D56" s="93" t="s">
        <v>92</v>
      </c>
      <c r="E56" s="129">
        <v>100</v>
      </c>
      <c r="F56" s="130" t="s">
        <v>82</v>
      </c>
      <c r="G56" s="131">
        <f>SUM(G57:G58)</f>
        <v>130739500</v>
      </c>
      <c r="H56" s="129">
        <v>200</v>
      </c>
      <c r="I56" s="131">
        <f>SUM(I57:I58)</f>
        <v>47816000</v>
      </c>
      <c r="J56" s="129">
        <v>100</v>
      </c>
      <c r="K56" s="181">
        <f>SUM(K57:K58)</f>
        <v>37821400</v>
      </c>
      <c r="L56" s="129">
        <f>L58</f>
        <v>0</v>
      </c>
      <c r="M56" s="163">
        <v>0</v>
      </c>
      <c r="N56" s="129"/>
      <c r="O56" s="167">
        <v>0</v>
      </c>
      <c r="P56" s="129">
        <v>100</v>
      </c>
      <c r="Q56" s="167">
        <v>0</v>
      </c>
      <c r="R56" s="129">
        <v>100</v>
      </c>
      <c r="S56" s="132">
        <v>20400000</v>
      </c>
      <c r="T56" s="134">
        <f>AVERAGE(L56,N56,P56,R56)</f>
        <v>66.666666666666671</v>
      </c>
      <c r="U56" s="135">
        <f t="shared" si="9"/>
        <v>66.666666666666671</v>
      </c>
      <c r="V56" s="129" t="s">
        <v>82</v>
      </c>
      <c r="W56" s="136">
        <f t="shared" si="5"/>
        <v>20400000</v>
      </c>
      <c r="X56" s="135">
        <f t="shared" si="1"/>
        <v>53.937717799975673</v>
      </c>
      <c r="Y56" s="129" t="s">
        <v>82</v>
      </c>
      <c r="Z56" s="157">
        <f t="shared" si="2"/>
        <v>266.66666666666669</v>
      </c>
      <c r="AA56" s="136">
        <f t="shared" si="3"/>
        <v>68216000</v>
      </c>
      <c r="AB56" s="135"/>
      <c r="AC56" s="129" t="s">
        <v>82</v>
      </c>
      <c r="AD56" s="137"/>
      <c r="AE56" s="186"/>
    </row>
    <row r="57" spans="1:31" ht="75" customHeight="1" x14ac:dyDescent="0.25">
      <c r="A57" s="90"/>
      <c r="B57" s="97"/>
      <c r="C57" s="94" t="s">
        <v>72</v>
      </c>
      <c r="D57" s="109" t="s">
        <v>151</v>
      </c>
      <c r="E57" s="138">
        <v>100</v>
      </c>
      <c r="F57" s="139" t="s">
        <v>80</v>
      </c>
      <c r="G57" s="140">
        <v>130739500</v>
      </c>
      <c r="H57" s="138">
        <v>200</v>
      </c>
      <c r="I57" s="141">
        <v>47816000</v>
      </c>
      <c r="J57" s="138">
        <v>4</v>
      </c>
      <c r="K57" s="171">
        <v>30131200</v>
      </c>
      <c r="L57" s="138">
        <v>1</v>
      </c>
      <c r="M57" s="182">
        <f>SUM(M58)</f>
        <v>0</v>
      </c>
      <c r="N57" s="138">
        <v>1</v>
      </c>
      <c r="O57" s="132">
        <f>SUM(O58)</f>
        <v>159220000</v>
      </c>
      <c r="P57" s="138">
        <v>100</v>
      </c>
      <c r="Q57" s="132">
        <v>2260000</v>
      </c>
      <c r="R57" s="138">
        <v>100</v>
      </c>
      <c r="S57" s="132">
        <v>6456000</v>
      </c>
      <c r="T57" s="147">
        <f>AVERAGE(L57,N57,P57,R57)</f>
        <v>50.5</v>
      </c>
      <c r="U57" s="148">
        <f t="shared" si="9"/>
        <v>1262.5</v>
      </c>
      <c r="V57" s="138" t="s">
        <v>82</v>
      </c>
      <c r="W57" s="149">
        <f t="shared" si="5"/>
        <v>167936000</v>
      </c>
      <c r="X57" s="148">
        <f t="shared" si="1"/>
        <v>557.34919286321156</v>
      </c>
      <c r="Y57" s="138" t="s">
        <v>82</v>
      </c>
      <c r="Z57" s="150">
        <f t="shared" si="2"/>
        <v>250.5</v>
      </c>
      <c r="AA57" s="149">
        <f t="shared" si="3"/>
        <v>215752000</v>
      </c>
      <c r="AB57" s="148"/>
      <c r="AC57" s="138" t="s">
        <v>82</v>
      </c>
      <c r="AD57" s="151"/>
      <c r="AE57" s="186"/>
    </row>
    <row r="58" spans="1:31" ht="75" customHeight="1" x14ac:dyDescent="0.25">
      <c r="A58" s="90"/>
      <c r="B58" s="97"/>
      <c r="C58" s="94" t="s">
        <v>119</v>
      </c>
      <c r="D58" s="109" t="s">
        <v>152</v>
      </c>
      <c r="E58" s="138"/>
      <c r="F58" s="139" t="s">
        <v>136</v>
      </c>
      <c r="G58" s="140"/>
      <c r="H58" s="138"/>
      <c r="I58" s="141"/>
      <c r="J58" s="138">
        <v>6</v>
      </c>
      <c r="K58" s="171">
        <v>7690200</v>
      </c>
      <c r="L58" s="138">
        <v>0</v>
      </c>
      <c r="M58" s="143">
        <v>0</v>
      </c>
      <c r="N58" s="138">
        <v>0</v>
      </c>
      <c r="O58" s="144">
        <v>159220000</v>
      </c>
      <c r="P58" s="138">
        <v>100</v>
      </c>
      <c r="Q58" s="144">
        <v>2260000</v>
      </c>
      <c r="R58" s="138">
        <v>100</v>
      </c>
      <c r="S58" s="146">
        <v>6456000</v>
      </c>
      <c r="T58" s="147">
        <f>AVERAGE(L58,N58,P58,R58)</f>
        <v>50</v>
      </c>
      <c r="U58" s="148">
        <f t="shared" si="9"/>
        <v>833.33333333333337</v>
      </c>
      <c r="V58" s="138" t="s">
        <v>82</v>
      </c>
      <c r="W58" s="149">
        <f t="shared" si="5"/>
        <v>167936000</v>
      </c>
      <c r="X58" s="148">
        <f t="shared" si="1"/>
        <v>2183.7663519804428</v>
      </c>
      <c r="Y58" s="138" t="s">
        <v>82</v>
      </c>
      <c r="Z58" s="150">
        <f t="shared" si="2"/>
        <v>50</v>
      </c>
      <c r="AA58" s="149">
        <f t="shared" si="3"/>
        <v>167936000</v>
      </c>
      <c r="AB58" s="148"/>
      <c r="AC58" s="138" t="s">
        <v>82</v>
      </c>
      <c r="AD58" s="151"/>
      <c r="AE58" s="186"/>
    </row>
    <row r="59" spans="1:31" s="7" customFormat="1" ht="75" customHeight="1" x14ac:dyDescent="0.25">
      <c r="A59" s="90"/>
      <c r="B59" s="97"/>
      <c r="C59" s="92" t="s">
        <v>73</v>
      </c>
      <c r="D59" s="93" t="s">
        <v>93</v>
      </c>
      <c r="E59" s="129">
        <f>E60</f>
        <v>13</v>
      </c>
      <c r="F59" s="130" t="s">
        <v>90</v>
      </c>
      <c r="G59" s="131">
        <f>SUM(G60)</f>
        <v>1107510000</v>
      </c>
      <c r="H59" s="157">
        <v>3</v>
      </c>
      <c r="I59" s="131">
        <f>SUM(I60)</f>
        <v>653500000</v>
      </c>
      <c r="J59" s="129">
        <f>J60</f>
        <v>1003</v>
      </c>
      <c r="K59" s="181">
        <f>SUM(K60)</f>
        <v>226994800</v>
      </c>
      <c r="L59" s="129">
        <v>0</v>
      </c>
      <c r="M59" s="182">
        <v>0</v>
      </c>
      <c r="N59" s="129"/>
      <c r="O59" s="183">
        <f>O60</f>
        <v>158755000</v>
      </c>
      <c r="P59" s="129">
        <v>100</v>
      </c>
      <c r="Q59" s="183">
        <f>Q60</f>
        <v>0</v>
      </c>
      <c r="R59" s="129">
        <v>100</v>
      </c>
      <c r="S59" s="182">
        <f>S60</f>
        <v>167945000</v>
      </c>
      <c r="T59" s="134">
        <f>SUM(L59,N59,P59,R59)</f>
        <v>200</v>
      </c>
      <c r="U59" s="135">
        <f t="shared" si="9"/>
        <v>19.940179461615156</v>
      </c>
      <c r="V59" s="129" t="s">
        <v>82</v>
      </c>
      <c r="W59" s="136">
        <f t="shared" si="5"/>
        <v>326700000</v>
      </c>
      <c r="X59" s="157">
        <f t="shared" si="1"/>
        <v>143.92400178330075</v>
      </c>
      <c r="Y59" s="129" t="s">
        <v>82</v>
      </c>
      <c r="Z59" s="157">
        <f t="shared" si="2"/>
        <v>203</v>
      </c>
      <c r="AA59" s="136">
        <f t="shared" si="3"/>
        <v>980200000</v>
      </c>
      <c r="AB59" s="135"/>
      <c r="AC59" s="129" t="s">
        <v>82</v>
      </c>
      <c r="AD59" s="137"/>
      <c r="AE59" s="186"/>
    </row>
    <row r="60" spans="1:31" ht="75" customHeight="1" x14ac:dyDescent="0.25">
      <c r="A60" s="90"/>
      <c r="B60" s="97"/>
      <c r="C60" s="94" t="s">
        <v>74</v>
      </c>
      <c r="D60" s="95" t="s">
        <v>153</v>
      </c>
      <c r="E60" s="138">
        <f>3+5+5</f>
        <v>13</v>
      </c>
      <c r="F60" s="139" t="s">
        <v>126</v>
      </c>
      <c r="G60" s="140">
        <v>1107510000</v>
      </c>
      <c r="H60" s="150">
        <v>3</v>
      </c>
      <c r="I60" s="141">
        <v>653500000</v>
      </c>
      <c r="J60" s="138">
        <v>1003</v>
      </c>
      <c r="K60" s="171">
        <v>226994800</v>
      </c>
      <c r="L60" s="138">
        <v>0</v>
      </c>
      <c r="M60" s="143">
        <v>0</v>
      </c>
      <c r="N60" s="138">
        <v>1003</v>
      </c>
      <c r="O60" s="184">
        <v>158755000</v>
      </c>
      <c r="P60" s="138">
        <v>100</v>
      </c>
      <c r="Q60" s="184">
        <v>0</v>
      </c>
      <c r="R60" s="138">
        <v>100</v>
      </c>
      <c r="S60" s="143">
        <v>167945000</v>
      </c>
      <c r="T60" s="147">
        <f>SUM(L60,N60,P60,R60)</f>
        <v>1203</v>
      </c>
      <c r="U60" s="148">
        <f t="shared" si="9"/>
        <v>119.94017946161514</v>
      </c>
      <c r="V60" s="138" t="s">
        <v>82</v>
      </c>
      <c r="W60" s="149">
        <f t="shared" si="5"/>
        <v>326700000</v>
      </c>
      <c r="X60" s="150">
        <f t="shared" si="1"/>
        <v>143.92400178330075</v>
      </c>
      <c r="Y60" s="138" t="s">
        <v>82</v>
      </c>
      <c r="Z60" s="150">
        <f t="shared" si="2"/>
        <v>1206</v>
      </c>
      <c r="AA60" s="149">
        <f t="shared" si="3"/>
        <v>980200000</v>
      </c>
      <c r="AB60" s="148"/>
      <c r="AC60" s="138" t="s">
        <v>82</v>
      </c>
      <c r="AD60" s="151"/>
      <c r="AE60" s="186"/>
    </row>
    <row r="61" spans="1:31" ht="15.75" x14ac:dyDescent="0.25">
      <c r="A61" s="110" t="s">
        <v>31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2"/>
      <c r="Q61" s="112"/>
      <c r="R61" s="112"/>
      <c r="S61" s="112"/>
      <c r="T61" s="111"/>
      <c r="U61" s="113">
        <f>AVERAGE(U16:U60)</f>
        <v>536.54837343972918</v>
      </c>
      <c r="V61" s="114"/>
      <c r="W61" s="115"/>
      <c r="X61" s="113">
        <f>AVERAGE(X16,X44,X55)</f>
        <v>33.233829192764993</v>
      </c>
      <c r="Y61" s="114"/>
      <c r="Z61" s="116"/>
      <c r="AA61" s="116"/>
      <c r="AB61" s="116"/>
      <c r="AC61" s="114"/>
      <c r="AD61" s="117"/>
      <c r="AE61" s="186"/>
    </row>
    <row r="62" spans="1:31" ht="30.75" x14ac:dyDescent="0.25">
      <c r="A62" s="110" t="s">
        <v>32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8" t="str">
        <f>IF(U61&gt;=91,"Sangat Tinggi",IF(U61&gt;=76,"Tinggi",IF(U61&gt;=66,"Sedang",IF(U61&gt;=50.01,"Rendah",IF(U61&lt;=50,"Sangat Rendah")))))</f>
        <v>Sangat Tinggi</v>
      </c>
      <c r="V62" s="114"/>
      <c r="W62" s="119"/>
      <c r="X62" s="118" t="str">
        <f>IF(X61&gt;=91,"Sangat Tinggi",IF(X61&gt;=76,"Tinggi",IF(X61&gt;=66,"Sedang",IF(X61&gt;=51,"Rendah",IF(X61&lt;=50,"Sangat Rendah")))))</f>
        <v>Sangat Rendah</v>
      </c>
      <c r="Y62" s="114"/>
      <c r="Z62" s="120"/>
      <c r="AA62" s="121"/>
      <c r="AB62" s="120"/>
      <c r="AC62" s="114"/>
      <c r="AD62" s="122"/>
      <c r="AE62" s="186"/>
    </row>
    <row r="63" spans="1:31" ht="15.75" x14ac:dyDescent="0.25">
      <c r="A63" s="123" t="s">
        <v>104</v>
      </c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86"/>
    </row>
    <row r="64" spans="1:31" s="4" customFormat="1" ht="14.1" customHeight="1" x14ac:dyDescent="0.25">
      <c r="A64" s="124" t="s">
        <v>105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86"/>
    </row>
    <row r="65" spans="1:31" s="4" customFormat="1" x14ac:dyDescent="0.25">
      <c r="A65" s="124" t="s">
        <v>94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86"/>
    </row>
    <row r="66" spans="1:31" s="4" customFormat="1" x14ac:dyDescent="0.25">
      <c r="A66" s="125" t="s">
        <v>102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7"/>
      <c r="AE66" s="186"/>
    </row>
    <row r="67" spans="1:31" s="4" customFormat="1" ht="15.75" x14ac:dyDescent="0.25">
      <c r="A67" s="128" t="s">
        <v>95</v>
      </c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86"/>
    </row>
    <row r="68" spans="1:31" s="4" customFormat="1" x14ac:dyDescent="0.25">
      <c r="A68" s="125" t="s">
        <v>96</v>
      </c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7"/>
      <c r="AE68" s="186"/>
    </row>
    <row r="69" spans="1:31" s="4" customFormat="1" x14ac:dyDescent="0.25">
      <c r="A69" s="125" t="s">
        <v>100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7"/>
      <c r="AE69" s="186"/>
    </row>
    <row r="70" spans="1:31" s="4" customFormat="1" x14ac:dyDescent="0.25">
      <c r="A70" s="125" t="s">
        <v>97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7"/>
      <c r="AE70" s="186"/>
    </row>
    <row r="71" spans="1:31" s="4" customFormat="1" x14ac:dyDescent="0.25">
      <c r="A71" s="125" t="s">
        <v>98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7"/>
      <c r="AE71" s="186"/>
    </row>
    <row r="72" spans="1:31" s="4" customFormat="1" x14ac:dyDescent="0.25">
      <c r="A72" s="125" t="s">
        <v>103</v>
      </c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7"/>
      <c r="AE72" s="186"/>
    </row>
    <row r="73" spans="1:31" ht="15.75" x14ac:dyDescent="0.25">
      <c r="A73" s="128" t="s">
        <v>106</v>
      </c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86"/>
    </row>
    <row r="74" spans="1:31" x14ac:dyDescent="0.25">
      <c r="A74" s="125" t="s">
        <v>99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7"/>
      <c r="AE74" s="186"/>
    </row>
    <row r="75" spans="1:31" x14ac:dyDescent="0.25">
      <c r="A75" s="125" t="s">
        <v>107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7"/>
      <c r="AE75" s="186"/>
    </row>
    <row r="76" spans="1:31" x14ac:dyDescent="0.25">
      <c r="A76" s="124" t="s">
        <v>101</v>
      </c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87"/>
    </row>
    <row r="77" spans="1:31" s="6" customFormat="1" ht="15.75" x14ac:dyDescent="0.25">
      <c r="A77" s="5"/>
      <c r="B77" s="5"/>
      <c r="C77" s="5"/>
      <c r="D77" s="5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2"/>
    </row>
  </sheetData>
  <mergeCells count="89">
    <mergeCell ref="A74:AD74"/>
    <mergeCell ref="A75:AD75"/>
    <mergeCell ref="AE16:AE17"/>
    <mergeCell ref="A61:T61"/>
    <mergeCell ref="A62:T62"/>
    <mergeCell ref="A63:AD63"/>
    <mergeCell ref="A64:AD64"/>
    <mergeCell ref="A65:AD65"/>
    <mergeCell ref="A66:AD66"/>
    <mergeCell ref="A67:AD67"/>
    <mergeCell ref="A68:AD68"/>
    <mergeCell ref="A69:AD69"/>
    <mergeCell ref="B16:B22"/>
    <mergeCell ref="A76:AD76"/>
    <mergeCell ref="A70:AD70"/>
    <mergeCell ref="A71:AD71"/>
    <mergeCell ref="A72:AD72"/>
    <mergeCell ref="A73:AD73"/>
    <mergeCell ref="A13:A15"/>
    <mergeCell ref="B13:B15"/>
    <mergeCell ref="C13:C15"/>
    <mergeCell ref="D13:D15"/>
    <mergeCell ref="E13:F15"/>
    <mergeCell ref="G13:G15"/>
    <mergeCell ref="R11:R12"/>
    <mergeCell ref="S11:S12"/>
    <mergeCell ref="U11:V11"/>
    <mergeCell ref="X11:Y11"/>
    <mergeCell ref="K11:K12"/>
    <mergeCell ref="H13:H15"/>
    <mergeCell ref="I13:I15"/>
    <mergeCell ref="J13:J15"/>
    <mergeCell ref="K13:K15"/>
    <mergeCell ref="L13:L15"/>
    <mergeCell ref="AB11:AC11"/>
    <mergeCell ref="U12:V12"/>
    <mergeCell ref="X12:Y12"/>
    <mergeCell ref="AB12:AC12"/>
    <mergeCell ref="L11:L12"/>
    <mergeCell ref="M11:M12"/>
    <mergeCell ref="N11:N12"/>
    <mergeCell ref="O11:O12"/>
    <mergeCell ref="P11:P12"/>
    <mergeCell ref="Q11:Q12"/>
    <mergeCell ref="E11:F12"/>
    <mergeCell ref="G11:G12"/>
    <mergeCell ref="H11:H12"/>
    <mergeCell ref="I11:I12"/>
    <mergeCell ref="J11:J12"/>
    <mergeCell ref="N10:O10"/>
    <mergeCell ref="P10:Q10"/>
    <mergeCell ref="R10:S10"/>
    <mergeCell ref="T10:Y10"/>
    <mergeCell ref="Z10:AA10"/>
    <mergeCell ref="AB10:AD10"/>
    <mergeCell ref="Z9:AA9"/>
    <mergeCell ref="AB9:AD9"/>
    <mergeCell ref="A10:A12"/>
    <mergeCell ref="B10:B12"/>
    <mergeCell ref="C10:C12"/>
    <mergeCell ref="D10:D12"/>
    <mergeCell ref="E10:G10"/>
    <mergeCell ref="H10:I10"/>
    <mergeCell ref="J10:K10"/>
    <mergeCell ref="L10:M10"/>
    <mergeCell ref="J9:K9"/>
    <mergeCell ref="L9:M9"/>
    <mergeCell ref="N9:O9"/>
    <mergeCell ref="P9:Q9"/>
    <mergeCell ref="R9:S9"/>
    <mergeCell ref="AB7:AD8"/>
    <mergeCell ref="AE7:AE8"/>
    <mergeCell ref="A7:A9"/>
    <mergeCell ref="B7:B9"/>
    <mergeCell ref="C7:C9"/>
    <mergeCell ref="D7:D9"/>
    <mergeCell ref="E7:G9"/>
    <mergeCell ref="H7:I9"/>
    <mergeCell ref="T9:Y9"/>
    <mergeCell ref="J7:K8"/>
    <mergeCell ref="L7:S8"/>
    <mergeCell ref="T7:Y8"/>
    <mergeCell ref="Z7:AA8"/>
    <mergeCell ref="A6:AD6"/>
    <mergeCell ref="A1:AD1"/>
    <mergeCell ref="A2:AD2"/>
    <mergeCell ref="A3:AD3"/>
    <mergeCell ref="A4:AD4"/>
    <mergeCell ref="A5:AD5"/>
  </mergeCells>
  <printOptions horizontalCentered="1" verticalCentered="1"/>
  <pageMargins left="0.25" right="0.25" top="0.75" bottom="0.75" header="0.3" footer="0.3"/>
  <pageSetup paperSize="5" scale="28" orientation="landscape" horizontalDpi="4294967293" r:id="rId1"/>
  <rowBreaks count="3" manualBreakCount="3">
    <brk id="29" max="30" man="1"/>
    <brk id="46" max="30" man="1"/>
    <brk id="57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Satpol PP dan Damkar (2)</vt:lpstr>
      <vt:lpstr>'Satpol PP dan Damkar (2)'!Print_Area</vt:lpstr>
      <vt:lpstr>'Satpol PP dan Damkar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PE</cp:lastModifiedBy>
  <cp:lastPrinted>2022-04-21T00:56:36Z</cp:lastPrinted>
  <dcterms:created xsi:type="dcterms:W3CDTF">2020-03-18T05:59:44Z</dcterms:created>
  <dcterms:modified xsi:type="dcterms:W3CDTF">2023-01-11T00:39:09Z</dcterms:modified>
</cp:coreProperties>
</file>