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Dinas PPKBPPPA" sheetId="1" r:id="rId1"/>
  </sheets>
  <definedNames>
    <definedName name="_xlnm.Print_Area" localSheetId="0">'Dinas PPKBPPPA'!$A$1:$AM$79</definedName>
    <definedName name="_xlnm.Print_Titles" localSheetId="0">'Dinas PPKBPPPA'!$7:$12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3" i="1" l="1"/>
  <c r="Z55" i="1" l="1"/>
  <c r="AE42" i="1"/>
  <c r="AG42" i="1"/>
  <c r="AB42" i="1"/>
  <c r="K38" i="1" l="1"/>
  <c r="K36" i="1"/>
  <c r="AB34" i="1" l="1"/>
  <c r="AG34" i="1"/>
  <c r="W34" i="1"/>
  <c r="Z42" i="1"/>
  <c r="AG43" i="1"/>
  <c r="AB44" i="1"/>
  <c r="AB54" i="1"/>
  <c r="W54" i="1"/>
  <c r="AB55" i="1"/>
  <c r="AE59" i="1"/>
  <c r="AB56" i="1"/>
  <c r="N38" i="1"/>
  <c r="Q38" i="1"/>
  <c r="AB36" i="1"/>
  <c r="W55" i="1" l="1"/>
  <c r="Z43" i="1"/>
  <c r="W43" i="1"/>
  <c r="Z40" i="1"/>
  <c r="T40" i="1"/>
  <c r="Z38" i="1"/>
  <c r="W38" i="1"/>
  <c r="Y54" i="1" l="1"/>
  <c r="Y29" i="1"/>
  <c r="Y24" i="1"/>
  <c r="W14" i="1"/>
  <c r="Y42" i="1"/>
  <c r="Y40" i="1"/>
  <c r="Y38" i="1"/>
  <c r="Y36" i="1"/>
  <c r="Y34" i="1"/>
  <c r="Y17" i="1"/>
  <c r="Y13" i="1"/>
  <c r="M38" i="1" l="1"/>
  <c r="M54" i="1" l="1"/>
  <c r="H43" i="1" l="1"/>
  <c r="Z39" i="1" l="1"/>
  <c r="AG40" i="1"/>
  <c r="AB40" i="1"/>
  <c r="AG44" i="1"/>
  <c r="Z44" i="1"/>
  <c r="Z56" i="1"/>
  <c r="T55" i="1"/>
  <c r="T43" i="1" l="1"/>
  <c r="T42" i="1"/>
  <c r="T38" i="1"/>
  <c r="T36" i="1"/>
  <c r="T14" i="1"/>
  <c r="Q14" i="1" l="1"/>
  <c r="N14" i="1"/>
  <c r="V54" i="1"/>
  <c r="V42" i="1"/>
  <c r="V40" i="1"/>
  <c r="V38" i="1"/>
  <c r="V36" i="1"/>
  <c r="V34" i="1"/>
  <c r="V29" i="1"/>
  <c r="V24" i="1"/>
  <c r="V17" i="1"/>
  <c r="V13" i="1"/>
  <c r="S54" i="1" l="1"/>
  <c r="P54" i="1"/>
  <c r="J54" i="1"/>
  <c r="K54" i="1" l="1"/>
  <c r="Q43" i="1"/>
  <c r="N43" i="1"/>
  <c r="Q42" i="1"/>
  <c r="N42" i="1"/>
  <c r="Q40" i="1"/>
  <c r="S24" i="1" l="1"/>
  <c r="S17" i="1"/>
  <c r="S42" i="1"/>
  <c r="S40" i="1"/>
  <c r="S38" i="1"/>
  <c r="S36" i="1"/>
  <c r="S34" i="1"/>
  <c r="S29" i="1"/>
  <c r="S13" i="1"/>
  <c r="K34" i="1" l="1"/>
  <c r="J24" i="1" l="1"/>
  <c r="J17" i="1"/>
  <c r="J40" i="1" l="1"/>
  <c r="J38" i="1"/>
  <c r="J36" i="1"/>
  <c r="J34" i="1"/>
  <c r="H55" i="1" l="1"/>
  <c r="H54" i="1"/>
  <c r="H42" i="1"/>
  <c r="N40" i="1"/>
  <c r="H40" i="1"/>
  <c r="H38" i="1"/>
  <c r="H36" i="1"/>
  <c r="H34" i="1"/>
  <c r="Z54" i="1" l="1"/>
  <c r="P42" i="1" l="1"/>
  <c r="P40" i="1"/>
  <c r="P38" i="1"/>
  <c r="P36" i="1"/>
  <c r="P34" i="1"/>
  <c r="P29" i="1"/>
  <c r="P24" i="1"/>
  <c r="P17" i="1"/>
  <c r="AI58" i="1"/>
  <c r="AL58" i="1" s="1"/>
  <c r="AG58" i="1"/>
  <c r="AJ58" i="1" s="1"/>
  <c r="AI53" i="1"/>
  <c r="AL53" i="1" s="1"/>
  <c r="AG53" i="1"/>
  <c r="AJ53" i="1" s="1"/>
  <c r="E33" i="1"/>
  <c r="AI33" i="1"/>
  <c r="AL33" i="1" s="1"/>
  <c r="AG33" i="1"/>
  <c r="AJ33" i="1" s="1"/>
  <c r="J29" i="1"/>
  <c r="E27" i="1"/>
  <c r="J42" i="1"/>
  <c r="G42" i="1"/>
  <c r="E50" i="1"/>
  <c r="E49" i="1"/>
  <c r="E48" i="1"/>
  <c r="E47" i="1"/>
  <c r="E46" i="1"/>
  <c r="E45" i="1"/>
  <c r="E32" i="1"/>
  <c r="E30" i="1"/>
  <c r="E31" i="1"/>
  <c r="G54" i="1" l="1"/>
  <c r="G40" i="1"/>
  <c r="G38" i="1"/>
  <c r="G36" i="1"/>
  <c r="G34" i="1"/>
  <c r="G29" i="1"/>
  <c r="E28" i="1"/>
  <c r="E25" i="1"/>
  <c r="G24" i="1"/>
  <c r="E20" i="1"/>
  <c r="E19" i="1"/>
  <c r="E21" i="1"/>
  <c r="E22" i="1"/>
  <c r="E23" i="1"/>
  <c r="E18" i="1"/>
  <c r="G17" i="1"/>
  <c r="E16" i="1"/>
  <c r="E15" i="1"/>
  <c r="G13" i="1"/>
  <c r="J13" i="1"/>
  <c r="P13" i="1"/>
  <c r="M13" i="1"/>
  <c r="AG55" i="1" l="1"/>
  <c r="Z50" i="1"/>
  <c r="M42" i="1"/>
  <c r="M40" i="1"/>
  <c r="M36" i="1"/>
  <c r="M34" i="1"/>
  <c r="M29" i="1"/>
  <c r="AD32" i="1"/>
  <c r="Z32" i="1"/>
  <c r="AD31" i="1"/>
  <c r="Z31" i="1"/>
  <c r="AB31" i="1" s="1"/>
  <c r="M24" i="1"/>
  <c r="AD28" i="1"/>
  <c r="Z28" i="1"/>
  <c r="AD27" i="1"/>
  <c r="Z27" i="1"/>
  <c r="M17" i="1"/>
  <c r="AJ43" i="1" l="1"/>
  <c r="AG28" i="1"/>
  <c r="AJ28" i="1" s="1"/>
  <c r="AB28" i="1"/>
  <c r="AI28" i="1"/>
  <c r="AL28" i="1" s="1"/>
  <c r="AE28" i="1"/>
  <c r="AG27" i="1"/>
  <c r="AJ27" i="1" s="1"/>
  <c r="AB27" i="1"/>
  <c r="AI32" i="1"/>
  <c r="AL32" i="1" s="1"/>
  <c r="AE32" i="1"/>
  <c r="AG50" i="1"/>
  <c r="AJ50" i="1" s="1"/>
  <c r="AB50" i="1"/>
  <c r="AI31" i="1"/>
  <c r="AL31" i="1" s="1"/>
  <c r="AE31" i="1"/>
  <c r="AG32" i="1"/>
  <c r="AJ32" i="1" s="1"/>
  <c r="AB32" i="1"/>
  <c r="AI27" i="1"/>
  <c r="AL27" i="1" s="1"/>
  <c r="AE27" i="1"/>
  <c r="AG31" i="1"/>
  <c r="AJ31" i="1" s="1"/>
  <c r="AJ55" i="1"/>
  <c r="Z14" i="1"/>
  <c r="AG14" i="1" l="1"/>
  <c r="AJ14" i="1" s="1"/>
  <c r="AB14" i="1"/>
  <c r="AD57" i="1"/>
  <c r="Z57" i="1"/>
  <c r="AD56" i="1"/>
  <c r="AD54" i="1"/>
  <c r="AG54" i="1"/>
  <c r="AD52" i="1"/>
  <c r="Z52" i="1"/>
  <c r="AD51" i="1"/>
  <c r="Z51" i="1"/>
  <c r="AD49" i="1"/>
  <c r="Z49" i="1"/>
  <c r="AD48" i="1"/>
  <c r="Z48" i="1"/>
  <c r="AD47" i="1"/>
  <c r="Z47" i="1"/>
  <c r="AD46" i="1"/>
  <c r="Z46" i="1"/>
  <c r="AD45" i="1"/>
  <c r="Z45" i="1"/>
  <c r="AD44" i="1"/>
  <c r="AD42" i="1"/>
  <c r="AD41" i="1"/>
  <c r="Z41" i="1"/>
  <c r="AD40" i="1"/>
  <c r="AD39" i="1"/>
  <c r="AD38" i="1"/>
  <c r="AE38" i="1" s="1"/>
  <c r="AG38" i="1"/>
  <c r="AB38" i="1" s="1"/>
  <c r="AD37" i="1"/>
  <c r="Z37" i="1"/>
  <c r="AD36" i="1"/>
  <c r="Z36" i="1"/>
  <c r="AG36" i="1" s="1"/>
  <c r="AD35" i="1"/>
  <c r="Z35" i="1"/>
  <c r="AD34" i="1"/>
  <c r="Z34" i="1"/>
  <c r="AD30" i="1"/>
  <c r="Z30" i="1"/>
  <c r="AD29" i="1"/>
  <c r="Z29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Z15" i="1"/>
  <c r="AD16" i="1"/>
  <c r="Z16" i="1"/>
  <c r="AP13" i="1"/>
  <c r="AD13" i="1"/>
  <c r="Z13" i="1"/>
  <c r="AJ54" i="1" l="1"/>
  <c r="AI15" i="1"/>
  <c r="AL15" i="1" s="1"/>
  <c r="AE15" i="1"/>
  <c r="AG21" i="1"/>
  <c r="AJ21" i="1" s="1"/>
  <c r="AB21" i="1"/>
  <c r="AI24" i="1"/>
  <c r="AL24" i="1" s="1"/>
  <c r="AE24" i="1"/>
  <c r="AI30" i="1"/>
  <c r="AL30" i="1" s="1"/>
  <c r="AE30" i="1"/>
  <c r="AI37" i="1"/>
  <c r="AL37" i="1" s="1"/>
  <c r="AE37" i="1"/>
  <c r="AI44" i="1"/>
  <c r="AL44" i="1" s="1"/>
  <c r="AE44" i="1"/>
  <c r="AI51" i="1"/>
  <c r="AL51" i="1" s="1"/>
  <c r="AE51" i="1"/>
  <c r="AI57" i="1"/>
  <c r="AL57" i="1" s="1"/>
  <c r="AE57" i="1"/>
  <c r="AG17" i="1"/>
  <c r="AJ17" i="1" s="1"/>
  <c r="AB17" i="1"/>
  <c r="AG20" i="1"/>
  <c r="AJ20" i="1" s="1"/>
  <c r="AI21" i="1"/>
  <c r="AL21" i="1" s="1"/>
  <c r="AE21" i="1"/>
  <c r="AG23" i="1"/>
  <c r="AJ23" i="1" s="1"/>
  <c r="AB23" i="1"/>
  <c r="AG25" i="1"/>
  <c r="AJ25" i="1" s="1"/>
  <c r="AB25" i="1"/>
  <c r="AG29" i="1"/>
  <c r="AJ29" i="1" s="1"/>
  <c r="AB29" i="1"/>
  <c r="AJ34" i="1"/>
  <c r="AJ38" i="1"/>
  <c r="AJ40" i="1"/>
  <c r="AG45" i="1"/>
  <c r="AJ45" i="1" s="1"/>
  <c r="AB45" i="1"/>
  <c r="AG47" i="1"/>
  <c r="AJ47" i="1" s="1"/>
  <c r="AB47" i="1"/>
  <c r="AG49" i="1"/>
  <c r="AJ49" i="1" s="1"/>
  <c r="AB49" i="1"/>
  <c r="AG52" i="1"/>
  <c r="AJ52" i="1" s="1"/>
  <c r="AB52" i="1"/>
  <c r="AG56" i="1"/>
  <c r="AI18" i="1"/>
  <c r="AL18" i="1" s="1"/>
  <c r="AE18" i="1"/>
  <c r="AI22" i="1"/>
  <c r="AL22" i="1" s="1"/>
  <c r="AE22" i="1"/>
  <c r="AI26" i="1"/>
  <c r="AL26" i="1" s="1"/>
  <c r="AE26" i="1"/>
  <c r="AI35" i="1"/>
  <c r="AL35" i="1" s="1"/>
  <c r="AE35" i="1"/>
  <c r="AI39" i="1"/>
  <c r="AL39" i="1" s="1"/>
  <c r="AE39" i="1"/>
  <c r="AI46" i="1"/>
  <c r="AL46" i="1" s="1"/>
  <c r="AE46" i="1"/>
  <c r="AI48" i="1"/>
  <c r="AL48" i="1" s="1"/>
  <c r="AE48" i="1"/>
  <c r="AI54" i="1"/>
  <c r="AL54" i="1" s="1"/>
  <c r="AE54" i="1"/>
  <c r="AG16" i="1"/>
  <c r="AJ16" i="1" s="1"/>
  <c r="AB16" i="1"/>
  <c r="AI16" i="1"/>
  <c r="AL16" i="1" s="1"/>
  <c r="AE16" i="1"/>
  <c r="AI17" i="1"/>
  <c r="AL17" i="1" s="1"/>
  <c r="AE17" i="1"/>
  <c r="AG19" i="1"/>
  <c r="AJ19" i="1" s="1"/>
  <c r="AB19" i="1"/>
  <c r="AI20" i="1"/>
  <c r="AL20" i="1" s="1"/>
  <c r="AI23" i="1"/>
  <c r="AL23" i="1" s="1"/>
  <c r="AE23" i="1"/>
  <c r="AI25" i="1"/>
  <c r="AL25" i="1" s="1"/>
  <c r="AE25" i="1"/>
  <c r="AI29" i="1"/>
  <c r="AL29" i="1" s="1"/>
  <c r="AE29" i="1"/>
  <c r="AI34" i="1"/>
  <c r="AL34" i="1" s="1"/>
  <c r="AE34" i="1"/>
  <c r="AI36" i="1"/>
  <c r="AL36" i="1" s="1"/>
  <c r="AE36" i="1"/>
  <c r="AI38" i="1"/>
  <c r="AL38" i="1" s="1"/>
  <c r="AI40" i="1"/>
  <c r="AL40" i="1" s="1"/>
  <c r="AE40" i="1"/>
  <c r="AI42" i="1"/>
  <c r="AL42" i="1" s="1"/>
  <c r="AI45" i="1"/>
  <c r="AL45" i="1" s="1"/>
  <c r="AE45" i="1"/>
  <c r="AI47" i="1"/>
  <c r="AL47" i="1" s="1"/>
  <c r="AE47" i="1"/>
  <c r="AI49" i="1"/>
  <c r="AL49" i="1" s="1"/>
  <c r="AE49" i="1"/>
  <c r="AI52" i="1"/>
  <c r="AL52" i="1" s="1"/>
  <c r="AE52" i="1"/>
  <c r="AI56" i="1"/>
  <c r="AL56" i="1" s="1"/>
  <c r="AE56" i="1"/>
  <c r="AI41" i="1"/>
  <c r="AL41" i="1" s="1"/>
  <c r="AE41" i="1"/>
  <c r="AI13" i="1"/>
  <c r="AL13" i="1" s="1"/>
  <c r="AE13" i="1"/>
  <c r="AG15" i="1"/>
  <c r="AJ15" i="1" s="1"/>
  <c r="AB15" i="1"/>
  <c r="AG18" i="1"/>
  <c r="AJ18" i="1" s="1"/>
  <c r="AB18" i="1"/>
  <c r="AI19" i="1"/>
  <c r="AL19" i="1" s="1"/>
  <c r="AE19" i="1"/>
  <c r="AG22" i="1"/>
  <c r="AJ22" i="1" s="1"/>
  <c r="AB22" i="1"/>
  <c r="AG24" i="1"/>
  <c r="AJ24" i="1" s="1"/>
  <c r="AB24" i="1"/>
  <c r="AG26" i="1"/>
  <c r="AJ26" i="1" s="1"/>
  <c r="AB26" i="1"/>
  <c r="AG30" i="1"/>
  <c r="AJ30" i="1" s="1"/>
  <c r="AB30" i="1"/>
  <c r="AG35" i="1"/>
  <c r="AJ35" i="1" s="1"/>
  <c r="AB35" i="1"/>
  <c r="AG37" i="1"/>
  <c r="AJ37" i="1" s="1"/>
  <c r="AB37" i="1"/>
  <c r="AG39" i="1"/>
  <c r="AJ39" i="1" s="1"/>
  <c r="AB39" i="1"/>
  <c r="AG41" i="1"/>
  <c r="AJ41" i="1" s="1"/>
  <c r="AB41" i="1"/>
  <c r="AJ44" i="1"/>
  <c r="AG46" i="1"/>
  <c r="AJ46" i="1" s="1"/>
  <c r="AB46" i="1"/>
  <c r="AG48" i="1"/>
  <c r="AJ48" i="1" s="1"/>
  <c r="AB48" i="1"/>
  <c r="AG51" i="1"/>
  <c r="AJ51" i="1" s="1"/>
  <c r="AB51" i="1"/>
  <c r="AG57" i="1"/>
  <c r="AJ57" i="1" s="1"/>
  <c r="AB57" i="1"/>
  <c r="AJ36" i="1"/>
  <c r="AG13" i="1"/>
  <c r="AJ56" i="1" l="1"/>
  <c r="AJ42" i="1"/>
  <c r="AB59" i="1"/>
  <c r="AE60" i="1"/>
  <c r="AJ13" i="1"/>
  <c r="AB13" i="1"/>
  <c r="AB60" i="1" l="1"/>
</calcChain>
</file>

<file path=xl/comments1.xml><?xml version="1.0" encoding="utf-8"?>
<comments xmlns="http://schemas.openxmlformats.org/spreadsheetml/2006/main">
  <authors>
    <author>W10 PRO</author>
  </authors>
  <commentList>
    <comment ref="H34" authorId="0" shapeId="0">
      <text>
        <r>
          <rPr>
            <b/>
            <sz val="11"/>
            <color indexed="81"/>
            <rFont val="Tahoma"/>
            <family val="2"/>
          </rPr>
          <t>Jumlah SKPD yg perencanaan dan penganggaran responsif gender/jumlah seluruh SKPD dikali 100</t>
        </r>
      </text>
    </comment>
    <comment ref="H36" authorId="0" shapeId="0">
      <text>
        <r>
          <rPr>
            <b/>
            <sz val="11"/>
            <color indexed="81"/>
            <rFont val="Tahoma"/>
            <family val="2"/>
          </rPr>
          <t>Jumlah organisasi perempuan penyedia pelayanan perlindungan perempuan yg dibina/jumlah organisasi perempuan di kab.hss dikali 100</t>
        </r>
      </text>
    </comment>
    <comment ref="K36" authorId="0" shapeId="0">
      <text>
        <r>
          <rPr>
            <b/>
            <sz val="11"/>
            <color indexed="81"/>
            <rFont val="Tahoma"/>
            <family val="2"/>
          </rPr>
          <t>Jumlah organisasi perempuan penyedia pelayanan perlindungan perempuan yg dibina/jumlah organisasi perempuan di kab.hss dikali 100</t>
        </r>
      </text>
    </comment>
    <comment ref="H38" authorId="0" shapeId="0">
      <text>
        <r>
          <rPr>
            <b/>
            <sz val="11"/>
            <color indexed="81"/>
            <rFont val="Tahoma"/>
            <family val="2"/>
          </rPr>
          <t>Jumlah indikator yg terpenuhi/jumlah seluruh indikator dikali 100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</rPr>
          <t>Jumlah indikator yg terpenuhi/jumlah seluruh indikator dikali 100</t>
        </r>
      </text>
    </comment>
    <comment ref="H40" authorId="0" shapeId="0">
      <text>
        <r>
          <rPr>
            <b/>
            <sz val="11"/>
            <color indexed="81"/>
            <rFont val="Tahoma"/>
            <family val="2"/>
          </rPr>
          <t>jumlah kasus kekerasan terhadap anak yg ditindaklanjuti/jumlah kasus kekerasan terhadap anak yg dilaporkan dikali 100</t>
        </r>
      </text>
    </comment>
    <comment ref="H42" authorId="0" shapeId="0">
      <text>
        <r>
          <rPr>
            <b/>
            <sz val="11"/>
            <color indexed="81"/>
            <rFont val="Tahoma"/>
            <family val="2"/>
          </rPr>
          <t>jumlah organisasi yg menindaklanjuti kesepakatan PUP/Jumlah organisasi yg menyepakati PUP dikali 100</t>
        </r>
      </text>
    </comment>
    <comment ref="H43" authorId="0" shapeId="0">
      <text>
        <r>
          <rPr>
            <b/>
            <sz val="12"/>
            <color indexed="81"/>
            <rFont val="Tahoma"/>
            <family val="2"/>
          </rPr>
          <t>jumlah peserta KB aktif/jumlah PUS dikali 100</t>
        </r>
      </text>
    </comment>
    <comment ref="H54" authorId="0" shapeId="0">
      <text>
        <r>
          <rPr>
            <b/>
            <sz val="11"/>
            <color indexed="81"/>
            <rFont val="Tahoma"/>
            <family val="2"/>
          </rPr>
          <t>jumlah instansi KB yg menyelenggarakan kegiatan sinkronisasi dan keterpaduan program KKBPK/jumlah instansi KB dikali 100</t>
        </r>
      </text>
    </comment>
    <comment ref="H55" authorId="0" shapeId="0">
      <text>
        <r>
          <rPr>
            <b/>
            <sz val="11"/>
            <color indexed="81"/>
            <rFont val="Tahoma"/>
            <family val="2"/>
          </rPr>
          <t>Jumlah kelompok kegiatan ketahanan keluarga yg aktif/jumlah kelompok kegiatan ketahanan keluarga dikali 100</t>
        </r>
      </text>
    </comment>
    <comment ref="T56" authorId="0" shapeId="0">
      <text>
        <r>
          <rPr>
            <b/>
            <sz val="12"/>
            <color indexed="81"/>
            <rFont val="Tahoma"/>
            <family val="2"/>
          </rPr>
          <t>197 total kelompok</t>
        </r>
      </text>
    </comment>
    <comment ref="W56" authorId="0" shapeId="0">
      <text>
        <r>
          <rPr>
            <b/>
            <sz val="12"/>
            <color indexed="81"/>
            <rFont val="Tahoma"/>
            <family val="2"/>
          </rPr>
          <t>197 total kelompok</t>
        </r>
      </text>
    </comment>
  </commentList>
</comments>
</file>

<file path=xl/sharedStrings.xml><?xml version="1.0" encoding="utf-8"?>
<sst xmlns="http://schemas.openxmlformats.org/spreadsheetml/2006/main" count="696" uniqueCount="168">
  <si>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</si>
  <si>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</si>
  <si>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</si>
  <si>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</si>
  <si>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</si>
  <si>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</si>
  <si>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</si>
  <si>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</si>
  <si>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</si>
  <si>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</si>
  <si>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</si>
  <si>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</si>
  <si>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</si>
  <si>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</si>
  <si>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</si>
  <si>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</si>
  <si>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</si>
  <si>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</si>
  <si>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</si>
  <si>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</si>
  <si>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</si>
  <si>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</si>
  <si>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</si>
  <si>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</si>
  <si>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</si>
  <si>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</si>
  <si>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</si>
  <si>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</si>
  <si>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</si>
  <si>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</si>
  <si>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</si>
  <si>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</si>
  <si>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</si>
  <si>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</si>
  <si>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</si>
  <si>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</si>
  <si>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</si>
  <si>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</si>
  <si>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</si>
  <si>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</si>
  <si>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</si>
  <si>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Program Peningkatan Pelayanan Kinerja Perangkat Daerah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</si>
  <si>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</si>
  <si>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</si>
  <si>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</si>
  <si>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</si>
  <si>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</si>
  <si>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</si>
  <si>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</si>
  <si>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</si>
  <si>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</si>
  <si>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</si>
  <si>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</si>
  <si>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</si>
  <si>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</si>
  <si>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</si>
  <si>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</si>
  <si>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</si>
  <si>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</si>
  <si>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</si>
  <si>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</si>
  <si>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</si>
  <si>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</si>
  <si>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Dok</t>
  </si>
  <si>
    <t>Bln</t>
  </si>
  <si>
    <t>Keg</t>
  </si>
  <si>
    <t>Org</t>
  </si>
  <si>
    <t>Buah</t>
  </si>
  <si>
    <t>%</t>
  </si>
  <si>
    <t>Tingkat pemenuhan aspek kualitas dokumen keuangan daerah</t>
  </si>
  <si>
    <t>DINAS PENGENDALIAN PENDUDUK, KELUARGA BERENCANA, PEMBERDAYAAN PEREMPUAN DAN PERLINDUNGAN ANAK</t>
  </si>
  <si>
    <t>Dinas Pengendalian Penduduk, Keluarga Berencana, Pemberdayaan Perempuan dan Perlindungan Anak</t>
  </si>
  <si>
    <t>Laporan Keuangan yang memenuhi aspek kualitas</t>
  </si>
  <si>
    <t>Dokumen AKIP memenuhi aspek kualitas</t>
  </si>
  <si>
    <t>Pelayanan Administrasi sesuai standar</t>
  </si>
  <si>
    <t>Penyediaan peralatan dan perlengkapan kantor</t>
  </si>
  <si>
    <t>Pemeliharaan rutin/berkala gedung kantor</t>
  </si>
  <si>
    <t>Peralatan dan perlengkapan kantor dalam kondisi baik</t>
  </si>
  <si>
    <t>Gedung kantor dalam kondisi baik</t>
  </si>
  <si>
    <t>Kendaraan dinas/operasional dalam kondisi baik</t>
  </si>
  <si>
    <t>Peralatan dan perlengkapan dalam kondisi baik</t>
  </si>
  <si>
    <t>Penyelenggaraan Ketahanan Keluarga</t>
  </si>
  <si>
    <t>Peran Serta dan Partisipasi Masyarakat</t>
  </si>
  <si>
    <t>Partisipasi Anak</t>
  </si>
  <si>
    <t>Jumlah kegiatan ketahanan keluarga</t>
  </si>
  <si>
    <t>Jumlah kegiatan peran serta dan partisipasi masyarakat</t>
  </si>
  <si>
    <t>Jumlah kegiatan partisipasi anak</t>
  </si>
  <si>
    <t>Pelaksanaan PUG di tingkat daerah</t>
  </si>
  <si>
    <t>Program Peningkatan peran serta dan kesetaraan gender dalam pembangunan</t>
  </si>
  <si>
    <t>Jumlah SKPD yang responsif gender</t>
  </si>
  <si>
    <t>SKPD</t>
  </si>
  <si>
    <t>Meningkatnya Pemberdayaan Responsif Gender dan Perlindungan Terhadap Anak</t>
  </si>
  <si>
    <t>Pelayanan Penyelenggaraan Perlindungan Perempuan</t>
  </si>
  <si>
    <t>Jumlah organisasi perempuan penyedia pelayanan perlindungan perempuan dibina</t>
  </si>
  <si>
    <t>Pelayanan Pemenuhan Hak Anak</t>
  </si>
  <si>
    <t>Program Peningkatan Perlindungan Hak Perempuan</t>
  </si>
  <si>
    <t>Program Pemenuhan Hak Anak dan Peningkatan Kualitas Hidup Anak</t>
  </si>
  <si>
    <t>Pelayanan Penyelenggaraan Perlindungan Anak</t>
  </si>
  <si>
    <t>Tingkat pemenuhan aspek desa/kelurahan layak anak berbasisi kluster</t>
  </si>
  <si>
    <t>Jumlah PATBM desa yang aktif</t>
  </si>
  <si>
    <t>Program Peningkatan Perlindungan Anak</t>
  </si>
  <si>
    <t>Program Keluarga Berencana dan Kesehatan Reproduksi Remaja</t>
  </si>
  <si>
    <t>Penyediaan Pelayanan Keluarga Berencana</t>
  </si>
  <si>
    <t>Pemenuhan Sarana dan Prasarana Pelayanan dan Penyuluhan KB (DAK Fisik)</t>
  </si>
  <si>
    <t>Operasional Balai Penyuluhan KB (DAK NF)</t>
  </si>
  <si>
    <t>Operasional Distribusi Alat dan Obat Kontrasepsi ke Fasilitas Kesehatan (DAK NF)</t>
  </si>
  <si>
    <t>Operasional Penggerakan Program KBPK di Kampung KB (DAK NF)</t>
  </si>
  <si>
    <t>Operasional Pembinaan Program KB Bagi Masyarakat oleh Kader (PPKB dan sub PPKBD)  (DAK NF)</t>
  </si>
  <si>
    <t>Dukungan Media KIE dan Manajemen BOKB  (DAK NF)</t>
  </si>
  <si>
    <t>Revitalisasi Pendewasaan Usia Perkawinan (PUP) dan Kesehatan Reproduksi Remaja (KRR)</t>
  </si>
  <si>
    <t>Jumlah Balai KKB Kecamatan</t>
  </si>
  <si>
    <t>Jumlah PUS yang ber KB menggunakan alat kontrasepsi</t>
  </si>
  <si>
    <t>Jumlah balai KKB Kec. yang mendapat dukungan operasional keg. program KKBPK</t>
  </si>
  <si>
    <t>Jumlah faskes keluarga berencana yang mendapatkan bantuan alat dan obat kontrasepsi (Alokon)</t>
  </si>
  <si>
    <t>Jumlah kampung KB yang mendapat dukungan integrasi program KKBPK dan program lainnya</t>
  </si>
  <si>
    <t>Jumlah kader PPKBD di desa yang mendapat dukungan program KKBPK</t>
  </si>
  <si>
    <t>Jumlah kader Sub PPKBD di desa yang mendapat dukungan program KKBPK</t>
  </si>
  <si>
    <t>Jumlah Media KIE terfasilitasi (22 Rumah dataku dan 3 media luar lapangan)</t>
  </si>
  <si>
    <t>Jumlah remaja teradvokasi dan menerima Komunikasi, Informasi dan Edukasi Kesehatan Reproduksi Remaja</t>
  </si>
  <si>
    <t>Balai KKB Kecamatan</t>
  </si>
  <si>
    <t>PUS</t>
  </si>
  <si>
    <t>Faskes KB</t>
  </si>
  <si>
    <t>Kampung KB</t>
  </si>
  <si>
    <t>Kader PPKBD</t>
  </si>
  <si>
    <t>Kader Sub PPKBD</t>
  </si>
  <si>
    <t>Program Peningkatan Keluarga Sejahtera</t>
  </si>
  <si>
    <t>Pembinaan kelompok ketahanan keluarga</t>
  </si>
  <si>
    <t>Penyelenggaraan Pembangunan Kependudukan Berwawasan KKBPK (Kependudukan Keluarga Berencana dan Pembangunan Keluarga)</t>
  </si>
  <si>
    <t>Persentase kelompok ketahanan keluarga yang aktif</t>
  </si>
  <si>
    <t>Jumlah kelompok ketahanan keluarga yang aktif</t>
  </si>
  <si>
    <t xml:space="preserve">Jumlah institusi KB yang melaksanakan KKBPK dan instansi yang terkait yang berkomitmen terhadap kependudukan </t>
  </si>
  <si>
    <t>Kelompok</t>
  </si>
  <si>
    <t>Instansi</t>
  </si>
  <si>
    <t>Tingkat Kepuasan Pelayanan</t>
  </si>
  <si>
    <t>Tingkat pemenuhan aspek kualitas dokumen AKIP</t>
  </si>
  <si>
    <t>Organisasi</t>
  </si>
  <si>
    <t>Indikator</t>
  </si>
  <si>
    <t>Jumlah indikator yang terpenuhi</t>
  </si>
  <si>
    <t>35.412</t>
  </si>
  <si>
    <t>Persentase instansi KB yang menyelenggarakan kegiatan sinkronisasi dan keterpaduan program KKBPK</t>
  </si>
  <si>
    <t>Pembinaan Program KBKR</t>
  </si>
  <si>
    <t>Jumlah Kegiatan KBKR</t>
  </si>
  <si>
    <t>Advokasi dan KIE tentang Kesehatan Reproduksi Remaja (KRR)</t>
  </si>
  <si>
    <t>Persentase SKPD yang menerapkan anggaran yang responsif gender</t>
  </si>
  <si>
    <t>Persentase kasus kekerasan terhadap anak yang terselesaikan</t>
  </si>
  <si>
    <t>38.877</t>
  </si>
  <si>
    <t>Penyusunan Data Kependudukan dan Keluarga</t>
  </si>
  <si>
    <t>Persentase organisasi perempuan penyedia pelayanan perlindungan perempuan yang aktif</t>
  </si>
  <si>
    <t>Persentase organisasi yang menindaklanjuti kesepakatan pendewasaan usia perkawinan (PUP)</t>
  </si>
  <si>
    <t>Persentase pasangan usia subur (PUS) yang menjadi peserta KB aktif</t>
  </si>
  <si>
    <t>Realisasi dan Tingkat Capaian Kinerja dan Anggaran Renja Perangkat Daerah yang Dievaluasi</t>
  </si>
  <si>
    <t>[kolom (12)(K) : kolom (7)(K)] x 100%</t>
  </si>
  <si>
    <t>Paket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</si>
  <si>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</si>
  <si>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</si>
  <si>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</si>
  <si>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</si>
  <si>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</si>
  <si>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</si>
  <si>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Dinas Pengendalian Penduduk, KBPPPA</t>
  </si>
  <si>
    <t>Dra. Hj. IS SUSILASTUTI</t>
  </si>
  <si>
    <t>NIP. 19601219 198503 2 006</t>
  </si>
  <si>
    <t>Faktor pendorong keberhasilan pencapaian: Dukungan mitra kerja dan stakeholder dan komitmen kepala daerah</t>
  </si>
  <si>
    <t>Faktor penghambat pencapaian kinerja: Pandemi covid 19, kurangnya keterlibatan masyarakat dalam penyedia pelayanan perlindungan perempuan dan anak, dana penggerakan tidak disediakan BKKBN</t>
  </si>
  <si>
    <t>Tindak lanjut yang diperlukan dalam triwulan berikutnya*): Mendorong percepatan kegiatan di lapangan dan optimalisasi koordinasi dengan stakeholder</t>
  </si>
  <si>
    <t>Tindak lanjut yang diperlukan dalam Renja Perangkat Daerah Kabupaten berikutnya*): Penyesuaian rencana dan target kinerja berdasarkan anggaran kegiatan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</si>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</sst>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indexed="81"/>
      <name val="Tahoma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4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8" fillId="0" borderId="15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 wrapText="1"/>
    </xf>
    <xf numFmtId="165" fontId="8" fillId="0" borderId="2" xfId="1" applyNumberFormat="1" applyFont="1" applyFill="1" applyBorder="1" applyAlignment="1">
      <alignment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applyNumberFormat="1" applyFont="1" applyFill="1" applyBorder="1" applyAlignment="1">
      <alignment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66" fontId="8" fillId="0" borderId="2" xfId="2" applyFont="1" applyFill="1" applyBorder="1" applyAlignment="1">
      <alignment vertical="top"/>
    </xf>
    <xf numFmtId="0" fontId="8" fillId="0" borderId="1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left" vertical="top" wrapText="1"/>
    </xf>
    <xf numFmtId="166" fontId="8" fillId="0" borderId="15" xfId="2" applyFont="1" applyFill="1" applyBorder="1" applyAlignment="1">
      <alignment vertical="top"/>
    </xf>
    <xf numFmtId="1" fontId="6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2" fontId="8" fillId="0" borderId="2" xfId="0" quotePrefix="1" applyNumberFormat="1" applyFont="1" applyFill="1" applyBorder="1" applyAlignment="1">
      <alignment horizontal="center" vertical="top" wrapText="1"/>
    </xf>
    <xf numFmtId="1" fontId="8" fillId="0" borderId="15" xfId="0" applyNumberFormat="1" applyFont="1" applyBorder="1" applyAlignment="1">
      <alignment horizontal="center" vertical="top"/>
    </xf>
    <xf numFmtId="165" fontId="6" fillId="0" borderId="6" xfId="1" quotePrefix="1" applyNumberFormat="1" applyFont="1" applyFill="1" applyBorder="1" applyAlignment="1">
      <alignment vertical="top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66" fontId="6" fillId="0" borderId="6" xfId="2" quotePrefix="1" applyFont="1" applyFill="1" applyBorder="1" applyAlignment="1">
      <alignment vertical="top"/>
    </xf>
    <xf numFmtId="166" fontId="6" fillId="0" borderId="15" xfId="2" quotePrefix="1" applyFont="1" applyFill="1" applyBorder="1" applyAlignment="1">
      <alignment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6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14" fillId="0" borderId="11" xfId="0" applyFont="1" applyFill="1" applyBorder="1"/>
    <xf numFmtId="166" fontId="8" fillId="0" borderId="6" xfId="2" applyFont="1" applyFill="1" applyBorder="1" applyAlignment="1">
      <alignment vertical="top"/>
    </xf>
    <xf numFmtId="165" fontId="8" fillId="0" borderId="6" xfId="1" applyNumberFormat="1" applyFont="1" applyFill="1" applyBorder="1" applyAlignment="1">
      <alignment vertical="top"/>
    </xf>
    <xf numFmtId="165" fontId="8" fillId="0" borderId="6" xfId="1" quotePrefix="1" applyNumberFormat="1" applyFont="1" applyFill="1" applyBorder="1" applyAlignment="1">
      <alignment vertical="top"/>
    </xf>
    <xf numFmtId="166" fontId="8" fillId="0" borderId="6" xfId="0" applyNumberFormat="1" applyFont="1" applyFill="1" applyBorder="1" applyAlignment="1">
      <alignment vertical="top"/>
    </xf>
    <xf numFmtId="166" fontId="8" fillId="0" borderId="15" xfId="0" applyNumberFormat="1" applyFont="1" applyFill="1" applyBorder="1" applyAlignment="1">
      <alignment vertical="top"/>
    </xf>
    <xf numFmtId="2" fontId="8" fillId="0" borderId="6" xfId="0" applyNumberFormat="1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166" fontId="8" fillId="0" borderId="2" xfId="2" applyFont="1" applyFill="1" applyBorder="1" applyAlignment="1">
      <alignment horizontal="center" vertical="top" wrapText="1"/>
    </xf>
    <xf numFmtId="0" fontId="4" fillId="3" borderId="15" xfId="0" applyFont="1" applyFill="1" applyBorder="1"/>
    <xf numFmtId="0" fontId="8" fillId="7" borderId="2" xfId="0" applyFont="1" applyFill="1" applyBorder="1" applyAlignment="1">
      <alignment horizontal="left" vertical="top" wrapText="1"/>
    </xf>
    <xf numFmtId="0" fontId="8" fillId="7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75"/>
  <sheetViews>
    <sheetView tabSelected="1" showRuler="0" view="pageBreakPreview" topLeftCell="A55" zoomScale="70" zoomScaleNormal="40" zoomScaleSheetLayoutView="70" zoomScalePageLayoutView="55" workbookViewId="0">
      <selection activeCell="AE57" sqref="AE57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10.5703125" style="2" customWidth="1"/>
    <col min="27" max="27" width="5.5703125" style="4" customWidth="1"/>
    <col min="28" max="28" width="8" style="2" customWidth="1"/>
    <col min="29" max="29" width="5.5703125" style="4" customWidth="1"/>
    <col min="30" max="30" width="17.140625" style="2" customWidth="1"/>
    <col min="31" max="31" width="8" style="2" customWidth="1"/>
    <col min="32" max="32" width="5.5703125" style="4" customWidth="1"/>
    <col min="33" max="33" width="11.140625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14062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"/>
    </row>
    <row r="2" spans="1:45" ht="23.25" x14ac:dyDescent="0.3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3"/>
    </row>
    <row r="3" spans="1:45" ht="23.25" x14ac:dyDescent="0.35">
      <c r="A3" s="118" t="s">
        <v>70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3"/>
    </row>
    <row r="4" spans="1:45" ht="23.25" x14ac:dyDescent="0.35">
      <c r="A4" s="119" t="s">
        <v>166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"/>
    </row>
    <row r="5" spans="1:45" ht="18" x14ac:dyDescent="0.2">
      <c r="A5" s="120" t="s">
        <v>2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</row>
    <row r="6" spans="1:45" ht="18" x14ac:dyDescent="0.25">
      <c r="A6" s="114" t="s">
        <v>70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</row>
    <row r="7" spans="1:45" ht="81" customHeight="1" x14ac:dyDescent="0.2">
      <c r="A7" s="121" t="s">
        <v>3</v>
      </c>
      <c r="B7" s="121" t="s">
        <v>4</v>
      </c>
      <c r="C7" s="122" t="s">
        <v>5</v>
      </c>
      <c r="D7" s="122" t="s">
        <v>6</v>
      </c>
      <c r="E7" s="105" t="s">
        <v>7</v>
      </c>
      <c r="F7" s="106"/>
      <c r="G7" s="107"/>
      <c r="H7" s="105" t="s">
        <v>8</v>
      </c>
      <c r="I7" s="106"/>
      <c r="J7" s="107"/>
      <c r="K7" s="105" t="s">
        <v>9</v>
      </c>
      <c r="L7" s="106"/>
      <c r="M7" s="106"/>
      <c r="N7" s="105" t="s">
        <v>10</v>
      </c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105" t="s">
        <v>150</v>
      </c>
      <c r="AA7" s="106"/>
      <c r="AB7" s="106"/>
      <c r="AC7" s="106"/>
      <c r="AD7" s="106"/>
      <c r="AE7" s="106"/>
      <c r="AF7" s="107"/>
      <c r="AG7" s="105" t="s">
        <v>11</v>
      </c>
      <c r="AH7" s="106"/>
      <c r="AI7" s="107"/>
      <c r="AJ7" s="105" t="s">
        <v>12</v>
      </c>
      <c r="AK7" s="106"/>
      <c r="AL7" s="106"/>
      <c r="AM7" s="123" t="s">
        <v>13</v>
      </c>
      <c r="AO7" s="4"/>
      <c r="AP7" s="4"/>
      <c r="AQ7" s="4"/>
      <c r="AR7" s="4"/>
      <c r="AS7" s="4"/>
    </row>
    <row r="8" spans="1:45" ht="18" customHeight="1" x14ac:dyDescent="0.2">
      <c r="A8" s="121"/>
      <c r="B8" s="121"/>
      <c r="C8" s="122"/>
      <c r="D8" s="122"/>
      <c r="E8" s="108"/>
      <c r="F8" s="109"/>
      <c r="G8" s="110"/>
      <c r="H8" s="108"/>
      <c r="I8" s="109"/>
      <c r="J8" s="110"/>
      <c r="K8" s="111"/>
      <c r="L8" s="112"/>
      <c r="M8" s="112"/>
      <c r="N8" s="11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3"/>
      <c r="Z8" s="111"/>
      <c r="AA8" s="112"/>
      <c r="AB8" s="112"/>
      <c r="AC8" s="112"/>
      <c r="AD8" s="112"/>
      <c r="AE8" s="112"/>
      <c r="AF8" s="113"/>
      <c r="AG8" s="111"/>
      <c r="AH8" s="112"/>
      <c r="AI8" s="113"/>
      <c r="AJ8" s="111"/>
      <c r="AK8" s="112"/>
      <c r="AL8" s="112"/>
      <c r="AM8" s="124"/>
    </row>
    <row r="9" spans="1:45" ht="15.75" customHeight="1" x14ac:dyDescent="0.2">
      <c r="A9" s="121"/>
      <c r="B9" s="121"/>
      <c r="C9" s="122"/>
      <c r="D9" s="122"/>
      <c r="E9" s="111"/>
      <c r="F9" s="112"/>
      <c r="G9" s="113"/>
      <c r="H9" s="111"/>
      <c r="I9" s="112"/>
      <c r="J9" s="113"/>
      <c r="K9" s="125">
        <v>2020</v>
      </c>
      <c r="L9" s="126"/>
      <c r="M9" s="127"/>
      <c r="N9" s="115" t="s">
        <v>14</v>
      </c>
      <c r="O9" s="116"/>
      <c r="P9" s="117"/>
      <c r="Q9" s="115" t="s">
        <v>15</v>
      </c>
      <c r="R9" s="116"/>
      <c r="S9" s="117"/>
      <c r="T9" s="115" t="s">
        <v>16</v>
      </c>
      <c r="U9" s="116"/>
      <c r="V9" s="117"/>
      <c r="W9" s="115" t="s">
        <v>17</v>
      </c>
      <c r="X9" s="116"/>
      <c r="Y9" s="117"/>
      <c r="Z9" s="115">
        <v>2020</v>
      </c>
      <c r="AA9" s="116"/>
      <c r="AB9" s="116"/>
      <c r="AC9" s="116"/>
      <c r="AD9" s="116"/>
      <c r="AE9" s="116"/>
      <c r="AF9" s="117"/>
      <c r="AG9" s="115">
        <v>2020</v>
      </c>
      <c r="AH9" s="116"/>
      <c r="AI9" s="117"/>
      <c r="AJ9" s="115">
        <v>2020</v>
      </c>
      <c r="AK9" s="116"/>
      <c r="AL9" s="117"/>
      <c r="AM9" s="5"/>
    </row>
    <row r="10" spans="1:45" s="7" customFormat="1" ht="15.75" x14ac:dyDescent="0.25">
      <c r="A10" s="144">
        <v>1</v>
      </c>
      <c r="B10" s="144">
        <v>2</v>
      </c>
      <c r="C10" s="144">
        <v>3</v>
      </c>
      <c r="D10" s="144">
        <v>4</v>
      </c>
      <c r="E10" s="128">
        <v>5</v>
      </c>
      <c r="F10" s="130"/>
      <c r="G10" s="129"/>
      <c r="H10" s="128">
        <v>6</v>
      </c>
      <c r="I10" s="130"/>
      <c r="J10" s="129"/>
      <c r="K10" s="134">
        <v>7</v>
      </c>
      <c r="L10" s="135"/>
      <c r="M10" s="136"/>
      <c r="N10" s="134">
        <v>8</v>
      </c>
      <c r="O10" s="135"/>
      <c r="P10" s="136"/>
      <c r="Q10" s="134">
        <v>9</v>
      </c>
      <c r="R10" s="135"/>
      <c r="S10" s="136"/>
      <c r="T10" s="134">
        <v>10</v>
      </c>
      <c r="U10" s="135"/>
      <c r="V10" s="136"/>
      <c r="W10" s="134">
        <v>11</v>
      </c>
      <c r="X10" s="135"/>
      <c r="Y10" s="136"/>
      <c r="Z10" s="131">
        <v>12</v>
      </c>
      <c r="AA10" s="132"/>
      <c r="AB10" s="132"/>
      <c r="AC10" s="132"/>
      <c r="AD10" s="132"/>
      <c r="AE10" s="132"/>
      <c r="AF10" s="133"/>
      <c r="AG10" s="131">
        <v>13</v>
      </c>
      <c r="AH10" s="132"/>
      <c r="AI10" s="133"/>
      <c r="AJ10" s="131">
        <v>14</v>
      </c>
      <c r="AK10" s="132"/>
      <c r="AL10" s="133"/>
      <c r="AM10" s="6">
        <v>15</v>
      </c>
    </row>
    <row r="11" spans="1:45" s="7" customFormat="1" ht="87" customHeight="1" x14ac:dyDescent="0.2">
      <c r="A11" s="148"/>
      <c r="B11" s="148"/>
      <c r="C11" s="148"/>
      <c r="D11" s="148"/>
      <c r="E11" s="138" t="s">
        <v>18</v>
      </c>
      <c r="F11" s="139"/>
      <c r="G11" s="142" t="s">
        <v>19</v>
      </c>
      <c r="H11" s="138" t="s">
        <v>18</v>
      </c>
      <c r="I11" s="139"/>
      <c r="J11" s="142" t="s">
        <v>19</v>
      </c>
      <c r="K11" s="138" t="s">
        <v>18</v>
      </c>
      <c r="L11" s="139"/>
      <c r="M11" s="144" t="s">
        <v>19</v>
      </c>
      <c r="N11" s="138" t="s">
        <v>18</v>
      </c>
      <c r="O11" s="139"/>
      <c r="P11" s="144" t="s">
        <v>19</v>
      </c>
      <c r="Q11" s="138" t="s">
        <v>18</v>
      </c>
      <c r="R11" s="139"/>
      <c r="S11" s="144" t="s">
        <v>19</v>
      </c>
      <c r="T11" s="138" t="s">
        <v>18</v>
      </c>
      <c r="U11" s="139"/>
      <c r="V11" s="144" t="s">
        <v>19</v>
      </c>
      <c r="W11" s="138" t="s">
        <v>18</v>
      </c>
      <c r="X11" s="139"/>
      <c r="Y11" s="144" t="s">
        <v>19</v>
      </c>
      <c r="Z11" s="128" t="s">
        <v>20</v>
      </c>
      <c r="AA11" s="129"/>
      <c r="AB11" s="128" t="s">
        <v>151</v>
      </c>
      <c r="AC11" s="129"/>
      <c r="AD11" s="8" t="s">
        <v>21</v>
      </c>
      <c r="AE11" s="128" t="s">
        <v>151</v>
      </c>
      <c r="AF11" s="129"/>
      <c r="AG11" s="128" t="s">
        <v>22</v>
      </c>
      <c r="AH11" s="129"/>
      <c r="AI11" s="8" t="s">
        <v>23</v>
      </c>
      <c r="AJ11" s="128" t="s">
        <v>24</v>
      </c>
      <c r="AK11" s="129"/>
      <c r="AL11" s="8" t="s">
        <v>25</v>
      </c>
      <c r="AM11" s="9"/>
    </row>
    <row r="12" spans="1:45" s="7" customFormat="1" ht="15.75" x14ac:dyDescent="0.2">
      <c r="A12" s="142"/>
      <c r="B12" s="142"/>
      <c r="C12" s="142"/>
      <c r="D12" s="142"/>
      <c r="E12" s="140"/>
      <c r="F12" s="141"/>
      <c r="G12" s="143"/>
      <c r="H12" s="140"/>
      <c r="I12" s="141"/>
      <c r="J12" s="143"/>
      <c r="K12" s="140"/>
      <c r="L12" s="141"/>
      <c r="M12" s="142"/>
      <c r="N12" s="140"/>
      <c r="O12" s="141"/>
      <c r="P12" s="142"/>
      <c r="Q12" s="140"/>
      <c r="R12" s="141"/>
      <c r="S12" s="142"/>
      <c r="T12" s="140"/>
      <c r="U12" s="141"/>
      <c r="V12" s="142"/>
      <c r="W12" s="140"/>
      <c r="X12" s="141"/>
      <c r="Y12" s="142"/>
      <c r="Z12" s="140" t="s">
        <v>18</v>
      </c>
      <c r="AA12" s="141"/>
      <c r="AB12" s="140" t="s">
        <v>18</v>
      </c>
      <c r="AC12" s="141"/>
      <c r="AD12" s="10" t="s">
        <v>19</v>
      </c>
      <c r="AE12" s="140" t="s">
        <v>19</v>
      </c>
      <c r="AF12" s="141"/>
      <c r="AG12" s="140" t="s">
        <v>18</v>
      </c>
      <c r="AH12" s="141"/>
      <c r="AI12" s="10" t="s">
        <v>19</v>
      </c>
      <c r="AJ12" s="140" t="s">
        <v>18</v>
      </c>
      <c r="AK12" s="141"/>
      <c r="AL12" s="10" t="s">
        <v>19</v>
      </c>
      <c r="AM12" s="96"/>
    </row>
    <row r="13" spans="1:45" ht="189" x14ac:dyDescent="0.2">
      <c r="A13" s="51">
        <v>1</v>
      </c>
      <c r="B13" s="14" t="s">
        <v>26</v>
      </c>
      <c r="C13" s="52" t="s">
        <v>27</v>
      </c>
      <c r="D13" s="16" t="s">
        <v>134</v>
      </c>
      <c r="E13" s="46">
        <v>89.06</v>
      </c>
      <c r="F13" s="47" t="s">
        <v>62</v>
      </c>
      <c r="G13" s="61">
        <f>SUM(G15:G16)</f>
        <v>48050000</v>
      </c>
      <c r="H13" s="46">
        <v>80.11</v>
      </c>
      <c r="I13" s="47" t="s">
        <v>62</v>
      </c>
      <c r="J13" s="61">
        <f>SUM(J15:J16)</f>
        <v>9609750</v>
      </c>
      <c r="K13" s="46">
        <v>82.55</v>
      </c>
      <c r="L13" s="47" t="s">
        <v>62</v>
      </c>
      <c r="M13" s="61">
        <f>SUM(M15:M16)</f>
        <v>4595000</v>
      </c>
      <c r="N13" s="46">
        <v>0.20999999999999375</v>
      </c>
      <c r="O13" s="47" t="s">
        <v>62</v>
      </c>
      <c r="P13" s="61">
        <f>SUM(P15:P16)</f>
        <v>2090000</v>
      </c>
      <c r="Q13" s="48">
        <v>0</v>
      </c>
      <c r="R13" s="47" t="s">
        <v>62</v>
      </c>
      <c r="S13" s="61">
        <f>SUM(S15:S16)</f>
        <v>675000</v>
      </c>
      <c r="T13" s="48">
        <v>0</v>
      </c>
      <c r="U13" s="47" t="s">
        <v>62</v>
      </c>
      <c r="V13" s="61">
        <f>SUM(V15:V16)</f>
        <v>0</v>
      </c>
      <c r="W13" s="48">
        <v>0</v>
      </c>
      <c r="X13" s="47" t="s">
        <v>62</v>
      </c>
      <c r="Y13" s="61">
        <f>SUM(Y15:Y16)</f>
        <v>0</v>
      </c>
      <c r="Z13" s="76">
        <f>N13+Q13+T13+W13</f>
        <v>0.20999999999999375</v>
      </c>
      <c r="AA13" s="47" t="s">
        <v>62</v>
      </c>
      <c r="AB13" s="76">
        <f>AG13/K13*100</f>
        <v>97.298606904906109</v>
      </c>
      <c r="AC13" s="77" t="s">
        <v>68</v>
      </c>
      <c r="AD13" s="75">
        <f>P13+S13+V13+Y13</f>
        <v>2765000</v>
      </c>
      <c r="AE13" s="78">
        <f>AD13/M13*100</f>
        <v>60.174102285092488</v>
      </c>
      <c r="AF13" s="51" t="s">
        <v>68</v>
      </c>
      <c r="AG13" s="76">
        <f>H13+Z13</f>
        <v>80.319999999999993</v>
      </c>
      <c r="AH13" s="47" t="s">
        <v>62</v>
      </c>
      <c r="AI13" s="75">
        <f>J13+AD13</f>
        <v>12374750</v>
      </c>
      <c r="AJ13" s="76">
        <f>AG13/E13*100</f>
        <v>90.186391196945863</v>
      </c>
      <c r="AK13" s="77" t="s">
        <v>68</v>
      </c>
      <c r="AL13" s="78">
        <f>AI13/G13*100</f>
        <v>25.753902185223726</v>
      </c>
      <c r="AM13" s="22" t="s">
        <v>71</v>
      </c>
      <c r="AP13" s="23">
        <f t="shared" ref="AP13:AP21" si="0">P13+S13+V13+Y13</f>
        <v>2765000</v>
      </c>
    </row>
    <row r="14" spans="1:45" ht="110.25" x14ac:dyDescent="0.2">
      <c r="A14" s="13"/>
      <c r="B14" s="14"/>
      <c r="C14" s="15"/>
      <c r="D14" s="16" t="s">
        <v>69</v>
      </c>
      <c r="E14" s="46">
        <v>100</v>
      </c>
      <c r="F14" s="47" t="s">
        <v>68</v>
      </c>
      <c r="G14" s="12"/>
      <c r="H14" s="46">
        <v>100</v>
      </c>
      <c r="I14" s="47" t="s">
        <v>68</v>
      </c>
      <c r="J14" s="27"/>
      <c r="K14" s="46">
        <v>100</v>
      </c>
      <c r="L14" s="47" t="s">
        <v>68</v>
      </c>
      <c r="M14" s="42"/>
      <c r="N14" s="46">
        <f>N16/K16*100</f>
        <v>33.333333333333329</v>
      </c>
      <c r="O14" s="47" t="s">
        <v>68</v>
      </c>
      <c r="P14" s="56"/>
      <c r="Q14" s="48">
        <f>Q16/K16*100</f>
        <v>25</v>
      </c>
      <c r="R14" s="47" t="s">
        <v>68</v>
      </c>
      <c r="S14" s="56"/>
      <c r="T14" s="48">
        <f>T16/K16*100</f>
        <v>33.333333333333329</v>
      </c>
      <c r="U14" s="47" t="s">
        <v>68</v>
      </c>
      <c r="V14" s="56"/>
      <c r="W14" s="48">
        <f>W16/K16*100</f>
        <v>8.3333333333333321</v>
      </c>
      <c r="X14" s="47" t="s">
        <v>68</v>
      </c>
      <c r="Y14" s="56"/>
      <c r="Z14" s="76">
        <f>N14+Q14+T14+W14</f>
        <v>99.999999999999986</v>
      </c>
      <c r="AA14" s="47" t="s">
        <v>68</v>
      </c>
      <c r="AB14" s="76">
        <f>Z14/K14*100</f>
        <v>99.999999999999986</v>
      </c>
      <c r="AC14" s="77" t="s">
        <v>68</v>
      </c>
      <c r="AD14" s="79"/>
      <c r="AE14" s="80"/>
      <c r="AF14" s="92"/>
      <c r="AG14" s="76">
        <f>H14+Z14</f>
        <v>200</v>
      </c>
      <c r="AH14" s="47" t="s">
        <v>68</v>
      </c>
      <c r="AI14" s="79"/>
      <c r="AJ14" s="76">
        <f>AG14/E14*100</f>
        <v>200</v>
      </c>
      <c r="AK14" s="77" t="s">
        <v>68</v>
      </c>
      <c r="AL14" s="80"/>
      <c r="AM14" s="22"/>
      <c r="AP14" s="23"/>
    </row>
    <row r="15" spans="1:45" ht="60.75" customHeight="1" x14ac:dyDescent="0.2">
      <c r="A15" s="13"/>
      <c r="B15" s="14"/>
      <c r="C15" s="24" t="s">
        <v>29</v>
      </c>
      <c r="D15" s="29" t="s">
        <v>73</v>
      </c>
      <c r="E15" s="17">
        <f>15*5</f>
        <v>75</v>
      </c>
      <c r="F15" s="18" t="s">
        <v>63</v>
      </c>
      <c r="G15" s="53">
        <v>24550000</v>
      </c>
      <c r="H15" s="17">
        <v>15</v>
      </c>
      <c r="I15" s="18" t="s">
        <v>63</v>
      </c>
      <c r="J15" s="20">
        <v>4910000</v>
      </c>
      <c r="K15" s="17">
        <v>15</v>
      </c>
      <c r="L15" s="18" t="s">
        <v>63</v>
      </c>
      <c r="M15" s="21">
        <v>2350000</v>
      </c>
      <c r="N15" s="17">
        <v>6</v>
      </c>
      <c r="O15" s="18" t="s">
        <v>63</v>
      </c>
      <c r="P15" s="21">
        <v>1077500</v>
      </c>
      <c r="Q15" s="17">
        <v>3</v>
      </c>
      <c r="R15" s="18" t="s">
        <v>63</v>
      </c>
      <c r="S15" s="21">
        <v>0</v>
      </c>
      <c r="T15" s="17">
        <v>3</v>
      </c>
      <c r="U15" s="18" t="s">
        <v>63</v>
      </c>
      <c r="V15" s="21">
        <v>0</v>
      </c>
      <c r="W15" s="17">
        <v>3</v>
      </c>
      <c r="X15" s="18" t="s">
        <v>63</v>
      </c>
      <c r="Y15" s="21">
        <v>0</v>
      </c>
      <c r="Z15" s="73">
        <f>N15+Q15+T15+W15</f>
        <v>15</v>
      </c>
      <c r="AA15" s="18" t="s">
        <v>63</v>
      </c>
      <c r="AB15" s="72">
        <f>Z15/K15*100</f>
        <v>100</v>
      </c>
      <c r="AC15" s="35" t="s">
        <v>68</v>
      </c>
      <c r="AD15" s="41">
        <f>P15+S15+V15+Y15</f>
        <v>1077500</v>
      </c>
      <c r="AE15" s="72">
        <f>AD15/M15*100</f>
        <v>45.851063829787236</v>
      </c>
      <c r="AF15" s="35" t="s">
        <v>68</v>
      </c>
      <c r="AG15" s="73">
        <f>H15+Z15</f>
        <v>30</v>
      </c>
      <c r="AH15" s="18" t="s">
        <v>63</v>
      </c>
      <c r="AI15" s="41">
        <f>J15+AD15</f>
        <v>5987500</v>
      </c>
      <c r="AJ15" s="72">
        <f>AG15/E15*100</f>
        <v>40</v>
      </c>
      <c r="AK15" s="35" t="s">
        <v>68</v>
      </c>
      <c r="AL15" s="72">
        <f>AI15/G15*100</f>
        <v>24.389002036659875</v>
      </c>
      <c r="AM15" s="11"/>
      <c r="AP15" s="23"/>
    </row>
    <row r="16" spans="1:45" ht="78" customHeight="1" x14ac:dyDescent="0.2">
      <c r="A16" s="13"/>
      <c r="B16" s="14"/>
      <c r="C16" s="24" t="s">
        <v>28</v>
      </c>
      <c r="D16" s="29" t="s">
        <v>72</v>
      </c>
      <c r="E16" s="17">
        <f>12*5</f>
        <v>60</v>
      </c>
      <c r="F16" s="18" t="s">
        <v>63</v>
      </c>
      <c r="G16" s="53">
        <v>23500000</v>
      </c>
      <c r="H16" s="17">
        <v>12</v>
      </c>
      <c r="I16" s="18" t="s">
        <v>63</v>
      </c>
      <c r="J16" s="20">
        <v>4699750</v>
      </c>
      <c r="K16" s="17">
        <v>12</v>
      </c>
      <c r="L16" s="18" t="s">
        <v>63</v>
      </c>
      <c r="M16" s="21">
        <v>2245000</v>
      </c>
      <c r="N16" s="17">
        <v>4</v>
      </c>
      <c r="O16" s="18" t="s">
        <v>63</v>
      </c>
      <c r="P16" s="21">
        <v>1012500</v>
      </c>
      <c r="Q16" s="17">
        <v>3</v>
      </c>
      <c r="R16" s="18" t="s">
        <v>63</v>
      </c>
      <c r="S16" s="21">
        <v>675000</v>
      </c>
      <c r="T16" s="17">
        <v>4</v>
      </c>
      <c r="U16" s="18" t="s">
        <v>63</v>
      </c>
      <c r="V16" s="21">
        <v>0</v>
      </c>
      <c r="W16" s="17">
        <v>1</v>
      </c>
      <c r="X16" s="18" t="s">
        <v>63</v>
      </c>
      <c r="Y16" s="21">
        <v>0</v>
      </c>
      <c r="Z16" s="73">
        <f t="shared" ref="Z16:Z57" si="1">N16+Q16+T16+W16</f>
        <v>12</v>
      </c>
      <c r="AA16" s="18" t="s">
        <v>63</v>
      </c>
      <c r="AB16" s="72">
        <f>Z16/K16*100</f>
        <v>100</v>
      </c>
      <c r="AC16" s="35" t="s">
        <v>68</v>
      </c>
      <c r="AD16" s="41">
        <f>P16+S16+V16+Y16</f>
        <v>1687500</v>
      </c>
      <c r="AE16" s="72">
        <f>AD16/M16*100</f>
        <v>75.167037861915361</v>
      </c>
      <c r="AF16" s="35" t="s">
        <v>68</v>
      </c>
      <c r="AG16" s="73">
        <f t="shared" ref="AG16:AG57" si="2">H16+Z16</f>
        <v>24</v>
      </c>
      <c r="AH16" s="18" t="s">
        <v>63</v>
      </c>
      <c r="AI16" s="41">
        <f t="shared" ref="AI16:AI57" si="3">J16+AD16</f>
        <v>6387250</v>
      </c>
      <c r="AJ16" s="72">
        <f>AG16/E16*100</f>
        <v>40</v>
      </c>
      <c r="AK16" s="35" t="s">
        <v>68</v>
      </c>
      <c r="AL16" s="72">
        <f t="shared" ref="AL16:AL57" si="4">AI16/G16*100</f>
        <v>27.17978723404255</v>
      </c>
      <c r="AM16" s="11"/>
      <c r="AP16" s="23"/>
    </row>
    <row r="17" spans="1:42" ht="85.5" customHeight="1" x14ac:dyDescent="0.2">
      <c r="A17" s="51">
        <v>2</v>
      </c>
      <c r="B17" s="52" t="s">
        <v>30</v>
      </c>
      <c r="C17" s="14" t="s">
        <v>31</v>
      </c>
      <c r="D17" s="15" t="s">
        <v>133</v>
      </c>
      <c r="E17" s="46">
        <v>100</v>
      </c>
      <c r="F17" s="47" t="s">
        <v>68</v>
      </c>
      <c r="G17" s="42">
        <f>SUM(G18:G23)</f>
        <v>2963458650</v>
      </c>
      <c r="H17" s="46">
        <v>100</v>
      </c>
      <c r="I17" s="47" t="s">
        <v>68</v>
      </c>
      <c r="J17" s="42">
        <f>SUM(J18:J23)</f>
        <v>599121838</v>
      </c>
      <c r="K17" s="46">
        <v>100</v>
      </c>
      <c r="L17" s="47" t="s">
        <v>68</v>
      </c>
      <c r="M17" s="42">
        <f>SUM(M18:M23)</f>
        <v>317825630</v>
      </c>
      <c r="N17" s="46">
        <v>25</v>
      </c>
      <c r="O17" s="47" t="s">
        <v>68</v>
      </c>
      <c r="P17" s="42">
        <f>SUM(P18:P23)</f>
        <v>134069488</v>
      </c>
      <c r="Q17" s="46">
        <v>25</v>
      </c>
      <c r="R17" s="47" t="s">
        <v>68</v>
      </c>
      <c r="S17" s="42">
        <f>SUM(S18:S23)</f>
        <v>20051430</v>
      </c>
      <c r="T17" s="46">
        <v>25</v>
      </c>
      <c r="U17" s="47" t="s">
        <v>68</v>
      </c>
      <c r="V17" s="42">
        <f>SUM(V18:V23)</f>
        <v>17482936</v>
      </c>
      <c r="W17" s="46">
        <v>25</v>
      </c>
      <c r="X17" s="47" t="s">
        <v>68</v>
      </c>
      <c r="Y17" s="42">
        <f>SUM(Y18:Y23)</f>
        <v>113126285</v>
      </c>
      <c r="Z17" s="74">
        <f t="shared" si="1"/>
        <v>100</v>
      </c>
      <c r="AA17" s="47" t="s">
        <v>68</v>
      </c>
      <c r="AB17" s="76">
        <f>Z17/K17*100</f>
        <v>100</v>
      </c>
      <c r="AC17" s="77" t="s">
        <v>68</v>
      </c>
      <c r="AD17" s="81">
        <f t="shared" ref="AD17:AD57" si="5">P17+S17+V17+Y17</f>
        <v>284730139</v>
      </c>
      <c r="AE17" s="76">
        <f>AD17/M17*100</f>
        <v>89.58690304491806</v>
      </c>
      <c r="AF17" s="77" t="s">
        <v>68</v>
      </c>
      <c r="AG17" s="74">
        <f t="shared" si="2"/>
        <v>200</v>
      </c>
      <c r="AH17" s="47" t="s">
        <v>68</v>
      </c>
      <c r="AI17" s="81">
        <f t="shared" si="3"/>
        <v>883851977</v>
      </c>
      <c r="AJ17" s="76">
        <f t="shared" ref="AJ17:AJ57" si="6">AG17/E17*100</f>
        <v>200</v>
      </c>
      <c r="AK17" s="77" t="s">
        <v>68</v>
      </c>
      <c r="AL17" s="76">
        <f t="shared" si="4"/>
        <v>29.825014666561994</v>
      </c>
      <c r="AM17" s="11"/>
      <c r="AP17" s="23"/>
    </row>
    <row r="18" spans="1:42" ht="89.25" customHeight="1" x14ac:dyDescent="0.2">
      <c r="A18" s="13"/>
      <c r="B18" s="14"/>
      <c r="C18" s="29" t="s">
        <v>32</v>
      </c>
      <c r="D18" s="24" t="s">
        <v>74</v>
      </c>
      <c r="E18" s="25">
        <f>12*5</f>
        <v>60</v>
      </c>
      <c r="F18" s="26" t="s">
        <v>64</v>
      </c>
      <c r="G18" s="56">
        <v>222726000</v>
      </c>
      <c r="H18" s="44">
        <v>12</v>
      </c>
      <c r="I18" s="26" t="s">
        <v>64</v>
      </c>
      <c r="J18" s="27">
        <v>43955500</v>
      </c>
      <c r="K18" s="44">
        <v>12</v>
      </c>
      <c r="L18" s="26" t="s">
        <v>64</v>
      </c>
      <c r="M18" s="28">
        <v>34246550</v>
      </c>
      <c r="N18" s="60">
        <v>3</v>
      </c>
      <c r="O18" s="26" t="s">
        <v>64</v>
      </c>
      <c r="P18" s="28">
        <v>12102500</v>
      </c>
      <c r="Q18" s="60">
        <v>3</v>
      </c>
      <c r="R18" s="26" t="s">
        <v>64</v>
      </c>
      <c r="S18" s="28">
        <v>0</v>
      </c>
      <c r="T18" s="60">
        <v>3</v>
      </c>
      <c r="U18" s="26" t="s">
        <v>64</v>
      </c>
      <c r="V18" s="28">
        <v>6906800</v>
      </c>
      <c r="W18" s="60">
        <v>3</v>
      </c>
      <c r="X18" s="26" t="s">
        <v>64</v>
      </c>
      <c r="Y18" s="28">
        <v>13469000</v>
      </c>
      <c r="Z18" s="73">
        <f t="shared" si="1"/>
        <v>12</v>
      </c>
      <c r="AA18" s="26" t="s">
        <v>64</v>
      </c>
      <c r="AB18" s="72">
        <f>Z18/K18*100</f>
        <v>100</v>
      </c>
      <c r="AC18" s="35" t="s">
        <v>68</v>
      </c>
      <c r="AD18" s="41">
        <f t="shared" si="5"/>
        <v>32478300</v>
      </c>
      <c r="AE18" s="72">
        <f>AD18/M18*100</f>
        <v>94.836706179162576</v>
      </c>
      <c r="AF18" s="35" t="s">
        <v>68</v>
      </c>
      <c r="AG18" s="73">
        <f t="shared" si="2"/>
        <v>24</v>
      </c>
      <c r="AH18" s="26" t="s">
        <v>64</v>
      </c>
      <c r="AI18" s="41">
        <f t="shared" si="3"/>
        <v>76433800</v>
      </c>
      <c r="AJ18" s="72">
        <f t="shared" si="6"/>
        <v>40</v>
      </c>
      <c r="AK18" s="35" t="s">
        <v>68</v>
      </c>
      <c r="AL18" s="72">
        <f t="shared" si="4"/>
        <v>34.317412426030188</v>
      </c>
      <c r="AM18" s="30"/>
      <c r="AP18" s="23">
        <f t="shared" si="0"/>
        <v>32478300</v>
      </c>
    </row>
    <row r="19" spans="1:42" ht="102" customHeight="1" x14ac:dyDescent="0.2">
      <c r="A19" s="13"/>
      <c r="B19" s="14"/>
      <c r="C19" s="29" t="s">
        <v>33</v>
      </c>
      <c r="D19" s="29" t="s">
        <v>74</v>
      </c>
      <c r="E19" s="54">
        <f t="shared" ref="E19:E23" si="7">12*5</f>
        <v>60</v>
      </c>
      <c r="F19" s="18" t="s">
        <v>64</v>
      </c>
      <c r="G19" s="53">
        <v>318000000</v>
      </c>
      <c r="H19" s="45">
        <v>12</v>
      </c>
      <c r="I19" s="18" t="s">
        <v>64</v>
      </c>
      <c r="J19" s="20">
        <v>35662556</v>
      </c>
      <c r="K19" s="45">
        <v>12</v>
      </c>
      <c r="L19" s="18" t="s">
        <v>64</v>
      </c>
      <c r="M19" s="21">
        <v>63600000</v>
      </c>
      <c r="N19" s="17">
        <v>3</v>
      </c>
      <c r="O19" s="18" t="s">
        <v>64</v>
      </c>
      <c r="P19" s="21">
        <v>0</v>
      </c>
      <c r="Q19" s="17">
        <v>3</v>
      </c>
      <c r="R19" s="18" t="s">
        <v>64</v>
      </c>
      <c r="S19" s="21">
        <v>11051430</v>
      </c>
      <c r="T19" s="17">
        <v>3</v>
      </c>
      <c r="U19" s="18" t="s">
        <v>64</v>
      </c>
      <c r="V19" s="21">
        <v>4826136</v>
      </c>
      <c r="W19" s="17">
        <v>3</v>
      </c>
      <c r="X19" s="18" t="s">
        <v>64</v>
      </c>
      <c r="Y19" s="21">
        <v>24074405</v>
      </c>
      <c r="Z19" s="73">
        <f t="shared" si="1"/>
        <v>12</v>
      </c>
      <c r="AA19" s="18" t="s">
        <v>64</v>
      </c>
      <c r="AB19" s="72">
        <f t="shared" ref="AB19:AB57" si="8">Z19/K19*100</f>
        <v>100</v>
      </c>
      <c r="AC19" s="35" t="s">
        <v>68</v>
      </c>
      <c r="AD19" s="41">
        <f t="shared" si="5"/>
        <v>39951971</v>
      </c>
      <c r="AE19" s="72">
        <f t="shared" ref="AE19:AE57" si="9">AD19/M19*100</f>
        <v>62.817564465408807</v>
      </c>
      <c r="AF19" s="35" t="s">
        <v>68</v>
      </c>
      <c r="AG19" s="73">
        <f t="shared" si="2"/>
        <v>24</v>
      </c>
      <c r="AH19" s="18" t="s">
        <v>64</v>
      </c>
      <c r="AI19" s="41">
        <f t="shared" si="3"/>
        <v>75614527</v>
      </c>
      <c r="AJ19" s="72">
        <f t="shared" si="6"/>
        <v>40</v>
      </c>
      <c r="AK19" s="35" t="s">
        <v>68</v>
      </c>
      <c r="AL19" s="72">
        <f t="shared" si="4"/>
        <v>23.778153144654087</v>
      </c>
      <c r="AM19" s="11"/>
      <c r="AP19" s="23">
        <f t="shared" si="0"/>
        <v>39951971</v>
      </c>
    </row>
    <row r="20" spans="1:42" ht="87" customHeight="1" x14ac:dyDescent="0.2">
      <c r="A20" s="13"/>
      <c r="B20" s="14"/>
      <c r="C20" s="97" t="s">
        <v>34</v>
      </c>
      <c r="D20" s="98" t="s">
        <v>74</v>
      </c>
      <c r="E20" s="54">
        <f>5*3</f>
        <v>15</v>
      </c>
      <c r="F20" s="26" t="s">
        <v>65</v>
      </c>
      <c r="G20" s="53">
        <v>70000000</v>
      </c>
      <c r="H20" s="44">
        <v>3</v>
      </c>
      <c r="I20" s="26" t="s">
        <v>65</v>
      </c>
      <c r="J20" s="20">
        <v>12800000</v>
      </c>
      <c r="K20" s="44">
        <v>3</v>
      </c>
      <c r="L20" s="26" t="s">
        <v>65</v>
      </c>
      <c r="M20" s="21">
        <v>0</v>
      </c>
      <c r="N20" s="17"/>
      <c r="O20" s="26"/>
      <c r="P20" s="21"/>
      <c r="Q20" s="17"/>
      <c r="R20" s="26"/>
      <c r="S20" s="21"/>
      <c r="T20" s="17"/>
      <c r="U20" s="26"/>
      <c r="V20" s="21"/>
      <c r="W20" s="17"/>
      <c r="X20" s="26"/>
      <c r="Y20" s="21"/>
      <c r="Z20" s="73"/>
      <c r="AA20" s="26"/>
      <c r="AB20" s="72"/>
      <c r="AC20" s="35"/>
      <c r="AD20" s="41"/>
      <c r="AE20" s="72"/>
      <c r="AF20" s="35"/>
      <c r="AG20" s="73">
        <f t="shared" si="2"/>
        <v>3</v>
      </c>
      <c r="AH20" s="26" t="s">
        <v>65</v>
      </c>
      <c r="AI20" s="41">
        <f t="shared" si="3"/>
        <v>12800000</v>
      </c>
      <c r="AJ20" s="72">
        <f t="shared" si="6"/>
        <v>20</v>
      </c>
      <c r="AK20" s="35" t="s">
        <v>68</v>
      </c>
      <c r="AL20" s="72">
        <f t="shared" si="4"/>
        <v>18.285714285714285</v>
      </c>
      <c r="AM20" s="11"/>
      <c r="AP20" s="23">
        <f t="shared" si="0"/>
        <v>0</v>
      </c>
    </row>
    <row r="21" spans="1:42" ht="60" x14ac:dyDescent="0.2">
      <c r="A21" s="13"/>
      <c r="B21" s="14"/>
      <c r="C21" s="29" t="s">
        <v>35</v>
      </c>
      <c r="D21" s="29" t="s">
        <v>74</v>
      </c>
      <c r="E21" s="54">
        <f t="shared" si="7"/>
        <v>60</v>
      </c>
      <c r="F21" s="26" t="s">
        <v>64</v>
      </c>
      <c r="G21" s="53">
        <v>140520000</v>
      </c>
      <c r="H21" s="44">
        <v>12</v>
      </c>
      <c r="I21" s="26" t="s">
        <v>64</v>
      </c>
      <c r="J21" s="20">
        <v>18020000</v>
      </c>
      <c r="K21" s="44">
        <v>12</v>
      </c>
      <c r="L21" s="26" t="s">
        <v>64</v>
      </c>
      <c r="M21" s="21">
        <v>14936000</v>
      </c>
      <c r="N21" s="60">
        <v>3</v>
      </c>
      <c r="O21" s="26" t="s">
        <v>64</v>
      </c>
      <c r="P21" s="21">
        <v>2760000</v>
      </c>
      <c r="Q21" s="60">
        <v>3</v>
      </c>
      <c r="R21" s="26" t="s">
        <v>64</v>
      </c>
      <c r="S21" s="21">
        <v>0</v>
      </c>
      <c r="T21" s="60">
        <v>3</v>
      </c>
      <c r="U21" s="26" t="s">
        <v>64</v>
      </c>
      <c r="V21" s="21">
        <v>0</v>
      </c>
      <c r="W21" s="60">
        <v>3</v>
      </c>
      <c r="X21" s="26" t="s">
        <v>64</v>
      </c>
      <c r="Y21" s="21">
        <v>6920000</v>
      </c>
      <c r="Z21" s="73">
        <f t="shared" si="1"/>
        <v>12</v>
      </c>
      <c r="AA21" s="26" t="s">
        <v>64</v>
      </c>
      <c r="AB21" s="72">
        <f>Z21/K21*100</f>
        <v>100</v>
      </c>
      <c r="AC21" s="35" t="s">
        <v>68</v>
      </c>
      <c r="AD21" s="41">
        <f t="shared" si="5"/>
        <v>9680000</v>
      </c>
      <c r="AE21" s="72">
        <f t="shared" si="9"/>
        <v>64.809855382967328</v>
      </c>
      <c r="AF21" s="35" t="s">
        <v>68</v>
      </c>
      <c r="AG21" s="73">
        <f t="shared" si="2"/>
        <v>24</v>
      </c>
      <c r="AH21" s="26" t="s">
        <v>64</v>
      </c>
      <c r="AI21" s="41">
        <f t="shared" si="3"/>
        <v>27700000</v>
      </c>
      <c r="AJ21" s="72">
        <f t="shared" si="6"/>
        <v>40</v>
      </c>
      <c r="AK21" s="35" t="s">
        <v>68</v>
      </c>
      <c r="AL21" s="72">
        <f t="shared" si="4"/>
        <v>19.712496441787646</v>
      </c>
      <c r="AM21" s="11"/>
      <c r="AP21" s="23">
        <f t="shared" si="0"/>
        <v>9680000</v>
      </c>
    </row>
    <row r="22" spans="1:42" ht="110.25" customHeight="1" x14ac:dyDescent="0.2">
      <c r="A22" s="13"/>
      <c r="B22" s="14"/>
      <c r="C22" s="24" t="s">
        <v>36</v>
      </c>
      <c r="D22" s="29" t="s">
        <v>74</v>
      </c>
      <c r="E22" s="54">
        <f t="shared" si="7"/>
        <v>60</v>
      </c>
      <c r="F22" s="26" t="s">
        <v>64</v>
      </c>
      <c r="G22" s="53">
        <v>201250000</v>
      </c>
      <c r="H22" s="44">
        <v>12</v>
      </c>
      <c r="I22" s="26" t="s">
        <v>64</v>
      </c>
      <c r="J22" s="20">
        <v>36600000</v>
      </c>
      <c r="K22" s="44">
        <v>12</v>
      </c>
      <c r="L22" s="26" t="s">
        <v>64</v>
      </c>
      <c r="M22" s="21">
        <v>39000000</v>
      </c>
      <c r="N22" s="17">
        <v>3</v>
      </c>
      <c r="O22" s="26" t="s">
        <v>64</v>
      </c>
      <c r="P22" s="21">
        <v>13000000</v>
      </c>
      <c r="Q22" s="17">
        <v>3</v>
      </c>
      <c r="R22" s="26" t="s">
        <v>64</v>
      </c>
      <c r="S22" s="21">
        <v>9000000</v>
      </c>
      <c r="T22" s="17">
        <v>3</v>
      </c>
      <c r="U22" s="26" t="s">
        <v>64</v>
      </c>
      <c r="V22" s="21">
        <v>5750000</v>
      </c>
      <c r="W22" s="17">
        <v>3</v>
      </c>
      <c r="X22" s="26" t="s">
        <v>64</v>
      </c>
      <c r="Y22" s="21">
        <v>9000000</v>
      </c>
      <c r="Z22" s="73">
        <f t="shared" si="1"/>
        <v>12</v>
      </c>
      <c r="AA22" s="26" t="s">
        <v>64</v>
      </c>
      <c r="AB22" s="72">
        <f t="shared" si="8"/>
        <v>100</v>
      </c>
      <c r="AC22" s="35" t="s">
        <v>68</v>
      </c>
      <c r="AD22" s="41">
        <f t="shared" si="5"/>
        <v>36750000</v>
      </c>
      <c r="AE22" s="72">
        <f t="shared" si="9"/>
        <v>94.230769230769226</v>
      </c>
      <c r="AF22" s="35" t="s">
        <v>68</v>
      </c>
      <c r="AG22" s="73">
        <f t="shared" si="2"/>
        <v>24</v>
      </c>
      <c r="AH22" s="26" t="s">
        <v>64</v>
      </c>
      <c r="AI22" s="41">
        <f t="shared" si="3"/>
        <v>73350000</v>
      </c>
      <c r="AJ22" s="72">
        <f t="shared" si="6"/>
        <v>40</v>
      </c>
      <c r="AK22" s="35" t="s">
        <v>68</v>
      </c>
      <c r="AL22" s="72">
        <f t="shared" si="4"/>
        <v>36.447204968944099</v>
      </c>
      <c r="AM22" s="11"/>
      <c r="AP22" s="23"/>
    </row>
    <row r="23" spans="1:42" ht="85.5" customHeight="1" x14ac:dyDescent="0.2">
      <c r="A23" s="13"/>
      <c r="B23" s="14"/>
      <c r="C23" s="24" t="s">
        <v>37</v>
      </c>
      <c r="D23" s="29" t="s">
        <v>74</v>
      </c>
      <c r="E23" s="54">
        <f t="shared" si="7"/>
        <v>60</v>
      </c>
      <c r="F23" s="18" t="s">
        <v>64</v>
      </c>
      <c r="G23" s="53">
        <v>2010962650</v>
      </c>
      <c r="H23" s="17">
        <v>12</v>
      </c>
      <c r="I23" s="18" t="s">
        <v>64</v>
      </c>
      <c r="J23" s="20">
        <v>452083782</v>
      </c>
      <c r="K23" s="17">
        <v>12</v>
      </c>
      <c r="L23" s="18" t="s">
        <v>64</v>
      </c>
      <c r="M23" s="21">
        <v>166043080</v>
      </c>
      <c r="N23" s="17">
        <v>3</v>
      </c>
      <c r="O23" s="18" t="s">
        <v>64</v>
      </c>
      <c r="P23" s="21">
        <v>106206988</v>
      </c>
      <c r="Q23" s="17">
        <v>3</v>
      </c>
      <c r="R23" s="18" t="s">
        <v>64</v>
      </c>
      <c r="S23" s="21">
        <v>0</v>
      </c>
      <c r="T23" s="17">
        <v>3</v>
      </c>
      <c r="U23" s="18" t="s">
        <v>64</v>
      </c>
      <c r="V23" s="21">
        <v>0</v>
      </c>
      <c r="W23" s="17">
        <v>3</v>
      </c>
      <c r="X23" s="18" t="s">
        <v>64</v>
      </c>
      <c r="Y23" s="21">
        <v>59662880</v>
      </c>
      <c r="Z23" s="73">
        <f t="shared" si="1"/>
        <v>12</v>
      </c>
      <c r="AA23" s="18" t="s">
        <v>64</v>
      </c>
      <c r="AB23" s="72">
        <f t="shared" si="8"/>
        <v>100</v>
      </c>
      <c r="AC23" s="35" t="s">
        <v>68</v>
      </c>
      <c r="AD23" s="41">
        <f t="shared" si="5"/>
        <v>165869868</v>
      </c>
      <c r="AE23" s="72">
        <f t="shared" si="9"/>
        <v>99.895682493964827</v>
      </c>
      <c r="AF23" s="35" t="s">
        <v>68</v>
      </c>
      <c r="AG23" s="73">
        <f t="shared" si="2"/>
        <v>24</v>
      </c>
      <c r="AH23" s="18" t="s">
        <v>64</v>
      </c>
      <c r="AI23" s="41">
        <f t="shared" si="3"/>
        <v>617953650</v>
      </c>
      <c r="AJ23" s="72">
        <f t="shared" si="6"/>
        <v>40</v>
      </c>
      <c r="AK23" s="35" t="s">
        <v>68</v>
      </c>
      <c r="AL23" s="72">
        <f t="shared" si="4"/>
        <v>30.729245518309352</v>
      </c>
      <c r="AM23" s="11"/>
      <c r="AP23" s="23"/>
    </row>
    <row r="24" spans="1:42" ht="97.5" customHeight="1" x14ac:dyDescent="0.2">
      <c r="A24" s="13"/>
      <c r="B24" s="14"/>
      <c r="C24" s="15" t="s">
        <v>38</v>
      </c>
      <c r="D24" s="15" t="s">
        <v>133</v>
      </c>
      <c r="E24" s="46">
        <v>100</v>
      </c>
      <c r="F24" s="47" t="s">
        <v>68</v>
      </c>
      <c r="G24" s="43">
        <f>SUM(G25:G28)</f>
        <v>1225453000</v>
      </c>
      <c r="H24" s="46">
        <v>100</v>
      </c>
      <c r="I24" s="47" t="s">
        <v>68</v>
      </c>
      <c r="J24" s="43">
        <f>SUM(J25:J28)</f>
        <v>216728169</v>
      </c>
      <c r="K24" s="46">
        <v>100</v>
      </c>
      <c r="L24" s="47" t="s">
        <v>68</v>
      </c>
      <c r="M24" s="43">
        <f>SUM(M25:M28)</f>
        <v>265424000</v>
      </c>
      <c r="N24" s="46">
        <v>25</v>
      </c>
      <c r="O24" s="47" t="s">
        <v>68</v>
      </c>
      <c r="P24" s="43">
        <f>SUM(P25:P28)</f>
        <v>152581500</v>
      </c>
      <c r="Q24" s="46">
        <v>25</v>
      </c>
      <c r="R24" s="47" t="s">
        <v>68</v>
      </c>
      <c r="S24" s="43">
        <f>SUM(S25:S28)</f>
        <v>4565000</v>
      </c>
      <c r="T24" s="46">
        <v>25</v>
      </c>
      <c r="U24" s="47" t="s">
        <v>68</v>
      </c>
      <c r="V24" s="43">
        <f>SUM(V25:V28)</f>
        <v>4220933</v>
      </c>
      <c r="W24" s="46">
        <v>25</v>
      </c>
      <c r="X24" s="47" t="s">
        <v>68</v>
      </c>
      <c r="Y24" s="43">
        <f>SUM(Y25:Y28)</f>
        <v>90626835</v>
      </c>
      <c r="Z24" s="74">
        <f t="shared" si="1"/>
        <v>100</v>
      </c>
      <c r="AA24" s="47" t="s">
        <v>68</v>
      </c>
      <c r="AB24" s="76">
        <f t="shared" si="8"/>
        <v>100</v>
      </c>
      <c r="AC24" s="77" t="s">
        <v>68</v>
      </c>
      <c r="AD24" s="81">
        <f t="shared" si="5"/>
        <v>251994268</v>
      </c>
      <c r="AE24" s="76">
        <f t="shared" si="9"/>
        <v>94.94027216830429</v>
      </c>
      <c r="AF24" s="77" t="s">
        <v>68</v>
      </c>
      <c r="AG24" s="74">
        <f t="shared" si="2"/>
        <v>200</v>
      </c>
      <c r="AH24" s="47" t="s">
        <v>68</v>
      </c>
      <c r="AI24" s="81">
        <f t="shared" si="3"/>
        <v>468722437</v>
      </c>
      <c r="AJ24" s="76">
        <f t="shared" si="6"/>
        <v>200</v>
      </c>
      <c r="AK24" s="77" t="s">
        <v>68</v>
      </c>
      <c r="AL24" s="76">
        <f t="shared" si="4"/>
        <v>38.248911790170652</v>
      </c>
      <c r="AM24" s="11"/>
      <c r="AP24" s="23"/>
    </row>
    <row r="25" spans="1:42" ht="83.25" customHeight="1" x14ac:dyDescent="0.2">
      <c r="A25" s="13"/>
      <c r="B25" s="14"/>
      <c r="C25" s="24" t="s">
        <v>75</v>
      </c>
      <c r="D25" s="29" t="s">
        <v>77</v>
      </c>
      <c r="E25" s="17">
        <f>12*5</f>
        <v>60</v>
      </c>
      <c r="F25" s="18" t="s">
        <v>64</v>
      </c>
      <c r="G25" s="53">
        <v>421183000</v>
      </c>
      <c r="H25" s="17">
        <v>12</v>
      </c>
      <c r="I25" s="18" t="s">
        <v>64</v>
      </c>
      <c r="J25" s="20">
        <v>80152000</v>
      </c>
      <c r="K25" s="17">
        <v>12</v>
      </c>
      <c r="L25" s="18" t="s">
        <v>64</v>
      </c>
      <c r="M25" s="21">
        <v>111754000</v>
      </c>
      <c r="N25" s="17">
        <v>3</v>
      </c>
      <c r="O25" s="18" t="s">
        <v>64</v>
      </c>
      <c r="P25" s="21">
        <v>82001900</v>
      </c>
      <c r="Q25" s="17">
        <v>3</v>
      </c>
      <c r="R25" s="18" t="s">
        <v>64</v>
      </c>
      <c r="S25" s="21">
        <v>4565000</v>
      </c>
      <c r="T25" s="17">
        <v>3</v>
      </c>
      <c r="U25" s="18" t="s">
        <v>64</v>
      </c>
      <c r="V25" s="21">
        <v>0</v>
      </c>
      <c r="W25" s="17">
        <v>3</v>
      </c>
      <c r="X25" s="18" t="s">
        <v>64</v>
      </c>
      <c r="Y25" s="21">
        <v>24490000</v>
      </c>
      <c r="Z25" s="73">
        <f t="shared" si="1"/>
        <v>12</v>
      </c>
      <c r="AA25" s="18" t="s">
        <v>64</v>
      </c>
      <c r="AB25" s="72">
        <f t="shared" si="8"/>
        <v>100</v>
      </c>
      <c r="AC25" s="35" t="s">
        <v>68</v>
      </c>
      <c r="AD25" s="41">
        <f t="shared" si="5"/>
        <v>111056900</v>
      </c>
      <c r="AE25" s="72">
        <f t="shared" si="9"/>
        <v>99.376219195733484</v>
      </c>
      <c r="AF25" s="35" t="s">
        <v>68</v>
      </c>
      <c r="AG25" s="73">
        <f t="shared" si="2"/>
        <v>24</v>
      </c>
      <c r="AH25" s="18" t="s">
        <v>64</v>
      </c>
      <c r="AI25" s="41">
        <f t="shared" si="3"/>
        <v>191208900</v>
      </c>
      <c r="AJ25" s="72">
        <f t="shared" si="6"/>
        <v>40</v>
      </c>
      <c r="AK25" s="35" t="s">
        <v>68</v>
      </c>
      <c r="AL25" s="72">
        <f t="shared" si="4"/>
        <v>45.398057376484807</v>
      </c>
      <c r="AM25" s="11"/>
      <c r="AP25" s="23"/>
    </row>
    <row r="26" spans="1:42" ht="77.25" customHeight="1" x14ac:dyDescent="0.2">
      <c r="A26" s="13"/>
      <c r="B26" s="14"/>
      <c r="C26" s="24" t="s">
        <v>76</v>
      </c>
      <c r="D26" s="29" t="s">
        <v>78</v>
      </c>
      <c r="E26" s="17">
        <v>4</v>
      </c>
      <c r="F26" s="18" t="s">
        <v>152</v>
      </c>
      <c r="G26" s="53">
        <v>183600000</v>
      </c>
      <c r="H26" s="17"/>
      <c r="I26" s="18"/>
      <c r="J26" s="20"/>
      <c r="K26" s="17">
        <v>1</v>
      </c>
      <c r="L26" s="18" t="s">
        <v>152</v>
      </c>
      <c r="M26" s="21">
        <v>61800000</v>
      </c>
      <c r="N26" s="17">
        <v>1</v>
      </c>
      <c r="O26" s="18" t="s">
        <v>152</v>
      </c>
      <c r="P26" s="21">
        <v>45845000</v>
      </c>
      <c r="Q26" s="17">
        <v>0</v>
      </c>
      <c r="R26" s="18" t="s">
        <v>152</v>
      </c>
      <c r="S26" s="21">
        <v>0</v>
      </c>
      <c r="T26" s="17">
        <v>0</v>
      </c>
      <c r="U26" s="18" t="s">
        <v>152</v>
      </c>
      <c r="V26" s="21">
        <v>0</v>
      </c>
      <c r="W26" s="17">
        <v>0</v>
      </c>
      <c r="X26" s="18" t="s">
        <v>152</v>
      </c>
      <c r="Y26" s="21">
        <v>14800000</v>
      </c>
      <c r="Z26" s="73">
        <f t="shared" si="1"/>
        <v>1</v>
      </c>
      <c r="AA26" s="18" t="s">
        <v>64</v>
      </c>
      <c r="AB26" s="72">
        <f t="shared" si="8"/>
        <v>100</v>
      </c>
      <c r="AC26" s="35" t="s">
        <v>68</v>
      </c>
      <c r="AD26" s="41">
        <f t="shared" si="5"/>
        <v>60645000</v>
      </c>
      <c r="AE26" s="72">
        <f t="shared" si="9"/>
        <v>98.131067961165058</v>
      </c>
      <c r="AF26" s="35" t="s">
        <v>68</v>
      </c>
      <c r="AG26" s="73">
        <f t="shared" si="2"/>
        <v>1</v>
      </c>
      <c r="AH26" s="18" t="s">
        <v>64</v>
      </c>
      <c r="AI26" s="41">
        <f t="shared" si="3"/>
        <v>60645000</v>
      </c>
      <c r="AJ26" s="72">
        <f t="shared" si="6"/>
        <v>25</v>
      </c>
      <c r="AK26" s="35" t="s">
        <v>68</v>
      </c>
      <c r="AL26" s="72">
        <f t="shared" si="4"/>
        <v>33.031045751633989</v>
      </c>
      <c r="AM26" s="11"/>
      <c r="AP26" s="23"/>
    </row>
    <row r="27" spans="1:42" ht="83.25" customHeight="1" x14ac:dyDescent="0.2">
      <c r="A27" s="13"/>
      <c r="B27" s="14"/>
      <c r="C27" s="24" t="s">
        <v>39</v>
      </c>
      <c r="D27" s="29" t="s">
        <v>79</v>
      </c>
      <c r="E27" s="17">
        <f t="shared" ref="E27:E28" si="10">12*5</f>
        <v>60</v>
      </c>
      <c r="F27" s="18" t="s">
        <v>64</v>
      </c>
      <c r="G27" s="53">
        <v>519400000</v>
      </c>
      <c r="H27" s="17">
        <v>12</v>
      </c>
      <c r="I27" s="18" t="s">
        <v>64</v>
      </c>
      <c r="J27" s="20">
        <v>68639169</v>
      </c>
      <c r="K27" s="17">
        <v>12</v>
      </c>
      <c r="L27" s="18" t="s">
        <v>64</v>
      </c>
      <c r="M27" s="21">
        <v>88020000</v>
      </c>
      <c r="N27" s="17">
        <v>3</v>
      </c>
      <c r="O27" s="18" t="s">
        <v>64</v>
      </c>
      <c r="P27" s="21">
        <v>24144600</v>
      </c>
      <c r="Q27" s="17">
        <v>3</v>
      </c>
      <c r="R27" s="18" t="s">
        <v>64</v>
      </c>
      <c r="S27" s="21">
        <v>0</v>
      </c>
      <c r="T27" s="17">
        <v>3</v>
      </c>
      <c r="U27" s="18" t="s">
        <v>64</v>
      </c>
      <c r="V27" s="21">
        <v>4220933</v>
      </c>
      <c r="W27" s="17">
        <v>3</v>
      </c>
      <c r="X27" s="18" t="s">
        <v>64</v>
      </c>
      <c r="Y27" s="21">
        <v>48076854</v>
      </c>
      <c r="Z27" s="73">
        <f t="shared" ref="Z27:Z28" si="11">N27+Q27+T27+W27</f>
        <v>12</v>
      </c>
      <c r="AA27" s="18" t="s">
        <v>64</v>
      </c>
      <c r="AB27" s="72">
        <f t="shared" si="8"/>
        <v>100</v>
      </c>
      <c r="AC27" s="35" t="s">
        <v>68</v>
      </c>
      <c r="AD27" s="41">
        <f t="shared" ref="AD27:AD28" si="12">P27+S27+V27+Y27</f>
        <v>76442387</v>
      </c>
      <c r="AE27" s="72">
        <f t="shared" si="9"/>
        <v>86.846610997500576</v>
      </c>
      <c r="AF27" s="35" t="s">
        <v>68</v>
      </c>
      <c r="AG27" s="73">
        <f t="shared" ref="AG27:AG28" si="13">H27+Z27</f>
        <v>24</v>
      </c>
      <c r="AH27" s="18" t="s">
        <v>64</v>
      </c>
      <c r="AI27" s="41">
        <f t="shared" ref="AI27:AI28" si="14">J27+AD27</f>
        <v>145081556</v>
      </c>
      <c r="AJ27" s="72">
        <f t="shared" ref="AJ27:AJ28" si="15">AG27/E27*100</f>
        <v>40</v>
      </c>
      <c r="AK27" s="35" t="s">
        <v>68</v>
      </c>
      <c r="AL27" s="72">
        <f t="shared" ref="AL27:AL28" si="16">AI27/G27*100</f>
        <v>27.932529072006162</v>
      </c>
      <c r="AM27" s="11"/>
      <c r="AP27" s="23"/>
    </row>
    <row r="28" spans="1:42" ht="77.25" customHeight="1" x14ac:dyDescent="0.2">
      <c r="A28" s="13"/>
      <c r="B28" s="14"/>
      <c r="C28" s="24" t="s">
        <v>40</v>
      </c>
      <c r="D28" s="29" t="s">
        <v>80</v>
      </c>
      <c r="E28" s="17">
        <f t="shared" si="10"/>
        <v>60</v>
      </c>
      <c r="F28" s="18" t="s">
        <v>64</v>
      </c>
      <c r="G28" s="53">
        <v>101270000</v>
      </c>
      <c r="H28" s="17">
        <v>12</v>
      </c>
      <c r="I28" s="18" t="s">
        <v>64</v>
      </c>
      <c r="J28" s="20">
        <v>67937000</v>
      </c>
      <c r="K28" s="17">
        <v>12</v>
      </c>
      <c r="L28" s="18" t="s">
        <v>64</v>
      </c>
      <c r="M28" s="21">
        <v>3850000</v>
      </c>
      <c r="N28" s="17">
        <v>3</v>
      </c>
      <c r="O28" s="18" t="s">
        <v>64</v>
      </c>
      <c r="P28" s="21">
        <v>590000</v>
      </c>
      <c r="Q28" s="17">
        <v>3</v>
      </c>
      <c r="R28" s="18" t="s">
        <v>64</v>
      </c>
      <c r="S28" s="21">
        <v>0</v>
      </c>
      <c r="T28" s="17">
        <v>3</v>
      </c>
      <c r="U28" s="18" t="s">
        <v>64</v>
      </c>
      <c r="V28" s="21">
        <v>0</v>
      </c>
      <c r="W28" s="17">
        <v>3</v>
      </c>
      <c r="X28" s="18" t="s">
        <v>64</v>
      </c>
      <c r="Y28" s="21">
        <v>3259981</v>
      </c>
      <c r="Z28" s="73">
        <f t="shared" si="11"/>
        <v>12</v>
      </c>
      <c r="AA28" s="18" t="s">
        <v>64</v>
      </c>
      <c r="AB28" s="72">
        <f t="shared" si="8"/>
        <v>100</v>
      </c>
      <c r="AC28" s="35" t="s">
        <v>68</v>
      </c>
      <c r="AD28" s="41">
        <f t="shared" si="12"/>
        <v>3849981</v>
      </c>
      <c r="AE28" s="72">
        <f t="shared" si="9"/>
        <v>99.999506493506502</v>
      </c>
      <c r="AF28" s="35" t="s">
        <v>68</v>
      </c>
      <c r="AG28" s="73">
        <f t="shared" si="13"/>
        <v>24</v>
      </c>
      <c r="AH28" s="18" t="s">
        <v>64</v>
      </c>
      <c r="AI28" s="41">
        <f t="shared" si="14"/>
        <v>71786981</v>
      </c>
      <c r="AJ28" s="72">
        <f t="shared" si="15"/>
        <v>40</v>
      </c>
      <c r="AK28" s="35" t="s">
        <v>68</v>
      </c>
      <c r="AL28" s="72">
        <f t="shared" si="16"/>
        <v>70.886719660314014</v>
      </c>
      <c r="AM28" s="11"/>
      <c r="AP28" s="23"/>
    </row>
    <row r="29" spans="1:42" ht="102" customHeight="1" x14ac:dyDescent="0.2">
      <c r="A29" s="13"/>
      <c r="B29" s="14"/>
      <c r="C29" s="15" t="s">
        <v>41</v>
      </c>
      <c r="D29" s="15" t="s">
        <v>133</v>
      </c>
      <c r="E29" s="46">
        <v>100</v>
      </c>
      <c r="F29" s="47" t="s">
        <v>68</v>
      </c>
      <c r="G29" s="43">
        <f>SUM(G30:G32)</f>
        <v>2843708500</v>
      </c>
      <c r="H29" s="46">
        <v>100</v>
      </c>
      <c r="I29" s="47" t="s">
        <v>68</v>
      </c>
      <c r="J29" s="43">
        <f>SUM(J30:J32)</f>
        <v>561986750</v>
      </c>
      <c r="K29" s="46">
        <v>100</v>
      </c>
      <c r="L29" s="47" t="s">
        <v>68</v>
      </c>
      <c r="M29" s="43">
        <f>SUM(M30:M32)</f>
        <v>88818600</v>
      </c>
      <c r="N29" s="46">
        <v>25</v>
      </c>
      <c r="O29" s="47" t="s">
        <v>68</v>
      </c>
      <c r="P29" s="43">
        <f>SUM(P30:P32)</f>
        <v>28902400</v>
      </c>
      <c r="Q29" s="46">
        <v>25</v>
      </c>
      <c r="R29" s="47" t="s">
        <v>68</v>
      </c>
      <c r="S29" s="43">
        <f>SUM(S30:S32)</f>
        <v>10209300</v>
      </c>
      <c r="T29" s="46">
        <v>25</v>
      </c>
      <c r="U29" s="47" t="s">
        <v>68</v>
      </c>
      <c r="V29" s="43">
        <f>SUM(V30:V32)</f>
        <v>7065000</v>
      </c>
      <c r="W29" s="46">
        <v>25</v>
      </c>
      <c r="X29" s="47" t="s">
        <v>68</v>
      </c>
      <c r="Y29" s="43">
        <f>SUM(Y30:Y32)</f>
        <v>34630000</v>
      </c>
      <c r="Z29" s="74">
        <f t="shared" si="1"/>
        <v>100</v>
      </c>
      <c r="AA29" s="47" t="s">
        <v>68</v>
      </c>
      <c r="AB29" s="76">
        <f t="shared" si="8"/>
        <v>100</v>
      </c>
      <c r="AC29" s="77" t="s">
        <v>68</v>
      </c>
      <c r="AD29" s="81">
        <f t="shared" si="5"/>
        <v>80806700</v>
      </c>
      <c r="AE29" s="76">
        <f t="shared" si="9"/>
        <v>90.979479523433156</v>
      </c>
      <c r="AF29" s="77" t="s">
        <v>68</v>
      </c>
      <c r="AG29" s="74">
        <f t="shared" si="2"/>
        <v>200</v>
      </c>
      <c r="AH29" s="47" t="s">
        <v>68</v>
      </c>
      <c r="AI29" s="81">
        <f t="shared" si="3"/>
        <v>642793450</v>
      </c>
      <c r="AJ29" s="76">
        <f t="shared" si="6"/>
        <v>200</v>
      </c>
      <c r="AK29" s="77" t="s">
        <v>68</v>
      </c>
      <c r="AL29" s="76">
        <f t="shared" si="4"/>
        <v>22.604055584459516</v>
      </c>
      <c r="AM29" s="11"/>
      <c r="AP29" s="23"/>
    </row>
    <row r="30" spans="1:42" ht="63.75" customHeight="1" x14ac:dyDescent="0.2">
      <c r="A30" s="13"/>
      <c r="B30" s="14"/>
      <c r="C30" s="24" t="s">
        <v>81</v>
      </c>
      <c r="D30" s="29" t="s">
        <v>84</v>
      </c>
      <c r="E30" s="17">
        <f>3*5</f>
        <v>15</v>
      </c>
      <c r="F30" s="18" t="s">
        <v>65</v>
      </c>
      <c r="G30" s="53">
        <v>280383500</v>
      </c>
      <c r="H30" s="17">
        <v>3</v>
      </c>
      <c r="I30" s="18" t="s">
        <v>65</v>
      </c>
      <c r="J30" s="20">
        <v>55286700</v>
      </c>
      <c r="K30" s="17">
        <v>3</v>
      </c>
      <c r="L30" s="18" t="s">
        <v>65</v>
      </c>
      <c r="M30" s="21">
        <v>55001700</v>
      </c>
      <c r="N30" s="17">
        <v>3</v>
      </c>
      <c r="O30" s="18" t="s">
        <v>65</v>
      </c>
      <c r="P30" s="21">
        <v>24431400</v>
      </c>
      <c r="Q30" s="17">
        <v>0</v>
      </c>
      <c r="R30" s="18" t="s">
        <v>65</v>
      </c>
      <c r="S30" s="21">
        <v>10209300</v>
      </c>
      <c r="T30" s="17">
        <v>0</v>
      </c>
      <c r="U30" s="18" t="s">
        <v>65</v>
      </c>
      <c r="V30" s="21">
        <v>7065000</v>
      </c>
      <c r="W30" s="17">
        <v>0</v>
      </c>
      <c r="X30" s="18" t="s">
        <v>65</v>
      </c>
      <c r="Y30" s="21">
        <v>10545000</v>
      </c>
      <c r="Z30" s="73">
        <f t="shared" si="1"/>
        <v>3</v>
      </c>
      <c r="AA30" s="18" t="s">
        <v>65</v>
      </c>
      <c r="AB30" s="72">
        <f t="shared" si="8"/>
        <v>100</v>
      </c>
      <c r="AC30" s="35" t="s">
        <v>68</v>
      </c>
      <c r="AD30" s="41">
        <f t="shared" si="5"/>
        <v>52250700</v>
      </c>
      <c r="AE30" s="72">
        <f t="shared" si="9"/>
        <v>94.998336415056258</v>
      </c>
      <c r="AF30" s="35" t="s">
        <v>68</v>
      </c>
      <c r="AG30" s="73">
        <f t="shared" si="2"/>
        <v>6</v>
      </c>
      <c r="AH30" s="18" t="s">
        <v>65</v>
      </c>
      <c r="AI30" s="41">
        <f t="shared" si="3"/>
        <v>107537400</v>
      </c>
      <c r="AJ30" s="72">
        <f t="shared" si="6"/>
        <v>40</v>
      </c>
      <c r="AK30" s="35" t="s">
        <v>68</v>
      </c>
      <c r="AL30" s="72">
        <f t="shared" si="4"/>
        <v>38.353683437149478</v>
      </c>
      <c r="AM30" s="11"/>
      <c r="AP30" s="23"/>
    </row>
    <row r="31" spans="1:42" ht="90" x14ac:dyDescent="0.2">
      <c r="A31" s="13"/>
      <c r="B31" s="14"/>
      <c r="C31" s="24" t="s">
        <v>82</v>
      </c>
      <c r="D31" s="29" t="s">
        <v>85</v>
      </c>
      <c r="E31" s="17">
        <f>5*5</f>
        <v>25</v>
      </c>
      <c r="F31" s="18" t="s">
        <v>65</v>
      </c>
      <c r="G31" s="53">
        <v>2416575000</v>
      </c>
      <c r="H31" s="17">
        <v>5</v>
      </c>
      <c r="I31" s="18" t="s">
        <v>65</v>
      </c>
      <c r="J31" s="20">
        <v>477725050</v>
      </c>
      <c r="K31" s="17">
        <v>5</v>
      </c>
      <c r="L31" s="18" t="s">
        <v>65</v>
      </c>
      <c r="M31" s="21">
        <v>26896900</v>
      </c>
      <c r="N31" s="17">
        <v>1</v>
      </c>
      <c r="O31" s="18" t="s">
        <v>65</v>
      </c>
      <c r="P31" s="21">
        <v>4471000</v>
      </c>
      <c r="Q31" s="17">
        <v>0</v>
      </c>
      <c r="R31" s="18" t="s">
        <v>65</v>
      </c>
      <c r="S31" s="21">
        <v>0</v>
      </c>
      <c r="T31" s="17">
        <v>3</v>
      </c>
      <c r="U31" s="18" t="s">
        <v>65</v>
      </c>
      <c r="V31" s="21">
        <v>0</v>
      </c>
      <c r="W31" s="17">
        <v>1</v>
      </c>
      <c r="X31" s="18" t="s">
        <v>65</v>
      </c>
      <c r="Y31" s="21">
        <v>17905000</v>
      </c>
      <c r="Z31" s="73">
        <f t="shared" ref="Z31" si="17">N31+Q31+T31+W31</f>
        <v>5</v>
      </c>
      <c r="AA31" s="18" t="s">
        <v>65</v>
      </c>
      <c r="AB31" s="72">
        <f>Z31/K31*100</f>
        <v>100</v>
      </c>
      <c r="AC31" s="35" t="s">
        <v>68</v>
      </c>
      <c r="AD31" s="41">
        <f t="shared" ref="AD31" si="18">P31+S31+V31+Y31</f>
        <v>22376000</v>
      </c>
      <c r="AE31" s="72">
        <f t="shared" si="9"/>
        <v>83.191743286401035</v>
      </c>
      <c r="AF31" s="35" t="s">
        <v>68</v>
      </c>
      <c r="AG31" s="73">
        <f t="shared" ref="AG31" si="19">H31+Z31</f>
        <v>10</v>
      </c>
      <c r="AH31" s="18" t="s">
        <v>65</v>
      </c>
      <c r="AI31" s="41">
        <f t="shared" ref="AI31" si="20">J31+AD31</f>
        <v>500101050</v>
      </c>
      <c r="AJ31" s="72">
        <f t="shared" ref="AJ31" si="21">AG31/E31*100</f>
        <v>40</v>
      </c>
      <c r="AK31" s="35" t="s">
        <v>68</v>
      </c>
      <c r="AL31" s="72">
        <f t="shared" ref="AL31" si="22">AI31/G31*100</f>
        <v>20.694621520126624</v>
      </c>
      <c r="AM31" s="11"/>
      <c r="AP31" s="23"/>
    </row>
    <row r="32" spans="1:42" ht="63.75" customHeight="1" x14ac:dyDescent="0.2">
      <c r="A32" s="13"/>
      <c r="B32" s="14"/>
      <c r="C32" s="24" t="s">
        <v>83</v>
      </c>
      <c r="D32" s="29" t="s">
        <v>86</v>
      </c>
      <c r="E32" s="17">
        <f>2*5</f>
        <v>10</v>
      </c>
      <c r="F32" s="18" t="s">
        <v>65</v>
      </c>
      <c r="G32" s="53">
        <v>146750000</v>
      </c>
      <c r="H32" s="17">
        <v>2</v>
      </c>
      <c r="I32" s="18" t="s">
        <v>65</v>
      </c>
      <c r="J32" s="20">
        <v>28975000</v>
      </c>
      <c r="K32" s="17">
        <v>2</v>
      </c>
      <c r="L32" s="18" t="s">
        <v>65</v>
      </c>
      <c r="M32" s="21">
        <v>6920000</v>
      </c>
      <c r="N32" s="17">
        <v>0</v>
      </c>
      <c r="O32" s="18" t="s">
        <v>65</v>
      </c>
      <c r="P32" s="21">
        <v>0</v>
      </c>
      <c r="Q32" s="17">
        <v>0</v>
      </c>
      <c r="R32" s="18" t="s">
        <v>65</v>
      </c>
      <c r="S32" s="21">
        <v>0</v>
      </c>
      <c r="T32" s="17">
        <v>0</v>
      </c>
      <c r="U32" s="18" t="s">
        <v>65</v>
      </c>
      <c r="V32" s="21">
        <v>0</v>
      </c>
      <c r="W32" s="17">
        <v>2</v>
      </c>
      <c r="X32" s="18" t="s">
        <v>65</v>
      </c>
      <c r="Y32" s="21">
        <v>6180000</v>
      </c>
      <c r="Z32" s="73">
        <f t="shared" ref="Z32" si="23">N32+Q32+T32+W32</f>
        <v>2</v>
      </c>
      <c r="AA32" s="18" t="s">
        <v>65</v>
      </c>
      <c r="AB32" s="72">
        <f t="shared" si="8"/>
        <v>100</v>
      </c>
      <c r="AC32" s="35" t="s">
        <v>68</v>
      </c>
      <c r="AD32" s="41">
        <f t="shared" ref="AD32" si="24">P32+S32+V32+Y32</f>
        <v>6180000</v>
      </c>
      <c r="AE32" s="72">
        <f t="shared" si="9"/>
        <v>89.306358381502889</v>
      </c>
      <c r="AF32" s="35" t="s">
        <v>68</v>
      </c>
      <c r="AG32" s="73">
        <f t="shared" ref="AG32" si="25">H32+Z32</f>
        <v>4</v>
      </c>
      <c r="AH32" s="18" t="s">
        <v>65</v>
      </c>
      <c r="AI32" s="41">
        <f t="shared" ref="AI32" si="26">J32+AD32</f>
        <v>35155000</v>
      </c>
      <c r="AJ32" s="72">
        <f t="shared" ref="AJ32" si="27">AG32/E32*100</f>
        <v>40</v>
      </c>
      <c r="AK32" s="35" t="s">
        <v>68</v>
      </c>
      <c r="AL32" s="72">
        <f t="shared" ref="AL32" si="28">AI32/G32*100</f>
        <v>23.955706984667803</v>
      </c>
      <c r="AM32" s="11"/>
      <c r="AP32" s="23"/>
    </row>
    <row r="33" spans="1:42" ht="63.75" customHeight="1" x14ac:dyDescent="0.2">
      <c r="A33" s="13"/>
      <c r="B33" s="14"/>
      <c r="C33" s="62" t="s">
        <v>140</v>
      </c>
      <c r="D33" s="63" t="s">
        <v>141</v>
      </c>
      <c r="E33" s="17">
        <f>5*5</f>
        <v>25</v>
      </c>
      <c r="F33" s="18" t="s">
        <v>65</v>
      </c>
      <c r="G33" s="53">
        <v>274689500</v>
      </c>
      <c r="H33" s="17">
        <v>2</v>
      </c>
      <c r="I33" s="18" t="s">
        <v>65</v>
      </c>
      <c r="J33" s="20">
        <v>42606300</v>
      </c>
      <c r="K33" s="17"/>
      <c r="L33" s="18"/>
      <c r="M33" s="21"/>
      <c r="N33" s="17"/>
      <c r="O33" s="18"/>
      <c r="P33" s="21"/>
      <c r="Q33" s="17"/>
      <c r="R33" s="18"/>
      <c r="S33" s="21"/>
      <c r="T33" s="17"/>
      <c r="U33" s="18"/>
      <c r="V33" s="21"/>
      <c r="W33" s="17"/>
      <c r="X33" s="18"/>
      <c r="Y33" s="21"/>
      <c r="Z33" s="73"/>
      <c r="AA33" s="18"/>
      <c r="AB33" s="72"/>
      <c r="AC33" s="35"/>
      <c r="AD33" s="41"/>
      <c r="AE33" s="72"/>
      <c r="AF33" s="35"/>
      <c r="AG33" s="73">
        <f t="shared" ref="AG33" si="29">H33+Z33</f>
        <v>2</v>
      </c>
      <c r="AH33" s="18" t="s">
        <v>65</v>
      </c>
      <c r="AI33" s="41">
        <f t="shared" ref="AI33" si="30">J33+AD33</f>
        <v>42606300</v>
      </c>
      <c r="AJ33" s="72">
        <f t="shared" ref="AJ33" si="31">AG33/E33*100</f>
        <v>8</v>
      </c>
      <c r="AK33" s="35" t="s">
        <v>68</v>
      </c>
      <c r="AL33" s="72">
        <f t="shared" ref="AL33" si="32">AI33/G33*100</f>
        <v>15.510713005047517</v>
      </c>
      <c r="AM33" s="11"/>
      <c r="AP33" s="23"/>
    </row>
    <row r="34" spans="1:42" ht="147" customHeight="1" x14ac:dyDescent="0.2">
      <c r="A34" s="51">
        <v>12</v>
      </c>
      <c r="B34" s="52" t="s">
        <v>91</v>
      </c>
      <c r="C34" s="15" t="s">
        <v>88</v>
      </c>
      <c r="D34" s="16" t="s">
        <v>143</v>
      </c>
      <c r="E34" s="57">
        <v>100</v>
      </c>
      <c r="F34" s="47" t="s">
        <v>68</v>
      </c>
      <c r="G34" s="43">
        <f>SUM(G35)</f>
        <v>192487500</v>
      </c>
      <c r="H34" s="48">
        <f>14/38*100</f>
        <v>36.84210526315789</v>
      </c>
      <c r="I34" s="47" t="s">
        <v>68</v>
      </c>
      <c r="J34" s="43">
        <f>SUM(J35)</f>
        <v>32397500</v>
      </c>
      <c r="K34" s="48">
        <f>20/38*100</f>
        <v>52.631578947368418</v>
      </c>
      <c r="L34" s="47" t="s">
        <v>68</v>
      </c>
      <c r="M34" s="43">
        <f>SUM(M35)</f>
        <v>29999800</v>
      </c>
      <c r="N34" s="48">
        <v>0</v>
      </c>
      <c r="O34" s="47" t="s">
        <v>68</v>
      </c>
      <c r="P34" s="43">
        <f>SUM(P35)</f>
        <v>0</v>
      </c>
      <c r="Q34" s="48">
        <v>0</v>
      </c>
      <c r="R34" s="47" t="s">
        <v>68</v>
      </c>
      <c r="S34" s="43">
        <f>SUM(S35)</f>
        <v>0</v>
      </c>
      <c r="T34" s="48">
        <v>0</v>
      </c>
      <c r="U34" s="47" t="s">
        <v>68</v>
      </c>
      <c r="V34" s="43">
        <f>SUM(V35)</f>
        <v>11412000</v>
      </c>
      <c r="W34" s="48">
        <f>6/38*100</f>
        <v>15.789473684210526</v>
      </c>
      <c r="X34" s="47" t="s">
        <v>68</v>
      </c>
      <c r="Y34" s="43">
        <f>SUM(Y35)</f>
        <v>8005800</v>
      </c>
      <c r="Z34" s="76">
        <f t="shared" si="1"/>
        <v>15.789473684210526</v>
      </c>
      <c r="AA34" s="47" t="s">
        <v>68</v>
      </c>
      <c r="AB34" s="76">
        <f>AG34/K34*100</f>
        <v>100</v>
      </c>
      <c r="AC34" s="77" t="s">
        <v>68</v>
      </c>
      <c r="AD34" s="81">
        <f t="shared" si="5"/>
        <v>19417800</v>
      </c>
      <c r="AE34" s="76">
        <f t="shared" si="9"/>
        <v>64.726431509543389</v>
      </c>
      <c r="AF34" s="77" t="s">
        <v>68</v>
      </c>
      <c r="AG34" s="76">
        <f>H34+Z34</f>
        <v>52.631578947368418</v>
      </c>
      <c r="AH34" s="47" t="s">
        <v>68</v>
      </c>
      <c r="AI34" s="81">
        <f t="shared" si="3"/>
        <v>51815300</v>
      </c>
      <c r="AJ34" s="76">
        <f t="shared" si="6"/>
        <v>52.631578947368418</v>
      </c>
      <c r="AK34" s="77" t="s">
        <v>68</v>
      </c>
      <c r="AL34" s="76">
        <f t="shared" si="4"/>
        <v>26.918786934216509</v>
      </c>
      <c r="AM34" s="11"/>
      <c r="AP34" s="23"/>
    </row>
    <row r="35" spans="1:42" ht="60" x14ac:dyDescent="0.2">
      <c r="A35" s="13"/>
      <c r="B35" s="14"/>
      <c r="C35" s="24" t="s">
        <v>87</v>
      </c>
      <c r="D35" s="29" t="s">
        <v>89</v>
      </c>
      <c r="E35" s="17">
        <v>38</v>
      </c>
      <c r="F35" s="18" t="s">
        <v>90</v>
      </c>
      <c r="G35" s="53">
        <v>192487500</v>
      </c>
      <c r="H35" s="45">
        <v>10</v>
      </c>
      <c r="I35" s="18" t="s">
        <v>90</v>
      </c>
      <c r="J35" s="20">
        <v>32397500</v>
      </c>
      <c r="K35" s="17">
        <v>6</v>
      </c>
      <c r="L35" s="18" t="s">
        <v>90</v>
      </c>
      <c r="M35" s="21">
        <v>29999800</v>
      </c>
      <c r="N35" s="17">
        <v>0</v>
      </c>
      <c r="O35" s="18" t="s">
        <v>90</v>
      </c>
      <c r="P35" s="21">
        <v>0</v>
      </c>
      <c r="Q35" s="17">
        <v>0</v>
      </c>
      <c r="R35" s="18" t="s">
        <v>90</v>
      </c>
      <c r="S35" s="21">
        <v>0</v>
      </c>
      <c r="T35" s="17">
        <v>0</v>
      </c>
      <c r="U35" s="18" t="s">
        <v>90</v>
      </c>
      <c r="V35" s="21">
        <v>11412000</v>
      </c>
      <c r="W35" s="17">
        <v>6</v>
      </c>
      <c r="X35" s="18" t="s">
        <v>90</v>
      </c>
      <c r="Y35" s="21">
        <v>8005800</v>
      </c>
      <c r="Z35" s="73">
        <f t="shared" si="1"/>
        <v>6</v>
      </c>
      <c r="AA35" s="18" t="s">
        <v>90</v>
      </c>
      <c r="AB35" s="72">
        <f t="shared" si="8"/>
        <v>100</v>
      </c>
      <c r="AC35" s="35" t="s">
        <v>68</v>
      </c>
      <c r="AD35" s="41">
        <f t="shared" si="5"/>
        <v>19417800</v>
      </c>
      <c r="AE35" s="72">
        <f t="shared" si="9"/>
        <v>64.726431509543389</v>
      </c>
      <c r="AF35" s="35" t="s">
        <v>68</v>
      </c>
      <c r="AG35" s="73">
        <f t="shared" si="2"/>
        <v>16</v>
      </c>
      <c r="AH35" s="18" t="s">
        <v>90</v>
      </c>
      <c r="AI35" s="41">
        <f t="shared" si="3"/>
        <v>51815300</v>
      </c>
      <c r="AJ35" s="72">
        <f t="shared" si="6"/>
        <v>42.105263157894733</v>
      </c>
      <c r="AK35" s="35" t="s">
        <v>68</v>
      </c>
      <c r="AL35" s="72">
        <f t="shared" si="4"/>
        <v>26.918786934216509</v>
      </c>
      <c r="AM35" s="11"/>
      <c r="AP35" s="23"/>
    </row>
    <row r="36" spans="1:42" ht="146.25" customHeight="1" x14ac:dyDescent="0.2">
      <c r="A36" s="13"/>
      <c r="B36" s="14"/>
      <c r="C36" s="15" t="s">
        <v>95</v>
      </c>
      <c r="D36" s="16" t="s">
        <v>147</v>
      </c>
      <c r="E36" s="48">
        <v>37.299999999999997</v>
      </c>
      <c r="F36" s="47" t="s">
        <v>68</v>
      </c>
      <c r="G36" s="43">
        <f>SUM(G37)</f>
        <v>50225000</v>
      </c>
      <c r="H36" s="48">
        <f>15/185*100</f>
        <v>8.1081081081081088</v>
      </c>
      <c r="I36" s="47" t="s">
        <v>68</v>
      </c>
      <c r="J36" s="43">
        <f>SUM(J37)</f>
        <v>7650000</v>
      </c>
      <c r="K36" s="48">
        <f>23/185*100</f>
        <v>12.432432432432433</v>
      </c>
      <c r="L36" s="47" t="s">
        <v>68</v>
      </c>
      <c r="M36" s="43">
        <f>SUM(M37)</f>
        <v>18542500</v>
      </c>
      <c r="N36" s="46">
        <v>0</v>
      </c>
      <c r="O36" s="47" t="s">
        <v>68</v>
      </c>
      <c r="P36" s="43">
        <f>SUM(P37)</f>
        <v>0</v>
      </c>
      <c r="Q36" s="46">
        <v>0</v>
      </c>
      <c r="R36" s="47" t="s">
        <v>68</v>
      </c>
      <c r="S36" s="43">
        <f>SUM(S37)</f>
        <v>0</v>
      </c>
      <c r="T36" s="48">
        <f>8/185*100</f>
        <v>4.3243243243243246</v>
      </c>
      <c r="U36" s="47" t="s">
        <v>68</v>
      </c>
      <c r="V36" s="43">
        <f>SUM(V37)</f>
        <v>9157500</v>
      </c>
      <c r="W36" s="48">
        <v>0</v>
      </c>
      <c r="X36" s="47" t="s">
        <v>68</v>
      </c>
      <c r="Y36" s="43">
        <f>SUM(Y37)</f>
        <v>455000</v>
      </c>
      <c r="Z36" s="76">
        <f t="shared" si="1"/>
        <v>4.3243243243243246</v>
      </c>
      <c r="AA36" s="47" t="s">
        <v>68</v>
      </c>
      <c r="AB36" s="76">
        <f>AG36/K36*100</f>
        <v>100</v>
      </c>
      <c r="AC36" s="77" t="s">
        <v>68</v>
      </c>
      <c r="AD36" s="81">
        <f t="shared" si="5"/>
        <v>9612500</v>
      </c>
      <c r="AE36" s="76">
        <f t="shared" si="9"/>
        <v>51.840366725091002</v>
      </c>
      <c r="AF36" s="77" t="s">
        <v>68</v>
      </c>
      <c r="AG36" s="76">
        <f>H36+Z36</f>
        <v>12.432432432432433</v>
      </c>
      <c r="AH36" s="47" t="s">
        <v>68</v>
      </c>
      <c r="AI36" s="81">
        <f t="shared" si="3"/>
        <v>17262500</v>
      </c>
      <c r="AJ36" s="76">
        <f t="shared" si="6"/>
        <v>33.330918049416717</v>
      </c>
      <c r="AK36" s="77" t="s">
        <v>68</v>
      </c>
      <c r="AL36" s="76">
        <f t="shared" si="4"/>
        <v>34.370333499253356</v>
      </c>
      <c r="AM36" s="11"/>
      <c r="AP36" s="23"/>
    </row>
    <row r="37" spans="1:42" ht="120" x14ac:dyDescent="0.2">
      <c r="A37" s="13"/>
      <c r="B37" s="14"/>
      <c r="C37" s="24" t="s">
        <v>92</v>
      </c>
      <c r="D37" s="29" t="s">
        <v>93</v>
      </c>
      <c r="E37" s="17">
        <v>69</v>
      </c>
      <c r="F37" s="50" t="s">
        <v>135</v>
      </c>
      <c r="G37" s="53">
        <v>50225000</v>
      </c>
      <c r="H37" s="45">
        <v>6</v>
      </c>
      <c r="I37" s="50" t="s">
        <v>135</v>
      </c>
      <c r="J37" s="20">
        <v>7650000</v>
      </c>
      <c r="K37" s="17">
        <v>8</v>
      </c>
      <c r="L37" s="50" t="s">
        <v>135</v>
      </c>
      <c r="M37" s="21">
        <v>18542500</v>
      </c>
      <c r="N37" s="17">
        <v>0</v>
      </c>
      <c r="O37" s="50" t="s">
        <v>135</v>
      </c>
      <c r="P37" s="21">
        <v>0</v>
      </c>
      <c r="Q37" s="17">
        <v>0</v>
      </c>
      <c r="R37" s="50" t="s">
        <v>135</v>
      </c>
      <c r="S37" s="21">
        <v>0</v>
      </c>
      <c r="T37" s="17">
        <v>8</v>
      </c>
      <c r="U37" s="50" t="s">
        <v>135</v>
      </c>
      <c r="V37" s="21">
        <v>9157500</v>
      </c>
      <c r="W37" s="17">
        <v>0</v>
      </c>
      <c r="X37" s="50" t="s">
        <v>135</v>
      </c>
      <c r="Y37" s="21">
        <v>455000</v>
      </c>
      <c r="Z37" s="73">
        <f t="shared" si="1"/>
        <v>8</v>
      </c>
      <c r="AA37" s="50" t="s">
        <v>135</v>
      </c>
      <c r="AB37" s="72">
        <f t="shared" si="8"/>
        <v>100</v>
      </c>
      <c r="AC37" s="35" t="s">
        <v>68</v>
      </c>
      <c r="AD37" s="41">
        <f t="shared" si="5"/>
        <v>9612500</v>
      </c>
      <c r="AE37" s="72">
        <f t="shared" si="9"/>
        <v>51.840366725091002</v>
      </c>
      <c r="AF37" s="35" t="s">
        <v>68</v>
      </c>
      <c r="AG37" s="73">
        <f t="shared" si="2"/>
        <v>14</v>
      </c>
      <c r="AH37" s="50" t="s">
        <v>135</v>
      </c>
      <c r="AI37" s="41">
        <f t="shared" si="3"/>
        <v>17262500</v>
      </c>
      <c r="AJ37" s="72">
        <f t="shared" si="6"/>
        <v>20.289855072463769</v>
      </c>
      <c r="AK37" s="35" t="s">
        <v>68</v>
      </c>
      <c r="AL37" s="72">
        <f t="shared" si="4"/>
        <v>34.370333499253356</v>
      </c>
      <c r="AM37" s="11"/>
      <c r="AP37" s="23"/>
    </row>
    <row r="38" spans="1:42" ht="148.5" customHeight="1" x14ac:dyDescent="0.2">
      <c r="A38" s="13"/>
      <c r="B38" s="14"/>
      <c r="C38" s="15" t="s">
        <v>96</v>
      </c>
      <c r="D38" s="16" t="s">
        <v>98</v>
      </c>
      <c r="E38" s="46">
        <v>100</v>
      </c>
      <c r="F38" s="47" t="s">
        <v>68</v>
      </c>
      <c r="G38" s="43">
        <f>SUM(G39:G39)</f>
        <v>463621500</v>
      </c>
      <c r="H38" s="46">
        <f>15/54*100</f>
        <v>27.777777777777779</v>
      </c>
      <c r="I38" s="47" t="s">
        <v>68</v>
      </c>
      <c r="J38" s="43">
        <f>SUM(J39:J39)</f>
        <v>82294300</v>
      </c>
      <c r="K38" s="48">
        <f>30/54*100</f>
        <v>55.555555555555557</v>
      </c>
      <c r="L38" s="47" t="s">
        <v>68</v>
      </c>
      <c r="M38" s="43">
        <f>SUM(M39:M39)</f>
        <v>84724100</v>
      </c>
      <c r="N38" s="48">
        <f>N39/54*100</f>
        <v>5.5555555555555554</v>
      </c>
      <c r="O38" s="47" t="s">
        <v>68</v>
      </c>
      <c r="P38" s="43">
        <f>SUM(P39:P39)</f>
        <v>11042200</v>
      </c>
      <c r="Q38" s="48">
        <f>Q39/54*100</f>
        <v>5.5555555555555554</v>
      </c>
      <c r="R38" s="47" t="s">
        <v>68</v>
      </c>
      <c r="S38" s="43">
        <f>SUM(S39:S39)</f>
        <v>11425000</v>
      </c>
      <c r="T38" s="48">
        <f>T39/54*100</f>
        <v>7.4074074074074066</v>
      </c>
      <c r="U38" s="47" t="s">
        <v>68</v>
      </c>
      <c r="V38" s="43">
        <f>SUM(V39:V39)</f>
        <v>23550000</v>
      </c>
      <c r="W38" s="48">
        <f>W39/54*100</f>
        <v>9.2592592592592595</v>
      </c>
      <c r="X38" s="47" t="s">
        <v>68</v>
      </c>
      <c r="Y38" s="43">
        <f>SUM(Y39:Y39)</f>
        <v>29206900</v>
      </c>
      <c r="Z38" s="76">
        <f>N38+Q38+T38+W38</f>
        <v>27.777777777777779</v>
      </c>
      <c r="AA38" s="47" t="s">
        <v>68</v>
      </c>
      <c r="AB38" s="76">
        <f>AG38/K38*100</f>
        <v>100</v>
      </c>
      <c r="AC38" s="77" t="s">
        <v>68</v>
      </c>
      <c r="AD38" s="81">
        <f t="shared" si="5"/>
        <v>75224100</v>
      </c>
      <c r="AE38" s="76">
        <f>AD38/M38*100</f>
        <v>88.787133767133554</v>
      </c>
      <c r="AF38" s="77" t="s">
        <v>68</v>
      </c>
      <c r="AG38" s="76">
        <f>H38+Z38</f>
        <v>55.555555555555557</v>
      </c>
      <c r="AH38" s="47" t="s">
        <v>68</v>
      </c>
      <c r="AI38" s="81">
        <f t="shared" si="3"/>
        <v>157518400</v>
      </c>
      <c r="AJ38" s="76">
        <f t="shared" si="6"/>
        <v>55.555555555555557</v>
      </c>
      <c r="AK38" s="77" t="s">
        <v>68</v>
      </c>
      <c r="AL38" s="76">
        <f t="shared" si="4"/>
        <v>33.975646081987136</v>
      </c>
      <c r="AM38" s="11"/>
      <c r="AP38" s="23"/>
    </row>
    <row r="39" spans="1:42" ht="53.25" customHeight="1" x14ac:dyDescent="0.2">
      <c r="A39" s="13"/>
      <c r="B39" s="14"/>
      <c r="C39" s="24" t="s">
        <v>94</v>
      </c>
      <c r="D39" s="29" t="s">
        <v>137</v>
      </c>
      <c r="E39" s="17">
        <v>54</v>
      </c>
      <c r="F39" s="50" t="s">
        <v>136</v>
      </c>
      <c r="G39" s="53">
        <v>463621500</v>
      </c>
      <c r="H39" s="45">
        <v>15</v>
      </c>
      <c r="I39" s="50" t="s">
        <v>136</v>
      </c>
      <c r="J39" s="20">
        <v>82294300</v>
      </c>
      <c r="K39" s="17">
        <v>15</v>
      </c>
      <c r="L39" s="50" t="s">
        <v>136</v>
      </c>
      <c r="M39" s="21">
        <v>84724100</v>
      </c>
      <c r="N39" s="17">
        <v>3</v>
      </c>
      <c r="O39" s="50" t="s">
        <v>136</v>
      </c>
      <c r="P39" s="21">
        <v>11042200</v>
      </c>
      <c r="Q39" s="17">
        <v>3</v>
      </c>
      <c r="R39" s="50" t="s">
        <v>136</v>
      </c>
      <c r="S39" s="21">
        <v>11425000</v>
      </c>
      <c r="T39" s="17">
        <v>4</v>
      </c>
      <c r="U39" s="50" t="s">
        <v>136</v>
      </c>
      <c r="V39" s="21">
        <v>23550000</v>
      </c>
      <c r="W39" s="17">
        <v>5</v>
      </c>
      <c r="X39" s="50" t="s">
        <v>136</v>
      </c>
      <c r="Y39" s="21">
        <v>29206900</v>
      </c>
      <c r="Z39" s="73">
        <f>N39+Q39+T39+W39</f>
        <v>15</v>
      </c>
      <c r="AA39" s="50" t="s">
        <v>136</v>
      </c>
      <c r="AB39" s="72">
        <f t="shared" si="8"/>
        <v>100</v>
      </c>
      <c r="AC39" s="35" t="s">
        <v>68</v>
      </c>
      <c r="AD39" s="41">
        <f t="shared" si="5"/>
        <v>75224100</v>
      </c>
      <c r="AE39" s="72">
        <f t="shared" si="9"/>
        <v>88.787133767133554</v>
      </c>
      <c r="AF39" s="35" t="s">
        <v>68</v>
      </c>
      <c r="AG39" s="73">
        <f t="shared" si="2"/>
        <v>30</v>
      </c>
      <c r="AH39" s="50" t="s">
        <v>136</v>
      </c>
      <c r="AI39" s="41">
        <f t="shared" si="3"/>
        <v>157518400</v>
      </c>
      <c r="AJ39" s="72">
        <f t="shared" si="6"/>
        <v>55.555555555555557</v>
      </c>
      <c r="AK39" s="35" t="s">
        <v>68</v>
      </c>
      <c r="AL39" s="72">
        <f t="shared" si="4"/>
        <v>33.975646081987136</v>
      </c>
      <c r="AM39" s="11"/>
      <c r="AP39" s="23"/>
    </row>
    <row r="40" spans="1:42" ht="110.25" x14ac:dyDescent="0.2">
      <c r="A40" s="13"/>
      <c r="B40" s="14"/>
      <c r="C40" s="15" t="s">
        <v>100</v>
      </c>
      <c r="D40" s="16" t="s">
        <v>144</v>
      </c>
      <c r="E40" s="46">
        <v>100</v>
      </c>
      <c r="F40" s="47" t="s">
        <v>68</v>
      </c>
      <c r="G40" s="43">
        <f>SUM(G41:G41)</f>
        <v>119830000</v>
      </c>
      <c r="H40" s="46">
        <f>10/10*100</f>
        <v>100</v>
      </c>
      <c r="I40" s="47" t="s">
        <v>68</v>
      </c>
      <c r="J40" s="43">
        <f>SUM(J41:J41)</f>
        <v>20786590</v>
      </c>
      <c r="K40" s="46">
        <v>100</v>
      </c>
      <c r="L40" s="47" t="s">
        <v>68</v>
      </c>
      <c r="M40" s="43">
        <f>SUM(M41:M41)</f>
        <v>23966000</v>
      </c>
      <c r="N40" s="46">
        <f>1/1*100</f>
        <v>100</v>
      </c>
      <c r="O40" s="47" t="s">
        <v>68</v>
      </c>
      <c r="P40" s="43">
        <f>SUM(P41:P41)</f>
        <v>3540700</v>
      </c>
      <c r="Q40" s="46">
        <f>0/1*100</f>
        <v>0</v>
      </c>
      <c r="R40" s="47" t="s">
        <v>68</v>
      </c>
      <c r="S40" s="43">
        <f>SUM(S41:S41)</f>
        <v>0</v>
      </c>
      <c r="T40" s="46">
        <f>1/1*100</f>
        <v>100</v>
      </c>
      <c r="U40" s="47" t="s">
        <v>68</v>
      </c>
      <c r="V40" s="43">
        <f>SUM(V41:V41)</f>
        <v>4125000</v>
      </c>
      <c r="W40" s="46">
        <v>0</v>
      </c>
      <c r="X40" s="47" t="s">
        <v>68</v>
      </c>
      <c r="Y40" s="43">
        <f>SUM(Y41:Y41)</f>
        <v>7468900</v>
      </c>
      <c r="Z40" s="76">
        <f>T40</f>
        <v>100</v>
      </c>
      <c r="AA40" s="47" t="s">
        <v>68</v>
      </c>
      <c r="AB40" s="76">
        <f>Z40/K40*100</f>
        <v>100</v>
      </c>
      <c r="AC40" s="77" t="s">
        <v>68</v>
      </c>
      <c r="AD40" s="81">
        <f t="shared" si="5"/>
        <v>15134600</v>
      </c>
      <c r="AE40" s="76">
        <f t="shared" si="9"/>
        <v>63.150296253025118</v>
      </c>
      <c r="AF40" s="77" t="s">
        <v>68</v>
      </c>
      <c r="AG40" s="76">
        <f>Z40</f>
        <v>100</v>
      </c>
      <c r="AH40" s="47" t="s">
        <v>68</v>
      </c>
      <c r="AI40" s="81">
        <f t="shared" si="3"/>
        <v>35921190</v>
      </c>
      <c r="AJ40" s="76">
        <f t="shared" si="6"/>
        <v>100</v>
      </c>
      <c r="AK40" s="77" t="s">
        <v>68</v>
      </c>
      <c r="AL40" s="76">
        <f t="shared" si="4"/>
        <v>29.97679212217308</v>
      </c>
      <c r="AM40" s="11"/>
      <c r="AP40" s="23"/>
    </row>
    <row r="41" spans="1:42" ht="85.5" customHeight="1" x14ac:dyDescent="0.2">
      <c r="A41" s="13"/>
      <c r="B41" s="14"/>
      <c r="C41" s="24" t="s">
        <v>97</v>
      </c>
      <c r="D41" s="29" t="s">
        <v>99</v>
      </c>
      <c r="E41" s="17">
        <v>12</v>
      </c>
      <c r="F41" s="18" t="s">
        <v>67</v>
      </c>
      <c r="G41" s="53">
        <v>119830000</v>
      </c>
      <c r="H41" s="45">
        <v>2</v>
      </c>
      <c r="I41" s="18" t="s">
        <v>67</v>
      </c>
      <c r="J41" s="20">
        <v>20786590</v>
      </c>
      <c r="K41" s="17">
        <v>2</v>
      </c>
      <c r="L41" s="50" t="s">
        <v>67</v>
      </c>
      <c r="M41" s="21">
        <v>23966000</v>
      </c>
      <c r="N41" s="17">
        <v>0</v>
      </c>
      <c r="O41" s="50" t="s">
        <v>67</v>
      </c>
      <c r="P41" s="21">
        <v>3540700</v>
      </c>
      <c r="Q41" s="17">
        <v>1</v>
      </c>
      <c r="R41" s="50" t="s">
        <v>67</v>
      </c>
      <c r="S41" s="21">
        <v>0</v>
      </c>
      <c r="T41" s="17">
        <v>0</v>
      </c>
      <c r="U41" s="50" t="s">
        <v>67</v>
      </c>
      <c r="V41" s="21">
        <v>4125000</v>
      </c>
      <c r="W41" s="17">
        <v>1</v>
      </c>
      <c r="X41" s="50" t="s">
        <v>67</v>
      </c>
      <c r="Y41" s="21">
        <v>7468900</v>
      </c>
      <c r="Z41" s="73">
        <f t="shared" si="1"/>
        <v>2</v>
      </c>
      <c r="AA41" s="18" t="s">
        <v>67</v>
      </c>
      <c r="AB41" s="72">
        <f t="shared" si="8"/>
        <v>100</v>
      </c>
      <c r="AC41" s="35" t="s">
        <v>68</v>
      </c>
      <c r="AD41" s="41">
        <f t="shared" si="5"/>
        <v>15134600</v>
      </c>
      <c r="AE41" s="72">
        <f t="shared" si="9"/>
        <v>63.150296253025118</v>
      </c>
      <c r="AF41" s="35" t="s">
        <v>68</v>
      </c>
      <c r="AG41" s="73">
        <f t="shared" si="2"/>
        <v>4</v>
      </c>
      <c r="AH41" s="18" t="s">
        <v>67</v>
      </c>
      <c r="AI41" s="41">
        <f t="shared" si="3"/>
        <v>35921190</v>
      </c>
      <c r="AJ41" s="72">
        <f t="shared" si="6"/>
        <v>33.333333333333329</v>
      </c>
      <c r="AK41" s="35" t="s">
        <v>68</v>
      </c>
      <c r="AL41" s="72">
        <f t="shared" si="4"/>
        <v>29.97679212217308</v>
      </c>
      <c r="AM41" s="11"/>
      <c r="AP41" s="23"/>
    </row>
    <row r="42" spans="1:42" ht="176.25" customHeight="1" x14ac:dyDescent="0.2">
      <c r="A42" s="13"/>
      <c r="B42" s="14"/>
      <c r="C42" s="52" t="s">
        <v>101</v>
      </c>
      <c r="D42" s="16" t="s">
        <v>148</v>
      </c>
      <c r="E42" s="48">
        <v>87.5</v>
      </c>
      <c r="F42" s="47" t="s">
        <v>68</v>
      </c>
      <c r="G42" s="61">
        <f>SUM(G44:G52)</f>
        <v>22608562500</v>
      </c>
      <c r="H42" s="48">
        <f>12/120*100</f>
        <v>10</v>
      </c>
      <c r="I42" s="47" t="s">
        <v>68</v>
      </c>
      <c r="J42" s="61">
        <f>SUM(J44:J52)</f>
        <v>2455453261</v>
      </c>
      <c r="K42" s="46">
        <v>29.17</v>
      </c>
      <c r="L42" s="47" t="s">
        <v>68</v>
      </c>
      <c r="M42" s="61">
        <f>SUM(M44:M52)</f>
        <v>4344925000</v>
      </c>
      <c r="N42" s="48">
        <f>5/120*100</f>
        <v>4.1666666666666661</v>
      </c>
      <c r="O42" s="47" t="s">
        <v>68</v>
      </c>
      <c r="P42" s="61">
        <f>SUM(P44:P52)</f>
        <v>102037000</v>
      </c>
      <c r="Q42" s="48">
        <f>10/120*100</f>
        <v>8.3333333333333321</v>
      </c>
      <c r="R42" s="47" t="s">
        <v>68</v>
      </c>
      <c r="S42" s="61">
        <f>SUM(S44:S52)</f>
        <v>680006765</v>
      </c>
      <c r="T42" s="48">
        <f>8/120*100</f>
        <v>6.666666666666667</v>
      </c>
      <c r="U42" s="47" t="s">
        <v>68</v>
      </c>
      <c r="V42" s="61">
        <f>SUM(V44:V52)</f>
        <v>902146250</v>
      </c>
      <c r="W42" s="48">
        <v>0</v>
      </c>
      <c r="X42" s="47" t="s">
        <v>68</v>
      </c>
      <c r="Y42" s="61">
        <f>SUM(Y44:Y52)</f>
        <v>1649498950</v>
      </c>
      <c r="Z42" s="76">
        <f>N42+Q42+T42+W42</f>
        <v>19.166666666666664</v>
      </c>
      <c r="AA42" s="47" t="s">
        <v>68</v>
      </c>
      <c r="AB42" s="76">
        <f>AG42/K42*100</f>
        <v>99.988572734544618</v>
      </c>
      <c r="AC42" s="77" t="s">
        <v>68</v>
      </c>
      <c r="AD42" s="75">
        <f t="shared" si="5"/>
        <v>3333688965</v>
      </c>
      <c r="AE42" s="78">
        <f>AD42/M42*100</f>
        <v>76.726041646288493</v>
      </c>
      <c r="AF42" s="51" t="s">
        <v>68</v>
      </c>
      <c r="AG42" s="76">
        <f>H42+Z42</f>
        <v>29.166666666666664</v>
      </c>
      <c r="AH42" s="47" t="s">
        <v>68</v>
      </c>
      <c r="AI42" s="75">
        <f t="shared" si="3"/>
        <v>5789142226</v>
      </c>
      <c r="AJ42" s="76">
        <f t="shared" si="6"/>
        <v>33.333333333333329</v>
      </c>
      <c r="AK42" s="77" t="s">
        <v>68</v>
      </c>
      <c r="AL42" s="78">
        <f t="shared" si="4"/>
        <v>25.605972188634286</v>
      </c>
      <c r="AM42" s="11"/>
      <c r="AP42" s="23"/>
    </row>
    <row r="43" spans="1:42" ht="116.25" customHeight="1" x14ac:dyDescent="0.2">
      <c r="A43" s="13"/>
      <c r="B43" s="14"/>
      <c r="C43" s="15"/>
      <c r="D43" s="16" t="s">
        <v>149</v>
      </c>
      <c r="E43" s="48">
        <v>80.19</v>
      </c>
      <c r="F43" s="47" t="s">
        <v>68</v>
      </c>
      <c r="G43" s="12"/>
      <c r="H43" s="48">
        <f>H44/50839*100</f>
        <v>76.470819646334505</v>
      </c>
      <c r="I43" s="47" t="s">
        <v>68</v>
      </c>
      <c r="J43" s="27"/>
      <c r="K43" s="48">
        <v>79.290000000000006</v>
      </c>
      <c r="L43" s="47" t="s">
        <v>68</v>
      </c>
      <c r="M43" s="42"/>
      <c r="N43" s="48">
        <f>N44/52699*100</f>
        <v>74.316400690715184</v>
      </c>
      <c r="O43" s="47" t="s">
        <v>68</v>
      </c>
      <c r="P43" s="28"/>
      <c r="Q43" s="48">
        <f>Q44/50162*100</f>
        <v>76.346636896455493</v>
      </c>
      <c r="R43" s="47" t="s">
        <v>68</v>
      </c>
      <c r="S43" s="28"/>
      <c r="T43" s="48">
        <f>T44/50114*100</f>
        <v>77.716805683042665</v>
      </c>
      <c r="U43" s="47" t="s">
        <v>68</v>
      </c>
      <c r="V43" s="28"/>
      <c r="W43" s="48">
        <f>W44/39232*100</f>
        <v>78.986541598694942</v>
      </c>
      <c r="X43" s="47" t="s">
        <v>68</v>
      </c>
      <c r="Y43" s="28"/>
      <c r="Z43" s="76">
        <f>W43</f>
        <v>78.986541598694942</v>
      </c>
      <c r="AA43" s="47" t="s">
        <v>68</v>
      </c>
      <c r="AB43" s="76">
        <f>AG43/K43*100</f>
        <v>99.61728036157767</v>
      </c>
      <c r="AC43" s="77" t="s">
        <v>68</v>
      </c>
      <c r="AD43" s="79"/>
      <c r="AE43" s="80"/>
      <c r="AF43" s="92"/>
      <c r="AG43" s="76">
        <f>Z43</f>
        <v>78.986541598694942</v>
      </c>
      <c r="AH43" s="47" t="s">
        <v>68</v>
      </c>
      <c r="AI43" s="79"/>
      <c r="AJ43" s="76">
        <f t="shared" ref="AJ43" si="33">AG43/E43*100</f>
        <v>98.499241300280516</v>
      </c>
      <c r="AK43" s="77" t="s">
        <v>68</v>
      </c>
      <c r="AL43" s="80"/>
      <c r="AM43" s="11"/>
      <c r="AP43" s="23"/>
    </row>
    <row r="44" spans="1:42" ht="75" x14ac:dyDescent="0.2">
      <c r="A44" s="13"/>
      <c r="B44" s="14"/>
      <c r="C44" s="24" t="s">
        <v>102</v>
      </c>
      <c r="D44" s="29" t="s">
        <v>111</v>
      </c>
      <c r="E44" s="58" t="s">
        <v>138</v>
      </c>
      <c r="F44" s="18" t="s">
        <v>120</v>
      </c>
      <c r="G44" s="53">
        <v>1297539500</v>
      </c>
      <c r="H44" s="59" t="s">
        <v>145</v>
      </c>
      <c r="I44" s="18" t="s">
        <v>120</v>
      </c>
      <c r="J44" s="20">
        <v>222942900</v>
      </c>
      <c r="K44" s="49">
        <v>34812</v>
      </c>
      <c r="L44" s="18" t="s">
        <v>120</v>
      </c>
      <c r="M44" s="21">
        <v>56860000</v>
      </c>
      <c r="N44" s="49">
        <v>39164</v>
      </c>
      <c r="O44" s="18" t="s">
        <v>120</v>
      </c>
      <c r="P44" s="21">
        <v>4215000</v>
      </c>
      <c r="Q44" s="49">
        <v>38297</v>
      </c>
      <c r="R44" s="18" t="s">
        <v>120</v>
      </c>
      <c r="S44" s="21">
        <v>21175000</v>
      </c>
      <c r="T44" s="49">
        <v>38947</v>
      </c>
      <c r="U44" s="18" t="s">
        <v>120</v>
      </c>
      <c r="V44" s="21">
        <v>7800000</v>
      </c>
      <c r="W44" s="49">
        <v>30988</v>
      </c>
      <c r="X44" s="18" t="s">
        <v>120</v>
      </c>
      <c r="Y44" s="21">
        <v>23666000</v>
      </c>
      <c r="Z44" s="90">
        <f>T44</f>
        <v>38947</v>
      </c>
      <c r="AA44" s="18" t="s">
        <v>120</v>
      </c>
      <c r="AB44" s="72">
        <f>AG44/K44*100</f>
        <v>111.8780880156268</v>
      </c>
      <c r="AC44" s="35" t="s">
        <v>68</v>
      </c>
      <c r="AD44" s="41">
        <f t="shared" si="5"/>
        <v>56856000</v>
      </c>
      <c r="AE44" s="72">
        <f t="shared" si="9"/>
        <v>99.992965177629273</v>
      </c>
      <c r="AF44" s="35" t="s">
        <v>68</v>
      </c>
      <c r="AG44" s="90">
        <f>Z44</f>
        <v>38947</v>
      </c>
      <c r="AH44" s="18" t="s">
        <v>120</v>
      </c>
      <c r="AI44" s="41">
        <f t="shared" si="3"/>
        <v>279798900</v>
      </c>
      <c r="AJ44" s="72">
        <f t="shared" si="6"/>
        <v>109.98249181068564</v>
      </c>
      <c r="AK44" s="35" t="s">
        <v>68</v>
      </c>
      <c r="AL44" s="72">
        <f t="shared" si="4"/>
        <v>21.563805957352358</v>
      </c>
      <c r="AM44" s="11"/>
      <c r="AP44" s="23"/>
    </row>
    <row r="45" spans="1:42" ht="120" x14ac:dyDescent="0.2">
      <c r="A45" s="13"/>
      <c r="B45" s="14"/>
      <c r="C45" s="24" t="s">
        <v>103</v>
      </c>
      <c r="D45" s="29" t="s">
        <v>110</v>
      </c>
      <c r="E45" s="17">
        <f>5*11</f>
        <v>55</v>
      </c>
      <c r="F45" s="50" t="s">
        <v>119</v>
      </c>
      <c r="G45" s="53">
        <v>5425795000</v>
      </c>
      <c r="H45" s="45">
        <v>11</v>
      </c>
      <c r="I45" s="50" t="s">
        <v>119</v>
      </c>
      <c r="J45" s="20">
        <v>1004969000</v>
      </c>
      <c r="K45" s="49">
        <v>11</v>
      </c>
      <c r="L45" s="50" t="s">
        <v>119</v>
      </c>
      <c r="M45" s="21">
        <v>1037200000</v>
      </c>
      <c r="N45" s="17">
        <v>0</v>
      </c>
      <c r="O45" s="50" t="s">
        <v>119</v>
      </c>
      <c r="P45" s="21">
        <v>0</v>
      </c>
      <c r="Q45" s="17">
        <v>0</v>
      </c>
      <c r="R45" s="50" t="s">
        <v>119</v>
      </c>
      <c r="S45" s="21">
        <v>151566000</v>
      </c>
      <c r="T45" s="17">
        <v>11</v>
      </c>
      <c r="U45" s="50" t="s">
        <v>119</v>
      </c>
      <c r="V45" s="21">
        <v>226350000</v>
      </c>
      <c r="W45" s="17">
        <v>0</v>
      </c>
      <c r="X45" s="50" t="s">
        <v>119</v>
      </c>
      <c r="Y45" s="21">
        <v>425579000</v>
      </c>
      <c r="Z45" s="73">
        <f t="shared" si="1"/>
        <v>11</v>
      </c>
      <c r="AA45" s="50" t="s">
        <v>119</v>
      </c>
      <c r="AB45" s="72">
        <f t="shared" si="8"/>
        <v>100</v>
      </c>
      <c r="AC45" s="35" t="s">
        <v>68</v>
      </c>
      <c r="AD45" s="41">
        <f t="shared" si="5"/>
        <v>803495000</v>
      </c>
      <c r="AE45" s="72">
        <f t="shared" si="9"/>
        <v>77.467701504049373</v>
      </c>
      <c r="AF45" s="35" t="s">
        <v>68</v>
      </c>
      <c r="AG45" s="73">
        <f t="shared" si="2"/>
        <v>22</v>
      </c>
      <c r="AH45" s="50" t="s">
        <v>119</v>
      </c>
      <c r="AI45" s="41">
        <f t="shared" si="3"/>
        <v>1808464000</v>
      </c>
      <c r="AJ45" s="72">
        <f t="shared" si="6"/>
        <v>40</v>
      </c>
      <c r="AK45" s="35" t="s">
        <v>68</v>
      </c>
      <c r="AL45" s="72">
        <f t="shared" si="4"/>
        <v>33.330857505674281</v>
      </c>
      <c r="AM45" s="11"/>
      <c r="AP45" s="23"/>
    </row>
    <row r="46" spans="1:42" ht="120" x14ac:dyDescent="0.2">
      <c r="A46" s="13"/>
      <c r="B46" s="14"/>
      <c r="C46" s="24" t="s">
        <v>104</v>
      </c>
      <c r="D46" s="29" t="s">
        <v>112</v>
      </c>
      <c r="E46" s="17">
        <f>5*11</f>
        <v>55</v>
      </c>
      <c r="F46" s="50" t="s">
        <v>119</v>
      </c>
      <c r="G46" s="53">
        <v>4778982300</v>
      </c>
      <c r="H46" s="45">
        <v>11</v>
      </c>
      <c r="I46" s="50" t="s">
        <v>119</v>
      </c>
      <c r="J46" s="20">
        <v>617837650</v>
      </c>
      <c r="K46" s="17">
        <v>11</v>
      </c>
      <c r="L46" s="50" t="s">
        <v>119</v>
      </c>
      <c r="M46" s="21">
        <v>1194985000</v>
      </c>
      <c r="N46" s="17">
        <v>11</v>
      </c>
      <c r="O46" s="50" t="s">
        <v>119</v>
      </c>
      <c r="P46" s="21">
        <v>83600000</v>
      </c>
      <c r="Q46" s="17">
        <v>0</v>
      </c>
      <c r="R46" s="50" t="s">
        <v>119</v>
      </c>
      <c r="S46" s="21">
        <v>168003765</v>
      </c>
      <c r="T46" s="17">
        <v>0</v>
      </c>
      <c r="U46" s="50" t="s">
        <v>119</v>
      </c>
      <c r="V46" s="21">
        <v>277840750</v>
      </c>
      <c r="W46" s="17">
        <v>0</v>
      </c>
      <c r="X46" s="50" t="s">
        <v>119</v>
      </c>
      <c r="Y46" s="21">
        <v>317464050</v>
      </c>
      <c r="Z46" s="73">
        <f t="shared" si="1"/>
        <v>11</v>
      </c>
      <c r="AA46" s="50" t="s">
        <v>119</v>
      </c>
      <c r="AB46" s="72">
        <f t="shared" si="8"/>
        <v>100</v>
      </c>
      <c r="AC46" s="35" t="s">
        <v>68</v>
      </c>
      <c r="AD46" s="41">
        <f t="shared" si="5"/>
        <v>846908565</v>
      </c>
      <c r="AE46" s="72">
        <f t="shared" si="9"/>
        <v>70.871899228860613</v>
      </c>
      <c r="AF46" s="35" t="s">
        <v>68</v>
      </c>
      <c r="AG46" s="73">
        <f t="shared" si="2"/>
        <v>22</v>
      </c>
      <c r="AH46" s="50" t="s">
        <v>119</v>
      </c>
      <c r="AI46" s="41">
        <f t="shared" si="3"/>
        <v>1464746215</v>
      </c>
      <c r="AJ46" s="72">
        <f t="shared" si="6"/>
        <v>40</v>
      </c>
      <c r="AK46" s="35" t="s">
        <v>68</v>
      </c>
      <c r="AL46" s="72">
        <f t="shared" si="4"/>
        <v>30.649751831054072</v>
      </c>
      <c r="AM46" s="11"/>
      <c r="AP46" s="23"/>
    </row>
    <row r="47" spans="1:42" ht="150" x14ac:dyDescent="0.2">
      <c r="A47" s="13"/>
      <c r="B47" s="14"/>
      <c r="C47" s="24" t="s">
        <v>105</v>
      </c>
      <c r="D47" s="29" t="s">
        <v>113</v>
      </c>
      <c r="E47" s="17">
        <f>26*5</f>
        <v>130</v>
      </c>
      <c r="F47" s="50" t="s">
        <v>121</v>
      </c>
      <c r="G47" s="53">
        <v>202500000</v>
      </c>
      <c r="H47" s="45">
        <v>26</v>
      </c>
      <c r="I47" s="50" t="s">
        <v>121</v>
      </c>
      <c r="J47" s="20">
        <v>4760000</v>
      </c>
      <c r="K47" s="17">
        <v>26</v>
      </c>
      <c r="L47" s="50" t="s">
        <v>121</v>
      </c>
      <c r="M47" s="21">
        <v>69948000</v>
      </c>
      <c r="N47" s="17">
        <v>9</v>
      </c>
      <c r="O47" s="50" t="s">
        <v>121</v>
      </c>
      <c r="P47" s="21">
        <v>0</v>
      </c>
      <c r="Q47" s="17">
        <v>9</v>
      </c>
      <c r="R47" s="50" t="s">
        <v>121</v>
      </c>
      <c r="S47" s="21">
        <v>448000</v>
      </c>
      <c r="T47" s="17">
        <v>8</v>
      </c>
      <c r="U47" s="50" t="s">
        <v>121</v>
      </c>
      <c r="V47" s="21">
        <v>940000</v>
      </c>
      <c r="W47" s="17">
        <v>0</v>
      </c>
      <c r="X47" s="50" t="s">
        <v>121</v>
      </c>
      <c r="Y47" s="21">
        <v>9090000</v>
      </c>
      <c r="Z47" s="73">
        <f t="shared" si="1"/>
        <v>26</v>
      </c>
      <c r="AA47" s="50" t="s">
        <v>121</v>
      </c>
      <c r="AB47" s="72">
        <f t="shared" si="8"/>
        <v>100</v>
      </c>
      <c r="AC47" s="35" t="s">
        <v>68</v>
      </c>
      <c r="AD47" s="41">
        <f t="shared" si="5"/>
        <v>10478000</v>
      </c>
      <c r="AE47" s="72">
        <f t="shared" si="9"/>
        <v>14.979699205123806</v>
      </c>
      <c r="AF47" s="35" t="s">
        <v>68</v>
      </c>
      <c r="AG47" s="73">
        <f t="shared" si="2"/>
        <v>52</v>
      </c>
      <c r="AH47" s="50" t="s">
        <v>121</v>
      </c>
      <c r="AI47" s="41">
        <f t="shared" si="3"/>
        <v>15238000</v>
      </c>
      <c r="AJ47" s="72">
        <f t="shared" si="6"/>
        <v>40</v>
      </c>
      <c r="AK47" s="35" t="s">
        <v>68</v>
      </c>
      <c r="AL47" s="72">
        <f t="shared" si="4"/>
        <v>7.5249382716049373</v>
      </c>
      <c r="AM47" s="11"/>
      <c r="AP47" s="23"/>
    </row>
    <row r="48" spans="1:42" ht="150" x14ac:dyDescent="0.2">
      <c r="A48" s="13"/>
      <c r="B48" s="14"/>
      <c r="C48" s="24" t="s">
        <v>106</v>
      </c>
      <c r="D48" s="29" t="s">
        <v>114</v>
      </c>
      <c r="E48" s="17">
        <f>22*5</f>
        <v>110</v>
      </c>
      <c r="F48" s="50" t="s">
        <v>122</v>
      </c>
      <c r="G48" s="53">
        <v>4928000000</v>
      </c>
      <c r="H48" s="45">
        <v>22</v>
      </c>
      <c r="I48" s="50" t="s">
        <v>122</v>
      </c>
      <c r="J48" s="20">
        <v>261100000</v>
      </c>
      <c r="K48" s="17">
        <v>22</v>
      </c>
      <c r="L48" s="50" t="s">
        <v>122</v>
      </c>
      <c r="M48" s="21">
        <v>914375000</v>
      </c>
      <c r="N48" s="17">
        <v>7</v>
      </c>
      <c r="O48" s="50" t="s">
        <v>122</v>
      </c>
      <c r="P48" s="21">
        <v>0</v>
      </c>
      <c r="Q48" s="17">
        <v>7</v>
      </c>
      <c r="R48" s="50" t="s">
        <v>122</v>
      </c>
      <c r="S48" s="21">
        <v>0</v>
      </c>
      <c r="T48" s="17">
        <v>8</v>
      </c>
      <c r="U48" s="50" t="s">
        <v>122</v>
      </c>
      <c r="V48" s="21">
        <v>158400000</v>
      </c>
      <c r="W48" s="17">
        <v>0</v>
      </c>
      <c r="X48" s="50" t="s">
        <v>122</v>
      </c>
      <c r="Y48" s="21">
        <v>433070000</v>
      </c>
      <c r="Z48" s="73">
        <f t="shared" si="1"/>
        <v>22</v>
      </c>
      <c r="AA48" s="50" t="s">
        <v>122</v>
      </c>
      <c r="AB48" s="72">
        <f t="shared" si="8"/>
        <v>100</v>
      </c>
      <c r="AC48" s="35" t="s">
        <v>68</v>
      </c>
      <c r="AD48" s="41">
        <f t="shared" si="5"/>
        <v>591470000</v>
      </c>
      <c r="AE48" s="72">
        <f t="shared" si="9"/>
        <v>64.685714285714297</v>
      </c>
      <c r="AF48" s="35" t="s">
        <v>68</v>
      </c>
      <c r="AG48" s="73">
        <f t="shared" si="2"/>
        <v>44</v>
      </c>
      <c r="AH48" s="50" t="s">
        <v>122</v>
      </c>
      <c r="AI48" s="41">
        <f t="shared" si="3"/>
        <v>852570000</v>
      </c>
      <c r="AJ48" s="72">
        <f t="shared" si="6"/>
        <v>40</v>
      </c>
      <c r="AK48" s="35" t="s">
        <v>68</v>
      </c>
      <c r="AL48" s="72">
        <f t="shared" si="4"/>
        <v>17.300527597402599</v>
      </c>
      <c r="AM48" s="11"/>
      <c r="AP48" s="23"/>
    </row>
    <row r="49" spans="1:42" ht="135" x14ac:dyDescent="0.2">
      <c r="A49" s="13"/>
      <c r="B49" s="14"/>
      <c r="C49" s="55" t="s">
        <v>107</v>
      </c>
      <c r="D49" s="29" t="s">
        <v>115</v>
      </c>
      <c r="E49" s="17">
        <f>148*5</f>
        <v>740</v>
      </c>
      <c r="F49" s="50" t="s">
        <v>123</v>
      </c>
      <c r="G49" s="83">
        <v>4440000000</v>
      </c>
      <c r="H49" s="45">
        <v>148</v>
      </c>
      <c r="I49" s="50" t="s">
        <v>123</v>
      </c>
      <c r="J49" s="84">
        <v>226360000</v>
      </c>
      <c r="K49" s="17">
        <v>148</v>
      </c>
      <c r="L49" s="50" t="s">
        <v>123</v>
      </c>
      <c r="M49" s="85">
        <v>888000000</v>
      </c>
      <c r="N49" s="17">
        <v>50</v>
      </c>
      <c r="O49" s="50" t="s">
        <v>123</v>
      </c>
      <c r="P49" s="85">
        <v>0</v>
      </c>
      <c r="Q49" s="17">
        <v>50</v>
      </c>
      <c r="R49" s="50" t="s">
        <v>123</v>
      </c>
      <c r="S49" s="85">
        <v>325500000</v>
      </c>
      <c r="T49" s="17">
        <v>48</v>
      </c>
      <c r="U49" s="50" t="s">
        <v>123</v>
      </c>
      <c r="V49" s="85">
        <v>195300000</v>
      </c>
      <c r="W49" s="17">
        <v>0</v>
      </c>
      <c r="X49" s="50" t="s">
        <v>123</v>
      </c>
      <c r="Y49" s="85">
        <v>360400000</v>
      </c>
      <c r="Z49" s="73">
        <f t="shared" si="1"/>
        <v>148</v>
      </c>
      <c r="AA49" s="50" t="s">
        <v>123</v>
      </c>
      <c r="AB49" s="72">
        <f t="shared" si="8"/>
        <v>100</v>
      </c>
      <c r="AC49" s="35" t="s">
        <v>68</v>
      </c>
      <c r="AD49" s="86">
        <f t="shared" si="5"/>
        <v>881200000</v>
      </c>
      <c r="AE49" s="88">
        <f t="shared" si="9"/>
        <v>99.234234234234236</v>
      </c>
      <c r="AF49" s="93" t="s">
        <v>68</v>
      </c>
      <c r="AG49" s="73">
        <f t="shared" si="2"/>
        <v>296</v>
      </c>
      <c r="AH49" s="50" t="s">
        <v>123</v>
      </c>
      <c r="AI49" s="86">
        <f t="shared" si="3"/>
        <v>1107560000</v>
      </c>
      <c r="AJ49" s="72">
        <f t="shared" si="6"/>
        <v>40</v>
      </c>
      <c r="AK49" s="35" t="s">
        <v>68</v>
      </c>
      <c r="AL49" s="88">
        <f t="shared" si="4"/>
        <v>24.945045045045045</v>
      </c>
      <c r="AM49" s="11"/>
      <c r="AP49" s="23"/>
    </row>
    <row r="50" spans="1:42" ht="105" x14ac:dyDescent="0.2">
      <c r="A50" s="13"/>
      <c r="B50" s="14"/>
      <c r="C50" s="24"/>
      <c r="D50" s="29" t="s">
        <v>116</v>
      </c>
      <c r="E50" s="95">
        <f>578*5</f>
        <v>2890</v>
      </c>
      <c r="F50" s="50" t="s">
        <v>124</v>
      </c>
      <c r="G50" s="56"/>
      <c r="H50" s="45">
        <v>578</v>
      </c>
      <c r="I50" s="50" t="s">
        <v>124</v>
      </c>
      <c r="J50" s="27"/>
      <c r="K50" s="17">
        <v>578</v>
      </c>
      <c r="L50" s="50" t="s">
        <v>124</v>
      </c>
      <c r="M50" s="28"/>
      <c r="N50" s="17">
        <v>0</v>
      </c>
      <c r="O50" s="50" t="s">
        <v>124</v>
      </c>
      <c r="P50" s="28"/>
      <c r="Q50" s="17">
        <v>0</v>
      </c>
      <c r="R50" s="50" t="s">
        <v>124</v>
      </c>
      <c r="S50" s="28"/>
      <c r="T50" s="17">
        <v>578</v>
      </c>
      <c r="U50" s="50" t="s">
        <v>124</v>
      </c>
      <c r="V50" s="28"/>
      <c r="W50" s="17">
        <v>0</v>
      </c>
      <c r="X50" s="50" t="s">
        <v>124</v>
      </c>
      <c r="Y50" s="28"/>
      <c r="Z50" s="73">
        <f t="shared" si="1"/>
        <v>578</v>
      </c>
      <c r="AA50" s="50" t="s">
        <v>124</v>
      </c>
      <c r="AB50" s="72">
        <f t="shared" si="8"/>
        <v>100</v>
      </c>
      <c r="AC50" s="35" t="s">
        <v>68</v>
      </c>
      <c r="AD50" s="87"/>
      <c r="AE50" s="89"/>
      <c r="AF50" s="94"/>
      <c r="AG50" s="73">
        <f t="shared" si="2"/>
        <v>1156</v>
      </c>
      <c r="AH50" s="50" t="s">
        <v>124</v>
      </c>
      <c r="AI50" s="87"/>
      <c r="AJ50" s="72">
        <f t="shared" ref="AJ50" si="34">AG50/E50*100</f>
        <v>40</v>
      </c>
      <c r="AK50" s="35" t="s">
        <v>68</v>
      </c>
      <c r="AL50" s="89"/>
      <c r="AM50" s="11"/>
      <c r="AP50" s="23"/>
    </row>
    <row r="51" spans="1:42" ht="105" x14ac:dyDescent="0.2">
      <c r="A51" s="13"/>
      <c r="B51" s="14"/>
      <c r="C51" s="24" t="s">
        <v>108</v>
      </c>
      <c r="D51" s="29" t="s">
        <v>117</v>
      </c>
      <c r="E51" s="17">
        <v>11</v>
      </c>
      <c r="F51" s="18" t="s">
        <v>67</v>
      </c>
      <c r="G51" s="53">
        <v>1335852700</v>
      </c>
      <c r="H51" s="45">
        <v>11</v>
      </c>
      <c r="I51" s="18" t="s">
        <v>67</v>
      </c>
      <c r="J51" s="20">
        <v>117483711</v>
      </c>
      <c r="K51" s="17">
        <v>11</v>
      </c>
      <c r="L51" s="18" t="s">
        <v>67</v>
      </c>
      <c r="M51" s="21">
        <v>159110000</v>
      </c>
      <c r="N51" s="17">
        <v>4</v>
      </c>
      <c r="O51" s="18" t="s">
        <v>67</v>
      </c>
      <c r="P51" s="21">
        <v>13222000</v>
      </c>
      <c r="Q51" s="17">
        <v>4</v>
      </c>
      <c r="R51" s="18" t="s">
        <v>67</v>
      </c>
      <c r="S51" s="21">
        <v>13314000</v>
      </c>
      <c r="T51" s="17">
        <v>3</v>
      </c>
      <c r="U51" s="18" t="s">
        <v>67</v>
      </c>
      <c r="V51" s="21">
        <v>35515500</v>
      </c>
      <c r="W51" s="17">
        <v>0</v>
      </c>
      <c r="X51" s="18" t="s">
        <v>67</v>
      </c>
      <c r="Y51" s="21">
        <v>56907900</v>
      </c>
      <c r="Z51" s="73">
        <f t="shared" si="1"/>
        <v>11</v>
      </c>
      <c r="AA51" s="18" t="s">
        <v>67</v>
      </c>
      <c r="AB51" s="72">
        <f t="shared" si="8"/>
        <v>100</v>
      </c>
      <c r="AC51" s="35" t="s">
        <v>68</v>
      </c>
      <c r="AD51" s="41">
        <f t="shared" si="5"/>
        <v>118959400</v>
      </c>
      <c r="AE51" s="72">
        <f t="shared" si="9"/>
        <v>74.765508139023325</v>
      </c>
      <c r="AF51" s="35" t="s">
        <v>68</v>
      </c>
      <c r="AG51" s="73">
        <f t="shared" si="2"/>
        <v>22</v>
      </c>
      <c r="AH51" s="18" t="s">
        <v>67</v>
      </c>
      <c r="AI51" s="41">
        <f t="shared" si="3"/>
        <v>236443111</v>
      </c>
      <c r="AJ51" s="72">
        <f t="shared" si="6"/>
        <v>200</v>
      </c>
      <c r="AK51" s="35" t="s">
        <v>68</v>
      </c>
      <c r="AL51" s="72">
        <f t="shared" si="4"/>
        <v>17.699789130942357</v>
      </c>
      <c r="AM51" s="11"/>
      <c r="AP51" s="23"/>
    </row>
    <row r="52" spans="1:42" ht="142.5" customHeight="1" x14ac:dyDescent="0.2">
      <c r="A52" s="13"/>
      <c r="B52" s="14"/>
      <c r="C52" s="24" t="s">
        <v>109</v>
      </c>
      <c r="D52" s="29" t="s">
        <v>118</v>
      </c>
      <c r="E52" s="17">
        <v>410</v>
      </c>
      <c r="F52" s="18" t="s">
        <v>66</v>
      </c>
      <c r="G52" s="53">
        <v>199893000</v>
      </c>
      <c r="H52" s="19"/>
      <c r="I52" s="18"/>
      <c r="J52" s="20"/>
      <c r="K52" s="17">
        <v>370</v>
      </c>
      <c r="L52" s="18" t="s">
        <v>66</v>
      </c>
      <c r="M52" s="21">
        <v>24447000</v>
      </c>
      <c r="N52" s="17">
        <v>260</v>
      </c>
      <c r="O52" s="18" t="s">
        <v>66</v>
      </c>
      <c r="P52" s="21">
        <v>1000000</v>
      </c>
      <c r="Q52" s="17">
        <v>90</v>
      </c>
      <c r="R52" s="18" t="s">
        <v>66</v>
      </c>
      <c r="S52" s="21">
        <v>0</v>
      </c>
      <c r="T52" s="17">
        <v>110</v>
      </c>
      <c r="U52" s="18" t="s">
        <v>66</v>
      </c>
      <c r="V52" s="21">
        <v>0</v>
      </c>
      <c r="W52" s="17">
        <v>35</v>
      </c>
      <c r="X52" s="18" t="s">
        <v>66</v>
      </c>
      <c r="Y52" s="21">
        <v>23322000</v>
      </c>
      <c r="Z52" s="73">
        <f t="shared" si="1"/>
        <v>495</v>
      </c>
      <c r="AA52" s="18" t="s">
        <v>66</v>
      </c>
      <c r="AB52" s="72">
        <f t="shared" si="8"/>
        <v>133.7837837837838</v>
      </c>
      <c r="AC52" s="35" t="s">
        <v>68</v>
      </c>
      <c r="AD52" s="41">
        <f t="shared" si="5"/>
        <v>24322000</v>
      </c>
      <c r="AE52" s="72">
        <f t="shared" si="9"/>
        <v>99.48868981879167</v>
      </c>
      <c r="AF52" s="35" t="s">
        <v>68</v>
      </c>
      <c r="AG52" s="73">
        <f t="shared" si="2"/>
        <v>495</v>
      </c>
      <c r="AH52" s="18" t="s">
        <v>66</v>
      </c>
      <c r="AI52" s="41">
        <f t="shared" si="3"/>
        <v>24322000</v>
      </c>
      <c r="AJ52" s="72">
        <f t="shared" si="6"/>
        <v>120.73170731707317</v>
      </c>
      <c r="AK52" s="35" t="s">
        <v>68</v>
      </c>
      <c r="AL52" s="72">
        <f t="shared" si="4"/>
        <v>12.16750961764544</v>
      </c>
      <c r="AM52" s="11"/>
      <c r="AP52" s="23"/>
    </row>
    <row r="53" spans="1:42" ht="142.5" customHeight="1" x14ac:dyDescent="0.2">
      <c r="A53" s="13"/>
      <c r="B53" s="14"/>
      <c r="C53" s="62" t="s">
        <v>142</v>
      </c>
      <c r="D53" s="63" t="s">
        <v>118</v>
      </c>
      <c r="E53" s="17">
        <v>357</v>
      </c>
      <c r="F53" s="18" t="s">
        <v>66</v>
      </c>
      <c r="G53" s="53">
        <v>39978600</v>
      </c>
      <c r="H53" s="45">
        <v>536</v>
      </c>
      <c r="I53" s="18" t="s">
        <v>66</v>
      </c>
      <c r="J53" s="20">
        <v>38267500</v>
      </c>
      <c r="K53" s="17"/>
      <c r="L53" s="18"/>
      <c r="M53" s="21"/>
      <c r="N53" s="17"/>
      <c r="O53" s="18"/>
      <c r="P53" s="21"/>
      <c r="Q53" s="17"/>
      <c r="R53" s="18"/>
      <c r="S53" s="21"/>
      <c r="T53" s="17"/>
      <c r="U53" s="18"/>
      <c r="V53" s="21"/>
      <c r="W53" s="17"/>
      <c r="X53" s="18"/>
      <c r="Y53" s="21"/>
      <c r="Z53" s="73"/>
      <c r="AA53" s="18"/>
      <c r="AB53" s="72"/>
      <c r="AC53" s="35"/>
      <c r="AD53" s="41"/>
      <c r="AE53" s="72"/>
      <c r="AF53" s="35"/>
      <c r="AG53" s="73">
        <f t="shared" ref="AG53" si="35">H53+Z53</f>
        <v>536</v>
      </c>
      <c r="AH53" s="18" t="s">
        <v>66</v>
      </c>
      <c r="AI53" s="41">
        <f t="shared" ref="AI53" si="36">J53+AD53</f>
        <v>38267500</v>
      </c>
      <c r="AJ53" s="72">
        <f t="shared" ref="AJ53" si="37">AG53/E53*100</f>
        <v>150.14005602240897</v>
      </c>
      <c r="AK53" s="35" t="s">
        <v>68</v>
      </c>
      <c r="AL53" s="72">
        <f t="shared" ref="AL53" si="38">AI53/G53*100</f>
        <v>95.719960178695601</v>
      </c>
      <c r="AM53" s="11"/>
      <c r="AP53" s="23"/>
    </row>
    <row r="54" spans="1:42" ht="177.75" customHeight="1" x14ac:dyDescent="0.25">
      <c r="A54" s="13"/>
      <c r="B54" s="14"/>
      <c r="C54" s="52" t="s">
        <v>125</v>
      </c>
      <c r="D54" s="16" t="s">
        <v>139</v>
      </c>
      <c r="E54" s="46">
        <v>100</v>
      </c>
      <c r="F54" s="47" t="s">
        <v>68</v>
      </c>
      <c r="G54" s="64">
        <f>SUM(G56:G57)</f>
        <v>315043250</v>
      </c>
      <c r="H54" s="46">
        <f>2/11*100</f>
        <v>18.181818181818183</v>
      </c>
      <c r="I54" s="47" t="s">
        <v>68</v>
      </c>
      <c r="J54" s="61">
        <f>SUM(J56:J58)</f>
        <v>62222650</v>
      </c>
      <c r="K54" s="48">
        <f>4/11*100</f>
        <v>36.363636363636367</v>
      </c>
      <c r="L54" s="47" t="s">
        <v>68</v>
      </c>
      <c r="M54" s="61">
        <f>SUM(M56:M57)</f>
        <v>58121000</v>
      </c>
      <c r="N54" s="46">
        <v>0</v>
      </c>
      <c r="O54" s="47" t="s">
        <v>68</v>
      </c>
      <c r="P54" s="61">
        <f>SUM(P56:P57)</f>
        <v>0</v>
      </c>
      <c r="Q54" s="46">
        <v>0</v>
      </c>
      <c r="R54" s="47" t="s">
        <v>68</v>
      </c>
      <c r="S54" s="61">
        <f>SUM(S56:S57)</f>
        <v>1680000</v>
      </c>
      <c r="T54" s="46">
        <v>0</v>
      </c>
      <c r="U54" s="47" t="s">
        <v>68</v>
      </c>
      <c r="V54" s="61">
        <f>SUM(V56:V57)</f>
        <v>5435000</v>
      </c>
      <c r="W54" s="48">
        <f>2/11*100</f>
        <v>18.181818181818183</v>
      </c>
      <c r="X54" s="47" t="s">
        <v>68</v>
      </c>
      <c r="Y54" s="61">
        <f>SUM(Y56:Y57)</f>
        <v>42334000</v>
      </c>
      <c r="Z54" s="76">
        <f>N54+Q54+T54+W54</f>
        <v>18.181818181818183</v>
      </c>
      <c r="AA54" s="47" t="s">
        <v>68</v>
      </c>
      <c r="AB54" s="76">
        <f>AG54/K54*100</f>
        <v>100</v>
      </c>
      <c r="AC54" s="77" t="s">
        <v>68</v>
      </c>
      <c r="AD54" s="75">
        <f t="shared" si="5"/>
        <v>49449000</v>
      </c>
      <c r="AE54" s="78">
        <f t="shared" si="9"/>
        <v>85.079403313776439</v>
      </c>
      <c r="AF54" s="51" t="s">
        <v>68</v>
      </c>
      <c r="AG54" s="76">
        <f t="shared" si="2"/>
        <v>36.363636363636367</v>
      </c>
      <c r="AH54" s="47" t="s">
        <v>68</v>
      </c>
      <c r="AI54" s="75">
        <f t="shared" si="3"/>
        <v>111671650</v>
      </c>
      <c r="AJ54" s="76">
        <f t="shared" si="6"/>
        <v>36.363636363636367</v>
      </c>
      <c r="AK54" s="77" t="s">
        <v>68</v>
      </c>
      <c r="AL54" s="78">
        <f t="shared" si="4"/>
        <v>35.446450606384992</v>
      </c>
      <c r="AM54" s="82"/>
      <c r="AP54" s="23"/>
    </row>
    <row r="55" spans="1:42" ht="78.75" x14ac:dyDescent="0.25">
      <c r="A55" s="13"/>
      <c r="B55" s="14"/>
      <c r="C55" s="15"/>
      <c r="D55" s="16" t="s">
        <v>128</v>
      </c>
      <c r="E55" s="46">
        <v>80.27</v>
      </c>
      <c r="F55" s="47" t="s">
        <v>68</v>
      </c>
      <c r="G55" s="65"/>
      <c r="H55" s="46">
        <f>184/322*100</f>
        <v>57.142857142857139</v>
      </c>
      <c r="I55" s="47" t="s">
        <v>68</v>
      </c>
      <c r="J55" s="42"/>
      <c r="K55" s="46">
        <v>65.22</v>
      </c>
      <c r="L55" s="47" t="s">
        <v>68</v>
      </c>
      <c r="M55" s="42"/>
      <c r="N55" s="46">
        <v>0</v>
      </c>
      <c r="O55" s="47" t="s">
        <v>68</v>
      </c>
      <c r="P55" s="28"/>
      <c r="Q55" s="46">
        <v>0</v>
      </c>
      <c r="R55" s="47" t="s">
        <v>68</v>
      </c>
      <c r="S55" s="28"/>
      <c r="T55" s="48">
        <f>13/322*100</f>
        <v>4.0372670807453419</v>
      </c>
      <c r="U55" s="47" t="s">
        <v>68</v>
      </c>
      <c r="V55" s="28"/>
      <c r="W55" s="48">
        <f>W56/322*100</f>
        <v>56.521739130434781</v>
      </c>
      <c r="X55" s="47" t="s">
        <v>68</v>
      </c>
      <c r="Y55" s="28"/>
      <c r="Z55" s="76">
        <f>N55+Q55+T55+W55</f>
        <v>60.559006211180126</v>
      </c>
      <c r="AA55" s="47" t="s">
        <v>68</v>
      </c>
      <c r="AB55" s="76">
        <f>Z55/K55*100</f>
        <v>92.853428719994056</v>
      </c>
      <c r="AC55" s="77" t="s">
        <v>68</v>
      </c>
      <c r="AD55" s="79"/>
      <c r="AE55" s="80"/>
      <c r="AF55" s="92"/>
      <c r="AG55" s="76">
        <f>H55+Z55</f>
        <v>117.70186335403727</v>
      </c>
      <c r="AH55" s="47" t="s">
        <v>68</v>
      </c>
      <c r="AI55" s="79"/>
      <c r="AJ55" s="76">
        <f t="shared" ref="AJ55" si="39">AG55/E55*100</f>
        <v>146.63244469171207</v>
      </c>
      <c r="AK55" s="77" t="s">
        <v>68</v>
      </c>
      <c r="AL55" s="80"/>
      <c r="AM55" s="82"/>
      <c r="AP55" s="23"/>
    </row>
    <row r="56" spans="1:42" ht="75" x14ac:dyDescent="0.2">
      <c r="A56" s="13"/>
      <c r="B56" s="14"/>
      <c r="C56" s="24" t="s">
        <v>126</v>
      </c>
      <c r="D56" s="29" t="s">
        <v>129</v>
      </c>
      <c r="E56" s="17">
        <v>240</v>
      </c>
      <c r="F56" s="50" t="s">
        <v>131</v>
      </c>
      <c r="G56" s="53">
        <v>206513750</v>
      </c>
      <c r="H56" s="45">
        <v>184</v>
      </c>
      <c r="I56" s="50" t="s">
        <v>131</v>
      </c>
      <c r="J56" s="20">
        <v>41082750</v>
      </c>
      <c r="K56" s="17">
        <v>195</v>
      </c>
      <c r="L56" s="50" t="s">
        <v>131</v>
      </c>
      <c r="M56" s="21">
        <v>38575000</v>
      </c>
      <c r="N56" s="17">
        <v>0</v>
      </c>
      <c r="O56" s="50" t="s">
        <v>131</v>
      </c>
      <c r="P56" s="21">
        <v>0</v>
      </c>
      <c r="Q56" s="17">
        <v>0</v>
      </c>
      <c r="R56" s="50" t="s">
        <v>131</v>
      </c>
      <c r="S56" s="21">
        <v>0</v>
      </c>
      <c r="T56" s="17">
        <v>13</v>
      </c>
      <c r="U56" s="50" t="s">
        <v>131</v>
      </c>
      <c r="V56" s="21">
        <v>4610000</v>
      </c>
      <c r="W56" s="17">
        <v>182</v>
      </c>
      <c r="X56" s="50" t="s">
        <v>131</v>
      </c>
      <c r="Y56" s="21">
        <v>33308000</v>
      </c>
      <c r="Z56" s="73">
        <f>N56+Q56+T56+W56</f>
        <v>195</v>
      </c>
      <c r="AA56" s="50" t="s">
        <v>131</v>
      </c>
      <c r="AB56" s="72">
        <f>Z56/K56*100</f>
        <v>100</v>
      </c>
      <c r="AC56" s="35" t="s">
        <v>68</v>
      </c>
      <c r="AD56" s="41">
        <f t="shared" si="5"/>
        <v>37918000</v>
      </c>
      <c r="AE56" s="72">
        <f t="shared" si="9"/>
        <v>98.296824368114073</v>
      </c>
      <c r="AF56" s="35" t="s">
        <v>68</v>
      </c>
      <c r="AG56" s="73">
        <f t="shared" si="2"/>
        <v>379</v>
      </c>
      <c r="AH56" s="50" t="s">
        <v>131</v>
      </c>
      <c r="AI56" s="41">
        <f t="shared" si="3"/>
        <v>79000750</v>
      </c>
      <c r="AJ56" s="72">
        <f t="shared" si="6"/>
        <v>157.91666666666666</v>
      </c>
      <c r="AK56" s="35" t="s">
        <v>68</v>
      </c>
      <c r="AL56" s="72">
        <f t="shared" si="4"/>
        <v>38.254474580990369</v>
      </c>
      <c r="AM56" s="11"/>
      <c r="AP56" s="23"/>
    </row>
    <row r="57" spans="1:42" ht="202.5" customHeight="1" x14ac:dyDescent="0.2">
      <c r="A57" s="13"/>
      <c r="B57" s="14"/>
      <c r="C57" s="24" t="s">
        <v>127</v>
      </c>
      <c r="D57" s="29" t="s">
        <v>130</v>
      </c>
      <c r="E57" s="17">
        <v>11</v>
      </c>
      <c r="F57" s="50" t="s">
        <v>132</v>
      </c>
      <c r="G57" s="53">
        <v>108529500</v>
      </c>
      <c r="H57" s="45"/>
      <c r="I57" s="18"/>
      <c r="J57" s="20"/>
      <c r="K57" s="17">
        <v>2</v>
      </c>
      <c r="L57" s="50" t="s">
        <v>132</v>
      </c>
      <c r="M57" s="21">
        <v>19546000</v>
      </c>
      <c r="N57" s="17">
        <v>0</v>
      </c>
      <c r="O57" s="50" t="s">
        <v>132</v>
      </c>
      <c r="P57" s="21">
        <v>0</v>
      </c>
      <c r="Q57" s="17">
        <v>0</v>
      </c>
      <c r="R57" s="50" t="s">
        <v>132</v>
      </c>
      <c r="S57" s="21">
        <v>1680000</v>
      </c>
      <c r="T57" s="17">
        <v>0</v>
      </c>
      <c r="U57" s="50" t="s">
        <v>132</v>
      </c>
      <c r="V57" s="21">
        <v>825000</v>
      </c>
      <c r="W57" s="17">
        <v>2</v>
      </c>
      <c r="X57" s="50" t="s">
        <v>132</v>
      </c>
      <c r="Y57" s="21">
        <v>9026000</v>
      </c>
      <c r="Z57" s="73">
        <f t="shared" si="1"/>
        <v>2</v>
      </c>
      <c r="AA57" s="50" t="s">
        <v>132</v>
      </c>
      <c r="AB57" s="72">
        <f t="shared" si="8"/>
        <v>100</v>
      </c>
      <c r="AC57" s="35" t="s">
        <v>68</v>
      </c>
      <c r="AD57" s="41">
        <f t="shared" si="5"/>
        <v>11531000</v>
      </c>
      <c r="AE57" s="72">
        <f t="shared" si="9"/>
        <v>58.994167604624991</v>
      </c>
      <c r="AF57" s="35" t="s">
        <v>68</v>
      </c>
      <c r="AG57" s="73">
        <f t="shared" si="2"/>
        <v>2</v>
      </c>
      <c r="AH57" s="50" t="s">
        <v>132</v>
      </c>
      <c r="AI57" s="41">
        <f t="shared" si="3"/>
        <v>11531000</v>
      </c>
      <c r="AJ57" s="72">
        <f t="shared" si="6"/>
        <v>18.181818181818183</v>
      </c>
      <c r="AK57" s="35" t="s">
        <v>68</v>
      </c>
      <c r="AL57" s="72">
        <f t="shared" si="4"/>
        <v>10.624761009679396</v>
      </c>
      <c r="AM57" s="11"/>
      <c r="AP57" s="23"/>
    </row>
    <row r="58" spans="1:42" ht="173.25" customHeight="1" x14ac:dyDescent="0.2">
      <c r="A58" s="13"/>
      <c r="B58" s="14"/>
      <c r="C58" s="62" t="s">
        <v>146</v>
      </c>
      <c r="D58" s="63" t="s">
        <v>130</v>
      </c>
      <c r="E58" s="17">
        <v>2</v>
      </c>
      <c r="F58" s="18" t="s">
        <v>67</v>
      </c>
      <c r="G58" s="53">
        <v>21705900</v>
      </c>
      <c r="H58" s="45">
        <v>2</v>
      </c>
      <c r="I58" s="18" t="s">
        <v>67</v>
      </c>
      <c r="J58" s="20">
        <v>21139900</v>
      </c>
      <c r="K58" s="17"/>
      <c r="L58" s="50"/>
      <c r="M58" s="21"/>
      <c r="N58" s="17"/>
      <c r="O58" s="50"/>
      <c r="P58" s="21"/>
      <c r="Q58" s="17"/>
      <c r="R58" s="50"/>
      <c r="S58" s="21"/>
      <c r="T58" s="17"/>
      <c r="U58" s="50"/>
      <c r="V58" s="21"/>
      <c r="W58" s="17"/>
      <c r="X58" s="50"/>
      <c r="Y58" s="21"/>
      <c r="Z58" s="73"/>
      <c r="AA58" s="18"/>
      <c r="AB58" s="72"/>
      <c r="AC58" s="35"/>
      <c r="AD58" s="41"/>
      <c r="AE58" s="72"/>
      <c r="AF58" s="35"/>
      <c r="AG58" s="73">
        <f t="shared" ref="AG58" si="40">H58+Z58</f>
        <v>2</v>
      </c>
      <c r="AH58" s="18" t="s">
        <v>67</v>
      </c>
      <c r="AI58" s="41">
        <f t="shared" ref="AI58" si="41">J58+AD58</f>
        <v>21139900</v>
      </c>
      <c r="AJ58" s="72">
        <f t="shared" ref="AJ58" si="42">AG58/E58*100</f>
        <v>100</v>
      </c>
      <c r="AK58" s="35" t="s">
        <v>68</v>
      </c>
      <c r="AL58" s="72">
        <f t="shared" ref="AL58" si="43">AI58/G58*100</f>
        <v>97.392414044107824</v>
      </c>
      <c r="AM58" s="11"/>
      <c r="AP58" s="23"/>
    </row>
    <row r="59" spans="1:42" ht="15" x14ac:dyDescent="0.2">
      <c r="A59" s="145" t="s">
        <v>42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7"/>
      <c r="AB59" s="99">
        <f>AVERAGE(AB13:AB57)</f>
        <v>100.8433276314389</v>
      </c>
      <c r="AC59" s="91"/>
      <c r="AD59" s="66"/>
      <c r="AE59" s="99">
        <f>AVERAGE(AE13,AE17,AE24,AE29,AE34,AE36,AE38,AE40,AE42,AE54)</f>
        <v>76.599043023660599</v>
      </c>
      <c r="AF59" s="67"/>
      <c r="AG59" s="66"/>
      <c r="AH59" s="67"/>
      <c r="AI59" s="66"/>
      <c r="AJ59" s="66"/>
      <c r="AK59" s="67"/>
      <c r="AL59" s="68"/>
      <c r="AM59" s="11"/>
    </row>
    <row r="60" spans="1:42" ht="15" x14ac:dyDescent="0.2">
      <c r="A60" s="145" t="s">
        <v>43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7"/>
      <c r="AB60" s="31" t="str">
        <f>IF(AB59&gt;=91,"Sangat Tinggi",IF(AB59&gt;=76,"Tinggi",IF(AB59&gt;=66,"Sedang",IF(AB59&gt;=51,"Rendah",IF(AB59&lt;=50,"Sangat Rendah")))))</f>
        <v>Sangat Tinggi</v>
      </c>
      <c r="AC60" s="91"/>
      <c r="AD60" s="70"/>
      <c r="AE60" s="31" t="str">
        <f>IF(AE59&gt;=91,"Sangat Tinggi",IF(AE59&gt;=76,"Tinggi",IF(AE59&gt;=66,"Sedang",IF(AE59&gt;=51,"Rendah",IF(AE59&lt;=50,"Sangat Rendah")))))</f>
        <v>Tinggi</v>
      </c>
      <c r="AF60" s="67"/>
      <c r="AG60" s="69"/>
      <c r="AH60" s="67"/>
      <c r="AI60" s="70"/>
      <c r="AJ60" s="69"/>
      <c r="AK60" s="67"/>
      <c r="AL60" s="71"/>
      <c r="AM60" s="11"/>
    </row>
    <row r="61" spans="1:42" ht="15" x14ac:dyDescent="0.2">
      <c r="A61" s="137" t="s">
        <v>162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1"/>
    </row>
    <row r="62" spans="1:42" ht="15" x14ac:dyDescent="0.2">
      <c r="A62" s="137" t="s">
        <v>163</v>
      </c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1"/>
    </row>
    <row r="63" spans="1:42" ht="15" x14ac:dyDescent="0.2">
      <c r="A63" s="137" t="s">
        <v>164</v>
      </c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1"/>
    </row>
    <row r="64" spans="1:42" ht="15" x14ac:dyDescent="0.2">
      <c r="A64" s="137" t="s">
        <v>165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32"/>
    </row>
    <row r="65" spans="1:39" ht="15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4"/>
      <c r="AB65" s="33"/>
      <c r="AC65" s="34"/>
      <c r="AD65" s="33"/>
      <c r="AE65" s="33"/>
      <c r="AF65" s="34"/>
      <c r="AG65" s="33"/>
      <c r="AH65" s="34"/>
      <c r="AI65" s="33"/>
      <c r="AJ65" s="33"/>
      <c r="AK65" s="34"/>
      <c r="AL65" s="33"/>
    </row>
    <row r="66" spans="1:39" ht="15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100" t="s">
        <v>153</v>
      </c>
      <c r="AA66" s="100"/>
      <c r="AB66" s="100"/>
      <c r="AC66" s="100"/>
      <c r="AD66" s="100"/>
      <c r="AE66" s="100"/>
      <c r="AF66" s="34"/>
      <c r="AG66" s="33"/>
      <c r="AH66" s="100" t="s">
        <v>154</v>
      </c>
      <c r="AI66" s="100"/>
      <c r="AJ66" s="100"/>
      <c r="AK66" s="100"/>
      <c r="AL66" s="100"/>
      <c r="AM66" s="100"/>
    </row>
    <row r="67" spans="1:39" ht="15.75" x14ac:dyDescent="0.25">
      <c r="A67" s="39"/>
      <c r="B67" s="40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100" t="s">
        <v>167</v>
      </c>
      <c r="AA67" s="100"/>
      <c r="AB67" s="100"/>
      <c r="AC67" s="100"/>
      <c r="AD67" s="100"/>
      <c r="AE67" s="100"/>
      <c r="AF67" s="34"/>
      <c r="AG67" s="33"/>
      <c r="AH67" s="100" t="s">
        <v>167</v>
      </c>
      <c r="AI67" s="100"/>
      <c r="AJ67" s="100"/>
      <c r="AK67" s="100"/>
      <c r="AL67" s="100"/>
      <c r="AM67" s="100"/>
    </row>
    <row r="68" spans="1:39" ht="15" x14ac:dyDescent="0.2">
      <c r="Z68" s="100" t="s">
        <v>159</v>
      </c>
      <c r="AA68" s="100"/>
      <c r="AB68" s="100"/>
      <c r="AC68" s="100"/>
      <c r="AD68" s="100"/>
      <c r="AE68" s="100"/>
      <c r="AH68" s="100" t="s">
        <v>155</v>
      </c>
      <c r="AI68" s="100"/>
      <c r="AJ68" s="100"/>
      <c r="AK68" s="100"/>
      <c r="AL68" s="100"/>
      <c r="AM68" s="100"/>
    </row>
    <row r="69" spans="1:39" ht="15" x14ac:dyDescent="0.2">
      <c r="Z69" s="100" t="s">
        <v>156</v>
      </c>
      <c r="AA69" s="100"/>
      <c r="AB69" s="100"/>
      <c r="AC69" s="100"/>
      <c r="AD69" s="100"/>
      <c r="AE69" s="100"/>
      <c r="AH69" s="100" t="s">
        <v>156</v>
      </c>
      <c r="AI69" s="100"/>
      <c r="AJ69" s="100"/>
      <c r="AK69" s="100"/>
      <c r="AL69" s="100"/>
      <c r="AM69" s="100"/>
    </row>
    <row r="70" spans="1:39" ht="51" x14ac:dyDescent="0.2">
      <c r="A70" s="36" t="s">
        <v>44</v>
      </c>
      <c r="B70" s="36" t="s">
        <v>45</v>
      </c>
      <c r="C70" s="36" t="s">
        <v>46</v>
      </c>
      <c r="Z70" s="33"/>
      <c r="AA70" s="34"/>
      <c r="AB70" s="33"/>
      <c r="AC70" s="34"/>
      <c r="AD70" s="33"/>
      <c r="AH70" s="33"/>
      <c r="AI70" s="34"/>
      <c r="AJ70" s="33"/>
      <c r="AK70" s="34"/>
      <c r="AL70" s="33"/>
    </row>
    <row r="71" spans="1:39" ht="25.5" x14ac:dyDescent="0.25">
      <c r="A71" s="37" t="s">
        <v>47</v>
      </c>
      <c r="B71" s="37" t="s">
        <v>48</v>
      </c>
      <c r="C71" s="37" t="s">
        <v>49</v>
      </c>
      <c r="Z71" s="101" t="s">
        <v>160</v>
      </c>
      <c r="AA71" s="101"/>
      <c r="AB71" s="101"/>
      <c r="AC71" s="101"/>
      <c r="AD71" s="101"/>
      <c r="AE71" s="101"/>
      <c r="AH71" s="102" t="s">
        <v>157</v>
      </c>
      <c r="AI71" s="102"/>
      <c r="AJ71" s="102"/>
      <c r="AK71" s="102"/>
      <c r="AL71" s="102"/>
      <c r="AM71" s="102"/>
    </row>
    <row r="72" spans="1:39" ht="25.5" x14ac:dyDescent="0.2">
      <c r="A72" s="37" t="s">
        <v>50</v>
      </c>
      <c r="B72" s="37" t="s">
        <v>51</v>
      </c>
      <c r="C72" s="37" t="s">
        <v>52</v>
      </c>
      <c r="Z72" s="103" t="s">
        <v>161</v>
      </c>
      <c r="AA72" s="103"/>
      <c r="AB72" s="103"/>
      <c r="AC72" s="103"/>
      <c r="AD72" s="103"/>
      <c r="AE72" s="103"/>
      <c r="AH72" s="104" t="s">
        <v>158</v>
      </c>
      <c r="AI72" s="104"/>
      <c r="AJ72" s="104"/>
      <c r="AK72" s="104"/>
      <c r="AL72" s="104"/>
      <c r="AM72" s="104"/>
    </row>
    <row r="73" spans="1:39" ht="25.5" x14ac:dyDescent="0.2">
      <c r="A73" s="37" t="s">
        <v>53</v>
      </c>
      <c r="B73" s="37" t="s">
        <v>54</v>
      </c>
      <c r="C73" s="37" t="s">
        <v>55</v>
      </c>
    </row>
    <row r="74" spans="1:39" ht="25.5" x14ac:dyDescent="0.2">
      <c r="A74" s="37" t="s">
        <v>56</v>
      </c>
      <c r="B74" s="37" t="s">
        <v>57</v>
      </c>
      <c r="C74" s="37" t="s">
        <v>58</v>
      </c>
    </row>
    <row r="75" spans="1:39" ht="25.5" x14ac:dyDescent="0.2">
      <c r="A75" s="37" t="s">
        <v>59</v>
      </c>
      <c r="B75" s="38" t="s">
        <v>60</v>
      </c>
      <c r="C75" s="37" t="s">
        <v>61</v>
      </c>
    </row>
  </sheetData>
  <mergeCells count="82">
    <mergeCell ref="A60:AA60"/>
    <mergeCell ref="A62:AL62"/>
    <mergeCell ref="A63:AL63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64:AL64"/>
    <mergeCell ref="A61:AL61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59:AA59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  <mergeCell ref="Z66:AE66"/>
    <mergeCell ref="AH66:AM66"/>
    <mergeCell ref="Z67:AE67"/>
    <mergeCell ref="AH67:AM67"/>
    <mergeCell ref="Z68:AE68"/>
    <mergeCell ref="AH68:AM68"/>
    <mergeCell ref="Z69:AE69"/>
    <mergeCell ref="AH69:AM69"/>
    <mergeCell ref="Z71:AE71"/>
    <mergeCell ref="AH71:AM71"/>
    <mergeCell ref="Z72:AE72"/>
    <mergeCell ref="AH72:AM72"/>
  </mergeCells>
  <printOptions horizontalCentered="1"/>
  <pageMargins left="0.23622047244094491" right="0.23622047244094491" top="3.937007874015748E-2" bottom="3.937007874015748E-2" header="0" footer="0"/>
  <pageSetup paperSize="256" scale="37" orientation="landscape" horizontalDpi="4294967293" r:id="rId1"/>
  <rowBreaks count="1" manualBreakCount="1">
    <brk id="5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Dinas PPKBPPPA</vt:lpstr>
      <vt:lpstr>'Dinas PPKBPPPA'!Print_Area</vt:lpstr>
      <vt:lpstr>'Dinas PPKBPPPA'!Print_Titles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cp:lastPrinted>2020-10-14T05:44:22Z</cp:lastPrinted>
  <dcterms:created xsi:type="dcterms:W3CDTF">2020-03-18T05:59:44Z</dcterms:created>
  <dcterms:modified xsi:type="dcterms:W3CDTF">2021-02-02T05:20:58Z</dcterms:modified>
</cp:coreProperties>
</file>