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0" yWindow="0" windowWidth="28800" windowHeight="12000"/>
  </bookViews>
  <sheets>
    <sheet name="Bakeuda" sheetId="1" r:id="rId1"/>
    <sheet name="Sheet1" sheetId="2" r:id="rId2"/>
  </sheets>
  <externalReferences>
    <externalReference r:id="rId3"/>
  </externalReferences>
  <definedNames>
    <definedName name="_xlnm.Print_Area" localSheetId="0">Bakeuda!$A$1:$AM$116</definedName>
    <definedName name="_xlnm.Print_Titles" localSheetId="0">Bakeuda!$7:$12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7" i="1" l="1"/>
  <c r="Z67" i="1" s="1"/>
  <c r="AB67" i="1" s="1"/>
  <c r="AB66" i="1"/>
  <c r="Z66" i="1"/>
  <c r="W66" i="1"/>
  <c r="Y59" i="1"/>
  <c r="V59" i="1"/>
  <c r="S59" i="1"/>
  <c r="P59" i="1"/>
  <c r="Y60" i="1"/>
  <c r="V60" i="1"/>
  <c r="S60" i="1"/>
  <c r="P60" i="1"/>
  <c r="Y29" i="1"/>
  <c r="X95" i="1" l="1"/>
  <c r="X94" i="1"/>
  <c r="X93" i="1"/>
  <c r="X92" i="1"/>
  <c r="X91" i="1"/>
  <c r="X90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X82" i="1"/>
  <c r="X81" i="1"/>
  <c r="X80" i="1"/>
  <c r="X79" i="1"/>
  <c r="X78" i="1"/>
  <c r="X77" i="1"/>
  <c r="X76" i="1"/>
  <c r="X75" i="1"/>
  <c r="X74" i="1"/>
  <c r="Y73" i="1"/>
  <c r="X73" i="1"/>
  <c r="W73" i="1"/>
  <c r="Y72" i="1"/>
  <c r="X72" i="1"/>
  <c r="Y71" i="1"/>
  <c r="Y69" i="1" s="1"/>
  <c r="X71" i="1"/>
  <c r="Y70" i="1"/>
  <c r="X70" i="1"/>
  <c r="W70" i="1"/>
  <c r="X69" i="1"/>
  <c r="X68" i="1"/>
  <c r="W68" i="1"/>
  <c r="X67" i="1"/>
  <c r="X66" i="1"/>
  <c r="Y65" i="1"/>
  <c r="W65" i="1" s="1"/>
  <c r="X65" i="1"/>
  <c r="X64" i="1"/>
  <c r="X63" i="1"/>
  <c r="X62" i="1"/>
  <c r="X61" i="1"/>
  <c r="X60" i="1"/>
  <c r="X59" i="1"/>
  <c r="Y58" i="1"/>
  <c r="Y41" i="1" s="1"/>
  <c r="X58" i="1"/>
  <c r="X57" i="1"/>
  <c r="X56" i="1"/>
  <c r="X55" i="1"/>
  <c r="X54" i="1"/>
  <c r="Y53" i="1"/>
  <c r="X53" i="1"/>
  <c r="Y52" i="1"/>
  <c r="X52" i="1"/>
  <c r="W52" i="1"/>
  <c r="Y51" i="1"/>
  <c r="X51" i="1"/>
  <c r="W51" i="1"/>
  <c r="X50" i="1"/>
  <c r="X49" i="1"/>
  <c r="X48" i="1"/>
  <c r="X47" i="1"/>
  <c r="X46" i="1"/>
  <c r="X45" i="1"/>
  <c r="Y44" i="1"/>
  <c r="X44" i="1"/>
  <c r="Y43" i="1"/>
  <c r="X43" i="1"/>
  <c r="Y42" i="1"/>
  <c r="X42" i="1"/>
  <c r="X41" i="1"/>
  <c r="X40" i="1"/>
  <c r="X39" i="1"/>
  <c r="X38" i="1"/>
  <c r="X37" i="1"/>
  <c r="X36" i="1"/>
  <c r="X35" i="1"/>
  <c r="Y34" i="1"/>
  <c r="X34" i="1"/>
  <c r="X33" i="1"/>
  <c r="X32" i="1"/>
  <c r="X31" i="1"/>
  <c r="Y30" i="1"/>
  <c r="X30" i="1"/>
  <c r="X29" i="1"/>
  <c r="X28" i="1"/>
  <c r="X27" i="1"/>
  <c r="X26" i="1"/>
  <c r="X25" i="1"/>
  <c r="X24" i="1"/>
  <c r="X23" i="1"/>
  <c r="Y22" i="1"/>
  <c r="X22" i="1"/>
  <c r="X21" i="1"/>
  <c r="X20" i="1"/>
  <c r="X19" i="1"/>
  <c r="X18" i="1"/>
  <c r="Y17" i="1"/>
  <c r="X17" i="1"/>
  <c r="W17" i="1"/>
  <c r="X16" i="1"/>
  <c r="X15" i="1"/>
  <c r="Y14" i="1"/>
  <c r="X14" i="1"/>
  <c r="W14" i="1"/>
  <c r="X13" i="1"/>
  <c r="Y82" i="1" l="1"/>
  <c r="Y81" i="1"/>
  <c r="W53" i="1"/>
  <c r="Y40" i="1"/>
  <c r="Y39" i="1"/>
  <c r="Y13" i="1"/>
  <c r="V85" i="1"/>
  <c r="V84" i="1"/>
  <c r="V88" i="1"/>
  <c r="V87" i="1"/>
  <c r="V86" i="1"/>
  <c r="V83" i="1"/>
  <c r="N73" i="1"/>
  <c r="N70" i="1" s="1"/>
  <c r="T73" i="1"/>
  <c r="T70" i="1" s="1"/>
  <c r="Q73" i="1"/>
  <c r="Q70" i="1" s="1"/>
  <c r="V73" i="1"/>
  <c r="V72" i="1"/>
  <c r="V71" i="1"/>
  <c r="V69" i="1" s="1"/>
  <c r="V70" i="1"/>
  <c r="T68" i="1"/>
  <c r="T67" i="1"/>
  <c r="T66" i="1"/>
  <c r="N68" i="1"/>
  <c r="N67" i="1"/>
  <c r="N66" i="1"/>
  <c r="V65" i="1"/>
  <c r="V58" i="1"/>
  <c r="V41" i="1" s="1"/>
  <c r="V53" i="1"/>
  <c r="V52" i="1"/>
  <c r="V51" i="1"/>
  <c r="T52" i="1"/>
  <c r="T51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V44" i="1"/>
  <c r="V43" i="1"/>
  <c r="V42" i="1"/>
  <c r="V34" i="1"/>
  <c r="Z34" i="1"/>
  <c r="Z30" i="1"/>
  <c r="V30" i="1"/>
  <c r="V22" i="1"/>
  <c r="Z22" i="1"/>
  <c r="AP21" i="1"/>
  <c r="Z18" i="1"/>
  <c r="T17" i="1"/>
  <c r="V17" i="1"/>
  <c r="T14" i="1"/>
  <c r="V14" i="1"/>
  <c r="Z13" i="1"/>
  <c r="U13" i="1"/>
  <c r="R13" i="1"/>
  <c r="V82" i="1" l="1"/>
  <c r="V81" i="1"/>
  <c r="V40" i="1"/>
  <c r="V39" i="1"/>
  <c r="V13" i="1"/>
  <c r="Q88" i="1"/>
  <c r="N88" i="1"/>
  <c r="Q87" i="1"/>
  <c r="N87" i="1"/>
  <c r="Q60" i="1"/>
  <c r="N60" i="1"/>
  <c r="K60" i="1"/>
  <c r="AA87" i="1"/>
  <c r="AA88" i="1"/>
  <c r="Z84" i="1"/>
  <c r="AB84" i="1" s="1"/>
  <c r="AA84" i="1"/>
  <c r="AA85" i="1"/>
  <c r="Z86" i="1"/>
  <c r="AB86" i="1" s="1"/>
  <c r="AA86" i="1"/>
  <c r="AA70" i="1"/>
  <c r="Z59" i="1"/>
  <c r="AG59" i="1" s="1"/>
  <c r="AA59" i="1"/>
  <c r="AA60" i="1"/>
  <c r="AA52" i="1"/>
  <c r="AA53" i="1"/>
  <c r="AH43" i="1"/>
  <c r="AH44" i="1"/>
  <c r="AH40" i="1"/>
  <c r="AH41" i="1"/>
  <c r="AH84" i="1"/>
  <c r="AH85" i="1"/>
  <c r="AH86" i="1"/>
  <c r="AH87" i="1"/>
  <c r="AH88" i="1"/>
  <c r="AH82" i="1"/>
  <c r="AH72" i="1"/>
  <c r="AH73" i="1"/>
  <c r="AH70" i="1"/>
  <c r="AD59" i="1"/>
  <c r="AH59" i="1"/>
  <c r="AD60" i="1"/>
  <c r="AI60" i="1" s="1"/>
  <c r="AH60" i="1"/>
  <c r="AH52" i="1"/>
  <c r="AH53" i="1"/>
  <c r="AA72" i="1"/>
  <c r="AA73" i="1"/>
  <c r="Z41" i="1"/>
  <c r="AG41" i="1" s="1"/>
  <c r="Z42" i="1"/>
  <c r="Z43" i="1"/>
  <c r="AG43" i="1" s="1"/>
  <c r="Z44" i="1"/>
  <c r="AG44" i="1" s="1"/>
  <c r="J70" i="1"/>
  <c r="Z87" i="1" l="1"/>
  <c r="Z60" i="1"/>
  <c r="AG60" i="1" s="1"/>
  <c r="Z88" i="1"/>
  <c r="AB88" i="1" s="1"/>
  <c r="AB87" i="1"/>
  <c r="AG87" i="1"/>
  <c r="AG86" i="1"/>
  <c r="AI59" i="1"/>
  <c r="AG84" i="1"/>
  <c r="AB44" i="1"/>
  <c r="AB43" i="1"/>
  <c r="AB41" i="1"/>
  <c r="E64" i="1"/>
  <c r="E77" i="1"/>
  <c r="E90" i="1"/>
  <c r="E91" i="1"/>
  <c r="E92" i="1"/>
  <c r="E93" i="1"/>
  <c r="E94" i="1"/>
  <c r="AG88" i="1" l="1"/>
  <c r="AB60" i="1"/>
  <c r="E95" i="1"/>
  <c r="G94" i="1"/>
  <c r="G93" i="1" l="1"/>
  <c r="G92" i="1"/>
  <c r="G91" i="1"/>
  <c r="G90" i="1"/>
  <c r="G89" i="1"/>
  <c r="G80" i="1"/>
  <c r="G79" i="1"/>
  <c r="G78" i="1"/>
  <c r="G77" i="1"/>
  <c r="G76" i="1"/>
  <c r="G75" i="1"/>
  <c r="G74" i="1"/>
  <c r="G68" i="1"/>
  <c r="G67" i="1"/>
  <c r="G66" i="1"/>
  <c r="G64" i="1"/>
  <c r="G63" i="1"/>
  <c r="G62" i="1"/>
  <c r="G61" i="1"/>
  <c r="G57" i="1"/>
  <c r="G56" i="1"/>
  <c r="G55" i="1"/>
  <c r="G54" i="1"/>
  <c r="G50" i="1"/>
  <c r="G49" i="1"/>
  <c r="G48" i="1"/>
  <c r="G95" i="1"/>
  <c r="G47" i="1"/>
  <c r="G46" i="1"/>
  <c r="G45" i="1"/>
  <c r="G38" i="1"/>
  <c r="G37" i="1"/>
  <c r="G36" i="1"/>
  <c r="G35" i="1"/>
  <c r="G33" i="1"/>
  <c r="G32" i="1"/>
  <c r="G31" i="1"/>
  <c r="G29" i="1"/>
  <c r="G28" i="1"/>
  <c r="G27" i="1"/>
  <c r="G26" i="1"/>
  <c r="G25" i="1"/>
  <c r="G24" i="1"/>
  <c r="G23" i="1"/>
  <c r="G21" i="1"/>
  <c r="G20" i="1"/>
  <c r="G19" i="1"/>
  <c r="G18" i="1"/>
  <c r="G16" i="1"/>
  <c r="G15" i="1"/>
  <c r="G70" i="1" l="1"/>
  <c r="G17" i="1"/>
  <c r="J88" i="1"/>
  <c r="J87" i="1"/>
  <c r="J86" i="1"/>
  <c r="J85" i="1"/>
  <c r="J84" i="1"/>
  <c r="J83" i="1"/>
  <c r="J33" i="1"/>
  <c r="J82" i="1" l="1"/>
  <c r="J81" i="1"/>
  <c r="J44" i="1"/>
  <c r="J43" i="1"/>
  <c r="J42" i="1"/>
  <c r="J41" i="1"/>
  <c r="J40" i="1"/>
  <c r="G60" i="1"/>
  <c r="G59" i="1"/>
  <c r="G58" i="1"/>
  <c r="G53" i="1"/>
  <c r="G52" i="1"/>
  <c r="G51" i="1"/>
  <c r="G44" i="1"/>
  <c r="G43" i="1"/>
  <c r="G42" i="1"/>
  <c r="G34" i="1"/>
  <c r="G30" i="1"/>
  <c r="G22" i="1"/>
  <c r="G14" i="1"/>
  <c r="G88" i="1"/>
  <c r="G87" i="1"/>
  <c r="G86" i="1"/>
  <c r="G85" i="1"/>
  <c r="G84" i="1"/>
  <c r="G83" i="1"/>
  <c r="G73" i="1"/>
  <c r="G72" i="1"/>
  <c r="G71" i="1"/>
  <c r="G69" i="1" s="1"/>
  <c r="G65" i="1"/>
  <c r="J39" i="1" l="1"/>
  <c r="G81" i="1"/>
  <c r="G82" i="1"/>
  <c r="G13" i="1"/>
  <c r="J73" i="1" l="1"/>
  <c r="J72" i="1"/>
  <c r="J71" i="1"/>
  <c r="J69" i="1" s="1"/>
  <c r="G41" i="1" l="1"/>
  <c r="G40" i="1"/>
  <c r="G39" i="1"/>
  <c r="Q89" i="1"/>
  <c r="Q51" i="1"/>
  <c r="N51" i="1"/>
  <c r="S68" i="1" l="1"/>
  <c r="Q68" i="1" s="1"/>
  <c r="Z68" i="1" s="1"/>
  <c r="S67" i="1"/>
  <c r="Q67" i="1" s="1"/>
  <c r="S66" i="1"/>
  <c r="P65" i="1"/>
  <c r="Q40" i="1"/>
  <c r="N40" i="1"/>
  <c r="Z40" i="1" l="1"/>
  <c r="S65" i="1"/>
  <c r="Q66" i="1"/>
  <c r="AG40" i="1"/>
  <c r="AB40" i="1"/>
  <c r="Q52" i="1"/>
  <c r="N52" i="1"/>
  <c r="Z52" i="1" s="1"/>
  <c r="Q82" i="1"/>
  <c r="N82" i="1"/>
  <c r="Q81" i="1"/>
  <c r="N81" i="1"/>
  <c r="AG52" i="1" l="1"/>
  <c r="AB52" i="1"/>
  <c r="Z82" i="1"/>
  <c r="Q72" i="1"/>
  <c r="Z72" i="1" s="1"/>
  <c r="AB72" i="1" l="1"/>
  <c r="AG72" i="1"/>
  <c r="AB82" i="1"/>
  <c r="AG82" i="1"/>
  <c r="Q85" i="1"/>
  <c r="N85" i="1"/>
  <c r="Z70" i="1"/>
  <c r="Z73" i="1"/>
  <c r="E14" i="2"/>
  <c r="E8" i="2"/>
  <c r="E3" i="2"/>
  <c r="B14" i="2"/>
  <c r="B8" i="2"/>
  <c r="B3" i="2"/>
  <c r="Z85" i="1" l="1"/>
  <c r="AG85" i="1" s="1"/>
  <c r="AB70" i="1"/>
  <c r="AG70" i="1"/>
  <c r="AG73" i="1"/>
  <c r="AB73" i="1"/>
  <c r="S53" i="1"/>
  <c r="S52" i="1"/>
  <c r="P53" i="1"/>
  <c r="P52" i="1"/>
  <c r="AB85" i="1" l="1"/>
  <c r="AD53" i="1"/>
  <c r="AI53" i="1" s="1"/>
  <c r="AD52" i="1"/>
  <c r="S43" i="1"/>
  <c r="S42" i="1"/>
  <c r="P44" i="1"/>
  <c r="P43" i="1"/>
  <c r="P42" i="1"/>
  <c r="S73" i="1"/>
  <c r="S72" i="1"/>
  <c r="S71" i="1"/>
  <c r="S69" i="1" s="1"/>
  <c r="S70" i="1"/>
  <c r="P73" i="1"/>
  <c r="AD73" i="1" s="1"/>
  <c r="P72" i="1"/>
  <c r="P71" i="1"/>
  <c r="P69" i="1" s="1"/>
  <c r="P70" i="1"/>
  <c r="AD70" i="1" s="1"/>
  <c r="S88" i="1"/>
  <c r="S87" i="1"/>
  <c r="S86" i="1"/>
  <c r="S85" i="1"/>
  <c r="S84" i="1"/>
  <c r="S83" i="1"/>
  <c r="P88" i="1"/>
  <c r="P87" i="1"/>
  <c r="AD87" i="1" s="1"/>
  <c r="P86" i="1"/>
  <c r="P85" i="1"/>
  <c r="P84" i="1"/>
  <c r="P83" i="1"/>
  <c r="M58" i="1"/>
  <c r="M60" i="1"/>
  <c r="AE60" i="1" s="1"/>
  <c r="M59" i="1"/>
  <c r="AE59" i="1" s="1"/>
  <c r="AD42" i="1" l="1"/>
  <c r="AD84" i="1"/>
  <c r="AI84" i="1" s="1"/>
  <c r="AD88" i="1"/>
  <c r="AI88" i="1" s="1"/>
  <c r="AD72" i="1"/>
  <c r="AI72" i="1" s="1"/>
  <c r="AI87" i="1"/>
  <c r="AD85" i="1"/>
  <c r="AI70" i="1"/>
  <c r="AD43" i="1"/>
  <c r="AI43" i="1" s="1"/>
  <c r="AD86" i="1"/>
  <c r="AI73" i="1"/>
  <c r="AI52" i="1"/>
  <c r="M41" i="1"/>
  <c r="P82" i="1"/>
  <c r="P81" i="1"/>
  <c r="S82" i="1"/>
  <c r="S81" i="1"/>
  <c r="P39" i="1"/>
  <c r="AI85" i="1" l="1"/>
  <c r="AI86" i="1"/>
  <c r="AD82" i="1"/>
  <c r="M88" i="1"/>
  <c r="AE88" i="1" s="1"/>
  <c r="M87" i="1"/>
  <c r="AE87" i="1" s="1"/>
  <c r="M86" i="1"/>
  <c r="AE86" i="1" s="1"/>
  <c r="M85" i="1"/>
  <c r="AE85" i="1" s="1"/>
  <c r="M84" i="1"/>
  <c r="AE84" i="1" s="1"/>
  <c r="M83" i="1"/>
  <c r="M73" i="1"/>
  <c r="AE73" i="1" s="1"/>
  <c r="M71" i="1"/>
  <c r="M72" i="1"/>
  <c r="AE72" i="1" s="1"/>
  <c r="M70" i="1"/>
  <c r="AE70" i="1" s="1"/>
  <c r="M65" i="1"/>
  <c r="N65" i="1" s="1"/>
  <c r="AA41" i="1"/>
  <c r="AA40" i="1"/>
  <c r="M53" i="1"/>
  <c r="AE53" i="1" s="1"/>
  <c r="M52" i="1"/>
  <c r="AE52" i="1" s="1"/>
  <c r="M51" i="1"/>
  <c r="M44" i="1"/>
  <c r="M43" i="1"/>
  <c r="AE43" i="1" s="1"/>
  <c r="M42" i="1"/>
  <c r="AE42" i="1" s="1"/>
  <c r="K59" i="1"/>
  <c r="AB59" i="1" s="1"/>
  <c r="T65" i="1" l="1"/>
  <c r="T53" i="1"/>
  <c r="Q65" i="1"/>
  <c r="Q53" i="1"/>
  <c r="AI82" i="1"/>
  <c r="N53" i="1"/>
  <c r="M40" i="1"/>
  <c r="M39" i="1"/>
  <c r="M82" i="1"/>
  <c r="AE82" i="1" s="1"/>
  <c r="M81" i="1"/>
  <c r="S58" i="1"/>
  <c r="S41" i="1" s="1"/>
  <c r="S50" i="1"/>
  <c r="S44" i="1" s="1"/>
  <c r="S51" i="1"/>
  <c r="S40" i="1" s="1"/>
  <c r="S18" i="1"/>
  <c r="S16" i="1"/>
  <c r="S39" i="1" l="1"/>
  <c r="AD39" i="1" s="1"/>
  <c r="AE39" i="1" s="1"/>
  <c r="AD44" i="1"/>
  <c r="Z53" i="1"/>
  <c r="S34" i="1"/>
  <c r="S30" i="1"/>
  <c r="S22" i="1"/>
  <c r="S17" i="1"/>
  <c r="Q17" i="1"/>
  <c r="S14" i="1"/>
  <c r="Q14" i="1"/>
  <c r="AG53" i="1" l="1"/>
  <c r="AB53" i="1"/>
  <c r="AE44" i="1"/>
  <c r="AI44" i="1"/>
  <c r="S13" i="1"/>
  <c r="Z81" i="1"/>
  <c r="AB81" i="1" s="1"/>
  <c r="Z80" i="1"/>
  <c r="K58" i="1"/>
  <c r="AH13" i="1" l="1"/>
  <c r="AA13" i="1"/>
  <c r="O13" i="1"/>
  <c r="AH95" i="1" l="1"/>
  <c r="AD95" i="1"/>
  <c r="AI95" i="1" s="1"/>
  <c r="AA95" i="1"/>
  <c r="Z95" i="1"/>
  <c r="AB95" i="1" s="1"/>
  <c r="AH94" i="1"/>
  <c r="AD94" i="1"/>
  <c r="AI94" i="1" s="1"/>
  <c r="AA94" i="1"/>
  <c r="Z94" i="1"/>
  <c r="AB94" i="1" s="1"/>
  <c r="AH93" i="1"/>
  <c r="AD93" i="1"/>
  <c r="AI93" i="1" s="1"/>
  <c r="AA93" i="1"/>
  <c r="Z93" i="1"/>
  <c r="AB93" i="1" s="1"/>
  <c r="AH92" i="1"/>
  <c r="AD92" i="1"/>
  <c r="AI92" i="1" s="1"/>
  <c r="AA92" i="1"/>
  <c r="Z92" i="1"/>
  <c r="AB92" i="1" s="1"/>
  <c r="AH91" i="1"/>
  <c r="AD91" i="1"/>
  <c r="AI91" i="1" s="1"/>
  <c r="AA91" i="1"/>
  <c r="Z91" i="1"/>
  <c r="AB91" i="1" s="1"/>
  <c r="AH90" i="1"/>
  <c r="AD90" i="1"/>
  <c r="AI90" i="1" s="1"/>
  <c r="AA90" i="1"/>
  <c r="Z90" i="1"/>
  <c r="AB90" i="1" s="1"/>
  <c r="AH89" i="1"/>
  <c r="AD89" i="1"/>
  <c r="AI89" i="1" s="1"/>
  <c r="AA89" i="1"/>
  <c r="Z89" i="1"/>
  <c r="AB89" i="1" s="1"/>
  <c r="AH83" i="1"/>
  <c r="AA83" i="1"/>
  <c r="Z83" i="1"/>
  <c r="AH81" i="1"/>
  <c r="AA81" i="1"/>
  <c r="AH80" i="1"/>
  <c r="AD80" i="1"/>
  <c r="AI80" i="1" s="1"/>
  <c r="AA80" i="1"/>
  <c r="AB80" i="1"/>
  <c r="AH79" i="1"/>
  <c r="AD79" i="1"/>
  <c r="AI79" i="1" s="1"/>
  <c r="AA79" i="1"/>
  <c r="Z79" i="1"/>
  <c r="AB79" i="1" s="1"/>
  <c r="AH78" i="1"/>
  <c r="AD78" i="1"/>
  <c r="AI78" i="1" s="1"/>
  <c r="AA78" i="1"/>
  <c r="Z78" i="1"/>
  <c r="AB78" i="1" s="1"/>
  <c r="AH77" i="1"/>
  <c r="AD77" i="1"/>
  <c r="AI77" i="1" s="1"/>
  <c r="AA77" i="1"/>
  <c r="Z77" i="1"/>
  <c r="AB77" i="1" s="1"/>
  <c r="AH76" i="1"/>
  <c r="AD76" i="1"/>
  <c r="AI76" i="1" s="1"/>
  <c r="AA76" i="1"/>
  <c r="Z76" i="1"/>
  <c r="AB76" i="1" s="1"/>
  <c r="AH75" i="1"/>
  <c r="AD75" i="1"/>
  <c r="AI75" i="1" s="1"/>
  <c r="AA75" i="1"/>
  <c r="Z75" i="1"/>
  <c r="AB75" i="1" s="1"/>
  <c r="AH74" i="1"/>
  <c r="AD74" i="1"/>
  <c r="AI74" i="1" s="1"/>
  <c r="AA74" i="1"/>
  <c r="Z74" i="1"/>
  <c r="AB74" i="1" s="1"/>
  <c r="AH71" i="1"/>
  <c r="AA71" i="1"/>
  <c r="Z71" i="1"/>
  <c r="AB71" i="1" s="1"/>
  <c r="AH69" i="1"/>
  <c r="AA69" i="1"/>
  <c r="Z69" i="1"/>
  <c r="AB69" i="1" s="1"/>
  <c r="AH68" i="1"/>
  <c r="AD68" i="1"/>
  <c r="AI68" i="1" s="1"/>
  <c r="AA68" i="1"/>
  <c r="AB68" i="1"/>
  <c r="AH67" i="1"/>
  <c r="AD67" i="1"/>
  <c r="AI67" i="1" s="1"/>
  <c r="AA67" i="1"/>
  <c r="AH66" i="1"/>
  <c r="AD66" i="1"/>
  <c r="AI66" i="1" s="1"/>
  <c r="AA66" i="1"/>
  <c r="AH65" i="1"/>
  <c r="AA65" i="1"/>
  <c r="Z65" i="1"/>
  <c r="AB65" i="1" s="1"/>
  <c r="AH64" i="1"/>
  <c r="AD64" i="1"/>
  <c r="AI64" i="1" s="1"/>
  <c r="AA64" i="1"/>
  <c r="Z64" i="1"/>
  <c r="AB64" i="1" s="1"/>
  <c r="AH63" i="1"/>
  <c r="AD63" i="1"/>
  <c r="AI63" i="1" s="1"/>
  <c r="AA63" i="1"/>
  <c r="Z63" i="1"/>
  <c r="AB63" i="1" s="1"/>
  <c r="AH62" i="1"/>
  <c r="AD62" i="1"/>
  <c r="AI62" i="1" s="1"/>
  <c r="AA62" i="1"/>
  <c r="Z62" i="1"/>
  <c r="AB62" i="1" s="1"/>
  <c r="AH61" i="1"/>
  <c r="AD61" i="1"/>
  <c r="AI61" i="1" s="1"/>
  <c r="AA61" i="1"/>
  <c r="Z61" i="1"/>
  <c r="AB61" i="1" s="1"/>
  <c r="AH58" i="1"/>
  <c r="AA58" i="1"/>
  <c r="Z58" i="1"/>
  <c r="AB58" i="1" s="1"/>
  <c r="AH57" i="1"/>
  <c r="AD57" i="1"/>
  <c r="AI57" i="1" s="1"/>
  <c r="AA57" i="1"/>
  <c r="Z57" i="1"/>
  <c r="AB57" i="1" s="1"/>
  <c r="AH56" i="1"/>
  <c r="AD56" i="1"/>
  <c r="AI56" i="1" s="1"/>
  <c r="AA56" i="1"/>
  <c r="Z56" i="1"/>
  <c r="AB56" i="1" s="1"/>
  <c r="AH55" i="1"/>
  <c r="AD55" i="1"/>
  <c r="AA55" i="1"/>
  <c r="Z55" i="1"/>
  <c r="AB55" i="1" s="1"/>
  <c r="AH54" i="1"/>
  <c r="AD54" i="1"/>
  <c r="AE54" i="1" s="1"/>
  <c r="AA54" i="1"/>
  <c r="Z54" i="1"/>
  <c r="AB54" i="1" s="1"/>
  <c r="AH51" i="1"/>
  <c r="AA51" i="1"/>
  <c r="Z51" i="1"/>
  <c r="AB51" i="1" s="1"/>
  <c r="AH50" i="1"/>
  <c r="AD50" i="1"/>
  <c r="AE50" i="1" s="1"/>
  <c r="AA50" i="1"/>
  <c r="Z50" i="1"/>
  <c r="AB50" i="1" s="1"/>
  <c r="AH49" i="1"/>
  <c r="AD49" i="1"/>
  <c r="AE49" i="1" s="1"/>
  <c r="AA49" i="1"/>
  <c r="Z49" i="1"/>
  <c r="AB49" i="1" s="1"/>
  <c r="AH48" i="1"/>
  <c r="AD48" i="1"/>
  <c r="AE48" i="1" s="1"/>
  <c r="AA48" i="1"/>
  <c r="Z48" i="1"/>
  <c r="AB48" i="1" s="1"/>
  <c r="AH47" i="1"/>
  <c r="AD47" i="1"/>
  <c r="AE47" i="1" s="1"/>
  <c r="AA47" i="1"/>
  <c r="Z47" i="1"/>
  <c r="AB47" i="1" s="1"/>
  <c r="AH46" i="1"/>
  <c r="AD46" i="1"/>
  <c r="AE46" i="1" s="1"/>
  <c r="AA46" i="1"/>
  <c r="Z46" i="1"/>
  <c r="AB46" i="1" s="1"/>
  <c r="AH45" i="1"/>
  <c r="AD45" i="1"/>
  <c r="AE45" i="1" s="1"/>
  <c r="AA45" i="1"/>
  <c r="Z45" i="1"/>
  <c r="AB45" i="1" s="1"/>
  <c r="AH42" i="1"/>
  <c r="AA42" i="1"/>
  <c r="AB42" i="1"/>
  <c r="AH39" i="1"/>
  <c r="AA39" i="1"/>
  <c r="Z39" i="1"/>
  <c r="AH38" i="1"/>
  <c r="AD38" i="1"/>
  <c r="AE38" i="1" s="1"/>
  <c r="AA38" i="1"/>
  <c r="Z38" i="1"/>
  <c r="AB38" i="1" s="1"/>
  <c r="AH37" i="1"/>
  <c r="AD37" i="1"/>
  <c r="AE37" i="1" s="1"/>
  <c r="AA37" i="1"/>
  <c r="Z37" i="1"/>
  <c r="AB37" i="1" s="1"/>
  <c r="AH36" i="1"/>
  <c r="AD36" i="1"/>
  <c r="AE36" i="1" s="1"/>
  <c r="AA36" i="1"/>
  <c r="Z36" i="1"/>
  <c r="AG36" i="1" s="1"/>
  <c r="AH35" i="1"/>
  <c r="AD35" i="1"/>
  <c r="AI35" i="1" s="1"/>
  <c r="AA35" i="1"/>
  <c r="Z35" i="1"/>
  <c r="AG35" i="1" s="1"/>
  <c r="AH34" i="1"/>
  <c r="AA34" i="1"/>
  <c r="AG34" i="1"/>
  <c r="AH33" i="1"/>
  <c r="AD33" i="1"/>
  <c r="AI33" i="1" s="1"/>
  <c r="AA33" i="1"/>
  <c r="Z33" i="1"/>
  <c r="AG33" i="1" s="1"/>
  <c r="AH32" i="1"/>
  <c r="AD32" i="1"/>
  <c r="AI32" i="1" s="1"/>
  <c r="AA32" i="1"/>
  <c r="Z32" i="1"/>
  <c r="AG32" i="1" s="1"/>
  <c r="AH31" i="1"/>
  <c r="AD31" i="1"/>
  <c r="AI31" i="1" s="1"/>
  <c r="AA31" i="1"/>
  <c r="Z31" i="1"/>
  <c r="AG31" i="1" s="1"/>
  <c r="AH30" i="1"/>
  <c r="AA30" i="1"/>
  <c r="AG30" i="1"/>
  <c r="AH29" i="1"/>
  <c r="AD29" i="1"/>
  <c r="AI29" i="1" s="1"/>
  <c r="AA29" i="1"/>
  <c r="Z29" i="1"/>
  <c r="AG29" i="1" s="1"/>
  <c r="AH28" i="1"/>
  <c r="AD28" i="1"/>
  <c r="AI28" i="1" s="1"/>
  <c r="AA28" i="1"/>
  <c r="Z28" i="1"/>
  <c r="AG28" i="1" s="1"/>
  <c r="AH27" i="1"/>
  <c r="AD27" i="1"/>
  <c r="AI27" i="1" s="1"/>
  <c r="AA27" i="1"/>
  <c r="Z27" i="1"/>
  <c r="AG27" i="1" s="1"/>
  <c r="AH26" i="1"/>
  <c r="AD26" i="1"/>
  <c r="AI26" i="1" s="1"/>
  <c r="AA26" i="1"/>
  <c r="Z26" i="1"/>
  <c r="AG26" i="1" s="1"/>
  <c r="AH25" i="1"/>
  <c r="AD25" i="1"/>
  <c r="AI25" i="1" s="1"/>
  <c r="AA25" i="1"/>
  <c r="Z25" i="1"/>
  <c r="AG25" i="1" s="1"/>
  <c r="AH24" i="1"/>
  <c r="AD24" i="1"/>
  <c r="AI24" i="1" s="1"/>
  <c r="AA24" i="1"/>
  <c r="Z24" i="1"/>
  <c r="AG24" i="1" s="1"/>
  <c r="AH23" i="1"/>
  <c r="AD23" i="1"/>
  <c r="AI23" i="1" s="1"/>
  <c r="AA23" i="1"/>
  <c r="Z23" i="1"/>
  <c r="AG23" i="1" s="1"/>
  <c r="AH22" i="1"/>
  <c r="AA22" i="1"/>
  <c r="AG22" i="1"/>
  <c r="AH21" i="1"/>
  <c r="AD21" i="1"/>
  <c r="AI21" i="1" s="1"/>
  <c r="AA21" i="1"/>
  <c r="Z21" i="1"/>
  <c r="AG21" i="1" s="1"/>
  <c r="AH20" i="1"/>
  <c r="AD20" i="1"/>
  <c r="AI20" i="1" s="1"/>
  <c r="AA20" i="1"/>
  <c r="Z20" i="1"/>
  <c r="AG20" i="1" s="1"/>
  <c r="AH19" i="1"/>
  <c r="AD19" i="1"/>
  <c r="AI19" i="1" s="1"/>
  <c r="AA19" i="1"/>
  <c r="Z19" i="1"/>
  <c r="AG19" i="1" s="1"/>
  <c r="AH18" i="1"/>
  <c r="AD18" i="1"/>
  <c r="AI18" i="1" s="1"/>
  <c r="AA18" i="1"/>
  <c r="AG18" i="1"/>
  <c r="AH17" i="1"/>
  <c r="AA17" i="1"/>
  <c r="AH16" i="1"/>
  <c r="AD16" i="1"/>
  <c r="AI16" i="1" s="1"/>
  <c r="AA16" i="1"/>
  <c r="Z16" i="1"/>
  <c r="AG16" i="1" s="1"/>
  <c r="AH15" i="1"/>
  <c r="AD15" i="1"/>
  <c r="AI15" i="1" s="1"/>
  <c r="AA15" i="1"/>
  <c r="Z15" i="1"/>
  <c r="AG15" i="1" s="1"/>
  <c r="AH14" i="1"/>
  <c r="AA14" i="1"/>
  <c r="AG13" i="1"/>
  <c r="AB39" i="1" l="1"/>
  <c r="AG39" i="1"/>
  <c r="AG45" i="1"/>
  <c r="AG76" i="1"/>
  <c r="AG37" i="1"/>
  <c r="AG78" i="1"/>
  <c r="AE21" i="1"/>
  <c r="AE23" i="1"/>
  <c r="AI46" i="1"/>
  <c r="AG47" i="1"/>
  <c r="AG55" i="1"/>
  <c r="AG42" i="1"/>
  <c r="AB83" i="1"/>
  <c r="AG83" i="1"/>
  <c r="AI49" i="1"/>
  <c r="AI54" i="1"/>
  <c r="AE35" i="1"/>
  <c r="AE33" i="1"/>
  <c r="AE15" i="1"/>
  <c r="AE19" i="1"/>
  <c r="AI38" i="1"/>
  <c r="AG90" i="1"/>
  <c r="AG80" i="1"/>
  <c r="AG61" i="1"/>
  <c r="AG57" i="1"/>
  <c r="AG54" i="1"/>
  <c r="AG51" i="1"/>
  <c r="AG50" i="1"/>
  <c r="AE27" i="1"/>
  <c r="AG49" i="1"/>
  <c r="AI50" i="1"/>
  <c r="AG63" i="1"/>
  <c r="AG65" i="1"/>
  <c r="AE25" i="1"/>
  <c r="AE29" i="1"/>
  <c r="AE31" i="1"/>
  <c r="AI37" i="1"/>
  <c r="AG38" i="1"/>
  <c r="AI45" i="1"/>
  <c r="AG46" i="1"/>
  <c r="AG67" i="1"/>
  <c r="AG69" i="1"/>
  <c r="AG74" i="1"/>
  <c r="AI36" i="1"/>
  <c r="AE16" i="1"/>
  <c r="AE18" i="1"/>
  <c r="AE20" i="1"/>
  <c r="AE24" i="1"/>
  <c r="AE26" i="1"/>
  <c r="AE28" i="1"/>
  <c r="AE32" i="1"/>
  <c r="AG48" i="1"/>
  <c r="AG56" i="1"/>
  <c r="AG58" i="1"/>
  <c r="AG62" i="1"/>
  <c r="AG64" i="1"/>
  <c r="AG66" i="1"/>
  <c r="AG68" i="1"/>
  <c r="AG71" i="1"/>
  <c r="AG75" i="1"/>
  <c r="AG77" i="1"/>
  <c r="AG79" i="1"/>
  <c r="AG81" i="1"/>
  <c r="AG89" i="1"/>
  <c r="AG91" i="1"/>
  <c r="AG93" i="1"/>
  <c r="AG95" i="1"/>
  <c r="AG92" i="1"/>
  <c r="AG94" i="1"/>
  <c r="AB15" i="1"/>
  <c r="AB16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I55" i="1"/>
  <c r="AE55" i="1"/>
  <c r="AI47" i="1"/>
  <c r="AI48" i="1"/>
  <c r="AE56" i="1"/>
  <c r="AE57" i="1"/>
  <c r="AE61" i="1"/>
  <c r="AE62" i="1"/>
  <c r="AE63" i="1"/>
  <c r="AE64" i="1"/>
  <c r="AE66" i="1"/>
  <c r="AE67" i="1"/>
  <c r="AE68" i="1"/>
  <c r="AE74" i="1"/>
  <c r="AE75" i="1"/>
  <c r="AE76" i="1"/>
  <c r="AE77" i="1"/>
  <c r="AE78" i="1"/>
  <c r="AE79" i="1"/>
  <c r="AE80" i="1"/>
  <c r="AE89" i="1"/>
  <c r="AE90" i="1"/>
  <c r="AE91" i="1"/>
  <c r="AE92" i="1"/>
  <c r="AE93" i="1"/>
  <c r="AE94" i="1"/>
  <c r="AE95" i="1"/>
  <c r="AB13" i="1"/>
  <c r="N17" i="1" l="1"/>
  <c r="Z17" i="1" s="1"/>
  <c r="K17" i="1"/>
  <c r="N14" i="1"/>
  <c r="Z14" i="1" s="1"/>
  <c r="K14" i="1"/>
  <c r="AG14" i="1" l="1"/>
  <c r="AB14" i="1"/>
  <c r="AG17" i="1"/>
  <c r="AB17" i="1"/>
  <c r="AD83" i="1"/>
  <c r="AD65" i="1"/>
  <c r="P34" i="1"/>
  <c r="AD34" i="1" s="1"/>
  <c r="P30" i="1"/>
  <c r="AD30" i="1" s="1"/>
  <c r="P22" i="1"/>
  <c r="AD22" i="1" s="1"/>
  <c r="AI34" i="1" l="1"/>
  <c r="AI65" i="1"/>
  <c r="AI22" i="1"/>
  <c r="AI30" i="1"/>
  <c r="AI42" i="1"/>
  <c r="AI83" i="1"/>
  <c r="AD81" i="1"/>
  <c r="P58" i="1"/>
  <c r="P51" i="1"/>
  <c r="P40" i="1" s="1"/>
  <c r="AD40" i="1" s="1"/>
  <c r="P17" i="1"/>
  <c r="AD17" i="1" s="1"/>
  <c r="P14" i="1"/>
  <c r="AI40" i="1" l="1"/>
  <c r="AE40" i="1"/>
  <c r="AD51" i="1"/>
  <c r="AE51" i="1" s="1"/>
  <c r="AD58" i="1"/>
  <c r="AE58" i="1" s="1"/>
  <c r="P41" i="1"/>
  <c r="AD41" i="1" s="1"/>
  <c r="AI81" i="1"/>
  <c r="AI17" i="1"/>
  <c r="AD14" i="1"/>
  <c r="P13" i="1"/>
  <c r="AD13" i="1" s="1"/>
  <c r="AD71" i="1"/>
  <c r="AD69" i="1"/>
  <c r="M69" i="1"/>
  <c r="AE65" i="1"/>
  <c r="M34" i="1"/>
  <c r="AE34" i="1" s="1"/>
  <c r="M30" i="1"/>
  <c r="AE30" i="1" s="1"/>
  <c r="M22" i="1"/>
  <c r="AE22" i="1" s="1"/>
  <c r="M17" i="1"/>
  <c r="AE17" i="1" s="1"/>
  <c r="M14" i="1"/>
  <c r="AI51" i="1" l="1"/>
  <c r="AI41" i="1"/>
  <c r="AE41" i="1"/>
  <c r="M13" i="1"/>
  <c r="AE13" i="1" s="1"/>
  <c r="AI58" i="1"/>
  <c r="AE81" i="1"/>
  <c r="AE83" i="1"/>
  <c r="AI69" i="1"/>
  <c r="AE69" i="1"/>
  <c r="AI13" i="1"/>
  <c r="AI39" i="1"/>
  <c r="AI71" i="1"/>
  <c r="AE71" i="1"/>
  <c r="AI14" i="1"/>
  <c r="AE14" i="1"/>
  <c r="AP20" i="1"/>
  <c r="AP19" i="1"/>
  <c r="AP18" i="1"/>
  <c r="AP17" i="1"/>
  <c r="AP13" i="1"/>
  <c r="AE96" i="1" l="1"/>
  <c r="AE97" i="1" s="1"/>
  <c r="AB96" i="1"/>
  <c r="AB97" i="1" l="1"/>
</calcChain>
</file>

<file path=xl/comments1.xml><?xml version="1.0" encoding="utf-8"?>
<comments xmlns="http://schemas.openxmlformats.org/spreadsheetml/2006/main">
  <authors>
    <author>Ella</author>
  </authors>
  <commentList>
    <comment ref="D39" authorId="0" shapeId="0">
      <text>
        <r>
          <rPr>
            <sz val="16"/>
            <color indexed="81"/>
            <rFont val="Tahoma"/>
            <family val="2"/>
          </rPr>
          <t xml:space="preserve">Jumlah Dokumen RAPBD yang tepat waktu dibagi jumlah dokumen RAPBD yang seharusnya kali 100
dokumen : 
1. rancangan KUA
2. rancagan PPAS
3. rancangan Perda APBD
4. rancangan perbup APBD
</t>
        </r>
      </text>
    </comment>
    <comment ref="D40" authorId="0" shapeId="0">
      <text>
        <r>
          <rPr>
            <b/>
            <sz val="14"/>
            <color indexed="81"/>
            <rFont val="Tahoma"/>
            <family val="2"/>
          </rPr>
          <t>Jumlah SP2D yang terbit dan dinyatakan tepat waktu di bagi jumlah SP2D yang diterbitkan x 100% (penerbitan SP2D paling lama 2 hari sejak SPM diterima)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12"/>
            <color indexed="81"/>
            <rFont val="Tahoma"/>
            <family val="2"/>
          </rPr>
          <t xml:space="preserve">Jumlah dokumen laporan keuangan yang tepat waktu dibagi jumlah dokumen laporan keuangan  yang seharusnya kali 100
DOKUMEN :
1. LKPD
2. Raperda pertanggungjawaban
3. raperbup pertanggungjawaban
4. Laporan Prognosis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51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9" authorId="0" shapeId="0">
      <text>
        <r>
          <rPr>
            <sz val="9"/>
            <color indexed="81"/>
            <rFont val="Tahoma"/>
            <family val="2"/>
          </rPr>
          <t>2 DOK</t>
        </r>
      </text>
    </comment>
    <comment ref="D60" authorId="0" shapeId="0">
      <text>
        <r>
          <rPr>
            <sz val="9"/>
            <color indexed="81"/>
            <rFont val="Tahoma"/>
            <family val="2"/>
          </rPr>
          <t xml:space="preserve">TARGET 297
</t>
        </r>
      </text>
    </comment>
    <comment ref="N66" authorId="0" shapeId="0">
      <text>
        <r>
          <rPr>
            <b/>
            <sz val="12"/>
            <color indexed="81"/>
            <rFont val="Tahoma"/>
            <family val="2"/>
          </rPr>
          <t>31.777.040.000 / 182.203.532.000</t>
        </r>
      </text>
    </comment>
    <comment ref="Q66" authorId="0" shapeId="0">
      <text>
        <r>
          <rPr>
            <sz val="14"/>
            <color indexed="81"/>
            <rFont val="Tahoma"/>
            <family val="2"/>
          </rPr>
          <t>31.950.000.000 / 182.203.532.000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7" authorId="0" shapeId="0">
      <text>
        <r>
          <rPr>
            <b/>
            <sz val="12"/>
            <color indexed="81"/>
            <rFont val="Tahoma"/>
            <family val="2"/>
          </rPr>
          <t>548.514.964 / 28.000.000.000</t>
        </r>
      </text>
    </comment>
    <comment ref="Q67" authorId="0" shapeId="0">
      <text>
        <r>
          <rPr>
            <sz val="14"/>
            <color indexed="81"/>
            <rFont val="Tahoma"/>
            <family val="2"/>
          </rPr>
          <t>2.200.300.141 / 28.000.000.000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8" authorId="0" shapeId="0">
      <text>
        <r>
          <rPr>
            <sz val="12"/>
            <color indexed="81"/>
            <rFont val="Tahoma"/>
            <family val="2"/>
          </rPr>
          <t>1.661.895.300 / 2.628.865.000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8" authorId="0" shapeId="0">
      <text>
        <r>
          <rPr>
            <sz val="16"/>
            <color indexed="81"/>
            <rFont val="Tahoma"/>
            <family val="2"/>
          </rPr>
          <t>1.668.992.500 / 2.628.865.000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0" authorId="0" shapeId="0">
      <text>
        <r>
          <rPr>
            <sz val="16"/>
            <color indexed="81"/>
            <rFont val="Tahoma"/>
            <family val="2"/>
          </rPr>
          <t>refocusing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<sst xmlns="http://schemas.openxmlformats.org/spreadsheetml/2006/main" count="697" uniqueCount="240">
  <si>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</si>
  <si>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</si>
  <si>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</si>
  <si>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</si>
  <si>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</si>
  <si>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</si>
  <si>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</si>
  <si>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</si>
  <si>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</si>
  <si>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</si>
  <si>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</si>
  <si>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</si>
  <si>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</si>
  <si>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</si>
  <si>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</si>
  <si>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</si>
  <si>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</si>
  <si>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</si>
  <si>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</si>
  <si>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</si>
  <si>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</si>
  <si>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</si>
  <si>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</si>
  <si>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</si>
  <si>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</si>
  <si>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</si>
  <si>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</si>
  <si>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</si>
  <si>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</si>
  <si>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</si>
  <si>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</si>
  <si>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</si>
  <si>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</si>
  <si>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</si>
  <si>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</si>
  <si>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</si>
  <si>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</si>
  <si>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</si>
  <si>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</si>
  <si>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</si>
  <si>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</si>
  <si>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</si>
  <si>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</si>
  <si>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</si>
  <si>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%</t>
  </si>
  <si>
    <t>Kali</t>
  </si>
  <si>
    <t>WP</t>
  </si>
  <si>
    <t>Persil</t>
  </si>
  <si>
    <t>Org</t>
  </si>
  <si>
    <t>Rata-rata Capaian Kinerja (%)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</si>
  <si>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</si>
  <si>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</si>
  <si>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</si>
  <si>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</si>
  <si>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</si>
  <si>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</si>
  <si>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</si>
  <si>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</si>
  <si>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</si>
  <si>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Drs. H. NANANG F.M.N, M.si</t>
  </si>
  <si>
    <t>NIP. 19711011 199101 1 002</t>
  </si>
  <si>
    <t>BADAN PENGELOLAAN KEUANGAN DAN PENDAPATAN DAERAH</t>
  </si>
  <si>
    <t>Kepala Badan Pengelolaan Keuangan dan Pendapatan Daerah</t>
  </si>
  <si>
    <t>Badan Pengelolaan Keuangan dan Pendapatan Daerah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</si>
  <si>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</si>
  <si>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</si>
  <si>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</si>
  <si>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</si>
  <si>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</si>
  <si>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</si>
  <si>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</si>
  <si>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</si>
  <si>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</si>
  <si>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</si>
  <si>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</si>
  <si>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</si>
  <si>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</si>
  <si>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</si>
  <si>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</si>
  <si>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</si>
  <si>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</si>
  <si>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</si>
  <si>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</si>
  <si>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</si>
  <si>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</si>
  <si>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</si>
  <si>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</si>
  <si>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</si>
  <si>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</si>
  <si>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</si>
  <si>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</si>
  <si>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Lap</t>
  </si>
  <si>
    <t>Penyediaan Peralatan Rumah Tangga</t>
  </si>
  <si>
    <t>Pemeliharaan Mebel</t>
  </si>
  <si>
    <t>Koordinasi dan Penyusunan Rencana Anggaran Daerah</t>
  </si>
  <si>
    <t>Koordinasi dan Penyusunan KUA dan PPAS</t>
  </si>
  <si>
    <t>Koordinasi dan Penyusunan Perubahan KUA dan Perubahan PPAS</t>
  </si>
  <si>
    <t>Koordinasi, Penyusunan dan Verifikasi RKA-SKPD</t>
  </si>
  <si>
    <t>Koordinasi, Penyusunan dan Verifikasi DPA-SKPD</t>
  </si>
  <si>
    <t>Koordinasi dan Penyusunan Peraturan Daerah tentang APBD dan Peraturan Kepala Daerah tentang Penjabaran APBD</t>
  </si>
  <si>
    <t>Koordinasi dan Penyusunan Peraturan Daerah tentang Perubahan APBD dan Peraturan Kepala Daerah tentang Penjabaran Perubahan APBD</t>
  </si>
  <si>
    <t>Koordinasi dan Pengelolaan Perbendaharaan Daerah</t>
  </si>
  <si>
    <t>Penatausahaan Pembiayaan Daerah</t>
  </si>
  <si>
    <t>Koordinasi, Fasilitasi, Asistensi, Sinkronisasi, Supervisi, Monitoring dan Evaluasi Pengelolaan Dana Perimbangan dan Dana Transfer Lainnya</t>
  </si>
  <si>
    <t>Koordinasi Pelaksanaan Piutang dan Utang Daerah yang Timbul Akibat Pengelolaan Kas, Pelaksanaan Analisis Pembiayaan dan Penempatan Uang Daerah sebagai Optimalisasi Kas</t>
  </si>
  <si>
    <t>Rekonsiliasi Data Penerimaan dan Pengeluaran Kas serta Pemungutan dan Pemotongan Atas SP2D dengan Instansi Terkait</t>
  </si>
  <si>
    <t>Koordinasi dan Pelaksanaan Akuntansi dan Pelaporan Keuangan Daerah</t>
  </si>
  <si>
    <t>Rekonsiliasi dan Verifikasi Aset, Kewajiban, Ekuitas, Pendapatan, Belanja, Pembiayaan, Pendapatan-LO dan Beban</t>
  </si>
  <si>
    <t>Koordinasi Penyusunan Laporan Pertanggungjawaban Pelaksanaan APBD Bulanan, Triwulanan dan Semesteran</t>
  </si>
  <si>
    <t>Konsolidasi Laporan Keuangan SKPD, BLUD dan Laporan Keuangan Pemerintah Daerah</t>
  </si>
  <si>
    <t>Koordinasi dan Penyusunan Rancangan Peraturan Daerah tentang Pertanggungjawaban Pelaksanaan APBD Provinsi dan Rancangan Peraturan Kepala Daerah tentang Penjabaran Pertanggungjawaban Pelaksanaan APBD Kabupaten/Kota</t>
  </si>
  <si>
    <t>Penunjang Urusan Kewenangan Pengelolaan Keuangan Daerah</t>
  </si>
  <si>
    <t>Analisis Perencanaan dan Penyaluran Bantuan Keuangan</t>
  </si>
  <si>
    <t>Pengelolaan Dana Darurat dan Mendesak</t>
  </si>
  <si>
    <t>Pengelolaan Dana Bagi Hasil Kabupaten/Kota</t>
  </si>
  <si>
    <t>Program Pengelolaan Barang Milik Daerah</t>
  </si>
  <si>
    <t>Pengelolaan Barang Milik Daerah</t>
  </si>
  <si>
    <t>Penyusunan Standar Harga</t>
  </si>
  <si>
    <t>Penyusunan Perencanaan Kebutuhan Barang Milik Daerah</t>
  </si>
  <si>
    <t>Penatausahaan Barang Milik Daerah</t>
  </si>
  <si>
    <t>Pengamanan Barang Milik Daerah</t>
  </si>
  <si>
    <t>Optimalisasi Penggunaan, Pemanfaatan, Pemindahtanganan, Pemusnahan, dan Penghapusan Barang Milik Daerah</t>
  </si>
  <si>
    <t>Rekonsiliasi dalam rangka Penyusunan Laporan Barang Milik Daerah</t>
  </si>
  <si>
    <t>Pembinaan Pengelolaan Barang Milik Daerah Pemerintah Kabupaten/Kota</t>
  </si>
  <si>
    <t>Program Pengelolaan Pendapatan Daerah</t>
  </si>
  <si>
    <t>Perencanaan pengelolaan pajak daerah</t>
  </si>
  <si>
    <t>Penetapan Wajib Pajak Daerah</t>
  </si>
  <si>
    <t>Pelayanan dan Konsultasi Pajak Daerah</t>
  </si>
  <si>
    <t>Penagihan Pajak Daerah</t>
  </si>
  <si>
    <t>Pengendalian, Pemeriksaan dan Pengawasan Pajak Daerah</t>
  </si>
  <si>
    <t>Jumlah Dokumen RKBMD dan RKPBMD yang direncanakan</t>
  </si>
  <si>
    <t>Persentase Layanan Penghapusan, Pemusnahan, Pemanfaatan dan Pemindahtanganan BMD oleh SKPD</t>
  </si>
  <si>
    <t>Jumlah objek pajak baru/diupdate</t>
  </si>
  <si>
    <t>Jumlah SPPT/BPHTB/SKPD/SKRD/ SKPDKB yang diterbitkan</t>
  </si>
  <si>
    <t>Jumlah dokumen Perencanaan dan Evaluasi Kinerja yang berkualitas</t>
  </si>
  <si>
    <t>Jumlah dokumen administrasi Keuangan sesuai standar</t>
  </si>
  <si>
    <t>Tingkat kepuasan pelayanan</t>
  </si>
  <si>
    <t>Program Pengelolaan Keuangan Daerah</t>
  </si>
  <si>
    <t>Persentase Pengelolaan Keuangan Daerah yang Sesuai Ketentuan</t>
  </si>
  <si>
    <t>OP</t>
  </si>
  <si>
    <t>Program Penunjang Urusan Pemerintahan Daerah Kabupaten / Kota</t>
  </si>
  <si>
    <t>Jumlah dokumen perencanaan BPKPD yang berkualitas</t>
  </si>
  <si>
    <t>Jumlah Dokumen Evaluasi kinerja BPKPD yang berkualitas</t>
  </si>
  <si>
    <t>Jumlah PNS yang menerima gaji dan tunjangan</t>
  </si>
  <si>
    <t>orang</t>
  </si>
  <si>
    <t>Jumlah dokumen laporan keuangan akhir tahun</t>
  </si>
  <si>
    <t>dok</t>
  </si>
  <si>
    <t>Laporan keuangan sesuai kebutuhan</t>
  </si>
  <si>
    <t>Potensi PAD yang meningkat</t>
  </si>
  <si>
    <t xml:space="preserve">Pendataan dan Pendaftaran
Objek Pajak Daerah </t>
  </si>
  <si>
    <t>Penyuluhan dan Penyebarluasan
Kebijakan Pajak Daerah</t>
  </si>
  <si>
    <t>Jumlah Wajib Pajak yang menerima penyuluhan dan penyebarluasan kebijakan pajak</t>
  </si>
  <si>
    <t>Jumlah WP yang menerima pelayanan/konsultasi pajak</t>
  </si>
  <si>
    <t>Jumlah Objek Pajak yang telah dilakukan penagihan</t>
  </si>
  <si>
    <t xml:space="preserve">Jumlah Wajib Pajak yang telah dilakukan pemeriksaan </t>
  </si>
  <si>
    <t>Pengelolaan Pendapatan daerah</t>
  </si>
  <si>
    <t>Persentase peningkatan potensi PAD</t>
  </si>
  <si>
    <t>Persentase WP  yang update, akurat dan informatif guna menunjang peningkatan PAD</t>
  </si>
  <si>
    <t>Persentase Pelayanan dan Penetapan Wajib Pajak Daerah yang sesuai</t>
  </si>
  <si>
    <t>Persentase pelaksanaan penyuluhan dan penyebarluasan kebijakan pajak</t>
  </si>
  <si>
    <t>Persentase pelaksanaan penagihan pajak</t>
  </si>
  <si>
    <t>Persentase  pelaksanaan pemeriksaan dan pengawasan pajak</t>
  </si>
  <si>
    <t xml:space="preserve">Persentase Capaian Pendapatan Asli Daerah </t>
  </si>
  <si>
    <t>Persentase konfirmasi status WP daerah yg telah tertagih</t>
  </si>
  <si>
    <t>Persentase kesesuaian Neraca BMD dengan Neraca Keuangan Daerah</t>
  </si>
  <si>
    <t>Persentase Tanah dan bangunan milik Pemkab yang bersertifikat</t>
  </si>
  <si>
    <t>Persentase Regulasi Barang Milik Daerah</t>
  </si>
  <si>
    <t>Persentase Penatausahaan dan Pelaporan Barang Milik Daerah</t>
  </si>
  <si>
    <t>Persentase Pemanfaatan, Pemindahtanganan dan Pengamanan Barang Milik Daerah</t>
  </si>
  <si>
    <t>Jumlah Dokumen Standar Harga Belanja Daerah</t>
  </si>
  <si>
    <t>Jumlah dokumen laporan hasil inventarisasi</t>
  </si>
  <si>
    <t>Jumlah sertifikat Tanah Pemkab yang terbit</t>
  </si>
  <si>
    <t>Jumlah Laporan Pengelolaan Barang Milik Daerah hasil rekonsiliasi</t>
  </si>
  <si>
    <t>Jumlah pengurus dan pembantu pengurus barang yang mengikuti Bimtek operasional SIM BMD</t>
  </si>
  <si>
    <t>Laporan Prognosis sesuai kebutuhan</t>
  </si>
  <si>
    <t>Persentase pelayanan administrasi umum sesuai kebutuhan</t>
  </si>
  <si>
    <t>Jumlah komponen instalasi listrik/penerangan bangunan kantor sesuai kebutuhan</t>
  </si>
  <si>
    <t>Jumlah penyediaan peralatan dan perlengkapan kantor sesuai kebutuhan</t>
  </si>
  <si>
    <t>Jumlah Penyediaan Peralatan Rumah Tangga sesuai kebutuhan</t>
  </si>
  <si>
    <t>Jumlah penyediaan bahan logistik kantor sesuai kebutuhan</t>
  </si>
  <si>
    <t>Jumlah penyediaan barang cetakan dan penggandaan sesuai kebutuhan</t>
  </si>
  <si>
    <t>Jumlah Penyediaan Bahan Bacaaan dan peraturan perundang-perundangan sesuai kebutuhan</t>
  </si>
  <si>
    <t>Jumlah rapat koordinasi dan konsultasi SKPD yang diikuiti sesuai kebutuhan</t>
  </si>
  <si>
    <t>Persentase jasa penunjang urusan pemerintahan daerah sesuai kebutuhan</t>
  </si>
  <si>
    <t>Jumlah Pengiriman Dokumen BPKPD sesuai kebutuhan</t>
  </si>
  <si>
    <t>Jumlah penyediaan jasa komunikasi, sumber daya air dan listrik sesuai kebutuhan</t>
  </si>
  <si>
    <t>Jumlah penyediaan jasa pelayanan umum kantor sesuai kebutuhan</t>
  </si>
  <si>
    <t>Persentase Pemeliharaan BMD penunjang urusan pemerintah sesuai kebutuhan</t>
  </si>
  <si>
    <t>Jumlah jasa pemeliharaan, biaya pemeliharan, pajak dan perizinan kendaraan dinas operasional atau lapangan sesuai kebutuhan</t>
  </si>
  <si>
    <t>Jumlah Pemeliharaan Mebel sesuai kebutuhan</t>
  </si>
  <si>
    <t>Jumlah Pemeliharaan/Rehabilitasi Gedung Kantor dan Bangunan lainnya sesuai kebutuhan</t>
  </si>
  <si>
    <t>Jumlah Jasa Pemeliharaan/Rehabilitasi Sapras Gedung Kantor dan Bangunan Lainnya sesuai kebutuhan</t>
  </si>
  <si>
    <t>Jumlah dokumen KUA dan PPAS yang tersusun</t>
  </si>
  <si>
    <t xml:space="preserve">Jumlah dokumen Perubahan KUA dan Perubahan PPAS yang tersusun </t>
  </si>
  <si>
    <t xml:space="preserve">Jumlah dokumen RKA-SKPD yang tersusun dan terverifikasi </t>
  </si>
  <si>
    <t xml:space="preserve">Jumlah dokumen DPA-SKPD yang tersusun dan terverifikasi </t>
  </si>
  <si>
    <t xml:space="preserve">Jumlah dokumen Perda dan Perkada tentang APBD yang tersusun </t>
  </si>
  <si>
    <t xml:space="preserve">Jumlah dokumen Perda dan Perkada tentang Perubahan APBD yang tersusun </t>
  </si>
  <si>
    <t>Ketepatan Waktu proses Penyusunan RAPBD</t>
  </si>
  <si>
    <t>Persentasi waktu Penyelesaian SP2D yang dinyatakan lengkap dan sah sesuai dengan ketentuan yang berlaku</t>
  </si>
  <si>
    <t xml:space="preserve">Ketepatan waktu penyusunan Laporan Keuangan Pemda  </t>
  </si>
  <si>
    <t>Persentase Dokumen KUA dan PPAS yang tersusun</t>
  </si>
  <si>
    <t>Persentase Dokumen Anggaran SKPD yang tersusun</t>
  </si>
  <si>
    <t>Persentase Dokumen Raperbup Penjabaran APBD</t>
  </si>
  <si>
    <t xml:space="preserve">Persentase Pelaksanaan koordinasi dan Pengelolaan Dana Perimbangan serta Transfer lainnya </t>
  </si>
  <si>
    <t>Persentase Rekonsiliasi Data Penerimaan dan Pengeluaran Kas</t>
  </si>
  <si>
    <t>Persentase Pengelolaan Keuangan Daerah</t>
  </si>
  <si>
    <t xml:space="preserve">Jumlah laporan pengelolaan pembiayaan daerah akuntabel </t>
  </si>
  <si>
    <t>lap</t>
  </si>
  <si>
    <t xml:space="preserve">Jumlah Pelaksanaan koordinasi dan Pengelolaan Dana Perimbangan serta Transfer lainnya </t>
  </si>
  <si>
    <t>kali</t>
  </si>
  <si>
    <t xml:space="preserve">Jumlah dokumen pengelolaan piutang dan hutang daerah </t>
  </si>
  <si>
    <t xml:space="preserve">Jumlah Dokumen Rekonsiliasi Data </t>
  </si>
  <si>
    <t>Persentase  laporan keuangan SKPD yang dikonsolidasikan</t>
  </si>
  <si>
    <t>Persentase Laporan Perda dan Perbup Pertanggungjabawan APBD</t>
  </si>
  <si>
    <t>Persentase Laporan Puskesmas (unit JKN) dan Sekolah (unit BOS) yang dilakukan verifikasi</t>
  </si>
  <si>
    <t xml:space="preserve">Jumlah pelaksanaan kegiatan rekonsiliasi dan verifikasi </t>
  </si>
  <si>
    <t>Jumlah Dokumen Laporan Keuangan Pemda sesuai Standar  Akuntansi Pemerintah yang disusun</t>
  </si>
  <si>
    <t xml:space="preserve">Jumlah Dokumen Laporan pertanggungjawaban APBD </t>
  </si>
  <si>
    <t xml:space="preserve">Persentase Bantuan Keuangan yang disalurkan </t>
  </si>
  <si>
    <t>Persentase Dana Darurat dan mendesak yang dikelola</t>
  </si>
  <si>
    <t xml:space="preserve">Persentase Dana Bagi Hasil yang dikelola </t>
  </si>
  <si>
    <t>org</t>
  </si>
  <si>
    <t>Jumlah Laporan Keuangan SKPD, BLUD yang dikonsuldasikan</t>
  </si>
  <si>
    <t>KEU</t>
  </si>
  <si>
    <t>BTT</t>
  </si>
  <si>
    <t>DBH</t>
  </si>
  <si>
    <t>MARET</t>
  </si>
  <si>
    <t>JUNI</t>
  </si>
  <si>
    <t>Program/ Kegiatan</t>
  </si>
  <si>
    <t>Meningkatnya kualitas Pengelolaan keuangan dan aset daerah</t>
  </si>
  <si>
    <t>bln</t>
  </si>
  <si>
    <t>lbr</t>
  </si>
  <si>
    <t>Faktor pendorong keberhasilan pencapaian: Inisiatif, kreatif dan kerjasama tim</t>
  </si>
  <si>
    <t>Faktor penghambat pencapaian kinerja: tidak aktif bekerja, kurang inisiatif</t>
  </si>
  <si>
    <t>Tindak lanjut yang diperlukan dalam triwulan berikutnya*): Melaksanakan penyelesaian SPJ dan kegiatan sesuai dengan rencana</t>
  </si>
  <si>
    <t>Tindak lanjut yang diperlukan dalam Renja Perangkat Daerah Kabupaten berikutnya*): Penyusunan perencanaan dengan baik</t>
  </si>
  <si>
    <t>Lbr</t>
  </si>
  <si>
    <t>PERIODE PELAKSANAAN TRIWULAN IV TAHUN 2021</t>
  </si>
  <si>
    <t>Kandangan,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</si>
</sst>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0_);_(* \(#,##0.00\);_(* &quot;-&quot;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6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41" fontId="27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/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164" fontId="8" fillId="0" borderId="2" xfId="2" applyFont="1" applyFill="1" applyBorder="1" applyAlignment="1">
      <alignment horizontal="center" vertical="top" wrapText="1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14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166" fontId="6" fillId="0" borderId="2" xfId="1" applyNumberFormat="1" applyFont="1" applyFill="1" applyBorder="1" applyAlignment="1">
      <alignment vertical="top"/>
    </xf>
    <xf numFmtId="0" fontId="14" fillId="0" borderId="11" xfId="0" applyFont="1" applyFill="1" applyBorder="1"/>
    <xf numFmtId="167" fontId="6" fillId="0" borderId="2" xfId="0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/>
    <xf numFmtId="3" fontId="6" fillId="0" borderId="2" xfId="0" quotePrefix="1" applyNumberFormat="1" applyFont="1" applyFill="1" applyBorder="1" applyAlignment="1">
      <alignment horizontal="center" vertical="top" wrapText="1"/>
    </xf>
    <xf numFmtId="2" fontId="6" fillId="0" borderId="2" xfId="2" quotePrefix="1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0" fontId="17" fillId="0" borderId="11" xfId="0" applyFont="1" applyFill="1" applyBorder="1" applyAlignment="1">
      <alignment horizontal="center" vertical="top"/>
    </xf>
    <xf numFmtId="0" fontId="17" fillId="0" borderId="11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9" fontId="18" fillId="0" borderId="2" xfId="0" applyNumberFormat="1" applyFont="1" applyFill="1" applyBorder="1" applyAlignment="1">
      <alignment horizontal="center" vertical="top"/>
    </xf>
    <xf numFmtId="1" fontId="18" fillId="0" borderId="2" xfId="0" applyNumberFormat="1" applyFont="1" applyFill="1" applyBorder="1" applyAlignment="1">
      <alignment horizontal="center" vertical="top" wrapText="1"/>
    </xf>
    <xf numFmtId="166" fontId="18" fillId="0" borderId="2" xfId="1" applyNumberFormat="1" applyFont="1" applyFill="1" applyBorder="1" applyAlignment="1">
      <alignment vertical="top"/>
    </xf>
    <xf numFmtId="3" fontId="18" fillId="0" borderId="2" xfId="0" applyNumberFormat="1" applyFont="1" applyFill="1" applyBorder="1" applyAlignment="1">
      <alignment horizontal="center" vertical="top" wrapText="1"/>
    </xf>
    <xf numFmtId="166" fontId="18" fillId="0" borderId="2" xfId="1" quotePrefix="1" applyNumberFormat="1" applyFont="1" applyFill="1" applyBorder="1" applyAlignment="1">
      <alignment vertical="top"/>
    </xf>
    <xf numFmtId="1" fontId="18" fillId="0" borderId="2" xfId="0" applyNumberFormat="1" applyFont="1" applyFill="1" applyBorder="1" applyAlignment="1">
      <alignment horizontal="center" vertical="top"/>
    </xf>
    <xf numFmtId="2" fontId="18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164" fontId="18" fillId="0" borderId="2" xfId="0" applyNumberFormat="1" applyFont="1" applyFill="1" applyBorder="1" applyAlignment="1">
      <alignment vertical="top"/>
    </xf>
    <xf numFmtId="0" fontId="19" fillId="0" borderId="11" xfId="0" applyFont="1" applyFill="1" applyBorder="1"/>
    <xf numFmtId="0" fontId="19" fillId="0" borderId="0" xfId="0" applyFont="1" applyFill="1"/>
    <xf numFmtId="166" fontId="18" fillId="0" borderId="0" xfId="1" quotePrefix="1" applyNumberFormat="1" applyFont="1" applyFill="1" applyBorder="1" applyAlignment="1">
      <alignment vertical="top"/>
    </xf>
    <xf numFmtId="0" fontId="17" fillId="0" borderId="2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9" fontId="17" fillId="0" borderId="15" xfId="0" applyNumberFormat="1" applyFont="1" applyFill="1" applyBorder="1" applyAlignment="1">
      <alignment horizontal="center" vertical="top"/>
    </xf>
    <xf numFmtId="1" fontId="17" fillId="0" borderId="15" xfId="0" applyNumberFormat="1" applyFont="1" applyFill="1" applyBorder="1" applyAlignment="1">
      <alignment horizontal="center" vertical="top" wrapText="1"/>
    </xf>
    <xf numFmtId="166" fontId="17" fillId="0" borderId="15" xfId="1" applyNumberFormat="1" applyFont="1" applyFill="1" applyBorder="1" applyAlignment="1">
      <alignment vertical="top"/>
    </xf>
    <xf numFmtId="166" fontId="17" fillId="0" borderId="2" xfId="1" quotePrefix="1" applyNumberFormat="1" applyFont="1" applyFill="1" applyBorder="1" applyAlignment="1">
      <alignment vertical="top"/>
    </xf>
    <xf numFmtId="1" fontId="17" fillId="0" borderId="2" xfId="0" applyNumberFormat="1" applyFont="1" applyFill="1" applyBorder="1" applyAlignment="1">
      <alignment horizontal="center" vertical="top"/>
    </xf>
    <xf numFmtId="0" fontId="17" fillId="0" borderId="15" xfId="0" applyNumberFormat="1" applyFont="1" applyFill="1" applyBorder="1" applyAlignment="1">
      <alignment horizontal="center" vertical="top"/>
    </xf>
    <xf numFmtId="2" fontId="17" fillId="0" borderId="2" xfId="0" applyNumberFormat="1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164" fontId="17" fillId="0" borderId="2" xfId="0" applyNumberFormat="1" applyFont="1" applyFill="1" applyBorder="1" applyAlignment="1">
      <alignment vertical="top"/>
    </xf>
    <xf numFmtId="0" fontId="17" fillId="0" borderId="11" xfId="0" applyFont="1" applyFill="1" applyBorder="1" applyAlignment="1">
      <alignment horizontal="center" vertical="top" wrapText="1"/>
    </xf>
    <xf numFmtId="0" fontId="20" fillId="0" borderId="0" xfId="0" applyFont="1" applyFill="1"/>
    <xf numFmtId="166" fontId="17" fillId="0" borderId="0" xfId="1" quotePrefix="1" applyNumberFormat="1" applyFont="1" applyFill="1" applyBorder="1" applyAlignment="1">
      <alignment vertical="top"/>
    </xf>
    <xf numFmtId="0" fontId="18" fillId="0" borderId="15" xfId="0" applyFont="1" applyFill="1" applyBorder="1" applyAlignment="1">
      <alignment horizontal="left" vertical="top" wrapText="1"/>
    </xf>
    <xf numFmtId="9" fontId="17" fillId="0" borderId="2" xfId="0" applyNumberFormat="1" applyFont="1" applyFill="1" applyBorder="1" applyAlignment="1">
      <alignment horizontal="center" vertical="top"/>
    </xf>
    <xf numFmtId="166" fontId="17" fillId="0" borderId="2" xfId="1" applyNumberFormat="1" applyFont="1" applyFill="1" applyBorder="1" applyAlignment="1">
      <alignment vertical="top"/>
    </xf>
    <xf numFmtId="0" fontId="20" fillId="0" borderId="11" xfId="0" applyFont="1" applyFill="1" applyBorder="1"/>
    <xf numFmtId="9" fontId="17" fillId="0" borderId="2" xfId="0" applyNumberFormat="1" applyFont="1" applyFill="1" applyBorder="1" applyAlignment="1">
      <alignment horizontal="center" vertical="top" wrapText="1"/>
    </xf>
    <xf numFmtId="2" fontId="17" fillId="0" borderId="2" xfId="0" applyNumberFormat="1" applyFont="1" applyFill="1" applyBorder="1" applyAlignment="1">
      <alignment horizontal="center" vertical="top" wrapText="1"/>
    </xf>
    <xf numFmtId="0" fontId="18" fillId="0" borderId="2" xfId="2" applyNumberFormat="1" applyFont="1" applyFill="1" applyBorder="1" applyAlignment="1">
      <alignment horizontal="center" vertical="top"/>
    </xf>
    <xf numFmtId="164" fontId="18" fillId="0" borderId="2" xfId="2" applyFont="1" applyFill="1" applyBorder="1" applyAlignment="1">
      <alignment horizontal="center" vertical="top" wrapText="1"/>
    </xf>
    <xf numFmtId="164" fontId="0" fillId="0" borderId="0" xfId="2" applyFont="1"/>
    <xf numFmtId="168" fontId="0" fillId="0" borderId="0" xfId="2" applyNumberFormat="1" applyFont="1"/>
    <xf numFmtId="164" fontId="8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3" fontId="18" fillId="0" borderId="2" xfId="4" applyNumberFormat="1" applyFont="1" applyFill="1" applyBorder="1" applyAlignment="1">
      <alignment horizontal="right" vertical="top"/>
    </xf>
    <xf numFmtId="3" fontId="8" fillId="0" borderId="11" xfId="5" applyNumberFormat="1" applyFont="1" applyFill="1" applyBorder="1" applyAlignment="1">
      <alignment vertical="top"/>
    </xf>
    <xf numFmtId="3" fontId="8" fillId="0" borderId="2" xfId="4" applyNumberFormat="1" applyFont="1" applyFill="1" applyBorder="1" applyAlignment="1">
      <alignment horizontal="right" vertical="top"/>
    </xf>
    <xf numFmtId="3" fontId="8" fillId="0" borderId="2" xfId="4" applyNumberFormat="1" applyFont="1" applyFill="1" applyBorder="1" applyAlignment="1">
      <alignment horizontal="right" vertical="center"/>
    </xf>
    <xf numFmtId="3" fontId="18" fillId="0" borderId="2" xfId="8" applyNumberFormat="1" applyFont="1" applyFill="1" applyBorder="1" applyAlignment="1">
      <alignment horizontal="right" vertical="top"/>
    </xf>
    <xf numFmtId="3" fontId="18" fillId="0" borderId="2" xfId="4" applyNumberFormat="1" applyFont="1" applyFill="1" applyBorder="1" applyAlignment="1">
      <alignment vertical="top"/>
    </xf>
    <xf numFmtId="3" fontId="18" fillId="0" borderId="15" xfId="4" applyNumberFormat="1" applyFont="1" applyFill="1" applyBorder="1" applyAlignment="1">
      <alignment vertical="top"/>
    </xf>
    <xf numFmtId="3" fontId="18" fillId="0" borderId="2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top"/>
    </xf>
    <xf numFmtId="3" fontId="8" fillId="0" borderId="2" xfId="4" applyNumberFormat="1" applyFont="1" applyFill="1" applyBorder="1" applyAlignment="1">
      <alignment vertical="top"/>
    </xf>
    <xf numFmtId="3" fontId="8" fillId="0" borderId="2" xfId="7" applyNumberFormat="1" applyFont="1" applyFill="1" applyBorder="1" applyAlignment="1">
      <alignment horizontal="right" vertical="top" wrapText="1"/>
    </xf>
    <xf numFmtId="3" fontId="8" fillId="0" borderId="2" xfId="7" applyNumberFormat="1" applyFont="1" applyFill="1" applyBorder="1" applyAlignment="1">
      <alignment horizontal="right" vertical="top"/>
    </xf>
    <xf numFmtId="164" fontId="8" fillId="0" borderId="0" xfId="2" applyFont="1" applyFill="1" applyAlignment="1">
      <alignment vertical="top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3" fontId="8" fillId="0" borderId="15" xfId="0" applyNumberFormat="1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3" fontId="8" fillId="0" borderId="2" xfId="0" applyNumberFormat="1" applyFont="1" applyFill="1" applyBorder="1" applyAlignment="1">
      <alignment vertical="top" wrapText="1"/>
    </xf>
    <xf numFmtId="164" fontId="8" fillId="0" borderId="2" xfId="2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164" fontId="18" fillId="0" borderId="2" xfId="2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3" fontId="17" fillId="0" borderId="2" xfId="0" applyNumberFormat="1" applyFont="1" applyFill="1" applyBorder="1" applyAlignment="1">
      <alignment vertical="top" wrapText="1"/>
    </xf>
    <xf numFmtId="3" fontId="17" fillId="0" borderId="2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vertical="top" wrapText="1"/>
    </xf>
    <xf numFmtId="3" fontId="17" fillId="0" borderId="6" xfId="0" applyNumberFormat="1" applyFont="1" applyFill="1" applyBorder="1" applyAlignment="1">
      <alignment vertical="top" wrapText="1"/>
    </xf>
    <xf numFmtId="0" fontId="16" fillId="0" borderId="11" xfId="0" applyFont="1" applyFill="1" applyBorder="1"/>
    <xf numFmtId="0" fontId="16" fillId="0" borderId="11" xfId="0" applyFont="1" applyFill="1" applyBorder="1" applyAlignment="1">
      <alignment horizontal="left" vertical="top" wrapText="1"/>
    </xf>
    <xf numFmtId="2" fontId="8" fillId="0" borderId="2" xfId="2" applyNumberFormat="1" applyFont="1" applyBorder="1" applyAlignment="1">
      <alignment horizontal="center" vertical="top"/>
    </xf>
    <xf numFmtId="1" fontId="6" fillId="0" borderId="2" xfId="2" quotePrefix="1" applyNumberFormat="1" applyFont="1" applyFill="1" applyBorder="1" applyAlignment="1">
      <alignment horizontal="center" vertical="top" wrapText="1"/>
    </xf>
    <xf numFmtId="2" fontId="6" fillId="0" borderId="2" xfId="2" quotePrefix="1" applyNumberFormat="1" applyFont="1" applyFill="1" applyBorder="1" applyAlignment="1">
      <alignment horizontal="center" vertical="top" wrapText="1"/>
    </xf>
    <xf numFmtId="3" fontId="8" fillId="0" borderId="6" xfId="2" applyNumberFormat="1" applyFont="1" applyFill="1" applyBorder="1" applyAlignment="1">
      <alignment vertical="top"/>
    </xf>
    <xf numFmtId="3" fontId="8" fillId="0" borderId="2" xfId="0" applyNumberFormat="1" applyFont="1" applyFill="1" applyBorder="1" applyAlignment="1">
      <alignment horizontal="center" vertical="top"/>
    </xf>
    <xf numFmtId="3" fontId="18" fillId="0" borderId="2" xfId="0" applyNumberFormat="1" applyFont="1" applyFill="1" applyBorder="1" applyAlignment="1">
      <alignment horizontal="center" vertical="top"/>
    </xf>
    <xf numFmtId="1" fontId="17" fillId="0" borderId="2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8" fillId="4" borderId="12" xfId="0" quotePrefix="1" applyFont="1" applyFill="1" applyBorder="1" applyAlignment="1">
      <alignment horizontal="right"/>
    </xf>
    <xf numFmtId="0" fontId="8" fillId="4" borderId="13" xfId="0" quotePrefix="1" applyFont="1" applyFill="1" applyBorder="1" applyAlignment="1">
      <alignment horizontal="right"/>
    </xf>
    <xf numFmtId="0" fontId="8" fillId="4" borderId="14" xfId="0" quotePrefix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9">
    <cellStyle name="Comma" xfId="1" builtinId="3"/>
    <cellStyle name="Comma [0]" xfId="2" builtinId="6"/>
    <cellStyle name="Comma [0] 2 2" xfId="8"/>
    <cellStyle name="Comma [0] 8" xfId="5"/>
    <cellStyle name="Comma 10" xfId="7"/>
    <cellStyle name="Normal" xfId="0" builtinId="0"/>
    <cellStyle name="Normal 2" xfId="3"/>
    <cellStyle name="Normal 2 3" xfId="6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10%20PRO\Downloads\Tabel%20renja%20perubaha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nja (3)"/>
      <sheetName val="T-31"/>
      <sheetName val="realisasi"/>
      <sheetName val="T-C31"/>
      <sheetName val="Sheet1"/>
      <sheetName val="T-C29"/>
      <sheetName val="T-C.30"/>
      <sheetName val="Sheet2"/>
    </sheetNames>
    <sheetDataSet>
      <sheetData sheetId="0"/>
      <sheetData sheetId="1"/>
      <sheetData sheetId="2"/>
      <sheetData sheetId="3"/>
      <sheetData sheetId="4"/>
      <sheetData sheetId="5">
        <row r="264">
          <cell r="M264">
            <v>10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12"/>
  <sheetViews>
    <sheetView tabSelected="1" showRuler="0" view="pageBreakPreview" zoomScale="70" zoomScaleNormal="40" zoomScaleSheetLayoutView="70" zoomScalePageLayoutView="55" workbookViewId="0">
      <selection activeCell="Z105" sqref="Z105:AE105"/>
    </sheetView>
  </sheetViews>
  <sheetFormatPr defaultColWidth="9.140625" defaultRowHeight="14.25" x14ac:dyDescent="0.2"/>
  <cols>
    <col min="1" max="1" width="6.42578125" style="2" customWidth="1"/>
    <col min="2" max="2" width="21.5703125" style="2" customWidth="1"/>
    <col min="3" max="3" width="24.42578125" style="2" customWidth="1"/>
    <col min="4" max="4" width="22.28515625" style="2" customWidth="1"/>
    <col min="5" max="5" width="19.7109375" style="2" customWidth="1"/>
    <col min="6" max="6" width="7.7109375" style="2" customWidth="1"/>
    <col min="7" max="7" width="28" style="2" bestFit="1" customWidth="1"/>
    <col min="8" max="8" width="18.7109375" style="2" hidden="1" customWidth="1"/>
    <col min="9" max="9" width="7.7109375" style="2" hidden="1" customWidth="1"/>
    <col min="10" max="10" width="21.42578125" style="2" hidden="1" customWidth="1"/>
    <col min="11" max="11" width="18.7109375" style="2" bestFit="1" customWidth="1"/>
    <col min="12" max="12" width="7.5703125" style="2" customWidth="1"/>
    <col min="13" max="13" width="27.5703125" style="2" bestFit="1" customWidth="1"/>
    <col min="14" max="14" width="18.85546875" style="2" customWidth="1"/>
    <col min="15" max="15" width="9" style="2" customWidth="1"/>
    <col min="16" max="16" width="25.5703125" style="2" customWidth="1"/>
    <col min="17" max="17" width="18.5703125" style="2" bestFit="1" customWidth="1"/>
    <col min="18" max="18" width="7.7109375" style="2" customWidth="1"/>
    <col min="19" max="19" width="24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7.140625" style="2" customWidth="1"/>
    <col min="27" max="27" width="7.140625" style="4" customWidth="1"/>
    <col min="28" max="28" width="9.42578125" style="2" customWidth="1"/>
    <col min="29" max="29" width="5.7109375" style="4" customWidth="1"/>
    <col min="30" max="30" width="21" style="2" customWidth="1"/>
    <col min="31" max="31" width="8" style="2" customWidth="1"/>
    <col min="32" max="32" width="5.7109375" style="4" customWidth="1"/>
    <col min="33" max="33" width="18.7109375" style="2" bestFit="1" customWidth="1"/>
    <col min="34" max="34" width="5.5703125" style="4" customWidth="1"/>
    <col min="35" max="35" width="19.42578125" style="2" customWidth="1"/>
    <col min="36" max="36" width="11.42578125" style="2" customWidth="1"/>
    <col min="37" max="37" width="5.7109375" style="4" customWidth="1"/>
    <col min="38" max="38" width="10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1"/>
    </row>
    <row r="2" spans="1:45" ht="23.25" x14ac:dyDescent="0.3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3"/>
    </row>
    <row r="3" spans="1:45" ht="23.25" x14ac:dyDescent="0.35">
      <c r="A3" s="210" t="s">
        <v>61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3"/>
    </row>
    <row r="4" spans="1:45" ht="23.25" x14ac:dyDescent="0.35">
      <c r="A4" s="211" t="s">
        <v>238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1"/>
    </row>
    <row r="5" spans="1:45" ht="18" x14ac:dyDescent="0.2">
      <c r="A5" s="212" t="s">
        <v>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</row>
    <row r="6" spans="1:45" ht="18" x14ac:dyDescent="0.25">
      <c r="A6" s="209" t="s">
        <v>61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</row>
    <row r="7" spans="1:45" ht="81" customHeight="1" x14ac:dyDescent="0.2">
      <c r="A7" s="213" t="s">
        <v>3</v>
      </c>
      <c r="B7" s="213" t="s">
        <v>4</v>
      </c>
      <c r="C7" s="214" t="s">
        <v>229</v>
      </c>
      <c r="D7" s="214" t="s">
        <v>5</v>
      </c>
      <c r="E7" s="200" t="s">
        <v>6</v>
      </c>
      <c r="F7" s="201"/>
      <c r="G7" s="204"/>
      <c r="H7" s="200" t="s">
        <v>64</v>
      </c>
      <c r="I7" s="201"/>
      <c r="J7" s="204"/>
      <c r="K7" s="200" t="s">
        <v>65</v>
      </c>
      <c r="L7" s="201"/>
      <c r="M7" s="201"/>
      <c r="N7" s="200" t="s">
        <v>7</v>
      </c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4"/>
      <c r="Z7" s="200" t="s">
        <v>50</v>
      </c>
      <c r="AA7" s="201"/>
      <c r="AB7" s="201"/>
      <c r="AC7" s="201"/>
      <c r="AD7" s="201"/>
      <c r="AE7" s="201"/>
      <c r="AF7" s="204"/>
      <c r="AG7" s="200" t="s">
        <v>66</v>
      </c>
      <c r="AH7" s="201"/>
      <c r="AI7" s="204"/>
      <c r="AJ7" s="200" t="s">
        <v>67</v>
      </c>
      <c r="AK7" s="201"/>
      <c r="AL7" s="201"/>
      <c r="AM7" s="192" t="s">
        <v>8</v>
      </c>
      <c r="AO7" s="4"/>
      <c r="AP7" s="4"/>
      <c r="AQ7" s="4"/>
      <c r="AR7" s="4"/>
      <c r="AS7" s="4"/>
    </row>
    <row r="8" spans="1:45" ht="18" customHeight="1" x14ac:dyDescent="0.2">
      <c r="A8" s="213"/>
      <c r="B8" s="213"/>
      <c r="C8" s="214"/>
      <c r="D8" s="214"/>
      <c r="E8" s="206"/>
      <c r="F8" s="207"/>
      <c r="G8" s="208"/>
      <c r="H8" s="206"/>
      <c r="I8" s="207"/>
      <c r="J8" s="208"/>
      <c r="K8" s="202"/>
      <c r="L8" s="203"/>
      <c r="M8" s="203"/>
      <c r="N8" s="202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5"/>
      <c r="Z8" s="202"/>
      <c r="AA8" s="203"/>
      <c r="AB8" s="203"/>
      <c r="AC8" s="203"/>
      <c r="AD8" s="203"/>
      <c r="AE8" s="203"/>
      <c r="AF8" s="205"/>
      <c r="AG8" s="202"/>
      <c r="AH8" s="203"/>
      <c r="AI8" s="205"/>
      <c r="AJ8" s="202"/>
      <c r="AK8" s="203"/>
      <c r="AL8" s="203"/>
      <c r="AM8" s="193"/>
    </row>
    <row r="9" spans="1:45" ht="15.75" customHeight="1" x14ac:dyDescent="0.2">
      <c r="A9" s="213"/>
      <c r="B9" s="213"/>
      <c r="C9" s="214"/>
      <c r="D9" s="214"/>
      <c r="E9" s="202"/>
      <c r="F9" s="203"/>
      <c r="G9" s="205"/>
      <c r="H9" s="202"/>
      <c r="I9" s="203"/>
      <c r="J9" s="205"/>
      <c r="K9" s="194">
        <v>2021</v>
      </c>
      <c r="L9" s="195"/>
      <c r="M9" s="196"/>
      <c r="N9" s="197" t="s">
        <v>9</v>
      </c>
      <c r="O9" s="198"/>
      <c r="P9" s="199"/>
      <c r="Q9" s="197" t="s">
        <v>10</v>
      </c>
      <c r="R9" s="198"/>
      <c r="S9" s="199"/>
      <c r="T9" s="197" t="s">
        <v>11</v>
      </c>
      <c r="U9" s="198"/>
      <c r="V9" s="199"/>
      <c r="W9" s="197" t="s">
        <v>12</v>
      </c>
      <c r="X9" s="198"/>
      <c r="Y9" s="199"/>
      <c r="Z9" s="197">
        <v>2021</v>
      </c>
      <c r="AA9" s="198"/>
      <c r="AB9" s="198"/>
      <c r="AC9" s="198"/>
      <c r="AD9" s="198"/>
      <c r="AE9" s="198"/>
      <c r="AF9" s="199"/>
      <c r="AG9" s="197">
        <v>2021</v>
      </c>
      <c r="AH9" s="198"/>
      <c r="AI9" s="199"/>
      <c r="AJ9" s="197">
        <v>2021</v>
      </c>
      <c r="AK9" s="198"/>
      <c r="AL9" s="199"/>
      <c r="AM9" s="5"/>
    </row>
    <row r="10" spans="1:45" s="7" customFormat="1" ht="15.75" x14ac:dyDescent="0.25">
      <c r="A10" s="176">
        <v>1</v>
      </c>
      <c r="B10" s="176">
        <v>2</v>
      </c>
      <c r="C10" s="176">
        <v>3</v>
      </c>
      <c r="D10" s="176">
        <v>4</v>
      </c>
      <c r="E10" s="180">
        <v>5</v>
      </c>
      <c r="F10" s="185"/>
      <c r="G10" s="181"/>
      <c r="H10" s="180">
        <v>6</v>
      </c>
      <c r="I10" s="185"/>
      <c r="J10" s="181"/>
      <c r="K10" s="189">
        <v>7</v>
      </c>
      <c r="L10" s="190"/>
      <c r="M10" s="191"/>
      <c r="N10" s="189">
        <v>8</v>
      </c>
      <c r="O10" s="190"/>
      <c r="P10" s="191"/>
      <c r="Q10" s="189">
        <v>9</v>
      </c>
      <c r="R10" s="190"/>
      <c r="S10" s="191"/>
      <c r="T10" s="189">
        <v>10</v>
      </c>
      <c r="U10" s="190"/>
      <c r="V10" s="191"/>
      <c r="W10" s="189">
        <v>11</v>
      </c>
      <c r="X10" s="190"/>
      <c r="Y10" s="191"/>
      <c r="Z10" s="186">
        <v>12</v>
      </c>
      <c r="AA10" s="187"/>
      <c r="AB10" s="187"/>
      <c r="AC10" s="187"/>
      <c r="AD10" s="187"/>
      <c r="AE10" s="187"/>
      <c r="AF10" s="188"/>
      <c r="AG10" s="186">
        <v>13</v>
      </c>
      <c r="AH10" s="187"/>
      <c r="AI10" s="188"/>
      <c r="AJ10" s="186">
        <v>14</v>
      </c>
      <c r="AK10" s="187"/>
      <c r="AL10" s="188"/>
      <c r="AM10" s="6">
        <v>15</v>
      </c>
    </row>
    <row r="11" spans="1:45" s="7" customFormat="1" ht="78.75" x14ac:dyDescent="0.2">
      <c r="A11" s="178"/>
      <c r="B11" s="178"/>
      <c r="C11" s="178"/>
      <c r="D11" s="178"/>
      <c r="E11" s="172" t="s">
        <v>13</v>
      </c>
      <c r="F11" s="173"/>
      <c r="G11" s="177" t="s">
        <v>14</v>
      </c>
      <c r="H11" s="172" t="s">
        <v>13</v>
      </c>
      <c r="I11" s="173"/>
      <c r="J11" s="177" t="s">
        <v>14</v>
      </c>
      <c r="K11" s="172" t="s">
        <v>13</v>
      </c>
      <c r="L11" s="173"/>
      <c r="M11" s="176" t="s">
        <v>14</v>
      </c>
      <c r="N11" s="172" t="s">
        <v>13</v>
      </c>
      <c r="O11" s="173"/>
      <c r="P11" s="176" t="s">
        <v>14</v>
      </c>
      <c r="Q11" s="172" t="s">
        <v>13</v>
      </c>
      <c r="R11" s="173"/>
      <c r="S11" s="176" t="s">
        <v>14</v>
      </c>
      <c r="T11" s="172" t="s">
        <v>13</v>
      </c>
      <c r="U11" s="173"/>
      <c r="V11" s="176" t="s">
        <v>14</v>
      </c>
      <c r="W11" s="172" t="s">
        <v>13</v>
      </c>
      <c r="X11" s="173"/>
      <c r="Y11" s="176" t="s">
        <v>14</v>
      </c>
      <c r="Z11" s="180" t="s">
        <v>15</v>
      </c>
      <c r="AA11" s="181"/>
      <c r="AB11" s="180" t="s">
        <v>51</v>
      </c>
      <c r="AC11" s="181"/>
      <c r="AD11" s="8" t="s">
        <v>16</v>
      </c>
      <c r="AE11" s="180" t="s">
        <v>52</v>
      </c>
      <c r="AF11" s="181"/>
      <c r="AG11" s="180" t="s">
        <v>17</v>
      </c>
      <c r="AH11" s="181"/>
      <c r="AI11" s="8" t="s">
        <v>18</v>
      </c>
      <c r="AJ11" s="180" t="s">
        <v>19</v>
      </c>
      <c r="AK11" s="181"/>
      <c r="AL11" s="8" t="s">
        <v>20</v>
      </c>
      <c r="AM11" s="9"/>
    </row>
    <row r="12" spans="1:45" s="7" customFormat="1" ht="15.75" x14ac:dyDescent="0.2">
      <c r="A12" s="177"/>
      <c r="B12" s="177"/>
      <c r="C12" s="177"/>
      <c r="D12" s="177"/>
      <c r="E12" s="174"/>
      <c r="F12" s="175"/>
      <c r="G12" s="179"/>
      <c r="H12" s="174"/>
      <c r="I12" s="175"/>
      <c r="J12" s="179"/>
      <c r="K12" s="174"/>
      <c r="L12" s="175"/>
      <c r="M12" s="177"/>
      <c r="N12" s="174"/>
      <c r="O12" s="175"/>
      <c r="P12" s="177"/>
      <c r="Q12" s="174"/>
      <c r="R12" s="175"/>
      <c r="S12" s="177"/>
      <c r="T12" s="174"/>
      <c r="U12" s="175"/>
      <c r="V12" s="177"/>
      <c r="W12" s="174"/>
      <c r="X12" s="175"/>
      <c r="Y12" s="177"/>
      <c r="Z12" s="174" t="s">
        <v>13</v>
      </c>
      <c r="AA12" s="175"/>
      <c r="AB12" s="174" t="s">
        <v>13</v>
      </c>
      <c r="AC12" s="175"/>
      <c r="AD12" s="10" t="s">
        <v>14</v>
      </c>
      <c r="AE12" s="174" t="s">
        <v>14</v>
      </c>
      <c r="AF12" s="175"/>
      <c r="AG12" s="174" t="s">
        <v>13</v>
      </c>
      <c r="AH12" s="175"/>
      <c r="AI12" s="10" t="s">
        <v>14</v>
      </c>
      <c r="AJ12" s="174" t="s">
        <v>13</v>
      </c>
      <c r="AK12" s="175"/>
      <c r="AL12" s="10" t="s">
        <v>14</v>
      </c>
      <c r="AM12" s="64"/>
    </row>
    <row r="13" spans="1:45" ht="94.5" x14ac:dyDescent="0.2">
      <c r="A13" s="43">
        <v>1</v>
      </c>
      <c r="B13" s="13" t="s">
        <v>21</v>
      </c>
      <c r="C13" s="124" t="s">
        <v>140</v>
      </c>
      <c r="D13" s="14" t="s">
        <v>136</v>
      </c>
      <c r="E13" s="123">
        <v>100</v>
      </c>
      <c r="F13" s="42" t="s">
        <v>44</v>
      </c>
      <c r="G13" s="60">
        <f>G14+G17+G22+G30+G34</f>
        <v>48381924853.490005</v>
      </c>
      <c r="H13" s="123">
        <v>100</v>
      </c>
      <c r="I13" s="42" t="s">
        <v>44</v>
      </c>
      <c r="J13" s="60"/>
      <c r="K13" s="41">
        <v>100</v>
      </c>
      <c r="L13" s="42" t="s">
        <v>44</v>
      </c>
      <c r="M13" s="60">
        <f>M14+M17+M22+M30+M34</f>
        <v>26637941464</v>
      </c>
      <c r="N13" s="41">
        <v>100</v>
      </c>
      <c r="O13" s="42" t="str">
        <f>L13</f>
        <v>%</v>
      </c>
      <c r="P13" s="60">
        <f>P14+P17+P22+P30+P34</f>
        <v>5935956578</v>
      </c>
      <c r="Q13" s="41">
        <v>100</v>
      </c>
      <c r="R13" s="42" t="str">
        <f>L13</f>
        <v>%</v>
      </c>
      <c r="S13" s="60">
        <f>S14+S17+S22+S30+S34</f>
        <v>5953316348</v>
      </c>
      <c r="T13" s="164">
        <v>100</v>
      </c>
      <c r="U13" s="42" t="str">
        <f>L13</f>
        <v>%</v>
      </c>
      <c r="V13" s="60">
        <f>V14+V17+V22+V30+V34</f>
        <v>7091968337</v>
      </c>
      <c r="W13" s="164">
        <v>100</v>
      </c>
      <c r="X13" s="42" t="str">
        <f>O13</f>
        <v>%</v>
      </c>
      <c r="Y13" s="60">
        <f>Y14+Y17+Y22+Y30+Y34</f>
        <v>2507287015</v>
      </c>
      <c r="Z13" s="53">
        <f>AVERAGE(N13,Q13,T13,W13)</f>
        <v>100</v>
      </c>
      <c r="AA13" s="42" t="str">
        <f>L13</f>
        <v>%</v>
      </c>
      <c r="AB13" s="50">
        <f>Z13/K13*100</f>
        <v>100</v>
      </c>
      <c r="AC13" s="76" t="s">
        <v>44</v>
      </c>
      <c r="AD13" s="61">
        <f>SUM(P13,S13,V13,Y13)</f>
        <v>21488528278</v>
      </c>
      <c r="AE13" s="62">
        <f>AD13/M13*100</f>
        <v>80.66887716170109</v>
      </c>
      <c r="AF13" s="76" t="s">
        <v>44</v>
      </c>
      <c r="AG13" s="50">
        <f>SUM(H13,Z13)</f>
        <v>200</v>
      </c>
      <c r="AH13" s="47" t="str">
        <f>L13</f>
        <v>%</v>
      </c>
      <c r="AI13" s="61">
        <f t="shared" ref="AI13:AI39" si="0">SUM(J13,AD13)</f>
        <v>21488528278</v>
      </c>
      <c r="AJ13" s="50"/>
      <c r="AK13" s="52" t="s">
        <v>44</v>
      </c>
      <c r="AL13" s="62"/>
      <c r="AM13" s="20" t="s">
        <v>63</v>
      </c>
      <c r="AP13" s="21">
        <f t="shared" ref="AP13:AP21" si="1">P13+S13+V13+Y13</f>
        <v>21488528278</v>
      </c>
    </row>
    <row r="14" spans="1:45" s="69" customFormat="1" ht="63" x14ac:dyDescent="0.25">
      <c r="A14" s="43">
        <v>2</v>
      </c>
      <c r="B14" s="44" t="s">
        <v>22</v>
      </c>
      <c r="C14" s="97" t="s">
        <v>68</v>
      </c>
      <c r="D14" s="97" t="s">
        <v>134</v>
      </c>
      <c r="E14" s="41">
        <v>45</v>
      </c>
      <c r="F14" s="42" t="s">
        <v>146</v>
      </c>
      <c r="G14" s="38">
        <f>SUM(G15:G16)</f>
        <v>38999400</v>
      </c>
      <c r="H14" s="41">
        <v>15</v>
      </c>
      <c r="I14" s="42" t="s">
        <v>146</v>
      </c>
      <c r="J14" s="71"/>
      <c r="K14" s="41">
        <f>SUM(K15:K16)</f>
        <v>15</v>
      </c>
      <c r="L14" s="42" t="s">
        <v>42</v>
      </c>
      <c r="M14" s="38">
        <f>SUM(M15:M16)</f>
        <v>8999600</v>
      </c>
      <c r="N14" s="41">
        <f>SUM(N15:N16)</f>
        <v>1</v>
      </c>
      <c r="O14" s="42" t="str">
        <f t="shared" ref="O14:O72" si="2">L14</f>
        <v>Dok</v>
      </c>
      <c r="P14" s="38">
        <f>SUM(P15:P16)</f>
        <v>739950</v>
      </c>
      <c r="Q14" s="41">
        <f>SUM(Q15:Q16)</f>
        <v>3</v>
      </c>
      <c r="R14" s="42" t="str">
        <f t="shared" ref="R14:R72" si="3">L14</f>
        <v>Dok</v>
      </c>
      <c r="S14" s="38">
        <f>SUM(S15:S16)</f>
        <v>2149850</v>
      </c>
      <c r="T14" s="41">
        <f>SUM(T15:T16)</f>
        <v>3</v>
      </c>
      <c r="U14" s="42" t="str">
        <f t="shared" ref="U14:U72" si="4">L14</f>
        <v>Dok</v>
      </c>
      <c r="V14" s="38">
        <f>SUM(V15:V16)</f>
        <v>0</v>
      </c>
      <c r="W14" s="41">
        <f>SUM(W15:W16)</f>
        <v>8</v>
      </c>
      <c r="X14" s="42" t="str">
        <f t="shared" ref="X14:X77" si="5">O14</f>
        <v>Dok</v>
      </c>
      <c r="Y14" s="38">
        <f>SUM(Y15:Y16)</f>
        <v>6072200</v>
      </c>
      <c r="Z14" s="53">
        <f t="shared" ref="Z14:Z94" si="6">SUM(N14,Q14,T14,W14)</f>
        <v>15</v>
      </c>
      <c r="AA14" s="75" t="str">
        <f t="shared" ref="AA14:AA94" si="7">L14</f>
        <v>Dok</v>
      </c>
      <c r="AB14" s="50">
        <f t="shared" ref="AB14:AB94" si="8">Z14/K14*100</f>
        <v>100</v>
      </c>
      <c r="AC14" s="52" t="s">
        <v>44</v>
      </c>
      <c r="AD14" s="51">
        <f t="shared" ref="AD14:AD94" si="9">SUM(P14,S14,V14,Y14)</f>
        <v>8962000</v>
      </c>
      <c r="AE14" s="50">
        <f t="shared" ref="AE14:AE94" si="10">AD14/M14*100</f>
        <v>99.582203653495711</v>
      </c>
      <c r="AF14" s="52" t="s">
        <v>44</v>
      </c>
      <c r="AG14" s="53">
        <f t="shared" ref="AG14:AG94" si="11">SUM(H14,Z14)</f>
        <v>30</v>
      </c>
      <c r="AH14" s="42" t="str">
        <f t="shared" ref="AH14:AH94" si="12">O14</f>
        <v>Dok</v>
      </c>
      <c r="AI14" s="51">
        <f t="shared" si="0"/>
        <v>8962000</v>
      </c>
      <c r="AJ14" s="50"/>
      <c r="AK14" s="52" t="s">
        <v>44</v>
      </c>
      <c r="AL14" s="50"/>
      <c r="AM14" s="72"/>
      <c r="AP14" s="70"/>
    </row>
    <row r="15" spans="1:45" ht="57" customHeight="1" x14ac:dyDescent="0.2">
      <c r="A15" s="12"/>
      <c r="B15" s="13"/>
      <c r="C15" s="22" t="s">
        <v>69</v>
      </c>
      <c r="D15" s="25" t="s">
        <v>141</v>
      </c>
      <c r="E15" s="15">
        <v>15</v>
      </c>
      <c r="F15" s="16" t="s">
        <v>146</v>
      </c>
      <c r="G15" s="126">
        <f>7499950*2+M15</f>
        <v>22499700</v>
      </c>
      <c r="H15" s="49">
        <v>15</v>
      </c>
      <c r="I15" s="16" t="s">
        <v>42</v>
      </c>
      <c r="J15" s="36">
        <v>2349750</v>
      </c>
      <c r="K15" s="15">
        <v>5</v>
      </c>
      <c r="L15" s="16" t="s">
        <v>42</v>
      </c>
      <c r="M15" s="19">
        <v>7499800</v>
      </c>
      <c r="N15" s="15">
        <v>0</v>
      </c>
      <c r="O15" s="16" t="str">
        <f t="shared" si="2"/>
        <v>Dok</v>
      </c>
      <c r="P15" s="19">
        <v>530000</v>
      </c>
      <c r="Q15" s="15">
        <v>1</v>
      </c>
      <c r="R15" s="16" t="str">
        <f t="shared" si="3"/>
        <v>Dok</v>
      </c>
      <c r="S15" s="19">
        <v>1939850</v>
      </c>
      <c r="T15" s="15">
        <v>1</v>
      </c>
      <c r="U15" s="16" t="str">
        <f t="shared" si="4"/>
        <v>Dok</v>
      </c>
      <c r="V15" s="19">
        <v>0</v>
      </c>
      <c r="W15" s="15">
        <v>3</v>
      </c>
      <c r="X15" s="16" t="str">
        <f t="shared" si="5"/>
        <v>Dok</v>
      </c>
      <c r="Y15" s="19">
        <v>5029950</v>
      </c>
      <c r="Z15" s="49">
        <f t="shared" si="6"/>
        <v>5</v>
      </c>
      <c r="AA15" s="77" t="str">
        <f t="shared" si="7"/>
        <v>Dok</v>
      </c>
      <c r="AB15" s="48">
        <f t="shared" si="8"/>
        <v>100</v>
      </c>
      <c r="AC15" s="30" t="s">
        <v>44</v>
      </c>
      <c r="AD15" s="36">
        <f t="shared" si="9"/>
        <v>7499800</v>
      </c>
      <c r="AE15" s="48">
        <f t="shared" si="10"/>
        <v>100</v>
      </c>
      <c r="AF15" s="30" t="s">
        <v>44</v>
      </c>
      <c r="AG15" s="49">
        <f t="shared" si="11"/>
        <v>20</v>
      </c>
      <c r="AH15" s="16" t="str">
        <f t="shared" si="12"/>
        <v>Dok</v>
      </c>
      <c r="AI15" s="36">
        <f t="shared" si="0"/>
        <v>9849550</v>
      </c>
      <c r="AJ15" s="48"/>
      <c r="AK15" s="30" t="s">
        <v>44</v>
      </c>
      <c r="AL15" s="48"/>
      <c r="AM15" s="11"/>
      <c r="AP15" s="21"/>
    </row>
    <row r="16" spans="1:45" ht="60" x14ac:dyDescent="0.2">
      <c r="A16" s="12"/>
      <c r="B16" s="13"/>
      <c r="C16" s="22" t="s">
        <v>70</v>
      </c>
      <c r="D16" s="25" t="s">
        <v>142</v>
      </c>
      <c r="E16" s="15">
        <v>30</v>
      </c>
      <c r="F16" s="16" t="s">
        <v>146</v>
      </c>
      <c r="G16" s="126">
        <f>7499950*2+M16</f>
        <v>16499700</v>
      </c>
      <c r="H16" s="15"/>
      <c r="I16" s="16"/>
      <c r="J16" s="37"/>
      <c r="K16" s="15">
        <v>10</v>
      </c>
      <c r="L16" s="16" t="s">
        <v>42</v>
      </c>
      <c r="M16" s="24">
        <v>1499800</v>
      </c>
      <c r="N16" s="15">
        <v>1</v>
      </c>
      <c r="O16" s="16" t="str">
        <f t="shared" si="2"/>
        <v>Dok</v>
      </c>
      <c r="P16" s="24">
        <v>209950</v>
      </c>
      <c r="Q16" s="15">
        <v>2</v>
      </c>
      <c r="R16" s="16" t="str">
        <f t="shared" si="3"/>
        <v>Dok</v>
      </c>
      <c r="S16" s="24">
        <f>419950-P16</f>
        <v>210000</v>
      </c>
      <c r="T16" s="15">
        <v>2</v>
      </c>
      <c r="U16" s="16" t="str">
        <f t="shared" si="4"/>
        <v>Dok</v>
      </c>
      <c r="V16" s="24">
        <v>0</v>
      </c>
      <c r="W16" s="15">
        <v>5</v>
      </c>
      <c r="X16" s="16" t="str">
        <f t="shared" si="5"/>
        <v>Dok</v>
      </c>
      <c r="Y16" s="24">
        <v>1042250</v>
      </c>
      <c r="Z16" s="49">
        <f t="shared" si="6"/>
        <v>10</v>
      </c>
      <c r="AA16" s="77" t="str">
        <f t="shared" si="7"/>
        <v>Dok</v>
      </c>
      <c r="AB16" s="48">
        <f t="shared" si="8"/>
        <v>100</v>
      </c>
      <c r="AC16" s="30" t="s">
        <v>44</v>
      </c>
      <c r="AD16" s="36">
        <f t="shared" si="9"/>
        <v>1462200</v>
      </c>
      <c r="AE16" s="48">
        <f t="shared" si="10"/>
        <v>97.492999066542211</v>
      </c>
      <c r="AF16" s="30" t="s">
        <v>44</v>
      </c>
      <c r="AG16" s="49">
        <f t="shared" si="11"/>
        <v>10</v>
      </c>
      <c r="AH16" s="16" t="str">
        <f t="shared" si="12"/>
        <v>Dok</v>
      </c>
      <c r="AI16" s="36">
        <f t="shared" si="0"/>
        <v>1462200</v>
      </c>
      <c r="AJ16" s="48"/>
      <c r="AK16" s="30" t="s">
        <v>44</v>
      </c>
      <c r="AL16" s="48"/>
      <c r="AM16" s="11"/>
      <c r="AP16" s="21"/>
    </row>
    <row r="17" spans="1:42" s="110" customFormat="1" ht="63" x14ac:dyDescent="0.25">
      <c r="A17" s="82"/>
      <c r="B17" s="83"/>
      <c r="C17" s="98" t="s">
        <v>71</v>
      </c>
      <c r="D17" s="97" t="s">
        <v>135</v>
      </c>
      <c r="E17" s="99">
        <v>100</v>
      </c>
      <c r="F17" s="100" t="s">
        <v>44</v>
      </c>
      <c r="G17" s="103">
        <f>SUM(G18:G21)</f>
        <v>42922555930.490005</v>
      </c>
      <c r="H17" s="99">
        <v>100</v>
      </c>
      <c r="I17" s="100" t="s">
        <v>44</v>
      </c>
      <c r="J17" s="102"/>
      <c r="K17" s="101">
        <f>SUM(K19:K21)</f>
        <v>14</v>
      </c>
      <c r="L17" s="100" t="s">
        <v>42</v>
      </c>
      <c r="M17" s="103">
        <f>SUM(M18:M21)</f>
        <v>23953252241</v>
      </c>
      <c r="N17" s="101">
        <f>SUM(N19:N21)</f>
        <v>3</v>
      </c>
      <c r="O17" s="100" t="str">
        <f t="shared" si="2"/>
        <v>Dok</v>
      </c>
      <c r="P17" s="103">
        <f>SUM(P18:P21)</f>
        <v>5764526836</v>
      </c>
      <c r="Q17" s="101">
        <f>SUM(Q19:Q21)</f>
        <v>4</v>
      </c>
      <c r="R17" s="100" t="str">
        <f t="shared" si="3"/>
        <v>Dok</v>
      </c>
      <c r="S17" s="103">
        <f>SUM(S18:S21)</f>
        <v>5612056009</v>
      </c>
      <c r="T17" s="101">
        <f>SUM(T19:T21)</f>
        <v>3</v>
      </c>
      <c r="U17" s="100" t="str">
        <f t="shared" si="4"/>
        <v>Dok</v>
      </c>
      <c r="V17" s="103">
        <f>SUM(V18:V21)</f>
        <v>6294929185</v>
      </c>
      <c r="W17" s="101">
        <f>SUM(W19:W21)</f>
        <v>4</v>
      </c>
      <c r="X17" s="100" t="str">
        <f t="shared" si="5"/>
        <v>Dok</v>
      </c>
      <c r="Y17" s="103">
        <f>SUM(Y18:Y21)</f>
        <v>1762415230</v>
      </c>
      <c r="Z17" s="104">
        <f t="shared" si="6"/>
        <v>14</v>
      </c>
      <c r="AA17" s="105" t="str">
        <f t="shared" si="7"/>
        <v>Dok</v>
      </c>
      <c r="AB17" s="106">
        <f t="shared" si="8"/>
        <v>100</v>
      </c>
      <c r="AC17" s="107" t="s">
        <v>44</v>
      </c>
      <c r="AD17" s="108">
        <f t="shared" si="9"/>
        <v>19433927260</v>
      </c>
      <c r="AE17" s="106">
        <f t="shared" si="10"/>
        <v>81.132729136194627</v>
      </c>
      <c r="AF17" s="107" t="s">
        <v>44</v>
      </c>
      <c r="AG17" s="104">
        <f t="shared" si="11"/>
        <v>114</v>
      </c>
      <c r="AH17" s="100" t="str">
        <f t="shared" si="12"/>
        <v>Dok</v>
      </c>
      <c r="AI17" s="108">
        <f t="shared" si="0"/>
        <v>19433927260</v>
      </c>
      <c r="AJ17" s="106"/>
      <c r="AK17" s="107" t="s">
        <v>44</v>
      </c>
      <c r="AL17" s="106"/>
      <c r="AM17" s="109"/>
      <c r="AP17" s="111">
        <f t="shared" si="1"/>
        <v>19433927260</v>
      </c>
    </row>
    <row r="18" spans="1:42" ht="58.5" customHeight="1" x14ac:dyDescent="0.2">
      <c r="A18" s="12"/>
      <c r="B18" s="13"/>
      <c r="C18" s="22" t="s">
        <v>72</v>
      </c>
      <c r="D18" s="25" t="s">
        <v>143</v>
      </c>
      <c r="E18" s="15">
        <v>153</v>
      </c>
      <c r="F18" s="23" t="s">
        <v>222</v>
      </c>
      <c r="G18" s="127">
        <f>9479652194.745*2+M18</f>
        <v>42907556630.490005</v>
      </c>
      <c r="H18" s="15">
        <v>51</v>
      </c>
      <c r="I18" s="23" t="s">
        <v>222</v>
      </c>
      <c r="J18" s="18"/>
      <c r="K18" s="39">
        <v>51</v>
      </c>
      <c r="L18" s="23" t="s">
        <v>144</v>
      </c>
      <c r="M18" s="19">
        <v>23948252241</v>
      </c>
      <c r="N18" s="39">
        <v>51</v>
      </c>
      <c r="O18" s="23" t="str">
        <f t="shared" si="2"/>
        <v>orang</v>
      </c>
      <c r="P18" s="19">
        <v>5764526836</v>
      </c>
      <c r="Q18" s="39">
        <v>51</v>
      </c>
      <c r="R18" s="23" t="str">
        <f t="shared" si="3"/>
        <v>orang</v>
      </c>
      <c r="S18" s="19">
        <f>11373832845-P18</f>
        <v>5609306009</v>
      </c>
      <c r="T18" s="39">
        <v>51</v>
      </c>
      <c r="U18" s="23" t="str">
        <f t="shared" si="4"/>
        <v>orang</v>
      </c>
      <c r="V18" s="19">
        <v>6294929185</v>
      </c>
      <c r="W18" s="39">
        <v>51</v>
      </c>
      <c r="X18" s="23" t="str">
        <f t="shared" si="5"/>
        <v>orang</v>
      </c>
      <c r="Y18" s="19">
        <v>1760165230</v>
      </c>
      <c r="Z18" s="49">
        <f>AVERAGE(N18,Q18,T18,W18)</f>
        <v>51</v>
      </c>
      <c r="AA18" s="23" t="str">
        <f t="shared" si="7"/>
        <v>orang</v>
      </c>
      <c r="AB18" s="49">
        <f t="shared" si="8"/>
        <v>100</v>
      </c>
      <c r="AC18" s="30" t="s">
        <v>44</v>
      </c>
      <c r="AD18" s="36">
        <f t="shared" si="9"/>
        <v>19428927260</v>
      </c>
      <c r="AE18" s="48">
        <f t="shared" si="10"/>
        <v>81.1287899612866</v>
      </c>
      <c r="AF18" s="30" t="s">
        <v>44</v>
      </c>
      <c r="AG18" s="49">
        <f t="shared" si="11"/>
        <v>102</v>
      </c>
      <c r="AH18" s="23" t="str">
        <f t="shared" si="12"/>
        <v>orang</v>
      </c>
      <c r="AI18" s="36">
        <f t="shared" si="0"/>
        <v>19428927260</v>
      </c>
      <c r="AJ18" s="48"/>
      <c r="AK18" s="30" t="s">
        <v>44</v>
      </c>
      <c r="AL18" s="48"/>
      <c r="AM18" s="11"/>
      <c r="AP18" s="21">
        <f t="shared" si="1"/>
        <v>19428927260</v>
      </c>
    </row>
    <row r="19" spans="1:42" ht="80.25" customHeight="1" x14ac:dyDescent="0.2">
      <c r="A19" s="12"/>
      <c r="B19" s="13"/>
      <c r="C19" s="112" t="s">
        <v>73</v>
      </c>
      <c r="D19" s="139" t="s">
        <v>145</v>
      </c>
      <c r="E19" s="15">
        <v>3</v>
      </c>
      <c r="F19" s="16" t="s">
        <v>146</v>
      </c>
      <c r="G19" s="128">
        <f>1999950*2+M19</f>
        <v>5999900</v>
      </c>
      <c r="H19" s="15">
        <v>1</v>
      </c>
      <c r="I19" s="16" t="s">
        <v>146</v>
      </c>
      <c r="J19" s="18"/>
      <c r="K19" s="40">
        <v>1</v>
      </c>
      <c r="L19" s="16" t="s">
        <v>146</v>
      </c>
      <c r="M19" s="19">
        <v>2000000</v>
      </c>
      <c r="N19" s="40">
        <v>0</v>
      </c>
      <c r="O19" s="16" t="str">
        <f t="shared" si="2"/>
        <v>dok</v>
      </c>
      <c r="P19" s="19">
        <v>0</v>
      </c>
      <c r="Q19" s="40">
        <v>0</v>
      </c>
      <c r="R19" s="16" t="str">
        <f t="shared" si="3"/>
        <v>dok</v>
      </c>
      <c r="S19" s="19">
        <v>2000000</v>
      </c>
      <c r="T19" s="15">
        <v>0</v>
      </c>
      <c r="U19" s="16" t="str">
        <f t="shared" si="4"/>
        <v>dok</v>
      </c>
      <c r="V19" s="19">
        <v>0</v>
      </c>
      <c r="W19" s="15">
        <v>1</v>
      </c>
      <c r="X19" s="16" t="str">
        <f t="shared" si="5"/>
        <v>dok</v>
      </c>
      <c r="Y19" s="19">
        <v>0</v>
      </c>
      <c r="Z19" s="49">
        <f t="shared" si="6"/>
        <v>1</v>
      </c>
      <c r="AA19" s="16" t="str">
        <f t="shared" si="7"/>
        <v>dok</v>
      </c>
      <c r="AB19" s="48">
        <f t="shared" si="8"/>
        <v>100</v>
      </c>
      <c r="AC19" s="30" t="s">
        <v>44</v>
      </c>
      <c r="AD19" s="36">
        <f t="shared" si="9"/>
        <v>2000000</v>
      </c>
      <c r="AE19" s="48">
        <f t="shared" si="10"/>
        <v>100</v>
      </c>
      <c r="AF19" s="30" t="s">
        <v>44</v>
      </c>
      <c r="AG19" s="49">
        <f t="shared" si="11"/>
        <v>2</v>
      </c>
      <c r="AH19" s="16" t="str">
        <f t="shared" si="12"/>
        <v>dok</v>
      </c>
      <c r="AI19" s="36">
        <f t="shared" si="0"/>
        <v>2000000</v>
      </c>
      <c r="AJ19" s="48"/>
      <c r="AK19" s="30" t="s">
        <v>44</v>
      </c>
      <c r="AL19" s="48"/>
      <c r="AM19" s="11"/>
      <c r="AP19" s="21">
        <f t="shared" si="1"/>
        <v>2000000</v>
      </c>
    </row>
    <row r="20" spans="1:42" ht="75" x14ac:dyDescent="0.2">
      <c r="A20" s="12"/>
      <c r="B20" s="13"/>
      <c r="C20" s="22" t="s">
        <v>74</v>
      </c>
      <c r="D20" s="25" t="s">
        <v>147</v>
      </c>
      <c r="E20" s="15">
        <v>36</v>
      </c>
      <c r="F20" s="23" t="s">
        <v>91</v>
      </c>
      <c r="G20" s="129">
        <f>1499750*2+M20</f>
        <v>4499500</v>
      </c>
      <c r="H20" s="15">
        <v>12</v>
      </c>
      <c r="I20" s="23" t="s">
        <v>91</v>
      </c>
      <c r="J20" s="18">
        <v>2349000</v>
      </c>
      <c r="K20" s="39">
        <v>12</v>
      </c>
      <c r="L20" s="23" t="s">
        <v>91</v>
      </c>
      <c r="M20" s="19">
        <v>1500000</v>
      </c>
      <c r="N20" s="39">
        <v>3</v>
      </c>
      <c r="O20" s="23" t="str">
        <f t="shared" si="2"/>
        <v>Lap</v>
      </c>
      <c r="P20" s="19">
        <v>0</v>
      </c>
      <c r="Q20" s="39">
        <v>3</v>
      </c>
      <c r="R20" s="23" t="str">
        <f t="shared" si="3"/>
        <v>Lap</v>
      </c>
      <c r="S20" s="19">
        <v>750000</v>
      </c>
      <c r="T20" s="15">
        <v>3</v>
      </c>
      <c r="U20" s="23" t="str">
        <f t="shared" si="4"/>
        <v>Lap</v>
      </c>
      <c r="V20" s="19">
        <v>0</v>
      </c>
      <c r="W20" s="15">
        <v>3</v>
      </c>
      <c r="X20" s="23" t="str">
        <f t="shared" si="5"/>
        <v>Lap</v>
      </c>
      <c r="Y20" s="19">
        <v>750000</v>
      </c>
      <c r="Z20" s="49">
        <f t="shared" si="6"/>
        <v>12</v>
      </c>
      <c r="AA20" s="23" t="str">
        <f t="shared" si="7"/>
        <v>Lap</v>
      </c>
      <c r="AB20" s="49">
        <f t="shared" si="8"/>
        <v>100</v>
      </c>
      <c r="AC20" s="30" t="s">
        <v>44</v>
      </c>
      <c r="AD20" s="36">
        <f t="shared" si="9"/>
        <v>1500000</v>
      </c>
      <c r="AE20" s="48">
        <f t="shared" si="10"/>
        <v>100</v>
      </c>
      <c r="AF20" s="30" t="s">
        <v>44</v>
      </c>
      <c r="AG20" s="49">
        <f t="shared" si="11"/>
        <v>24</v>
      </c>
      <c r="AH20" s="23" t="str">
        <f t="shared" si="12"/>
        <v>Lap</v>
      </c>
      <c r="AI20" s="36">
        <f t="shared" si="0"/>
        <v>3849000</v>
      </c>
      <c r="AJ20" s="48"/>
      <c r="AK20" s="30" t="s">
        <v>44</v>
      </c>
      <c r="AL20" s="48"/>
      <c r="AM20" s="11"/>
      <c r="AP20" s="21">
        <f t="shared" si="1"/>
        <v>1500000</v>
      </c>
    </row>
    <row r="21" spans="1:42" ht="69.75" customHeight="1" x14ac:dyDescent="0.2">
      <c r="A21" s="12"/>
      <c r="B21" s="13"/>
      <c r="C21" s="22" t="s">
        <v>75</v>
      </c>
      <c r="D21" s="25" t="s">
        <v>174</v>
      </c>
      <c r="E21" s="15">
        <v>3</v>
      </c>
      <c r="F21" s="23" t="s">
        <v>208</v>
      </c>
      <c r="G21" s="128">
        <f>1499950*2+M21</f>
        <v>4499900</v>
      </c>
      <c r="H21" s="15">
        <v>1</v>
      </c>
      <c r="I21" s="23" t="s">
        <v>208</v>
      </c>
      <c r="J21" s="18"/>
      <c r="K21" s="39">
        <v>1</v>
      </c>
      <c r="L21" s="23" t="s">
        <v>91</v>
      </c>
      <c r="M21" s="19">
        <v>1500000</v>
      </c>
      <c r="N21" s="39">
        <v>0</v>
      </c>
      <c r="O21" s="23" t="str">
        <f t="shared" si="2"/>
        <v>Lap</v>
      </c>
      <c r="P21" s="19">
        <v>0</v>
      </c>
      <c r="Q21" s="39">
        <v>1</v>
      </c>
      <c r="R21" s="23" t="str">
        <f t="shared" si="3"/>
        <v>Lap</v>
      </c>
      <c r="S21" s="19">
        <v>0</v>
      </c>
      <c r="T21" s="15">
        <v>0</v>
      </c>
      <c r="U21" s="23" t="str">
        <f t="shared" si="4"/>
        <v>Lap</v>
      </c>
      <c r="V21" s="19">
        <v>0</v>
      </c>
      <c r="W21" s="15">
        <v>0</v>
      </c>
      <c r="X21" s="23" t="str">
        <f t="shared" si="5"/>
        <v>Lap</v>
      </c>
      <c r="Y21" s="19">
        <v>1500000</v>
      </c>
      <c r="Z21" s="49">
        <f t="shared" si="6"/>
        <v>1</v>
      </c>
      <c r="AA21" s="23" t="str">
        <f t="shared" si="7"/>
        <v>Lap</v>
      </c>
      <c r="AB21" s="48">
        <f t="shared" si="8"/>
        <v>100</v>
      </c>
      <c r="AC21" s="30" t="s">
        <v>44</v>
      </c>
      <c r="AD21" s="36">
        <f t="shared" si="9"/>
        <v>1500000</v>
      </c>
      <c r="AE21" s="48">
        <f t="shared" si="10"/>
        <v>100</v>
      </c>
      <c r="AF21" s="30" t="s">
        <v>44</v>
      </c>
      <c r="AG21" s="49">
        <f t="shared" si="11"/>
        <v>2</v>
      </c>
      <c r="AH21" s="23" t="str">
        <f t="shared" si="12"/>
        <v>Lap</v>
      </c>
      <c r="AI21" s="36">
        <f t="shared" si="0"/>
        <v>1500000</v>
      </c>
      <c r="AJ21" s="48"/>
      <c r="AK21" s="30" t="s">
        <v>44</v>
      </c>
      <c r="AL21" s="48"/>
      <c r="AM21" s="11"/>
      <c r="AP21" s="21">
        <f t="shared" si="1"/>
        <v>1500000</v>
      </c>
    </row>
    <row r="22" spans="1:42" s="110" customFormat="1" ht="78.75" x14ac:dyDescent="0.25">
      <c r="A22" s="82"/>
      <c r="B22" s="83"/>
      <c r="C22" s="83" t="s">
        <v>76</v>
      </c>
      <c r="D22" s="153" t="s">
        <v>175</v>
      </c>
      <c r="E22" s="99">
        <v>100</v>
      </c>
      <c r="F22" s="113" t="s">
        <v>44</v>
      </c>
      <c r="G22" s="103">
        <f>SUM(G23:G29)</f>
        <v>2624247823</v>
      </c>
      <c r="H22" s="99">
        <v>100</v>
      </c>
      <c r="I22" s="113" t="s">
        <v>44</v>
      </c>
      <c r="J22" s="114"/>
      <c r="K22" s="101">
        <v>100</v>
      </c>
      <c r="L22" s="113" t="s">
        <v>44</v>
      </c>
      <c r="M22" s="103">
        <f>SUM(M23:M29)</f>
        <v>998487623</v>
      </c>
      <c r="N22" s="101">
        <v>100</v>
      </c>
      <c r="O22" s="100" t="str">
        <f t="shared" si="2"/>
        <v>%</v>
      </c>
      <c r="P22" s="103">
        <f>SUM(P23:P29)</f>
        <v>108323502</v>
      </c>
      <c r="Q22" s="101">
        <v>100</v>
      </c>
      <c r="R22" s="100" t="str">
        <f t="shared" si="3"/>
        <v>%</v>
      </c>
      <c r="S22" s="103">
        <f>SUM(S23:S29)</f>
        <v>234799150</v>
      </c>
      <c r="T22" s="99">
        <v>100</v>
      </c>
      <c r="U22" s="113" t="str">
        <f t="shared" si="4"/>
        <v>%</v>
      </c>
      <c r="V22" s="103">
        <f>SUM(V23:V29)</f>
        <v>59450700</v>
      </c>
      <c r="W22" s="99">
        <v>100</v>
      </c>
      <c r="X22" s="113" t="str">
        <f t="shared" si="5"/>
        <v>%</v>
      </c>
      <c r="Y22" s="103">
        <f>SUM(Y23:Y29)</f>
        <v>478352923</v>
      </c>
      <c r="Z22" s="104">
        <f>AVERAGE(N22,Q22,T22,W22)</f>
        <v>100</v>
      </c>
      <c r="AA22" s="113" t="str">
        <f t="shared" si="7"/>
        <v>%</v>
      </c>
      <c r="AB22" s="106">
        <f t="shared" si="8"/>
        <v>100</v>
      </c>
      <c r="AC22" s="107" t="s">
        <v>44</v>
      </c>
      <c r="AD22" s="108">
        <f t="shared" si="9"/>
        <v>880926275</v>
      </c>
      <c r="AE22" s="106">
        <f t="shared" si="10"/>
        <v>88.226058561769477</v>
      </c>
      <c r="AF22" s="107" t="s">
        <v>44</v>
      </c>
      <c r="AG22" s="104">
        <f t="shared" si="11"/>
        <v>200</v>
      </c>
      <c r="AH22" s="113" t="str">
        <f t="shared" si="12"/>
        <v>%</v>
      </c>
      <c r="AI22" s="108">
        <f t="shared" si="0"/>
        <v>880926275</v>
      </c>
      <c r="AJ22" s="106"/>
      <c r="AK22" s="107" t="s">
        <v>44</v>
      </c>
      <c r="AL22" s="106"/>
      <c r="AM22" s="115"/>
      <c r="AP22" s="111"/>
    </row>
    <row r="23" spans="1:42" ht="75" x14ac:dyDescent="0.2">
      <c r="A23" s="12"/>
      <c r="B23" s="13"/>
      <c r="C23" s="25" t="s">
        <v>77</v>
      </c>
      <c r="D23" s="140" t="s">
        <v>176</v>
      </c>
      <c r="E23" s="15">
        <v>36</v>
      </c>
      <c r="F23" s="16" t="s">
        <v>231</v>
      </c>
      <c r="G23" s="130">
        <f>7870000*2+M23</f>
        <v>21594400</v>
      </c>
      <c r="H23" s="15">
        <v>12</v>
      </c>
      <c r="I23" s="16" t="s">
        <v>231</v>
      </c>
      <c r="J23" s="38"/>
      <c r="K23" s="15">
        <v>12</v>
      </c>
      <c r="L23" s="16" t="s">
        <v>43</v>
      </c>
      <c r="M23" s="19">
        <v>5854400</v>
      </c>
      <c r="N23" s="15">
        <v>3</v>
      </c>
      <c r="O23" s="16" t="str">
        <f t="shared" si="2"/>
        <v>Bln</v>
      </c>
      <c r="P23" s="19">
        <v>0</v>
      </c>
      <c r="Q23" s="15">
        <v>3</v>
      </c>
      <c r="R23" s="16" t="str">
        <f t="shared" si="3"/>
        <v>Bln</v>
      </c>
      <c r="S23" s="19">
        <v>0</v>
      </c>
      <c r="T23" s="15">
        <v>3</v>
      </c>
      <c r="U23" s="16" t="str">
        <f t="shared" si="4"/>
        <v>Bln</v>
      </c>
      <c r="V23" s="19">
        <v>0</v>
      </c>
      <c r="W23" s="15">
        <v>3</v>
      </c>
      <c r="X23" s="16" t="str">
        <f t="shared" si="5"/>
        <v>Bln</v>
      </c>
      <c r="Y23" s="19">
        <v>5854400</v>
      </c>
      <c r="Z23" s="49">
        <f t="shared" si="6"/>
        <v>12</v>
      </c>
      <c r="AA23" s="16" t="str">
        <f t="shared" si="7"/>
        <v>Bln</v>
      </c>
      <c r="AB23" s="49">
        <f t="shared" si="8"/>
        <v>100</v>
      </c>
      <c r="AC23" s="30" t="s">
        <v>44</v>
      </c>
      <c r="AD23" s="36">
        <f t="shared" si="9"/>
        <v>5854400</v>
      </c>
      <c r="AE23" s="48">
        <f t="shared" si="10"/>
        <v>100</v>
      </c>
      <c r="AF23" s="30" t="s">
        <v>44</v>
      </c>
      <c r="AG23" s="49">
        <f t="shared" si="11"/>
        <v>24</v>
      </c>
      <c r="AH23" s="16" t="str">
        <f t="shared" si="12"/>
        <v>Bln</v>
      </c>
      <c r="AI23" s="36">
        <f t="shared" si="0"/>
        <v>5854400</v>
      </c>
      <c r="AJ23" s="48"/>
      <c r="AK23" s="30" t="s">
        <v>44</v>
      </c>
      <c r="AL23" s="48"/>
      <c r="AM23" s="11"/>
      <c r="AP23" s="21"/>
    </row>
    <row r="24" spans="1:42" ht="60" x14ac:dyDescent="0.2">
      <c r="A24" s="12"/>
      <c r="B24" s="13"/>
      <c r="C24" s="25" t="s">
        <v>78</v>
      </c>
      <c r="D24" s="140" t="s">
        <v>177</v>
      </c>
      <c r="E24" s="15">
        <v>36</v>
      </c>
      <c r="F24" s="16" t="s">
        <v>231</v>
      </c>
      <c r="G24" s="131">
        <f>224071400*2+M24</f>
        <v>773501023</v>
      </c>
      <c r="H24" s="15">
        <v>12</v>
      </c>
      <c r="I24" s="16" t="s">
        <v>231</v>
      </c>
      <c r="J24" s="18">
        <v>137922100</v>
      </c>
      <c r="K24" s="15">
        <v>12</v>
      </c>
      <c r="L24" s="16" t="s">
        <v>43</v>
      </c>
      <c r="M24" s="19">
        <v>325358223</v>
      </c>
      <c r="N24" s="15">
        <v>3</v>
      </c>
      <c r="O24" s="16" t="str">
        <f t="shared" si="2"/>
        <v>Bln</v>
      </c>
      <c r="P24" s="19">
        <v>33966000</v>
      </c>
      <c r="Q24" s="15">
        <v>3</v>
      </c>
      <c r="R24" s="16" t="str">
        <f t="shared" si="3"/>
        <v>Bln</v>
      </c>
      <c r="S24" s="19">
        <v>66685200</v>
      </c>
      <c r="T24" s="15">
        <v>3</v>
      </c>
      <c r="U24" s="16" t="str">
        <f t="shared" si="4"/>
        <v>Bln</v>
      </c>
      <c r="V24" s="19">
        <v>10262700</v>
      </c>
      <c r="W24" s="15">
        <v>3</v>
      </c>
      <c r="X24" s="16" t="str">
        <f t="shared" si="5"/>
        <v>Bln</v>
      </c>
      <c r="Y24" s="19">
        <v>184845450</v>
      </c>
      <c r="Z24" s="49">
        <f t="shared" si="6"/>
        <v>12</v>
      </c>
      <c r="AA24" s="16" t="str">
        <f t="shared" si="7"/>
        <v>Bln</v>
      </c>
      <c r="AB24" s="49">
        <f t="shared" si="8"/>
        <v>100</v>
      </c>
      <c r="AC24" s="30" t="s">
        <v>44</v>
      </c>
      <c r="AD24" s="36">
        <f t="shared" si="9"/>
        <v>295759350</v>
      </c>
      <c r="AE24" s="48">
        <f t="shared" si="10"/>
        <v>90.902681749647982</v>
      </c>
      <c r="AF24" s="30" t="s">
        <v>44</v>
      </c>
      <c r="AG24" s="49">
        <f t="shared" si="11"/>
        <v>24</v>
      </c>
      <c r="AH24" s="16" t="str">
        <f t="shared" si="12"/>
        <v>Bln</v>
      </c>
      <c r="AI24" s="36">
        <f t="shared" si="0"/>
        <v>433681450</v>
      </c>
      <c r="AJ24" s="48"/>
      <c r="AK24" s="30" t="s">
        <v>44</v>
      </c>
      <c r="AL24" s="48"/>
      <c r="AM24" s="11"/>
      <c r="AP24" s="21"/>
    </row>
    <row r="25" spans="1:42" s="95" customFormat="1" ht="60" x14ac:dyDescent="0.2">
      <c r="A25" s="82"/>
      <c r="B25" s="83"/>
      <c r="C25" s="139" t="s">
        <v>92</v>
      </c>
      <c r="D25" s="139" t="s">
        <v>178</v>
      </c>
      <c r="E25" s="15">
        <v>36</v>
      </c>
      <c r="F25" s="16" t="s">
        <v>231</v>
      </c>
      <c r="G25" s="132">
        <f>M25</f>
        <v>66750000</v>
      </c>
      <c r="H25" s="15"/>
      <c r="I25" s="16"/>
      <c r="J25" s="87"/>
      <c r="K25" s="84">
        <v>12</v>
      </c>
      <c r="L25" s="85" t="s">
        <v>43</v>
      </c>
      <c r="M25" s="89">
        <v>66750000</v>
      </c>
      <c r="N25" s="84">
        <v>3</v>
      </c>
      <c r="O25" s="85" t="str">
        <f t="shared" si="2"/>
        <v>Bln</v>
      </c>
      <c r="P25" s="89">
        <v>0</v>
      </c>
      <c r="Q25" s="84">
        <v>3</v>
      </c>
      <c r="R25" s="85" t="str">
        <f t="shared" si="3"/>
        <v>Bln</v>
      </c>
      <c r="S25" s="89">
        <v>63850000</v>
      </c>
      <c r="T25" s="84">
        <v>3</v>
      </c>
      <c r="U25" s="85" t="str">
        <f t="shared" si="4"/>
        <v>Bln</v>
      </c>
      <c r="V25" s="89">
        <v>0</v>
      </c>
      <c r="W25" s="84">
        <v>3</v>
      </c>
      <c r="X25" s="85" t="str">
        <f t="shared" si="5"/>
        <v>Bln</v>
      </c>
      <c r="Y25" s="89">
        <v>0</v>
      </c>
      <c r="Z25" s="90">
        <f t="shared" si="6"/>
        <v>12</v>
      </c>
      <c r="AA25" s="85" t="str">
        <f t="shared" si="7"/>
        <v>Bln</v>
      </c>
      <c r="AB25" s="90">
        <f t="shared" si="8"/>
        <v>100</v>
      </c>
      <c r="AC25" s="92" t="s">
        <v>44</v>
      </c>
      <c r="AD25" s="93">
        <f t="shared" si="9"/>
        <v>63850000</v>
      </c>
      <c r="AE25" s="91">
        <f t="shared" si="10"/>
        <v>95.655430711610492</v>
      </c>
      <c r="AF25" s="92" t="s">
        <v>44</v>
      </c>
      <c r="AG25" s="90">
        <f t="shared" si="11"/>
        <v>12</v>
      </c>
      <c r="AH25" s="85" t="str">
        <f t="shared" si="12"/>
        <v>Bln</v>
      </c>
      <c r="AI25" s="93">
        <f t="shared" si="0"/>
        <v>63850000</v>
      </c>
      <c r="AJ25" s="91"/>
      <c r="AK25" s="92" t="s">
        <v>44</v>
      </c>
      <c r="AL25" s="91"/>
      <c r="AM25" s="94"/>
      <c r="AP25" s="96"/>
    </row>
    <row r="26" spans="1:42" ht="45" x14ac:dyDescent="0.2">
      <c r="A26" s="12"/>
      <c r="B26" s="13"/>
      <c r="C26" s="25" t="s">
        <v>79</v>
      </c>
      <c r="D26" s="140" t="s">
        <v>179</v>
      </c>
      <c r="E26" s="15">
        <v>36</v>
      </c>
      <c r="F26" s="16" t="s">
        <v>231</v>
      </c>
      <c r="G26" s="132">
        <f>68271700*2+M26</f>
        <v>191043400</v>
      </c>
      <c r="H26" s="15">
        <v>12</v>
      </c>
      <c r="I26" s="16" t="s">
        <v>231</v>
      </c>
      <c r="J26" s="18">
        <v>9260500</v>
      </c>
      <c r="K26" s="15">
        <v>12</v>
      </c>
      <c r="L26" s="16" t="s">
        <v>43</v>
      </c>
      <c r="M26" s="19">
        <v>54500000</v>
      </c>
      <c r="N26" s="15">
        <v>3</v>
      </c>
      <c r="O26" s="16" t="str">
        <f t="shared" si="2"/>
        <v>Bln</v>
      </c>
      <c r="P26" s="19">
        <v>0</v>
      </c>
      <c r="Q26" s="15">
        <v>3</v>
      </c>
      <c r="R26" s="16" t="str">
        <f t="shared" si="3"/>
        <v>Bln</v>
      </c>
      <c r="S26" s="19">
        <v>0</v>
      </c>
      <c r="T26" s="15">
        <v>3</v>
      </c>
      <c r="U26" s="16" t="str">
        <f t="shared" si="4"/>
        <v>Bln</v>
      </c>
      <c r="V26" s="19">
        <v>0</v>
      </c>
      <c r="W26" s="15">
        <v>3</v>
      </c>
      <c r="X26" s="16" t="str">
        <f t="shared" si="5"/>
        <v>Bln</v>
      </c>
      <c r="Y26" s="19">
        <v>13197500</v>
      </c>
      <c r="Z26" s="49">
        <f t="shared" si="6"/>
        <v>12</v>
      </c>
      <c r="AA26" s="16" t="str">
        <f t="shared" si="7"/>
        <v>Bln</v>
      </c>
      <c r="AB26" s="49">
        <f t="shared" si="8"/>
        <v>100</v>
      </c>
      <c r="AC26" s="30" t="s">
        <v>44</v>
      </c>
      <c r="AD26" s="36">
        <f t="shared" si="9"/>
        <v>13197500</v>
      </c>
      <c r="AE26" s="48">
        <f t="shared" si="10"/>
        <v>24.215596330275229</v>
      </c>
      <c r="AF26" s="30" t="s">
        <v>44</v>
      </c>
      <c r="AG26" s="49">
        <f t="shared" si="11"/>
        <v>24</v>
      </c>
      <c r="AH26" s="16" t="str">
        <f t="shared" si="12"/>
        <v>Bln</v>
      </c>
      <c r="AI26" s="36">
        <f t="shared" si="0"/>
        <v>22458000</v>
      </c>
      <c r="AJ26" s="48"/>
      <c r="AK26" s="30" t="s">
        <v>44</v>
      </c>
      <c r="AL26" s="48"/>
      <c r="AM26" s="11"/>
      <c r="AP26" s="21"/>
    </row>
    <row r="27" spans="1:42" ht="60" x14ac:dyDescent="0.2">
      <c r="A27" s="12"/>
      <c r="B27" s="13"/>
      <c r="C27" s="25" t="s">
        <v>80</v>
      </c>
      <c r="D27" s="140" t="s">
        <v>180</v>
      </c>
      <c r="E27" s="15">
        <v>36</v>
      </c>
      <c r="F27" s="16" t="s">
        <v>231</v>
      </c>
      <c r="G27" s="132">
        <f>56853000*2+M27</f>
        <v>181233500</v>
      </c>
      <c r="H27" s="15">
        <v>12</v>
      </c>
      <c r="I27" s="16" t="s">
        <v>231</v>
      </c>
      <c r="J27" s="18"/>
      <c r="K27" s="15">
        <v>12</v>
      </c>
      <c r="L27" s="16" t="s">
        <v>43</v>
      </c>
      <c r="M27" s="19">
        <v>67527500</v>
      </c>
      <c r="N27" s="15">
        <v>3</v>
      </c>
      <c r="O27" s="16" t="str">
        <f t="shared" si="2"/>
        <v>Bln</v>
      </c>
      <c r="P27" s="19">
        <v>0</v>
      </c>
      <c r="Q27" s="15">
        <v>3</v>
      </c>
      <c r="R27" s="16" t="str">
        <f t="shared" si="3"/>
        <v>Bln</v>
      </c>
      <c r="S27" s="19">
        <v>4435000</v>
      </c>
      <c r="T27" s="15">
        <v>3</v>
      </c>
      <c r="U27" s="16" t="str">
        <f t="shared" si="4"/>
        <v>Bln</v>
      </c>
      <c r="V27" s="19">
        <v>18408000</v>
      </c>
      <c r="W27" s="15">
        <v>3</v>
      </c>
      <c r="X27" s="16" t="str">
        <f t="shared" si="5"/>
        <v>Bln</v>
      </c>
      <c r="Y27" s="19">
        <v>27262370</v>
      </c>
      <c r="Z27" s="49">
        <f t="shared" si="6"/>
        <v>12</v>
      </c>
      <c r="AA27" s="16" t="str">
        <f t="shared" si="7"/>
        <v>Bln</v>
      </c>
      <c r="AB27" s="49">
        <f t="shared" si="8"/>
        <v>100</v>
      </c>
      <c r="AC27" s="30" t="s">
        <v>44</v>
      </c>
      <c r="AD27" s="36">
        <f t="shared" si="9"/>
        <v>50105370</v>
      </c>
      <c r="AE27" s="48">
        <f t="shared" si="10"/>
        <v>74.199948169264374</v>
      </c>
      <c r="AF27" s="30" t="s">
        <v>44</v>
      </c>
      <c r="AG27" s="49">
        <f t="shared" si="11"/>
        <v>24</v>
      </c>
      <c r="AH27" s="16" t="str">
        <f t="shared" si="12"/>
        <v>Bln</v>
      </c>
      <c r="AI27" s="36">
        <f t="shared" si="0"/>
        <v>50105370</v>
      </c>
      <c r="AJ27" s="48"/>
      <c r="AK27" s="30" t="s">
        <v>44</v>
      </c>
      <c r="AL27" s="48"/>
      <c r="AM27" s="11"/>
      <c r="AP27" s="21"/>
    </row>
    <row r="28" spans="1:42" ht="93" customHeight="1" x14ac:dyDescent="0.2">
      <c r="A28" s="12"/>
      <c r="B28" s="13"/>
      <c r="C28" s="25" t="s">
        <v>81</v>
      </c>
      <c r="D28" s="140" t="s">
        <v>181</v>
      </c>
      <c r="E28" s="15">
        <v>36</v>
      </c>
      <c r="F28" s="16" t="s">
        <v>231</v>
      </c>
      <c r="G28" s="131">
        <f>5814000*2+M28</f>
        <v>18828000</v>
      </c>
      <c r="H28" s="15">
        <v>12</v>
      </c>
      <c r="I28" s="16" t="s">
        <v>231</v>
      </c>
      <c r="J28" s="18"/>
      <c r="K28" s="15">
        <v>12</v>
      </c>
      <c r="L28" s="16" t="s">
        <v>43</v>
      </c>
      <c r="M28" s="19">
        <v>7200000</v>
      </c>
      <c r="N28" s="15">
        <v>3</v>
      </c>
      <c r="O28" s="16" t="str">
        <f t="shared" si="2"/>
        <v>Bln</v>
      </c>
      <c r="P28" s="19">
        <v>920000</v>
      </c>
      <c r="Q28" s="15">
        <v>3</v>
      </c>
      <c r="R28" s="16" t="str">
        <f t="shared" si="3"/>
        <v>Bln</v>
      </c>
      <c r="S28" s="19">
        <v>1380000</v>
      </c>
      <c r="T28" s="15">
        <v>3</v>
      </c>
      <c r="U28" s="16" t="str">
        <f t="shared" si="4"/>
        <v>Bln</v>
      </c>
      <c r="V28" s="19">
        <v>0</v>
      </c>
      <c r="W28" s="15">
        <v>3</v>
      </c>
      <c r="X28" s="16" t="str">
        <f t="shared" si="5"/>
        <v>Bln</v>
      </c>
      <c r="Y28" s="19">
        <v>3100000</v>
      </c>
      <c r="Z28" s="49">
        <f t="shared" si="6"/>
        <v>12</v>
      </c>
      <c r="AA28" s="16" t="str">
        <f t="shared" si="7"/>
        <v>Bln</v>
      </c>
      <c r="AB28" s="49">
        <f t="shared" si="8"/>
        <v>100</v>
      </c>
      <c r="AC28" s="30" t="s">
        <v>44</v>
      </c>
      <c r="AD28" s="36">
        <f t="shared" si="9"/>
        <v>5400000</v>
      </c>
      <c r="AE28" s="48">
        <f t="shared" si="10"/>
        <v>75</v>
      </c>
      <c r="AF28" s="30" t="s">
        <v>44</v>
      </c>
      <c r="AG28" s="49">
        <f t="shared" si="11"/>
        <v>24</v>
      </c>
      <c r="AH28" s="16" t="str">
        <f t="shared" si="12"/>
        <v>Bln</v>
      </c>
      <c r="AI28" s="36">
        <f t="shared" si="0"/>
        <v>5400000</v>
      </c>
      <c r="AJ28" s="48"/>
      <c r="AK28" s="30" t="s">
        <v>44</v>
      </c>
      <c r="AL28" s="48"/>
      <c r="AM28" s="11"/>
      <c r="AP28" s="21"/>
    </row>
    <row r="29" spans="1:42" ht="75" x14ac:dyDescent="0.2">
      <c r="A29" s="12"/>
      <c r="B29" s="13"/>
      <c r="C29" s="25" t="s">
        <v>82</v>
      </c>
      <c r="D29" s="140" t="s">
        <v>182</v>
      </c>
      <c r="E29" s="15">
        <v>36</v>
      </c>
      <c r="F29" s="16" t="s">
        <v>231</v>
      </c>
      <c r="G29" s="131">
        <f>450000000*2+M29</f>
        <v>1371297500</v>
      </c>
      <c r="H29" s="15">
        <v>12</v>
      </c>
      <c r="I29" s="16" t="s">
        <v>231</v>
      </c>
      <c r="J29" s="18">
        <v>348703800</v>
      </c>
      <c r="K29" s="15">
        <v>12</v>
      </c>
      <c r="L29" s="16" t="s">
        <v>43</v>
      </c>
      <c r="M29" s="19">
        <v>471297500</v>
      </c>
      <c r="N29" s="15">
        <v>3</v>
      </c>
      <c r="O29" s="16" t="str">
        <f t="shared" si="2"/>
        <v>Bln</v>
      </c>
      <c r="P29" s="19">
        <v>73437502</v>
      </c>
      <c r="Q29" s="15">
        <v>3</v>
      </c>
      <c r="R29" s="16" t="str">
        <f t="shared" si="3"/>
        <v>Bln</v>
      </c>
      <c r="S29" s="19">
        <v>98448950</v>
      </c>
      <c r="T29" s="15">
        <v>3</v>
      </c>
      <c r="U29" s="16" t="str">
        <f t="shared" si="4"/>
        <v>Bln</v>
      </c>
      <c r="V29" s="19">
        <v>30780000</v>
      </c>
      <c r="W29" s="15">
        <v>3</v>
      </c>
      <c r="X29" s="16" t="str">
        <f t="shared" si="5"/>
        <v>Bln</v>
      </c>
      <c r="Y29" s="19">
        <f>446759655-V29-S29-P29</f>
        <v>244093203</v>
      </c>
      <c r="Z29" s="49">
        <f t="shared" si="6"/>
        <v>12</v>
      </c>
      <c r="AA29" s="16" t="str">
        <f t="shared" si="7"/>
        <v>Bln</v>
      </c>
      <c r="AB29" s="49">
        <f t="shared" si="8"/>
        <v>100</v>
      </c>
      <c r="AC29" s="30" t="s">
        <v>44</v>
      </c>
      <c r="AD29" s="36">
        <f t="shared" si="9"/>
        <v>446759655</v>
      </c>
      <c r="AE29" s="48">
        <f t="shared" si="10"/>
        <v>94.793555026283826</v>
      </c>
      <c r="AF29" s="30" t="s">
        <v>44</v>
      </c>
      <c r="AG29" s="49">
        <f t="shared" si="11"/>
        <v>24</v>
      </c>
      <c r="AH29" s="16" t="str">
        <f t="shared" si="12"/>
        <v>Bln</v>
      </c>
      <c r="AI29" s="36">
        <f t="shared" si="0"/>
        <v>795463455</v>
      </c>
      <c r="AJ29" s="48"/>
      <c r="AK29" s="30" t="s">
        <v>44</v>
      </c>
      <c r="AL29" s="48"/>
      <c r="AM29" s="11"/>
      <c r="AP29" s="21"/>
    </row>
    <row r="30" spans="1:42" s="110" customFormat="1" ht="101.25" customHeight="1" x14ac:dyDescent="0.25">
      <c r="A30" s="82"/>
      <c r="B30" s="83"/>
      <c r="C30" s="97" t="s">
        <v>83</v>
      </c>
      <c r="D30" s="98" t="s">
        <v>183</v>
      </c>
      <c r="E30" s="99">
        <v>100</v>
      </c>
      <c r="F30" s="113" t="s">
        <v>44</v>
      </c>
      <c r="G30" s="103">
        <f>SUM(G31:G33)</f>
        <v>702966000</v>
      </c>
      <c r="H30" s="99">
        <v>100</v>
      </c>
      <c r="I30" s="113" t="s">
        <v>44</v>
      </c>
      <c r="J30" s="114"/>
      <c r="K30" s="101">
        <v>100</v>
      </c>
      <c r="L30" s="100" t="s">
        <v>44</v>
      </c>
      <c r="M30" s="103">
        <f>SUM(M31:M33)</f>
        <v>224122000</v>
      </c>
      <c r="N30" s="101">
        <v>100</v>
      </c>
      <c r="O30" s="100" t="str">
        <f t="shared" si="2"/>
        <v>%</v>
      </c>
      <c r="P30" s="103">
        <f>SUM(P31:P33)</f>
        <v>40557688</v>
      </c>
      <c r="Q30" s="101">
        <v>100</v>
      </c>
      <c r="R30" s="100" t="str">
        <f t="shared" si="3"/>
        <v>%</v>
      </c>
      <c r="S30" s="103">
        <f>SUM(S31:S33)</f>
        <v>47210769</v>
      </c>
      <c r="T30" s="99">
        <v>100</v>
      </c>
      <c r="U30" s="116" t="str">
        <f t="shared" si="4"/>
        <v>%</v>
      </c>
      <c r="V30" s="103">
        <f>SUM(V31:V33)</f>
        <v>12053952</v>
      </c>
      <c r="W30" s="99">
        <v>100</v>
      </c>
      <c r="X30" s="116" t="str">
        <f t="shared" si="5"/>
        <v>%</v>
      </c>
      <c r="Y30" s="103">
        <f>SUM(Y31:Y33)</f>
        <v>71091522</v>
      </c>
      <c r="Z30" s="104">
        <f>AVERAGE(N30,Q30,T30,W30)</f>
        <v>100</v>
      </c>
      <c r="AA30" s="116" t="str">
        <f t="shared" si="7"/>
        <v>%</v>
      </c>
      <c r="AB30" s="104">
        <f t="shared" si="8"/>
        <v>100</v>
      </c>
      <c r="AC30" s="107" t="s">
        <v>44</v>
      </c>
      <c r="AD30" s="108">
        <f t="shared" si="9"/>
        <v>170913931</v>
      </c>
      <c r="AE30" s="106">
        <f t="shared" si="10"/>
        <v>76.259327955310056</v>
      </c>
      <c r="AF30" s="107" t="s">
        <v>44</v>
      </c>
      <c r="AG30" s="106">
        <f t="shared" si="11"/>
        <v>200</v>
      </c>
      <c r="AH30" s="116" t="str">
        <f t="shared" si="12"/>
        <v>%</v>
      </c>
      <c r="AI30" s="108">
        <f t="shared" si="0"/>
        <v>170913931</v>
      </c>
      <c r="AJ30" s="106"/>
      <c r="AK30" s="107" t="s">
        <v>44</v>
      </c>
      <c r="AL30" s="106"/>
      <c r="AM30" s="115"/>
      <c r="AP30" s="111"/>
    </row>
    <row r="31" spans="1:42" ht="45" x14ac:dyDescent="0.2">
      <c r="A31" s="12"/>
      <c r="B31" s="13"/>
      <c r="C31" s="25" t="s">
        <v>84</v>
      </c>
      <c r="D31" s="140" t="s">
        <v>184</v>
      </c>
      <c r="E31" s="15">
        <v>36</v>
      </c>
      <c r="F31" s="16" t="s">
        <v>231</v>
      </c>
      <c r="G31" s="132">
        <f>1100000*2+M31</f>
        <v>3200000</v>
      </c>
      <c r="H31" s="15">
        <v>12</v>
      </c>
      <c r="I31" s="16" t="s">
        <v>231</v>
      </c>
      <c r="J31" s="18"/>
      <c r="K31" s="15">
        <v>12</v>
      </c>
      <c r="L31" s="16" t="s">
        <v>43</v>
      </c>
      <c r="M31" s="19">
        <v>1000000</v>
      </c>
      <c r="N31" s="15">
        <v>3</v>
      </c>
      <c r="O31" s="16" t="str">
        <f t="shared" si="2"/>
        <v>Bln</v>
      </c>
      <c r="P31" s="19">
        <v>0</v>
      </c>
      <c r="Q31" s="15">
        <v>3</v>
      </c>
      <c r="R31" s="16" t="str">
        <f t="shared" si="3"/>
        <v>Bln</v>
      </c>
      <c r="S31" s="19">
        <v>0</v>
      </c>
      <c r="T31" s="15">
        <v>3</v>
      </c>
      <c r="U31" s="16" t="str">
        <f t="shared" si="4"/>
        <v>Bln</v>
      </c>
      <c r="V31" s="19">
        <v>0</v>
      </c>
      <c r="W31" s="15">
        <v>3</v>
      </c>
      <c r="X31" s="16" t="str">
        <f t="shared" si="5"/>
        <v>Bln</v>
      </c>
      <c r="Y31" s="19">
        <v>436000</v>
      </c>
      <c r="Z31" s="49">
        <f t="shared" si="6"/>
        <v>12</v>
      </c>
      <c r="AA31" s="16" t="str">
        <f t="shared" si="7"/>
        <v>Bln</v>
      </c>
      <c r="AB31" s="49">
        <f t="shared" si="8"/>
        <v>100</v>
      </c>
      <c r="AC31" s="30" t="s">
        <v>44</v>
      </c>
      <c r="AD31" s="36">
        <f t="shared" si="9"/>
        <v>436000</v>
      </c>
      <c r="AE31" s="48">
        <f t="shared" si="10"/>
        <v>43.6</v>
      </c>
      <c r="AF31" s="30" t="s">
        <v>44</v>
      </c>
      <c r="AG31" s="49">
        <f t="shared" si="11"/>
        <v>24</v>
      </c>
      <c r="AH31" s="16" t="str">
        <f t="shared" si="12"/>
        <v>Bln</v>
      </c>
      <c r="AI31" s="36">
        <f t="shared" si="0"/>
        <v>436000</v>
      </c>
      <c r="AJ31" s="48"/>
      <c r="AK31" s="30" t="s">
        <v>44</v>
      </c>
      <c r="AL31" s="48"/>
      <c r="AM31" s="11"/>
      <c r="AP31" s="21"/>
    </row>
    <row r="32" spans="1:42" ht="75" x14ac:dyDescent="0.2">
      <c r="A32" s="12"/>
      <c r="B32" s="13"/>
      <c r="C32" s="25" t="s">
        <v>85</v>
      </c>
      <c r="D32" s="140" t="s">
        <v>185</v>
      </c>
      <c r="E32" s="15">
        <v>36</v>
      </c>
      <c r="F32" s="16" t="s">
        <v>231</v>
      </c>
      <c r="G32" s="131">
        <f>165200000*2+M32</f>
        <v>480400000</v>
      </c>
      <c r="H32" s="15">
        <v>12</v>
      </c>
      <c r="I32" s="16" t="s">
        <v>231</v>
      </c>
      <c r="J32" s="18">
        <v>103939959</v>
      </c>
      <c r="K32" s="15">
        <v>12</v>
      </c>
      <c r="L32" s="16" t="s">
        <v>43</v>
      </c>
      <c r="M32" s="19">
        <v>150000000</v>
      </c>
      <c r="N32" s="15">
        <v>3</v>
      </c>
      <c r="O32" s="16" t="str">
        <f t="shared" si="2"/>
        <v>Bln</v>
      </c>
      <c r="P32" s="19">
        <v>24295336</v>
      </c>
      <c r="Q32" s="15">
        <v>3</v>
      </c>
      <c r="R32" s="16" t="str">
        <f t="shared" si="3"/>
        <v>Bln</v>
      </c>
      <c r="S32" s="19">
        <v>26254017</v>
      </c>
      <c r="T32" s="15">
        <v>3</v>
      </c>
      <c r="U32" s="16" t="str">
        <f t="shared" si="4"/>
        <v>Bln</v>
      </c>
      <c r="V32" s="19">
        <v>0</v>
      </c>
      <c r="W32" s="15">
        <v>3</v>
      </c>
      <c r="X32" s="16" t="str">
        <f t="shared" si="5"/>
        <v>Bln</v>
      </c>
      <c r="Y32" s="19">
        <v>53351570</v>
      </c>
      <c r="Z32" s="49">
        <f t="shared" si="6"/>
        <v>12</v>
      </c>
      <c r="AA32" s="16" t="str">
        <f t="shared" si="7"/>
        <v>Bln</v>
      </c>
      <c r="AB32" s="49">
        <f t="shared" si="8"/>
        <v>100</v>
      </c>
      <c r="AC32" s="30" t="s">
        <v>44</v>
      </c>
      <c r="AD32" s="36">
        <f t="shared" si="9"/>
        <v>103900923</v>
      </c>
      <c r="AE32" s="48">
        <f t="shared" si="10"/>
        <v>69.267281999999994</v>
      </c>
      <c r="AF32" s="30" t="s">
        <v>44</v>
      </c>
      <c r="AG32" s="49">
        <f t="shared" si="11"/>
        <v>24</v>
      </c>
      <c r="AH32" s="16" t="str">
        <f t="shared" si="12"/>
        <v>Bln</v>
      </c>
      <c r="AI32" s="36">
        <f t="shared" si="0"/>
        <v>207840882</v>
      </c>
      <c r="AJ32" s="48"/>
      <c r="AK32" s="30" t="s">
        <v>44</v>
      </c>
      <c r="AL32" s="48"/>
      <c r="AM32" s="11"/>
      <c r="AP32" s="21"/>
    </row>
    <row r="33" spans="1:42" ht="60" x14ac:dyDescent="0.2">
      <c r="A33" s="12"/>
      <c r="B33" s="13"/>
      <c r="C33" s="25" t="s">
        <v>86</v>
      </c>
      <c r="D33" s="140" t="s">
        <v>186</v>
      </c>
      <c r="E33" s="15">
        <v>36</v>
      </c>
      <c r="F33" s="16" t="s">
        <v>231</v>
      </c>
      <c r="G33" s="131">
        <f>73122000*2+M33</f>
        <v>219366000</v>
      </c>
      <c r="H33" s="15">
        <v>12</v>
      </c>
      <c r="I33" s="16" t="s">
        <v>231</v>
      </c>
      <c r="J33" s="18">
        <f>136603950</f>
        <v>136603950</v>
      </c>
      <c r="K33" s="15">
        <v>12</v>
      </c>
      <c r="L33" s="16" t="s">
        <v>43</v>
      </c>
      <c r="M33" s="19">
        <v>73122000</v>
      </c>
      <c r="N33" s="15">
        <v>3</v>
      </c>
      <c r="O33" s="16" t="str">
        <f t="shared" si="2"/>
        <v>Bln</v>
      </c>
      <c r="P33" s="19">
        <v>16262352</v>
      </c>
      <c r="Q33" s="15">
        <v>3</v>
      </c>
      <c r="R33" s="16" t="str">
        <f t="shared" si="3"/>
        <v>Bln</v>
      </c>
      <c r="S33" s="19">
        <v>20956752</v>
      </c>
      <c r="T33" s="15">
        <v>3</v>
      </c>
      <c r="U33" s="16" t="str">
        <f t="shared" si="4"/>
        <v>Bln</v>
      </c>
      <c r="V33" s="19">
        <v>12053952</v>
      </c>
      <c r="W33" s="15">
        <v>3</v>
      </c>
      <c r="X33" s="16" t="str">
        <f t="shared" si="5"/>
        <v>Bln</v>
      </c>
      <c r="Y33" s="19">
        <v>17303952</v>
      </c>
      <c r="Z33" s="49">
        <f t="shared" si="6"/>
        <v>12</v>
      </c>
      <c r="AA33" s="16" t="str">
        <f t="shared" si="7"/>
        <v>Bln</v>
      </c>
      <c r="AB33" s="49">
        <f t="shared" si="8"/>
        <v>100</v>
      </c>
      <c r="AC33" s="30" t="s">
        <v>44</v>
      </c>
      <c r="AD33" s="36">
        <f t="shared" si="9"/>
        <v>66577008</v>
      </c>
      <c r="AE33" s="48">
        <f t="shared" si="10"/>
        <v>91.049216378107829</v>
      </c>
      <c r="AF33" s="30" t="s">
        <v>44</v>
      </c>
      <c r="AG33" s="49">
        <f t="shared" si="11"/>
        <v>24</v>
      </c>
      <c r="AH33" s="16" t="str">
        <f t="shared" si="12"/>
        <v>Bln</v>
      </c>
      <c r="AI33" s="36">
        <f t="shared" si="0"/>
        <v>203180958</v>
      </c>
      <c r="AJ33" s="48"/>
      <c r="AK33" s="30" t="s">
        <v>44</v>
      </c>
      <c r="AL33" s="48"/>
      <c r="AM33" s="11"/>
      <c r="AP33" s="21"/>
    </row>
    <row r="34" spans="1:42" s="110" customFormat="1" ht="78.75" x14ac:dyDescent="0.25">
      <c r="A34" s="82"/>
      <c r="B34" s="83"/>
      <c r="C34" s="97" t="s">
        <v>87</v>
      </c>
      <c r="D34" s="98" t="s">
        <v>187</v>
      </c>
      <c r="E34" s="99">
        <v>100</v>
      </c>
      <c r="F34" s="113" t="s">
        <v>44</v>
      </c>
      <c r="G34" s="103">
        <f>SUM(G35:G38)</f>
        <v>2093155700</v>
      </c>
      <c r="H34" s="99">
        <v>100</v>
      </c>
      <c r="I34" s="113" t="s">
        <v>44</v>
      </c>
      <c r="J34" s="114"/>
      <c r="K34" s="101">
        <v>100</v>
      </c>
      <c r="L34" s="100" t="s">
        <v>44</v>
      </c>
      <c r="M34" s="103">
        <f>SUM(M35:M38)</f>
        <v>1453080000</v>
      </c>
      <c r="N34" s="101">
        <v>100</v>
      </c>
      <c r="O34" s="100" t="str">
        <f t="shared" si="2"/>
        <v>%</v>
      </c>
      <c r="P34" s="103">
        <f>SUM(P35:P38)</f>
        <v>21808602</v>
      </c>
      <c r="Q34" s="101">
        <v>100</v>
      </c>
      <c r="R34" s="100" t="str">
        <f t="shared" si="3"/>
        <v>%</v>
      </c>
      <c r="S34" s="103">
        <f>SUM(S35:S38)</f>
        <v>57100570</v>
      </c>
      <c r="T34" s="99">
        <v>100</v>
      </c>
      <c r="U34" s="116" t="str">
        <f t="shared" si="4"/>
        <v>%</v>
      </c>
      <c r="V34" s="103">
        <f>SUM(V35:V38)</f>
        <v>725534500</v>
      </c>
      <c r="W34" s="99">
        <v>100</v>
      </c>
      <c r="X34" s="116" t="str">
        <f t="shared" si="5"/>
        <v>%</v>
      </c>
      <c r="Y34" s="103">
        <f>SUM(Y35:Y38)</f>
        <v>189355140</v>
      </c>
      <c r="Z34" s="104">
        <f>AVERAGE(N34,Q34,T34,W34)</f>
        <v>100</v>
      </c>
      <c r="AA34" s="116" t="str">
        <f t="shared" si="7"/>
        <v>%</v>
      </c>
      <c r="AB34" s="104">
        <f t="shared" si="8"/>
        <v>100</v>
      </c>
      <c r="AC34" s="107" t="s">
        <v>44</v>
      </c>
      <c r="AD34" s="108">
        <f t="shared" si="9"/>
        <v>993798812</v>
      </c>
      <c r="AE34" s="106">
        <f t="shared" si="10"/>
        <v>68.392573843146977</v>
      </c>
      <c r="AF34" s="107" t="s">
        <v>44</v>
      </c>
      <c r="AG34" s="106">
        <f t="shared" si="11"/>
        <v>200</v>
      </c>
      <c r="AH34" s="116" t="str">
        <f t="shared" si="12"/>
        <v>%</v>
      </c>
      <c r="AI34" s="108">
        <f t="shared" si="0"/>
        <v>993798812</v>
      </c>
      <c r="AJ34" s="106"/>
      <c r="AK34" s="107" t="s">
        <v>44</v>
      </c>
      <c r="AL34" s="106"/>
      <c r="AM34" s="115"/>
      <c r="AP34" s="111"/>
    </row>
    <row r="35" spans="1:42" ht="120" x14ac:dyDescent="0.2">
      <c r="A35" s="12"/>
      <c r="B35" s="13"/>
      <c r="C35" s="25" t="s">
        <v>88</v>
      </c>
      <c r="D35" s="140" t="s">
        <v>188</v>
      </c>
      <c r="E35" s="15">
        <v>36</v>
      </c>
      <c r="F35" s="16" t="s">
        <v>231</v>
      </c>
      <c r="G35" s="131">
        <f>173240000*2+M35</f>
        <v>512480000</v>
      </c>
      <c r="H35" s="15">
        <v>12</v>
      </c>
      <c r="I35" s="16" t="s">
        <v>231</v>
      </c>
      <c r="J35" s="18">
        <v>72206719</v>
      </c>
      <c r="K35" s="15">
        <v>12</v>
      </c>
      <c r="L35" s="16" t="s">
        <v>43</v>
      </c>
      <c r="M35" s="19">
        <v>166000000</v>
      </c>
      <c r="N35" s="15">
        <v>3</v>
      </c>
      <c r="O35" s="16" t="str">
        <f t="shared" si="2"/>
        <v>Bln</v>
      </c>
      <c r="P35" s="19">
        <v>5600000</v>
      </c>
      <c r="Q35" s="15">
        <v>3</v>
      </c>
      <c r="R35" s="16" t="str">
        <f t="shared" si="3"/>
        <v>Bln</v>
      </c>
      <c r="S35" s="19">
        <v>15292200</v>
      </c>
      <c r="T35" s="15">
        <v>3</v>
      </c>
      <c r="U35" s="16" t="str">
        <f t="shared" si="4"/>
        <v>Bln</v>
      </c>
      <c r="V35" s="19">
        <v>0</v>
      </c>
      <c r="W35" s="15">
        <v>3</v>
      </c>
      <c r="X35" s="16" t="str">
        <f t="shared" si="5"/>
        <v>Bln</v>
      </c>
      <c r="Y35" s="19">
        <v>50209297</v>
      </c>
      <c r="Z35" s="49">
        <f t="shared" si="6"/>
        <v>12</v>
      </c>
      <c r="AA35" s="16" t="str">
        <f t="shared" si="7"/>
        <v>Bln</v>
      </c>
      <c r="AB35" s="49">
        <f t="shared" si="8"/>
        <v>100</v>
      </c>
      <c r="AC35" s="30" t="s">
        <v>44</v>
      </c>
      <c r="AD35" s="36">
        <f t="shared" si="9"/>
        <v>71101497</v>
      </c>
      <c r="AE35" s="48">
        <f t="shared" si="10"/>
        <v>42.832227108433734</v>
      </c>
      <c r="AF35" s="30" t="s">
        <v>44</v>
      </c>
      <c r="AG35" s="49">
        <f t="shared" si="11"/>
        <v>24</v>
      </c>
      <c r="AH35" s="16" t="str">
        <f t="shared" si="12"/>
        <v>Bln</v>
      </c>
      <c r="AI35" s="36">
        <f t="shared" si="0"/>
        <v>143308216</v>
      </c>
      <c r="AJ35" s="48"/>
      <c r="AK35" s="30" t="s">
        <v>44</v>
      </c>
      <c r="AL35" s="48"/>
      <c r="AM35" s="11"/>
      <c r="AP35" s="21"/>
    </row>
    <row r="36" spans="1:42" s="95" customFormat="1" ht="72.75" customHeight="1" x14ac:dyDescent="0.2">
      <c r="A36" s="82"/>
      <c r="B36" s="83"/>
      <c r="C36" s="112" t="s">
        <v>93</v>
      </c>
      <c r="D36" s="112" t="s">
        <v>189</v>
      </c>
      <c r="E36" s="15">
        <v>36</v>
      </c>
      <c r="F36" s="16" t="s">
        <v>231</v>
      </c>
      <c r="G36" s="149">
        <f>M36</f>
        <v>7500000</v>
      </c>
      <c r="H36" s="15"/>
      <c r="I36" s="16"/>
      <c r="J36" s="87"/>
      <c r="K36" s="84">
        <v>12</v>
      </c>
      <c r="L36" s="85" t="s">
        <v>43</v>
      </c>
      <c r="M36" s="89">
        <v>7500000</v>
      </c>
      <c r="N36" s="84">
        <v>3</v>
      </c>
      <c r="O36" s="85" t="str">
        <f t="shared" si="2"/>
        <v>Bln</v>
      </c>
      <c r="P36" s="89">
        <v>0</v>
      </c>
      <c r="Q36" s="84">
        <v>3</v>
      </c>
      <c r="R36" s="85" t="str">
        <f t="shared" si="3"/>
        <v>Bln</v>
      </c>
      <c r="S36" s="89">
        <v>5610000</v>
      </c>
      <c r="T36" s="84">
        <v>3</v>
      </c>
      <c r="U36" s="85" t="str">
        <f t="shared" si="4"/>
        <v>Bln</v>
      </c>
      <c r="V36" s="89">
        <v>0</v>
      </c>
      <c r="W36" s="84">
        <v>3</v>
      </c>
      <c r="X36" s="85" t="str">
        <f t="shared" si="5"/>
        <v>Bln</v>
      </c>
      <c r="Y36" s="89">
        <v>0</v>
      </c>
      <c r="Z36" s="118">
        <f t="shared" si="6"/>
        <v>12</v>
      </c>
      <c r="AA36" s="85" t="str">
        <f t="shared" si="7"/>
        <v>Bln</v>
      </c>
      <c r="AB36" s="90">
        <f t="shared" si="8"/>
        <v>100</v>
      </c>
      <c r="AC36" s="92" t="s">
        <v>44</v>
      </c>
      <c r="AD36" s="93">
        <f t="shared" si="9"/>
        <v>5610000</v>
      </c>
      <c r="AE36" s="91">
        <f t="shared" si="10"/>
        <v>74.8</v>
      </c>
      <c r="AF36" s="92" t="s">
        <v>44</v>
      </c>
      <c r="AG36" s="119">
        <f t="shared" si="11"/>
        <v>12</v>
      </c>
      <c r="AH36" s="85" t="str">
        <f t="shared" si="12"/>
        <v>Bln</v>
      </c>
      <c r="AI36" s="93">
        <f t="shared" si="0"/>
        <v>5610000</v>
      </c>
      <c r="AJ36" s="91"/>
      <c r="AK36" s="92" t="s">
        <v>44</v>
      </c>
      <c r="AL36" s="91"/>
      <c r="AM36" s="94"/>
      <c r="AP36" s="96"/>
    </row>
    <row r="37" spans="1:42" ht="90" x14ac:dyDescent="0.2">
      <c r="A37" s="12"/>
      <c r="B37" s="13"/>
      <c r="C37" s="22" t="s">
        <v>89</v>
      </c>
      <c r="D37" s="140" t="s">
        <v>190</v>
      </c>
      <c r="E37" s="15">
        <v>36</v>
      </c>
      <c r="F37" s="16" t="s">
        <v>231</v>
      </c>
      <c r="G37" s="133">
        <f>72500000*2+M37</f>
        <v>1363925000</v>
      </c>
      <c r="H37" s="15">
        <v>12</v>
      </c>
      <c r="I37" s="16" t="s">
        <v>231</v>
      </c>
      <c r="J37" s="18"/>
      <c r="K37" s="15">
        <v>12</v>
      </c>
      <c r="L37" s="16" t="s">
        <v>43</v>
      </c>
      <c r="M37" s="19">
        <v>1218925000</v>
      </c>
      <c r="N37" s="15">
        <v>3</v>
      </c>
      <c r="O37" s="16" t="str">
        <f t="shared" si="2"/>
        <v>Bln</v>
      </c>
      <c r="P37" s="19">
        <v>11708602</v>
      </c>
      <c r="Q37" s="15">
        <v>3</v>
      </c>
      <c r="R37" s="16" t="str">
        <f t="shared" si="3"/>
        <v>Bln</v>
      </c>
      <c r="S37" s="19">
        <v>30198370</v>
      </c>
      <c r="T37" s="15">
        <v>3</v>
      </c>
      <c r="U37" s="16" t="str">
        <f t="shared" si="4"/>
        <v>Bln</v>
      </c>
      <c r="V37" s="19">
        <v>722534500</v>
      </c>
      <c r="W37" s="15">
        <v>3</v>
      </c>
      <c r="X37" s="16" t="str">
        <f t="shared" si="5"/>
        <v>Bln</v>
      </c>
      <c r="Y37" s="19">
        <v>126543343</v>
      </c>
      <c r="Z37" s="74">
        <f t="shared" si="6"/>
        <v>12</v>
      </c>
      <c r="AA37" s="16" t="str">
        <f t="shared" si="7"/>
        <v>Bln</v>
      </c>
      <c r="AB37" s="49">
        <f t="shared" si="8"/>
        <v>100</v>
      </c>
      <c r="AC37" s="30" t="s">
        <v>44</v>
      </c>
      <c r="AD37" s="36">
        <f t="shared" si="9"/>
        <v>890984815</v>
      </c>
      <c r="AE37" s="48">
        <f t="shared" si="10"/>
        <v>73.095950530180289</v>
      </c>
      <c r="AF37" s="30" t="s">
        <v>44</v>
      </c>
      <c r="AG37" s="63">
        <f t="shared" si="11"/>
        <v>24</v>
      </c>
      <c r="AH37" s="16" t="str">
        <f t="shared" si="12"/>
        <v>Bln</v>
      </c>
      <c r="AI37" s="36">
        <f t="shared" si="0"/>
        <v>890984815</v>
      </c>
      <c r="AJ37" s="48"/>
      <c r="AK37" s="30" t="s">
        <v>44</v>
      </c>
      <c r="AL37" s="48"/>
      <c r="AM37" s="11"/>
      <c r="AP37" s="21"/>
    </row>
    <row r="38" spans="1:42" ht="90" x14ac:dyDescent="0.2">
      <c r="A38" s="12"/>
      <c r="B38" s="13"/>
      <c r="C38" s="22" t="s">
        <v>90</v>
      </c>
      <c r="D38" s="140" t="s">
        <v>191</v>
      </c>
      <c r="E38" s="15">
        <v>36</v>
      </c>
      <c r="F38" s="16" t="s">
        <v>231</v>
      </c>
      <c r="G38" s="133">
        <f>74297850*2+M38</f>
        <v>209250700</v>
      </c>
      <c r="H38" s="15">
        <v>12</v>
      </c>
      <c r="I38" s="16" t="s">
        <v>231</v>
      </c>
      <c r="J38" s="18">
        <v>14276000</v>
      </c>
      <c r="K38" s="15">
        <v>12</v>
      </c>
      <c r="L38" s="16" t="s">
        <v>43</v>
      </c>
      <c r="M38" s="19">
        <v>60655000</v>
      </c>
      <c r="N38" s="15">
        <v>3</v>
      </c>
      <c r="O38" s="16" t="str">
        <f t="shared" si="2"/>
        <v>Bln</v>
      </c>
      <c r="P38" s="19">
        <v>4500000</v>
      </c>
      <c r="Q38" s="15">
        <v>3</v>
      </c>
      <c r="R38" s="16" t="str">
        <f t="shared" si="3"/>
        <v>Bln</v>
      </c>
      <c r="S38" s="19">
        <v>6000000</v>
      </c>
      <c r="T38" s="15">
        <v>3</v>
      </c>
      <c r="U38" s="16" t="str">
        <f t="shared" si="4"/>
        <v>Bln</v>
      </c>
      <c r="V38" s="19">
        <v>3000000</v>
      </c>
      <c r="W38" s="15">
        <v>3</v>
      </c>
      <c r="X38" s="16" t="str">
        <f t="shared" si="5"/>
        <v>Bln</v>
      </c>
      <c r="Y38" s="19">
        <v>12602500</v>
      </c>
      <c r="Z38" s="49">
        <f t="shared" si="6"/>
        <v>12</v>
      </c>
      <c r="AA38" s="16" t="str">
        <f t="shared" si="7"/>
        <v>Bln</v>
      </c>
      <c r="AB38" s="49">
        <f t="shared" si="8"/>
        <v>100</v>
      </c>
      <c r="AC38" s="30" t="s">
        <v>44</v>
      </c>
      <c r="AD38" s="36">
        <f t="shared" si="9"/>
        <v>26102500</v>
      </c>
      <c r="AE38" s="48">
        <f t="shared" si="10"/>
        <v>43.034374742395514</v>
      </c>
      <c r="AF38" s="30" t="s">
        <v>44</v>
      </c>
      <c r="AG38" s="49">
        <f t="shared" si="11"/>
        <v>24</v>
      </c>
      <c r="AH38" s="16" t="str">
        <f t="shared" si="12"/>
        <v>Bln</v>
      </c>
      <c r="AI38" s="36">
        <f t="shared" si="0"/>
        <v>40378500</v>
      </c>
      <c r="AJ38" s="48"/>
      <c r="AK38" s="30" t="s">
        <v>44</v>
      </c>
      <c r="AL38" s="48"/>
      <c r="AM38" s="11"/>
      <c r="AP38" s="21"/>
    </row>
    <row r="39" spans="1:42" s="69" customFormat="1" ht="87.75" customHeight="1" x14ac:dyDescent="0.25">
      <c r="A39" s="43">
        <v>29</v>
      </c>
      <c r="B39" s="44" t="s">
        <v>230</v>
      </c>
      <c r="C39" s="165" t="s">
        <v>137</v>
      </c>
      <c r="D39" s="150" t="s">
        <v>198</v>
      </c>
      <c r="E39" s="41">
        <v>100</v>
      </c>
      <c r="F39" s="42" t="s">
        <v>44</v>
      </c>
      <c r="G39" s="38">
        <f>SUM(G42:G44)</f>
        <v>2379331400</v>
      </c>
      <c r="H39" s="41"/>
      <c r="I39" s="42" t="s">
        <v>44</v>
      </c>
      <c r="J39" s="38">
        <f>SUM(J42:J44)</f>
        <v>301350000</v>
      </c>
      <c r="K39" s="41">
        <v>100</v>
      </c>
      <c r="L39" s="42" t="s">
        <v>44</v>
      </c>
      <c r="M39" s="38">
        <f>SUM(M42:M44)</f>
        <v>823380000</v>
      </c>
      <c r="N39" s="41">
        <v>0</v>
      </c>
      <c r="O39" s="42" t="str">
        <f t="shared" si="2"/>
        <v>%</v>
      </c>
      <c r="P39" s="38">
        <f>SUM(P42:P44)</f>
        <v>136125000</v>
      </c>
      <c r="Q39" s="123">
        <v>0</v>
      </c>
      <c r="R39" s="42" t="str">
        <f t="shared" si="3"/>
        <v>%</v>
      </c>
      <c r="S39" s="38">
        <f>SUM(S42:S44)</f>
        <v>103455000</v>
      </c>
      <c r="T39" s="41">
        <v>0</v>
      </c>
      <c r="U39" s="42" t="str">
        <f t="shared" si="4"/>
        <v>%</v>
      </c>
      <c r="V39" s="38">
        <f>SUM(V42:V44)</f>
        <v>184150000</v>
      </c>
      <c r="W39" s="41">
        <v>0</v>
      </c>
      <c r="X39" s="42" t="str">
        <f t="shared" si="5"/>
        <v>%</v>
      </c>
      <c r="Y39" s="38">
        <f>SUM(Y42:Y44)</f>
        <v>163236500</v>
      </c>
      <c r="Z39" s="73">
        <f t="shared" si="6"/>
        <v>0</v>
      </c>
      <c r="AA39" s="42" t="str">
        <f t="shared" si="7"/>
        <v>%</v>
      </c>
      <c r="AB39" s="53">
        <f t="shared" si="8"/>
        <v>0</v>
      </c>
      <c r="AC39" s="52" t="s">
        <v>44</v>
      </c>
      <c r="AD39" s="51">
        <f>SUM(P39,S39,V39,Y39)</f>
        <v>586966500</v>
      </c>
      <c r="AE39" s="50">
        <f>AD39/M39*100</f>
        <v>71.287437149311373</v>
      </c>
      <c r="AF39" s="52" t="s">
        <v>44</v>
      </c>
      <c r="AG39" s="53">
        <f>SUM(H39,Z39)</f>
        <v>0</v>
      </c>
      <c r="AH39" s="42" t="str">
        <f t="shared" si="12"/>
        <v>%</v>
      </c>
      <c r="AI39" s="51">
        <f t="shared" si="0"/>
        <v>888316500</v>
      </c>
      <c r="AJ39" s="50"/>
      <c r="AK39" s="52" t="s">
        <v>44</v>
      </c>
      <c r="AL39" s="50"/>
      <c r="AM39" s="72"/>
      <c r="AP39" s="70"/>
    </row>
    <row r="40" spans="1:42" s="69" customFormat="1" ht="117" customHeight="1" x14ac:dyDescent="0.25">
      <c r="A40" s="12"/>
      <c r="B40" s="13"/>
      <c r="C40" s="166"/>
      <c r="D40" s="124" t="s">
        <v>199</v>
      </c>
      <c r="E40" s="41">
        <v>100</v>
      </c>
      <c r="F40" s="42" t="s">
        <v>44</v>
      </c>
      <c r="G40" s="38">
        <f>G51+G52+G53</f>
        <v>259080500</v>
      </c>
      <c r="H40" s="47"/>
      <c r="I40" s="42" t="s">
        <v>44</v>
      </c>
      <c r="J40" s="38">
        <f>J51+J52+J53</f>
        <v>0</v>
      </c>
      <c r="K40" s="123">
        <v>100</v>
      </c>
      <c r="L40" s="42" t="s">
        <v>44</v>
      </c>
      <c r="M40" s="38">
        <f>M51+M52+M53</f>
        <v>67559600</v>
      </c>
      <c r="N40" s="46">
        <f>1398/7200*100</f>
        <v>19.416666666666664</v>
      </c>
      <c r="O40" s="42" t="str">
        <f t="shared" si="2"/>
        <v>%</v>
      </c>
      <c r="P40" s="38">
        <f>P51+P52+P53</f>
        <v>9000000</v>
      </c>
      <c r="Q40" s="46">
        <f>2382/7200*100</f>
        <v>33.083333333333329</v>
      </c>
      <c r="R40" s="42" t="str">
        <f t="shared" si="3"/>
        <v>%</v>
      </c>
      <c r="S40" s="38">
        <f>S51+S52+S53</f>
        <v>36369600</v>
      </c>
      <c r="T40" s="41">
        <v>0</v>
      </c>
      <c r="U40" s="42" t="str">
        <f t="shared" si="4"/>
        <v>%</v>
      </c>
      <c r="V40" s="38">
        <f>V51+V52+V53</f>
        <v>6000000</v>
      </c>
      <c r="W40" s="41">
        <v>0</v>
      </c>
      <c r="X40" s="42" t="str">
        <f t="shared" si="5"/>
        <v>%</v>
      </c>
      <c r="Y40" s="38">
        <f>Y51+Y52+Y53</f>
        <v>59327100</v>
      </c>
      <c r="Z40" s="50">
        <f t="shared" si="6"/>
        <v>52.499999999999993</v>
      </c>
      <c r="AA40" s="42" t="str">
        <f t="shared" si="7"/>
        <v>%</v>
      </c>
      <c r="AB40" s="53">
        <f t="shared" ref="AB40:AB41" si="13">Z40/K40*100</f>
        <v>52.499999999999993</v>
      </c>
      <c r="AC40" s="52" t="s">
        <v>44</v>
      </c>
      <c r="AD40" s="51">
        <f>SUM(P40,S40,V40,Y40)</f>
        <v>110696700</v>
      </c>
      <c r="AE40" s="50">
        <f t="shared" ref="AE40:AE41" si="14">AD40/M40*100</f>
        <v>163.85043724355975</v>
      </c>
      <c r="AF40" s="52" t="s">
        <v>44</v>
      </c>
      <c r="AG40" s="53">
        <f t="shared" ref="AG40:AG41" si="15">SUM(H40,Z40)</f>
        <v>52.499999999999993</v>
      </c>
      <c r="AH40" s="42" t="str">
        <f t="shared" ref="AH40:AH41" si="16">O40</f>
        <v>%</v>
      </c>
      <c r="AI40" s="51">
        <f t="shared" ref="AI40:AI41" si="17">SUM(J40,AD40)</f>
        <v>110696700</v>
      </c>
      <c r="AJ40" s="50"/>
      <c r="AK40" s="52"/>
      <c r="AL40" s="50"/>
      <c r="AM40" s="72"/>
      <c r="AP40" s="70"/>
    </row>
    <row r="41" spans="1:42" s="69" customFormat="1" ht="63.75" customHeight="1" x14ac:dyDescent="0.25">
      <c r="A41" s="12"/>
      <c r="B41" s="13"/>
      <c r="C41" s="167"/>
      <c r="D41" s="145" t="s">
        <v>200</v>
      </c>
      <c r="E41" s="41">
        <v>100</v>
      </c>
      <c r="F41" s="42" t="s">
        <v>44</v>
      </c>
      <c r="G41" s="38">
        <f>G58+G59+G60</f>
        <v>919138500</v>
      </c>
      <c r="H41" s="41"/>
      <c r="I41" s="42" t="s">
        <v>44</v>
      </c>
      <c r="J41" s="38">
        <f>J58+J59+J60</f>
        <v>0</v>
      </c>
      <c r="K41" s="41">
        <v>100</v>
      </c>
      <c r="L41" s="42" t="s">
        <v>44</v>
      </c>
      <c r="M41" s="38">
        <f>M58+M59+M60</f>
        <v>214063500</v>
      </c>
      <c r="N41" s="41">
        <v>0</v>
      </c>
      <c r="O41" s="42" t="str">
        <f t="shared" si="2"/>
        <v>%</v>
      </c>
      <c r="P41" s="38">
        <f>P58+P59+P60</f>
        <v>9000000</v>
      </c>
      <c r="Q41" s="123">
        <v>100</v>
      </c>
      <c r="R41" s="42" t="str">
        <f t="shared" si="3"/>
        <v>%</v>
      </c>
      <c r="S41" s="38">
        <f>S58+S59+S60</f>
        <v>157725000</v>
      </c>
      <c r="T41" s="41">
        <v>0</v>
      </c>
      <c r="U41" s="42" t="str">
        <f t="shared" si="4"/>
        <v>%</v>
      </c>
      <c r="V41" s="38">
        <f>V58+V59+V60</f>
        <v>124175000</v>
      </c>
      <c r="W41" s="41">
        <v>0</v>
      </c>
      <c r="X41" s="42" t="str">
        <f t="shared" si="5"/>
        <v>%</v>
      </c>
      <c r="Y41" s="38">
        <f>Y58+Y59+Y60</f>
        <v>62788500</v>
      </c>
      <c r="Z41" s="53">
        <f t="shared" si="6"/>
        <v>100</v>
      </c>
      <c r="AA41" s="42" t="str">
        <f t="shared" si="7"/>
        <v>%</v>
      </c>
      <c r="AB41" s="53">
        <f t="shared" si="13"/>
        <v>100</v>
      </c>
      <c r="AC41" s="52" t="s">
        <v>44</v>
      </c>
      <c r="AD41" s="51">
        <f>SUM(P41,S41,V41,Y41)</f>
        <v>353688500</v>
      </c>
      <c r="AE41" s="50">
        <f t="shared" si="14"/>
        <v>165.22597266698901</v>
      </c>
      <c r="AF41" s="52" t="s">
        <v>44</v>
      </c>
      <c r="AG41" s="53">
        <f t="shared" si="15"/>
        <v>100</v>
      </c>
      <c r="AH41" s="42" t="str">
        <f t="shared" si="16"/>
        <v>%</v>
      </c>
      <c r="AI41" s="51">
        <f t="shared" si="17"/>
        <v>353688500</v>
      </c>
      <c r="AJ41" s="50"/>
      <c r="AK41" s="52"/>
      <c r="AL41" s="50"/>
      <c r="AM41" s="72"/>
      <c r="AP41" s="70"/>
    </row>
    <row r="42" spans="1:42" s="69" customFormat="1" ht="63" x14ac:dyDescent="0.25">
      <c r="A42" s="12"/>
      <c r="B42" s="13"/>
      <c r="C42" s="144" t="s">
        <v>94</v>
      </c>
      <c r="D42" s="151" t="s">
        <v>201</v>
      </c>
      <c r="E42" s="41">
        <v>100</v>
      </c>
      <c r="F42" s="42" t="s">
        <v>44</v>
      </c>
      <c r="G42" s="38">
        <f>G45+G46</f>
        <v>66900400</v>
      </c>
      <c r="H42" s="41"/>
      <c r="I42" s="42" t="s">
        <v>44</v>
      </c>
      <c r="J42" s="38">
        <f>J45+J46</f>
        <v>22900000</v>
      </c>
      <c r="K42" s="41">
        <v>100</v>
      </c>
      <c r="L42" s="42" t="s">
        <v>44</v>
      </c>
      <c r="M42" s="38">
        <f>M45+M46</f>
        <v>22300000</v>
      </c>
      <c r="N42" s="41">
        <v>0</v>
      </c>
      <c r="O42" s="42" t="str">
        <f t="shared" si="2"/>
        <v>%</v>
      </c>
      <c r="P42" s="38">
        <f>P45+P46</f>
        <v>0</v>
      </c>
      <c r="Q42" s="41">
        <v>0</v>
      </c>
      <c r="R42" s="42" t="str">
        <f t="shared" si="3"/>
        <v>%</v>
      </c>
      <c r="S42" s="38">
        <f>S45+S46</f>
        <v>0</v>
      </c>
      <c r="T42" s="41">
        <v>0</v>
      </c>
      <c r="U42" s="42" t="str">
        <f t="shared" si="4"/>
        <v>%</v>
      </c>
      <c r="V42" s="38">
        <f>V45+V46</f>
        <v>14925000</v>
      </c>
      <c r="W42" s="41">
        <v>0</v>
      </c>
      <c r="X42" s="42" t="str">
        <f t="shared" si="5"/>
        <v>%</v>
      </c>
      <c r="Y42" s="38">
        <f>Y45+Y46</f>
        <v>800000</v>
      </c>
      <c r="Z42" s="73">
        <f t="shared" si="6"/>
        <v>0</v>
      </c>
      <c r="AA42" s="42" t="str">
        <f t="shared" si="7"/>
        <v>%</v>
      </c>
      <c r="AB42" s="53">
        <f t="shared" si="8"/>
        <v>0</v>
      </c>
      <c r="AC42" s="52" t="s">
        <v>44</v>
      </c>
      <c r="AD42" s="51">
        <f t="shared" ref="AD42:AD44" si="18">SUM(P42,S42,V42,Y42)</f>
        <v>15725000</v>
      </c>
      <c r="AE42" s="50">
        <f>AD42/M42*100</f>
        <v>70.515695067264573</v>
      </c>
      <c r="AF42" s="52" t="s">
        <v>44</v>
      </c>
      <c r="AG42" s="53">
        <f t="shared" si="11"/>
        <v>0</v>
      </c>
      <c r="AH42" s="42" t="str">
        <f t="shared" si="12"/>
        <v>%</v>
      </c>
      <c r="AI42" s="51">
        <f>SUM(J42,AD42)</f>
        <v>38625000</v>
      </c>
      <c r="AJ42" s="50"/>
      <c r="AK42" s="52" t="s">
        <v>44</v>
      </c>
      <c r="AL42" s="50"/>
      <c r="AM42" s="72"/>
      <c r="AP42" s="70"/>
    </row>
    <row r="43" spans="1:42" s="69" customFormat="1" ht="63" x14ac:dyDescent="0.25">
      <c r="A43" s="12"/>
      <c r="B43" s="13"/>
      <c r="C43" s="83"/>
      <c r="D43" s="152" t="s">
        <v>202</v>
      </c>
      <c r="E43" s="41">
        <v>100</v>
      </c>
      <c r="F43" s="42" t="s">
        <v>44</v>
      </c>
      <c r="G43" s="38">
        <f>G47+G48</f>
        <v>467680200</v>
      </c>
      <c r="H43" s="41"/>
      <c r="I43" s="42" t="s">
        <v>44</v>
      </c>
      <c r="J43" s="38">
        <f>J47+J48</f>
        <v>41550000</v>
      </c>
      <c r="K43" s="41">
        <v>100</v>
      </c>
      <c r="L43" s="42" t="s">
        <v>44</v>
      </c>
      <c r="M43" s="38">
        <f>M47+M48</f>
        <v>217480000</v>
      </c>
      <c r="N43" s="41">
        <v>0</v>
      </c>
      <c r="O43" s="42" t="str">
        <f t="shared" si="2"/>
        <v>%</v>
      </c>
      <c r="P43" s="38">
        <f>SUM(P47:P48)</f>
        <v>38325000</v>
      </c>
      <c r="Q43" s="41">
        <v>0</v>
      </c>
      <c r="R43" s="42" t="str">
        <f t="shared" si="3"/>
        <v>%</v>
      </c>
      <c r="S43" s="38">
        <f>SUM(S47:S48)</f>
        <v>3825000</v>
      </c>
      <c r="T43" s="41">
        <v>0</v>
      </c>
      <c r="U43" s="42" t="str">
        <f t="shared" si="4"/>
        <v>%</v>
      </c>
      <c r="V43" s="38">
        <f>SUM(V47:V48)</f>
        <v>25125000</v>
      </c>
      <c r="W43" s="41">
        <v>0</v>
      </c>
      <c r="X43" s="42" t="str">
        <f t="shared" si="5"/>
        <v>%</v>
      </c>
      <c r="Y43" s="38">
        <f>SUM(Y47:Y48)</f>
        <v>26977500</v>
      </c>
      <c r="Z43" s="73">
        <f t="shared" si="6"/>
        <v>0</v>
      </c>
      <c r="AA43" s="42" t="s">
        <v>44</v>
      </c>
      <c r="AB43" s="53">
        <f t="shared" ref="AB43:AB44" si="19">Z43/K43*100</f>
        <v>0</v>
      </c>
      <c r="AC43" s="52" t="s">
        <v>44</v>
      </c>
      <c r="AD43" s="51">
        <f>SUM(P43,S43,V43,Y43)</f>
        <v>94252500</v>
      </c>
      <c r="AE43" s="50">
        <f t="shared" ref="AE43:AE44" si="20">AD43/M43*100</f>
        <v>43.338467905094717</v>
      </c>
      <c r="AF43" s="52" t="s">
        <v>44</v>
      </c>
      <c r="AG43" s="53">
        <f t="shared" ref="AG43:AG44" si="21">SUM(H43,Z43)</f>
        <v>0</v>
      </c>
      <c r="AH43" s="42" t="str">
        <f t="shared" ref="AH43:AH44" si="22">O43</f>
        <v>%</v>
      </c>
      <c r="AI43" s="51">
        <f t="shared" ref="AI43:AI44" si="23">SUM(J43,AD43)</f>
        <v>135802500</v>
      </c>
      <c r="AJ43" s="50"/>
      <c r="AK43" s="52"/>
      <c r="AL43" s="50"/>
      <c r="AM43" s="72"/>
      <c r="AP43" s="70"/>
    </row>
    <row r="44" spans="1:42" s="69" customFormat="1" ht="63" x14ac:dyDescent="0.25">
      <c r="A44" s="12"/>
      <c r="B44" s="13"/>
      <c r="C44" s="98"/>
      <c r="D44" s="152" t="s">
        <v>203</v>
      </c>
      <c r="E44" s="41">
        <v>100</v>
      </c>
      <c r="F44" s="42" t="s">
        <v>44</v>
      </c>
      <c r="G44" s="38">
        <f>G49+G50</f>
        <v>1844750800</v>
      </c>
      <c r="H44" s="41"/>
      <c r="I44" s="42" t="s">
        <v>44</v>
      </c>
      <c r="J44" s="38">
        <f>J49+J50</f>
        <v>236900000</v>
      </c>
      <c r="K44" s="41">
        <v>100</v>
      </c>
      <c r="L44" s="42" t="s">
        <v>44</v>
      </c>
      <c r="M44" s="38">
        <f>M49+M50</f>
        <v>583600000</v>
      </c>
      <c r="N44" s="41">
        <v>0</v>
      </c>
      <c r="O44" s="42" t="str">
        <f t="shared" si="2"/>
        <v>%</v>
      </c>
      <c r="P44" s="38">
        <f>SUM(P49:P50)</f>
        <v>97800000</v>
      </c>
      <c r="Q44" s="41">
        <v>0</v>
      </c>
      <c r="R44" s="42" t="str">
        <f t="shared" si="3"/>
        <v>%</v>
      </c>
      <c r="S44" s="38">
        <f>SUM(S49:S50)</f>
        <v>99630000</v>
      </c>
      <c r="T44" s="41">
        <v>0</v>
      </c>
      <c r="U44" s="42" t="str">
        <f t="shared" si="4"/>
        <v>%</v>
      </c>
      <c r="V44" s="38">
        <f>SUM(V49:V50)</f>
        <v>144100000</v>
      </c>
      <c r="W44" s="41">
        <v>0</v>
      </c>
      <c r="X44" s="42" t="str">
        <f t="shared" si="5"/>
        <v>%</v>
      </c>
      <c r="Y44" s="38">
        <f>SUM(Y49:Y50)</f>
        <v>135459000</v>
      </c>
      <c r="Z44" s="73">
        <f t="shared" si="6"/>
        <v>0</v>
      </c>
      <c r="AA44" s="42" t="s">
        <v>44</v>
      </c>
      <c r="AB44" s="53">
        <f t="shared" si="19"/>
        <v>0</v>
      </c>
      <c r="AC44" s="52" t="s">
        <v>44</v>
      </c>
      <c r="AD44" s="51">
        <f t="shared" si="18"/>
        <v>476989000</v>
      </c>
      <c r="AE44" s="50">
        <f t="shared" si="20"/>
        <v>81.732179575051404</v>
      </c>
      <c r="AF44" s="52" t="s">
        <v>44</v>
      </c>
      <c r="AG44" s="53">
        <f t="shared" si="21"/>
        <v>0</v>
      </c>
      <c r="AH44" s="42" t="str">
        <f t="shared" si="22"/>
        <v>%</v>
      </c>
      <c r="AI44" s="51">
        <f t="shared" si="23"/>
        <v>713889000</v>
      </c>
      <c r="AJ44" s="50"/>
      <c r="AK44" s="52"/>
      <c r="AL44" s="50"/>
      <c r="AM44" s="72"/>
      <c r="AP44" s="70"/>
    </row>
    <row r="45" spans="1:42" ht="60" customHeight="1" x14ac:dyDescent="0.2">
      <c r="A45" s="12"/>
      <c r="B45" s="13"/>
      <c r="C45" s="22" t="s">
        <v>95</v>
      </c>
      <c r="D45" s="142" t="s">
        <v>192</v>
      </c>
      <c r="E45" s="15">
        <v>6</v>
      </c>
      <c r="F45" s="16" t="s">
        <v>42</v>
      </c>
      <c r="G45" s="134">
        <f>11150100*2+M45</f>
        <v>33450200</v>
      </c>
      <c r="H45" s="15">
        <v>4</v>
      </c>
      <c r="I45" s="16" t="s">
        <v>42</v>
      </c>
      <c r="J45" s="19">
        <v>22900000</v>
      </c>
      <c r="K45" s="15">
        <v>2</v>
      </c>
      <c r="L45" s="16" t="s">
        <v>42</v>
      </c>
      <c r="M45" s="19">
        <v>11150000</v>
      </c>
      <c r="N45" s="15">
        <v>0</v>
      </c>
      <c r="O45" s="16" t="str">
        <f t="shared" si="2"/>
        <v>Dok</v>
      </c>
      <c r="P45" s="19">
        <v>0</v>
      </c>
      <c r="Q45" s="15">
        <v>0</v>
      </c>
      <c r="R45" s="16" t="str">
        <f t="shared" si="3"/>
        <v>Dok</v>
      </c>
      <c r="S45" s="19">
        <v>0</v>
      </c>
      <c r="T45" s="15">
        <v>2</v>
      </c>
      <c r="U45" s="16" t="str">
        <f t="shared" si="4"/>
        <v>Dok</v>
      </c>
      <c r="V45" s="19">
        <v>8475000</v>
      </c>
      <c r="W45" s="15">
        <v>0</v>
      </c>
      <c r="X45" s="16" t="str">
        <f t="shared" si="5"/>
        <v>Dok</v>
      </c>
      <c r="Y45" s="19">
        <v>0</v>
      </c>
      <c r="Z45" s="49">
        <f t="shared" si="6"/>
        <v>2</v>
      </c>
      <c r="AA45" s="16" t="str">
        <f t="shared" si="7"/>
        <v>Dok</v>
      </c>
      <c r="AB45" s="48">
        <f t="shared" si="8"/>
        <v>100</v>
      </c>
      <c r="AC45" s="30" t="s">
        <v>44</v>
      </c>
      <c r="AD45" s="36">
        <f t="shared" si="9"/>
        <v>8475000</v>
      </c>
      <c r="AE45" s="48">
        <f t="shared" si="10"/>
        <v>76.008968609865462</v>
      </c>
      <c r="AF45" s="30" t="s">
        <v>44</v>
      </c>
      <c r="AG45" s="49">
        <f t="shared" si="11"/>
        <v>6</v>
      </c>
      <c r="AH45" s="16" t="str">
        <f t="shared" si="12"/>
        <v>Dok</v>
      </c>
      <c r="AI45" s="36">
        <f t="shared" ref="AI45:AI51" si="24">SUM(J45,AD45)</f>
        <v>31375000</v>
      </c>
      <c r="AJ45" s="48"/>
      <c r="AK45" s="30" t="s">
        <v>44</v>
      </c>
      <c r="AL45" s="48"/>
      <c r="AM45" s="11"/>
      <c r="AP45" s="21"/>
    </row>
    <row r="46" spans="1:42" ht="60" x14ac:dyDescent="0.2">
      <c r="A46" s="12"/>
      <c r="B46" s="13"/>
      <c r="C46" s="22" t="s">
        <v>96</v>
      </c>
      <c r="D46" s="143" t="s">
        <v>193</v>
      </c>
      <c r="E46" s="15">
        <v>6</v>
      </c>
      <c r="F46" s="16" t="s">
        <v>42</v>
      </c>
      <c r="G46" s="135">
        <f>11150100*2+M46</f>
        <v>33450200</v>
      </c>
      <c r="H46" s="15"/>
      <c r="I46" s="16"/>
      <c r="J46" s="18"/>
      <c r="K46" s="15">
        <v>2</v>
      </c>
      <c r="L46" s="16" t="s">
        <v>42</v>
      </c>
      <c r="M46" s="19">
        <v>11150000</v>
      </c>
      <c r="N46" s="15">
        <v>0</v>
      </c>
      <c r="O46" s="16" t="str">
        <f t="shared" si="2"/>
        <v>Dok</v>
      </c>
      <c r="P46" s="19">
        <v>0</v>
      </c>
      <c r="Q46" s="15">
        <v>0</v>
      </c>
      <c r="R46" s="16" t="str">
        <f t="shared" si="3"/>
        <v>Dok</v>
      </c>
      <c r="S46" s="19">
        <v>0</v>
      </c>
      <c r="T46" s="15">
        <v>2</v>
      </c>
      <c r="U46" s="16" t="str">
        <f t="shared" si="4"/>
        <v>Dok</v>
      </c>
      <c r="V46" s="19">
        <v>6450000</v>
      </c>
      <c r="W46" s="15">
        <v>0</v>
      </c>
      <c r="X46" s="16" t="str">
        <f t="shared" si="5"/>
        <v>Dok</v>
      </c>
      <c r="Y46" s="19">
        <v>800000</v>
      </c>
      <c r="Z46" s="49">
        <f t="shared" si="6"/>
        <v>2</v>
      </c>
      <c r="AA46" s="16" t="str">
        <f t="shared" si="7"/>
        <v>Dok</v>
      </c>
      <c r="AB46" s="48">
        <f t="shared" si="8"/>
        <v>100</v>
      </c>
      <c r="AC46" s="30" t="s">
        <v>44</v>
      </c>
      <c r="AD46" s="36">
        <f t="shared" si="9"/>
        <v>7250000</v>
      </c>
      <c r="AE46" s="48">
        <f t="shared" si="10"/>
        <v>65.02242152466367</v>
      </c>
      <c r="AF46" s="30" t="s">
        <v>44</v>
      </c>
      <c r="AG46" s="49">
        <f t="shared" si="11"/>
        <v>2</v>
      </c>
      <c r="AH46" s="16" t="str">
        <f t="shared" si="12"/>
        <v>Dok</v>
      </c>
      <c r="AI46" s="36">
        <f t="shared" si="24"/>
        <v>7250000</v>
      </c>
      <c r="AJ46" s="48"/>
      <c r="AK46" s="30" t="s">
        <v>44</v>
      </c>
      <c r="AL46" s="48"/>
      <c r="AM46" s="11"/>
      <c r="AP46" s="21"/>
    </row>
    <row r="47" spans="1:42" ht="60" x14ac:dyDescent="0.2">
      <c r="A47" s="12"/>
      <c r="B47" s="13"/>
      <c r="C47" s="22" t="s">
        <v>97</v>
      </c>
      <c r="D47" s="143" t="s">
        <v>194</v>
      </c>
      <c r="E47" s="15">
        <v>118</v>
      </c>
      <c r="F47" s="16" t="s">
        <v>42</v>
      </c>
      <c r="G47" s="134">
        <f>105425100*2+M47</f>
        <v>379850200</v>
      </c>
      <c r="H47" s="40"/>
      <c r="I47" s="16"/>
      <c r="J47" s="18"/>
      <c r="K47" s="15">
        <v>38</v>
      </c>
      <c r="L47" s="16" t="s">
        <v>42</v>
      </c>
      <c r="M47" s="19">
        <v>169000000</v>
      </c>
      <c r="N47" s="15">
        <v>0</v>
      </c>
      <c r="O47" s="16" t="str">
        <f t="shared" si="2"/>
        <v>Dok</v>
      </c>
      <c r="P47" s="19">
        <v>33100000</v>
      </c>
      <c r="Q47" s="15">
        <v>0</v>
      </c>
      <c r="R47" s="16" t="str">
        <f t="shared" si="3"/>
        <v>Dok</v>
      </c>
      <c r="S47" s="19">
        <v>1875000</v>
      </c>
      <c r="T47" s="15">
        <v>38</v>
      </c>
      <c r="U47" s="16" t="str">
        <f t="shared" si="4"/>
        <v>Dok</v>
      </c>
      <c r="V47" s="19">
        <v>25125000</v>
      </c>
      <c r="W47" s="15">
        <v>0</v>
      </c>
      <c r="X47" s="16" t="str">
        <f t="shared" si="5"/>
        <v>Dok</v>
      </c>
      <c r="Y47" s="19">
        <v>8000000</v>
      </c>
      <c r="Z47" s="49">
        <f t="shared" si="6"/>
        <v>38</v>
      </c>
      <c r="AA47" s="16" t="str">
        <f t="shared" si="7"/>
        <v>Dok</v>
      </c>
      <c r="AB47" s="48">
        <f t="shared" si="8"/>
        <v>100</v>
      </c>
      <c r="AC47" s="30" t="s">
        <v>44</v>
      </c>
      <c r="AD47" s="36">
        <f t="shared" si="9"/>
        <v>68100000</v>
      </c>
      <c r="AE47" s="48">
        <f t="shared" si="10"/>
        <v>40.295857988165679</v>
      </c>
      <c r="AF47" s="30" t="s">
        <v>44</v>
      </c>
      <c r="AG47" s="49">
        <f t="shared" si="11"/>
        <v>38</v>
      </c>
      <c r="AH47" s="16" t="str">
        <f t="shared" si="12"/>
        <v>Dok</v>
      </c>
      <c r="AI47" s="36">
        <f t="shared" si="24"/>
        <v>68100000</v>
      </c>
      <c r="AJ47" s="48"/>
      <c r="AK47" s="30" t="s">
        <v>44</v>
      </c>
      <c r="AL47" s="48"/>
      <c r="AM47" s="11"/>
      <c r="AP47" s="21"/>
    </row>
    <row r="48" spans="1:42" ht="60" x14ac:dyDescent="0.2">
      <c r="A48" s="12"/>
      <c r="B48" s="13"/>
      <c r="C48" s="22" t="s">
        <v>98</v>
      </c>
      <c r="D48" s="143" t="s">
        <v>195</v>
      </c>
      <c r="E48" s="15">
        <v>118</v>
      </c>
      <c r="F48" s="16" t="s">
        <v>42</v>
      </c>
      <c r="G48" s="135">
        <f>19675000*2+M48</f>
        <v>87830000</v>
      </c>
      <c r="H48" s="15">
        <v>370</v>
      </c>
      <c r="I48" s="16" t="s">
        <v>42</v>
      </c>
      <c r="J48" s="19">
        <v>41550000</v>
      </c>
      <c r="K48" s="15">
        <v>38</v>
      </c>
      <c r="L48" s="16" t="s">
        <v>42</v>
      </c>
      <c r="M48" s="19">
        <v>48480000</v>
      </c>
      <c r="N48" s="15">
        <v>0</v>
      </c>
      <c r="O48" s="16" t="str">
        <f t="shared" si="2"/>
        <v>Dok</v>
      </c>
      <c r="P48" s="19">
        <v>5225000</v>
      </c>
      <c r="Q48" s="15">
        <v>0</v>
      </c>
      <c r="R48" s="16" t="str">
        <f t="shared" si="3"/>
        <v>Dok</v>
      </c>
      <c r="S48" s="19">
        <v>1950000</v>
      </c>
      <c r="T48" s="15">
        <v>0</v>
      </c>
      <c r="U48" s="16" t="str">
        <f t="shared" si="4"/>
        <v>Dok</v>
      </c>
      <c r="V48" s="19">
        <v>0</v>
      </c>
      <c r="W48" s="15">
        <v>38</v>
      </c>
      <c r="X48" s="16" t="str">
        <f t="shared" si="5"/>
        <v>Dok</v>
      </c>
      <c r="Y48" s="19">
        <v>18977500</v>
      </c>
      <c r="Z48" s="49">
        <f t="shared" si="6"/>
        <v>38</v>
      </c>
      <c r="AA48" s="16" t="str">
        <f t="shared" si="7"/>
        <v>Dok</v>
      </c>
      <c r="AB48" s="48">
        <f t="shared" si="8"/>
        <v>100</v>
      </c>
      <c r="AC48" s="30" t="s">
        <v>44</v>
      </c>
      <c r="AD48" s="36">
        <f t="shared" si="9"/>
        <v>26152500</v>
      </c>
      <c r="AE48" s="48">
        <f t="shared" si="10"/>
        <v>53.944925742574256</v>
      </c>
      <c r="AF48" s="30" t="s">
        <v>44</v>
      </c>
      <c r="AG48" s="49">
        <f t="shared" si="11"/>
        <v>408</v>
      </c>
      <c r="AH48" s="16" t="str">
        <f t="shared" si="12"/>
        <v>Dok</v>
      </c>
      <c r="AI48" s="36">
        <f t="shared" si="24"/>
        <v>67702500</v>
      </c>
      <c r="AJ48" s="48"/>
      <c r="AK48" s="30" t="s">
        <v>44</v>
      </c>
      <c r="AL48" s="48"/>
      <c r="AM48" s="11"/>
      <c r="AP48" s="21"/>
    </row>
    <row r="49" spans="1:42" ht="90" x14ac:dyDescent="0.2">
      <c r="A49" s="12"/>
      <c r="B49" s="13"/>
      <c r="C49" s="22" t="s">
        <v>99</v>
      </c>
      <c r="D49" s="143" t="s">
        <v>196</v>
      </c>
      <c r="E49" s="15">
        <v>6</v>
      </c>
      <c r="F49" s="16" t="s">
        <v>42</v>
      </c>
      <c r="G49" s="135">
        <f>309237650*2+M49</f>
        <v>908450300</v>
      </c>
      <c r="H49" s="15">
        <v>6</v>
      </c>
      <c r="I49" s="16" t="s">
        <v>42</v>
      </c>
      <c r="J49" s="19">
        <v>116750000</v>
      </c>
      <c r="K49" s="15">
        <v>2</v>
      </c>
      <c r="L49" s="16" t="s">
        <v>42</v>
      </c>
      <c r="M49" s="19">
        <v>289975000</v>
      </c>
      <c r="N49" s="15">
        <v>0</v>
      </c>
      <c r="O49" s="16" t="str">
        <f t="shared" si="2"/>
        <v>Dok</v>
      </c>
      <c r="P49" s="19">
        <v>0</v>
      </c>
      <c r="Q49" s="15">
        <v>0</v>
      </c>
      <c r="R49" s="16" t="str">
        <f t="shared" si="3"/>
        <v>Dok</v>
      </c>
      <c r="S49" s="19">
        <v>0</v>
      </c>
      <c r="T49" s="15">
        <v>1</v>
      </c>
      <c r="U49" s="16" t="str">
        <f t="shared" si="4"/>
        <v>Dok</v>
      </c>
      <c r="V49" s="19">
        <v>119600000</v>
      </c>
      <c r="W49" s="15">
        <v>1</v>
      </c>
      <c r="X49" s="16" t="str">
        <f t="shared" si="5"/>
        <v>Dok</v>
      </c>
      <c r="Y49" s="19">
        <v>106120000</v>
      </c>
      <c r="Z49" s="49">
        <f t="shared" si="6"/>
        <v>2</v>
      </c>
      <c r="AA49" s="16" t="str">
        <f t="shared" si="7"/>
        <v>Dok</v>
      </c>
      <c r="AB49" s="48">
        <f t="shared" si="8"/>
        <v>100</v>
      </c>
      <c r="AC49" s="30" t="s">
        <v>44</v>
      </c>
      <c r="AD49" s="36">
        <f t="shared" si="9"/>
        <v>225720000</v>
      </c>
      <c r="AE49" s="48">
        <f t="shared" si="10"/>
        <v>77.841193206310891</v>
      </c>
      <c r="AF49" s="30" t="s">
        <v>44</v>
      </c>
      <c r="AG49" s="49">
        <f t="shared" si="11"/>
        <v>8</v>
      </c>
      <c r="AH49" s="16" t="str">
        <f t="shared" si="12"/>
        <v>Dok</v>
      </c>
      <c r="AI49" s="36">
        <f t="shared" si="24"/>
        <v>342470000</v>
      </c>
      <c r="AJ49" s="48"/>
      <c r="AK49" s="30" t="s">
        <v>44</v>
      </c>
      <c r="AL49" s="48"/>
      <c r="AM49" s="11"/>
      <c r="AP49" s="21"/>
    </row>
    <row r="50" spans="1:42" ht="120" x14ac:dyDescent="0.2">
      <c r="A50" s="12"/>
      <c r="B50" s="13"/>
      <c r="C50" s="22" t="s">
        <v>100</v>
      </c>
      <c r="D50" s="143" t="s">
        <v>197</v>
      </c>
      <c r="E50" s="15">
        <v>6</v>
      </c>
      <c r="F50" s="16" t="s">
        <v>42</v>
      </c>
      <c r="G50" s="135">
        <f>321337750*2+M50</f>
        <v>936300500</v>
      </c>
      <c r="H50" s="15">
        <v>6</v>
      </c>
      <c r="I50" s="16" t="s">
        <v>42</v>
      </c>
      <c r="J50" s="19">
        <v>120150000</v>
      </c>
      <c r="K50" s="15">
        <v>2</v>
      </c>
      <c r="L50" s="16" t="s">
        <v>42</v>
      </c>
      <c r="M50" s="19">
        <v>293625000</v>
      </c>
      <c r="N50" s="15">
        <v>0</v>
      </c>
      <c r="O50" s="16" t="str">
        <f t="shared" si="2"/>
        <v>Dok</v>
      </c>
      <c r="P50" s="19">
        <v>97800000</v>
      </c>
      <c r="Q50" s="15">
        <v>0</v>
      </c>
      <c r="R50" s="16" t="str">
        <f t="shared" si="3"/>
        <v>Dok</v>
      </c>
      <c r="S50" s="19">
        <f>197430000-P50</f>
        <v>99630000</v>
      </c>
      <c r="T50" s="15">
        <v>1</v>
      </c>
      <c r="U50" s="16" t="str">
        <f t="shared" si="4"/>
        <v>Dok</v>
      </c>
      <c r="V50" s="19">
        <v>24500000</v>
      </c>
      <c r="W50" s="15">
        <v>1</v>
      </c>
      <c r="X50" s="16" t="str">
        <f t="shared" si="5"/>
        <v>Dok</v>
      </c>
      <c r="Y50" s="19">
        <v>29339000</v>
      </c>
      <c r="Z50" s="49">
        <f t="shared" si="6"/>
        <v>2</v>
      </c>
      <c r="AA50" s="16" t="str">
        <f t="shared" si="7"/>
        <v>Dok</v>
      </c>
      <c r="AB50" s="48">
        <f t="shared" si="8"/>
        <v>100</v>
      </c>
      <c r="AC50" s="30" t="s">
        <v>44</v>
      </c>
      <c r="AD50" s="36">
        <f t="shared" si="9"/>
        <v>251269000</v>
      </c>
      <c r="AE50" s="48">
        <f t="shared" si="10"/>
        <v>85.574797786292038</v>
      </c>
      <c r="AF50" s="30" t="s">
        <v>44</v>
      </c>
      <c r="AG50" s="49">
        <f t="shared" si="11"/>
        <v>8</v>
      </c>
      <c r="AH50" s="16" t="str">
        <f t="shared" si="12"/>
        <v>Dok</v>
      </c>
      <c r="AI50" s="36">
        <f t="shared" si="24"/>
        <v>371419000</v>
      </c>
      <c r="AJ50" s="48"/>
      <c r="AK50" s="30" t="s">
        <v>44</v>
      </c>
      <c r="AL50" s="48"/>
      <c r="AM50" s="11"/>
      <c r="AP50" s="21"/>
    </row>
    <row r="51" spans="1:42" s="69" customFormat="1" ht="94.5" x14ac:dyDescent="0.25">
      <c r="A51" s="12"/>
      <c r="B51" s="13"/>
      <c r="C51" s="144" t="s">
        <v>101</v>
      </c>
      <c r="D51" s="97" t="s">
        <v>204</v>
      </c>
      <c r="E51" s="99">
        <v>100</v>
      </c>
      <c r="F51" s="113" t="s">
        <v>44</v>
      </c>
      <c r="G51" s="103">
        <f>G55</f>
        <v>154020300</v>
      </c>
      <c r="H51" s="99"/>
      <c r="I51" s="113"/>
      <c r="J51" s="103"/>
      <c r="K51" s="99">
        <v>100</v>
      </c>
      <c r="L51" s="113" t="s">
        <v>44</v>
      </c>
      <c r="M51" s="103">
        <f>M55</f>
        <v>19260000</v>
      </c>
      <c r="N51" s="163">
        <f>3/12*100</f>
        <v>25</v>
      </c>
      <c r="O51" s="113" t="str">
        <f t="shared" si="2"/>
        <v>%</v>
      </c>
      <c r="P51" s="103">
        <f>SUM(P54:P57)</f>
        <v>4500000</v>
      </c>
      <c r="Q51" s="163">
        <f>3/12*100</f>
        <v>25</v>
      </c>
      <c r="R51" s="113" t="str">
        <f t="shared" si="3"/>
        <v>%</v>
      </c>
      <c r="S51" s="38">
        <f>SUM(S54:S57)</f>
        <v>20297300</v>
      </c>
      <c r="T51" s="163">
        <f>3/12*100</f>
        <v>25</v>
      </c>
      <c r="U51" s="42" t="str">
        <f t="shared" si="4"/>
        <v>%</v>
      </c>
      <c r="V51" s="38">
        <f>SUM(V54:V57)</f>
        <v>3000000</v>
      </c>
      <c r="W51" s="163">
        <f>3/12*100</f>
        <v>25</v>
      </c>
      <c r="X51" s="42" t="str">
        <f t="shared" si="5"/>
        <v>%</v>
      </c>
      <c r="Y51" s="38">
        <f>SUM(Y54:Y57)</f>
        <v>35862300</v>
      </c>
      <c r="Z51" s="53">
        <f t="shared" si="6"/>
        <v>100</v>
      </c>
      <c r="AA51" s="42" t="str">
        <f t="shared" si="7"/>
        <v>%</v>
      </c>
      <c r="AB51" s="53">
        <f t="shared" si="8"/>
        <v>100</v>
      </c>
      <c r="AC51" s="52" t="s">
        <v>44</v>
      </c>
      <c r="AD51" s="51">
        <f t="shared" si="9"/>
        <v>63659600</v>
      </c>
      <c r="AE51" s="50">
        <f t="shared" si="10"/>
        <v>330.527518172378</v>
      </c>
      <c r="AF51" s="52" t="s">
        <v>44</v>
      </c>
      <c r="AG51" s="53">
        <f t="shared" si="11"/>
        <v>100</v>
      </c>
      <c r="AH51" s="42" t="str">
        <f t="shared" si="12"/>
        <v>%</v>
      </c>
      <c r="AI51" s="51">
        <f t="shared" si="24"/>
        <v>63659600</v>
      </c>
      <c r="AJ51" s="50"/>
      <c r="AK51" s="52" t="s">
        <v>44</v>
      </c>
      <c r="AL51" s="50"/>
      <c r="AM51" s="72"/>
      <c r="AP51" s="70"/>
    </row>
    <row r="52" spans="1:42" s="69" customFormat="1" ht="63" x14ac:dyDescent="0.25">
      <c r="A52" s="12"/>
      <c r="B52" s="13"/>
      <c r="C52" s="83"/>
      <c r="D52" s="97" t="s">
        <v>205</v>
      </c>
      <c r="E52" s="99">
        <v>100</v>
      </c>
      <c r="F52" s="113" t="s">
        <v>44</v>
      </c>
      <c r="G52" s="103">
        <f>G57</f>
        <v>63670100</v>
      </c>
      <c r="H52" s="99"/>
      <c r="I52" s="113"/>
      <c r="J52" s="103"/>
      <c r="K52" s="99">
        <v>100</v>
      </c>
      <c r="L52" s="113" t="s">
        <v>44</v>
      </c>
      <c r="M52" s="103">
        <f>M57</f>
        <v>23419800</v>
      </c>
      <c r="N52" s="163">
        <f>1/4*100</f>
        <v>25</v>
      </c>
      <c r="O52" s="113" t="str">
        <f t="shared" si="2"/>
        <v>%</v>
      </c>
      <c r="P52" s="103">
        <f>P57</f>
        <v>0</v>
      </c>
      <c r="Q52" s="163">
        <f>1/4*100</f>
        <v>25</v>
      </c>
      <c r="R52" s="113" t="str">
        <f t="shared" si="3"/>
        <v>%</v>
      </c>
      <c r="S52" s="38">
        <f>S57</f>
        <v>7009800</v>
      </c>
      <c r="T52" s="163">
        <f>1/4*100</f>
        <v>25</v>
      </c>
      <c r="U52" s="42" t="str">
        <f t="shared" si="4"/>
        <v>%</v>
      </c>
      <c r="V52" s="38">
        <f>V57</f>
        <v>0</v>
      </c>
      <c r="W52" s="163">
        <f>1/4*100</f>
        <v>25</v>
      </c>
      <c r="X52" s="42" t="str">
        <f t="shared" si="5"/>
        <v>%</v>
      </c>
      <c r="Y52" s="38">
        <f>Y57</f>
        <v>16410000</v>
      </c>
      <c r="Z52" s="53">
        <f t="shared" ref="Z52:Z53" si="25">SUM(N52,Q52,T52,W52)</f>
        <v>100</v>
      </c>
      <c r="AA52" s="42" t="str">
        <f t="shared" ref="AA52:AA53" si="26">L52</f>
        <v>%</v>
      </c>
      <c r="AB52" s="53">
        <f t="shared" ref="AB52:AB53" si="27">Z52/K52*100</f>
        <v>100</v>
      </c>
      <c r="AC52" s="52" t="s">
        <v>44</v>
      </c>
      <c r="AD52" s="51">
        <f t="shared" ref="AD52:AD53" si="28">SUM(P52,S52,V52,Y52)</f>
        <v>23419800</v>
      </c>
      <c r="AE52" s="50">
        <f t="shared" ref="AE52:AE53" si="29">AD52/M52*100</f>
        <v>100</v>
      </c>
      <c r="AF52" s="52" t="s">
        <v>44</v>
      </c>
      <c r="AG52" s="53">
        <f t="shared" ref="AG52:AG53" si="30">SUM(H52,Z52)</f>
        <v>100</v>
      </c>
      <c r="AH52" s="42" t="str">
        <f t="shared" ref="AH52:AH53" si="31">O52</f>
        <v>%</v>
      </c>
      <c r="AI52" s="51">
        <f>SUM(J52,AD52)</f>
        <v>23419800</v>
      </c>
      <c r="AJ52" s="50"/>
      <c r="AK52" s="52"/>
      <c r="AL52" s="50"/>
      <c r="AM52" s="72"/>
      <c r="AP52" s="70"/>
    </row>
    <row r="53" spans="1:42" s="69" customFormat="1" ht="47.25" x14ac:dyDescent="0.25">
      <c r="A53" s="12"/>
      <c r="B53" s="13"/>
      <c r="C53" s="98"/>
      <c r="D53" s="144" t="s">
        <v>206</v>
      </c>
      <c r="E53" s="99">
        <v>100</v>
      </c>
      <c r="F53" s="113" t="s">
        <v>44</v>
      </c>
      <c r="G53" s="103">
        <f>G54+G56</f>
        <v>41390100</v>
      </c>
      <c r="H53" s="99"/>
      <c r="I53" s="113"/>
      <c r="J53" s="103"/>
      <c r="K53" s="99">
        <v>100</v>
      </c>
      <c r="L53" s="113" t="s">
        <v>44</v>
      </c>
      <c r="M53" s="103">
        <f>M54+M56</f>
        <v>24879800</v>
      </c>
      <c r="N53" s="117">
        <f>P65/M65*100</f>
        <v>17.121476217981936</v>
      </c>
      <c r="O53" s="113" t="str">
        <f t="shared" si="2"/>
        <v>%</v>
      </c>
      <c r="P53" s="103">
        <f>P54+P56</f>
        <v>4500000</v>
      </c>
      <c r="Q53" s="117">
        <f>S65/M65*100</f>
        <v>0.92280666685132418</v>
      </c>
      <c r="R53" s="113" t="str">
        <f t="shared" si="3"/>
        <v>%</v>
      </c>
      <c r="S53" s="38">
        <f>S54+S56</f>
        <v>9062500</v>
      </c>
      <c r="T53" s="117">
        <f>V65/M65*100</f>
        <v>15.736266044207648</v>
      </c>
      <c r="U53" s="42" t="str">
        <f t="shared" si="4"/>
        <v>%</v>
      </c>
      <c r="V53" s="38">
        <f>V54+V56</f>
        <v>3000000</v>
      </c>
      <c r="W53" s="117">
        <f>Y65/P65*100</f>
        <v>24.890599130822753</v>
      </c>
      <c r="X53" s="42" t="str">
        <f t="shared" si="5"/>
        <v>%</v>
      </c>
      <c r="Y53" s="38">
        <f>Y54+Y56</f>
        <v>7054800</v>
      </c>
      <c r="Z53" s="50">
        <f t="shared" si="25"/>
        <v>58.671148059863668</v>
      </c>
      <c r="AA53" s="42" t="str">
        <f t="shared" si="26"/>
        <v>%</v>
      </c>
      <c r="AB53" s="50">
        <f t="shared" si="27"/>
        <v>58.671148059863668</v>
      </c>
      <c r="AC53" s="52" t="s">
        <v>44</v>
      </c>
      <c r="AD53" s="51">
        <f t="shared" si="28"/>
        <v>23617300</v>
      </c>
      <c r="AE53" s="50">
        <f t="shared" si="29"/>
        <v>94.925602295838402</v>
      </c>
      <c r="AF53" s="52" t="s">
        <v>44</v>
      </c>
      <c r="AG53" s="53">
        <f t="shared" si="30"/>
        <v>58.671148059863668</v>
      </c>
      <c r="AH53" s="42" t="str">
        <f t="shared" si="31"/>
        <v>%</v>
      </c>
      <c r="AI53" s="51">
        <f t="shared" ref="AI53" si="32">SUM(J53,AD53)</f>
        <v>23617300</v>
      </c>
      <c r="AJ53" s="50"/>
      <c r="AK53" s="52"/>
      <c r="AL53" s="50"/>
      <c r="AM53" s="72"/>
      <c r="AP53" s="70"/>
    </row>
    <row r="54" spans="1:42" ht="60" x14ac:dyDescent="0.2">
      <c r="A54" s="12"/>
      <c r="B54" s="13"/>
      <c r="C54" s="22" t="s">
        <v>102</v>
      </c>
      <c r="D54" s="25" t="s">
        <v>207</v>
      </c>
      <c r="E54" s="15">
        <v>3</v>
      </c>
      <c r="F54" s="16" t="s">
        <v>91</v>
      </c>
      <c r="G54" s="135">
        <f>4519900*2+M54</f>
        <v>13559600</v>
      </c>
      <c r="H54" s="40"/>
      <c r="I54" s="16"/>
      <c r="J54" s="18"/>
      <c r="K54" s="15">
        <v>1</v>
      </c>
      <c r="L54" s="16" t="s">
        <v>91</v>
      </c>
      <c r="M54" s="19">
        <v>4519800</v>
      </c>
      <c r="N54" s="15">
        <v>0</v>
      </c>
      <c r="O54" s="16" t="str">
        <f t="shared" si="2"/>
        <v>Lap</v>
      </c>
      <c r="P54" s="19">
        <v>0</v>
      </c>
      <c r="Q54" s="15">
        <v>0</v>
      </c>
      <c r="R54" s="16" t="str">
        <f t="shared" si="3"/>
        <v>Lap</v>
      </c>
      <c r="S54" s="19">
        <v>2562500</v>
      </c>
      <c r="T54" s="15">
        <v>0</v>
      </c>
      <c r="U54" s="16" t="str">
        <f t="shared" si="4"/>
        <v>Lap</v>
      </c>
      <c r="V54" s="19">
        <v>0</v>
      </c>
      <c r="W54" s="15">
        <v>1</v>
      </c>
      <c r="X54" s="16" t="str">
        <f t="shared" si="5"/>
        <v>Lap</v>
      </c>
      <c r="Y54" s="19">
        <v>694800</v>
      </c>
      <c r="Z54" s="49">
        <f t="shared" si="6"/>
        <v>1</v>
      </c>
      <c r="AA54" s="16" t="str">
        <f t="shared" si="7"/>
        <v>Lap</v>
      </c>
      <c r="AB54" s="48">
        <f t="shared" si="8"/>
        <v>100</v>
      </c>
      <c r="AC54" s="30" t="s">
        <v>44</v>
      </c>
      <c r="AD54" s="36">
        <f t="shared" si="9"/>
        <v>3257300</v>
      </c>
      <c r="AE54" s="48">
        <f t="shared" si="10"/>
        <v>72.067348112748348</v>
      </c>
      <c r="AF54" s="30" t="s">
        <v>44</v>
      </c>
      <c r="AG54" s="49">
        <f t="shared" si="11"/>
        <v>1</v>
      </c>
      <c r="AH54" s="16" t="str">
        <f t="shared" si="12"/>
        <v>Lap</v>
      </c>
      <c r="AI54" s="36">
        <f>SUM(J54,AD54)</f>
        <v>3257300</v>
      </c>
      <c r="AJ54" s="48"/>
      <c r="AK54" s="30" t="s">
        <v>44</v>
      </c>
      <c r="AL54" s="48"/>
      <c r="AM54" s="11"/>
      <c r="AP54" s="21"/>
    </row>
    <row r="55" spans="1:42" ht="120" x14ac:dyDescent="0.2">
      <c r="A55" s="12"/>
      <c r="B55" s="13"/>
      <c r="C55" s="22" t="s">
        <v>103</v>
      </c>
      <c r="D55" s="25" t="s">
        <v>209</v>
      </c>
      <c r="E55" s="15">
        <v>36</v>
      </c>
      <c r="F55" s="16" t="s">
        <v>45</v>
      </c>
      <c r="G55" s="135">
        <f>67380150*2+M55</f>
        <v>154020300</v>
      </c>
      <c r="H55" s="40"/>
      <c r="I55" s="16"/>
      <c r="J55" s="18"/>
      <c r="K55" s="15">
        <v>12</v>
      </c>
      <c r="L55" s="16" t="s">
        <v>45</v>
      </c>
      <c r="M55" s="19">
        <v>19260000</v>
      </c>
      <c r="N55" s="15">
        <v>3</v>
      </c>
      <c r="O55" s="16" t="str">
        <f t="shared" si="2"/>
        <v>Kali</v>
      </c>
      <c r="P55" s="19">
        <v>0</v>
      </c>
      <c r="Q55" s="15">
        <v>3</v>
      </c>
      <c r="R55" s="16" t="str">
        <f t="shared" si="3"/>
        <v>Kali</v>
      </c>
      <c r="S55" s="19">
        <v>4225000</v>
      </c>
      <c r="T55" s="15">
        <v>3</v>
      </c>
      <c r="U55" s="16" t="str">
        <f t="shared" si="4"/>
        <v>Kali</v>
      </c>
      <c r="V55" s="19">
        <v>0</v>
      </c>
      <c r="W55" s="15">
        <v>3</v>
      </c>
      <c r="X55" s="16" t="str">
        <f t="shared" si="5"/>
        <v>Kali</v>
      </c>
      <c r="Y55" s="19">
        <v>12397500</v>
      </c>
      <c r="Z55" s="49">
        <f t="shared" si="6"/>
        <v>12</v>
      </c>
      <c r="AA55" s="16" t="str">
        <f t="shared" si="7"/>
        <v>Kali</v>
      </c>
      <c r="AB55" s="48">
        <f t="shared" si="8"/>
        <v>100</v>
      </c>
      <c r="AC55" s="30" t="s">
        <v>44</v>
      </c>
      <c r="AD55" s="36">
        <f t="shared" si="9"/>
        <v>16622500</v>
      </c>
      <c r="AE55" s="48">
        <f t="shared" si="10"/>
        <v>86.305815160955348</v>
      </c>
      <c r="AF55" s="30" t="s">
        <v>44</v>
      </c>
      <c r="AG55" s="49">
        <f t="shared" si="11"/>
        <v>12</v>
      </c>
      <c r="AH55" s="16" t="str">
        <f t="shared" si="12"/>
        <v>Kali</v>
      </c>
      <c r="AI55" s="36">
        <f>SUM(J55,AD55)</f>
        <v>16622500</v>
      </c>
      <c r="AJ55" s="48"/>
      <c r="AK55" s="30" t="s">
        <v>44</v>
      </c>
      <c r="AL55" s="48"/>
      <c r="AM55" s="11"/>
      <c r="AP55" s="21"/>
    </row>
    <row r="56" spans="1:42" ht="150" x14ac:dyDescent="0.2">
      <c r="A56" s="12"/>
      <c r="B56" s="13"/>
      <c r="C56" s="22" t="s">
        <v>104</v>
      </c>
      <c r="D56" s="25" t="s">
        <v>211</v>
      </c>
      <c r="E56" s="15">
        <v>3</v>
      </c>
      <c r="F56" s="16" t="s">
        <v>42</v>
      </c>
      <c r="G56" s="135">
        <f>3735250*2+M56</f>
        <v>27830500</v>
      </c>
      <c r="H56" s="40"/>
      <c r="I56" s="16"/>
      <c r="J56" s="18"/>
      <c r="K56" s="15">
        <v>1</v>
      </c>
      <c r="L56" s="16" t="s">
        <v>42</v>
      </c>
      <c r="M56" s="19">
        <v>20360000</v>
      </c>
      <c r="N56" s="15">
        <v>0</v>
      </c>
      <c r="O56" s="16" t="str">
        <f t="shared" si="2"/>
        <v>Dok</v>
      </c>
      <c r="P56" s="19">
        <v>4500000</v>
      </c>
      <c r="Q56" s="15">
        <v>0</v>
      </c>
      <c r="R56" s="16" t="str">
        <f t="shared" si="3"/>
        <v>Dok</v>
      </c>
      <c r="S56" s="19">
        <v>6500000</v>
      </c>
      <c r="T56" s="15">
        <v>0</v>
      </c>
      <c r="U56" s="16" t="str">
        <f t="shared" si="4"/>
        <v>Dok</v>
      </c>
      <c r="V56" s="19">
        <v>3000000</v>
      </c>
      <c r="W56" s="15">
        <v>1</v>
      </c>
      <c r="X56" s="16" t="str">
        <f t="shared" si="5"/>
        <v>Dok</v>
      </c>
      <c r="Y56" s="19">
        <v>6360000</v>
      </c>
      <c r="Z56" s="49">
        <f t="shared" si="6"/>
        <v>1</v>
      </c>
      <c r="AA56" s="16" t="str">
        <f t="shared" si="7"/>
        <v>Dok</v>
      </c>
      <c r="AB56" s="48">
        <f t="shared" si="8"/>
        <v>100</v>
      </c>
      <c r="AC56" s="30" t="s">
        <v>44</v>
      </c>
      <c r="AD56" s="36">
        <f t="shared" si="9"/>
        <v>20360000</v>
      </c>
      <c r="AE56" s="48">
        <f t="shared" si="10"/>
        <v>100</v>
      </c>
      <c r="AF56" s="30" t="s">
        <v>44</v>
      </c>
      <c r="AG56" s="49">
        <f t="shared" si="11"/>
        <v>1</v>
      </c>
      <c r="AH56" s="16" t="str">
        <f t="shared" si="12"/>
        <v>Dok</v>
      </c>
      <c r="AI56" s="36">
        <f>SUM(J56,AD56)</f>
        <v>20360000</v>
      </c>
      <c r="AJ56" s="48"/>
      <c r="AK56" s="30" t="s">
        <v>44</v>
      </c>
      <c r="AL56" s="48"/>
      <c r="AM56" s="11"/>
      <c r="AP56" s="21"/>
    </row>
    <row r="57" spans="1:42" ht="105" x14ac:dyDescent="0.2">
      <c r="A57" s="12"/>
      <c r="B57" s="13"/>
      <c r="C57" s="22" t="s">
        <v>105</v>
      </c>
      <c r="D57" s="25" t="s">
        <v>212</v>
      </c>
      <c r="E57" s="66">
        <v>12</v>
      </c>
      <c r="F57" s="16" t="s">
        <v>42</v>
      </c>
      <c r="G57" s="135">
        <f>20125150*2+M57</f>
        <v>63670100</v>
      </c>
      <c r="H57" s="15">
        <v>4</v>
      </c>
      <c r="I57" s="68" t="s">
        <v>45</v>
      </c>
      <c r="J57" s="19">
        <v>10200000</v>
      </c>
      <c r="K57" s="66">
        <v>4</v>
      </c>
      <c r="L57" s="16" t="s">
        <v>42</v>
      </c>
      <c r="M57" s="19">
        <v>23419800</v>
      </c>
      <c r="N57" s="66">
        <v>1</v>
      </c>
      <c r="O57" s="16" t="str">
        <f t="shared" si="2"/>
        <v>Dok</v>
      </c>
      <c r="P57" s="19">
        <v>0</v>
      </c>
      <c r="Q57" s="15">
        <v>1</v>
      </c>
      <c r="R57" s="16" t="str">
        <f t="shared" si="3"/>
        <v>Dok</v>
      </c>
      <c r="S57" s="19">
        <v>7009800</v>
      </c>
      <c r="T57" s="15">
        <v>1</v>
      </c>
      <c r="U57" s="16" t="str">
        <f t="shared" si="4"/>
        <v>Dok</v>
      </c>
      <c r="V57" s="19">
        <v>0</v>
      </c>
      <c r="W57" s="15">
        <v>1</v>
      </c>
      <c r="X57" s="16" t="str">
        <f t="shared" si="5"/>
        <v>Dok</v>
      </c>
      <c r="Y57" s="19">
        <v>16410000</v>
      </c>
      <c r="Z57" s="49">
        <f t="shared" si="6"/>
        <v>4</v>
      </c>
      <c r="AA57" s="16" t="str">
        <f t="shared" si="7"/>
        <v>Dok</v>
      </c>
      <c r="AB57" s="48">
        <f t="shared" si="8"/>
        <v>100</v>
      </c>
      <c r="AC57" s="30" t="s">
        <v>44</v>
      </c>
      <c r="AD57" s="36">
        <f t="shared" si="9"/>
        <v>23419800</v>
      </c>
      <c r="AE57" s="48">
        <f t="shared" si="10"/>
        <v>100</v>
      </c>
      <c r="AF57" s="30" t="s">
        <v>44</v>
      </c>
      <c r="AG57" s="49">
        <f t="shared" si="11"/>
        <v>8</v>
      </c>
      <c r="AH57" s="16" t="str">
        <f t="shared" si="12"/>
        <v>Dok</v>
      </c>
      <c r="AI57" s="36">
        <f>SUM(J57,AD57)</f>
        <v>33619800</v>
      </c>
      <c r="AJ57" s="48"/>
      <c r="AK57" s="30" t="s">
        <v>44</v>
      </c>
      <c r="AL57" s="48"/>
      <c r="AM57" s="11"/>
      <c r="AP57" s="21"/>
    </row>
    <row r="58" spans="1:42" s="110" customFormat="1" ht="78.75" x14ac:dyDescent="0.25">
      <c r="A58" s="82"/>
      <c r="B58" s="83"/>
      <c r="C58" s="144" t="s">
        <v>106</v>
      </c>
      <c r="D58" s="97" t="s">
        <v>213</v>
      </c>
      <c r="E58" s="99">
        <v>100</v>
      </c>
      <c r="F58" s="113" t="s">
        <v>44</v>
      </c>
      <c r="G58" s="103">
        <f>G63+G62</f>
        <v>210556000</v>
      </c>
      <c r="H58" s="99"/>
      <c r="I58" s="113"/>
      <c r="J58" s="103"/>
      <c r="K58" s="99">
        <f>K61/K61*100</f>
        <v>100</v>
      </c>
      <c r="L58" s="113" t="s">
        <v>44</v>
      </c>
      <c r="M58" s="103">
        <f>M63+M62</f>
        <v>73413500</v>
      </c>
      <c r="N58" s="163">
        <v>100</v>
      </c>
      <c r="O58" s="113" t="str">
        <f t="shared" si="2"/>
        <v>%</v>
      </c>
      <c r="P58" s="103">
        <f>SUM(P61:P64)</f>
        <v>4500000</v>
      </c>
      <c r="Q58" s="163">
        <v>0</v>
      </c>
      <c r="R58" s="113" t="str">
        <f t="shared" si="3"/>
        <v>%</v>
      </c>
      <c r="S58" s="103">
        <f>SUM(S61:S64)</f>
        <v>93812500</v>
      </c>
      <c r="T58" s="99">
        <v>0</v>
      </c>
      <c r="U58" s="113" t="str">
        <f t="shared" si="4"/>
        <v>%</v>
      </c>
      <c r="V58" s="103">
        <f>SUM(V61:V64)</f>
        <v>62087500</v>
      </c>
      <c r="W58" s="99">
        <v>0</v>
      </c>
      <c r="X58" s="113" t="str">
        <f t="shared" si="5"/>
        <v>%</v>
      </c>
      <c r="Y58" s="103">
        <f>SUM(Y61:Y64)</f>
        <v>52976000</v>
      </c>
      <c r="Z58" s="104">
        <f t="shared" si="6"/>
        <v>100</v>
      </c>
      <c r="AA58" s="113" t="str">
        <f t="shared" si="7"/>
        <v>%</v>
      </c>
      <c r="AB58" s="104">
        <f t="shared" si="8"/>
        <v>100</v>
      </c>
      <c r="AC58" s="107" t="s">
        <v>44</v>
      </c>
      <c r="AD58" s="108">
        <f t="shared" si="9"/>
        <v>213376000</v>
      </c>
      <c r="AE58" s="106">
        <f t="shared" si="10"/>
        <v>290.64953993475314</v>
      </c>
      <c r="AF58" s="107" t="s">
        <v>44</v>
      </c>
      <c r="AG58" s="104">
        <f t="shared" si="11"/>
        <v>100</v>
      </c>
      <c r="AH58" s="113" t="str">
        <f t="shared" si="12"/>
        <v>%</v>
      </c>
      <c r="AI58" s="108">
        <f>SUM(J58,AD58)</f>
        <v>213376000</v>
      </c>
      <c r="AJ58" s="106"/>
      <c r="AK58" s="107" t="s">
        <v>44</v>
      </c>
      <c r="AL58" s="106"/>
      <c r="AM58" s="115"/>
      <c r="AP58" s="111"/>
    </row>
    <row r="59" spans="1:42" s="110" customFormat="1" ht="78.75" x14ac:dyDescent="0.25">
      <c r="A59" s="82"/>
      <c r="B59" s="83"/>
      <c r="C59" s="83"/>
      <c r="D59" s="97" t="s">
        <v>214</v>
      </c>
      <c r="E59" s="99">
        <v>100</v>
      </c>
      <c r="F59" s="113" t="s">
        <v>44</v>
      </c>
      <c r="G59" s="103">
        <f>G64</f>
        <v>336637600</v>
      </c>
      <c r="H59" s="99"/>
      <c r="I59" s="113"/>
      <c r="J59" s="103"/>
      <c r="K59" s="99">
        <f>K62/K62*100</f>
        <v>100</v>
      </c>
      <c r="L59" s="113" t="s">
        <v>44</v>
      </c>
      <c r="M59" s="103">
        <f>M64</f>
        <v>108787500</v>
      </c>
      <c r="N59" s="99">
        <v>0</v>
      </c>
      <c r="O59" s="113" t="str">
        <f t="shared" si="2"/>
        <v>%</v>
      </c>
      <c r="P59" s="103">
        <f>P64</f>
        <v>0</v>
      </c>
      <c r="Q59" s="99">
        <v>0</v>
      </c>
      <c r="R59" s="113" t="str">
        <f t="shared" si="3"/>
        <v>%</v>
      </c>
      <c r="S59" s="103">
        <f>S64</f>
        <v>49400000</v>
      </c>
      <c r="T59" s="99">
        <v>0</v>
      </c>
      <c r="U59" s="113" t="str">
        <f t="shared" si="4"/>
        <v>%</v>
      </c>
      <c r="V59" s="103">
        <f>V64</f>
        <v>59087500</v>
      </c>
      <c r="W59" s="99">
        <v>0</v>
      </c>
      <c r="X59" s="113" t="str">
        <f t="shared" si="5"/>
        <v>%</v>
      </c>
      <c r="Y59" s="103">
        <f>Y64</f>
        <v>0</v>
      </c>
      <c r="Z59" s="104">
        <f t="shared" ref="Z59" si="33">SUM(N59,Q59,T59,W59)</f>
        <v>0</v>
      </c>
      <c r="AA59" s="113" t="str">
        <f t="shared" ref="AA59:AA60" si="34">L59</f>
        <v>%</v>
      </c>
      <c r="AB59" s="106">
        <f t="shared" ref="AB59:AB60" si="35">Z59/K59*100</f>
        <v>0</v>
      </c>
      <c r="AC59" s="107" t="s">
        <v>44</v>
      </c>
      <c r="AD59" s="108">
        <f t="shared" ref="AD59:AD60" si="36">SUM(P59,S59,V59,Y59)</f>
        <v>108487500</v>
      </c>
      <c r="AE59" s="106">
        <f t="shared" ref="AE59:AE60" si="37">AD59/M59*100</f>
        <v>99.724233023095493</v>
      </c>
      <c r="AF59" s="107" t="s">
        <v>44</v>
      </c>
      <c r="AG59" s="104">
        <f t="shared" ref="AG59:AG60" si="38">SUM(H59,Z59)</f>
        <v>0</v>
      </c>
      <c r="AH59" s="113" t="str">
        <f t="shared" ref="AH59:AH60" si="39">O59</f>
        <v>%</v>
      </c>
      <c r="AI59" s="108">
        <f t="shared" ref="AI59:AI60" si="40">SUM(J59,AD59)</f>
        <v>108487500</v>
      </c>
      <c r="AJ59" s="106"/>
      <c r="AK59" s="107"/>
      <c r="AL59" s="106"/>
      <c r="AM59" s="115"/>
      <c r="AP59" s="111"/>
    </row>
    <row r="60" spans="1:42" s="110" customFormat="1" ht="110.25" x14ac:dyDescent="0.25">
      <c r="A60" s="82"/>
      <c r="B60" s="83"/>
      <c r="C60" s="98"/>
      <c r="D60" s="97" t="s">
        <v>215</v>
      </c>
      <c r="E60" s="99">
        <v>100</v>
      </c>
      <c r="F60" s="113" t="s">
        <v>44</v>
      </c>
      <c r="G60" s="103">
        <f>G61</f>
        <v>371944900</v>
      </c>
      <c r="H60" s="99"/>
      <c r="I60" s="113"/>
      <c r="J60" s="103"/>
      <c r="K60" s="99">
        <f>(22+22+275+22+22+275)/(22+22+275+22+22+275)*100</f>
        <v>100</v>
      </c>
      <c r="L60" s="113" t="s">
        <v>44</v>
      </c>
      <c r="M60" s="103">
        <f>M61</f>
        <v>31862500</v>
      </c>
      <c r="N60" s="117">
        <f>(22)/(22+22+275+22+22+275)*100</f>
        <v>3.4482758620689653</v>
      </c>
      <c r="O60" s="113" t="str">
        <f t="shared" si="2"/>
        <v>%</v>
      </c>
      <c r="P60" s="103">
        <f>P61</f>
        <v>4500000</v>
      </c>
      <c r="Q60" s="117">
        <f>(22+275)/(22+22+275+22+22+275)*100</f>
        <v>46.551724137931032</v>
      </c>
      <c r="R60" s="113" t="str">
        <f t="shared" si="3"/>
        <v>%</v>
      </c>
      <c r="S60" s="103">
        <f>S61</f>
        <v>14512500</v>
      </c>
      <c r="T60" s="117"/>
      <c r="U60" s="113" t="str">
        <f t="shared" si="4"/>
        <v>%</v>
      </c>
      <c r="V60" s="103">
        <f>V61</f>
        <v>3000000</v>
      </c>
      <c r="W60" s="117"/>
      <c r="X60" s="113" t="str">
        <f t="shared" si="5"/>
        <v>%</v>
      </c>
      <c r="Y60" s="103">
        <f>Y61</f>
        <v>9812500</v>
      </c>
      <c r="Z60" s="106">
        <f>SUM(N60,Q60,T60,W60)</f>
        <v>50</v>
      </c>
      <c r="AA60" s="113" t="str">
        <f t="shared" si="34"/>
        <v>%</v>
      </c>
      <c r="AB60" s="106">
        <f t="shared" si="35"/>
        <v>50</v>
      </c>
      <c r="AC60" s="107" t="s">
        <v>44</v>
      </c>
      <c r="AD60" s="108">
        <f t="shared" si="36"/>
        <v>31825000</v>
      </c>
      <c r="AE60" s="106">
        <f t="shared" si="37"/>
        <v>99.882306786975278</v>
      </c>
      <c r="AF60" s="107" t="s">
        <v>44</v>
      </c>
      <c r="AG60" s="106">
        <f t="shared" si="38"/>
        <v>50</v>
      </c>
      <c r="AH60" s="113" t="str">
        <f t="shared" si="39"/>
        <v>%</v>
      </c>
      <c r="AI60" s="108">
        <f t="shared" si="40"/>
        <v>31825000</v>
      </c>
      <c r="AJ60" s="106"/>
      <c r="AK60" s="107"/>
      <c r="AL60" s="106"/>
      <c r="AM60" s="115"/>
      <c r="AP60" s="111"/>
    </row>
    <row r="61" spans="1:42" ht="105" x14ac:dyDescent="0.2">
      <c r="A61" s="12"/>
      <c r="B61" s="13"/>
      <c r="C61" s="22" t="s">
        <v>107</v>
      </c>
      <c r="D61" s="25" t="s">
        <v>216</v>
      </c>
      <c r="E61" s="15">
        <v>18</v>
      </c>
      <c r="F61" s="16" t="s">
        <v>210</v>
      </c>
      <c r="G61" s="135">
        <f>170041200*2+M61</f>
        <v>371944900</v>
      </c>
      <c r="H61" s="40"/>
      <c r="I61" s="16"/>
      <c r="J61" s="18"/>
      <c r="K61" s="15">
        <v>6</v>
      </c>
      <c r="L61" s="16" t="s">
        <v>210</v>
      </c>
      <c r="M61" s="19">
        <v>31862500</v>
      </c>
      <c r="N61" s="15">
        <v>0</v>
      </c>
      <c r="O61" s="16" t="str">
        <f t="shared" si="2"/>
        <v>kali</v>
      </c>
      <c r="P61" s="19">
        <v>4500000</v>
      </c>
      <c r="Q61" s="15">
        <v>3</v>
      </c>
      <c r="R61" s="16" t="str">
        <f t="shared" si="3"/>
        <v>kali</v>
      </c>
      <c r="S61" s="19">
        <v>14512500</v>
      </c>
      <c r="T61" s="15">
        <v>0</v>
      </c>
      <c r="U61" s="16" t="str">
        <f t="shared" si="4"/>
        <v>kali</v>
      </c>
      <c r="V61" s="19">
        <v>3000000</v>
      </c>
      <c r="W61" s="15">
        <v>3</v>
      </c>
      <c r="X61" s="16" t="str">
        <f t="shared" si="5"/>
        <v>kali</v>
      </c>
      <c r="Y61" s="19">
        <v>9812500</v>
      </c>
      <c r="Z61" s="49">
        <f t="shared" si="6"/>
        <v>6</v>
      </c>
      <c r="AA61" s="16" t="str">
        <f t="shared" si="7"/>
        <v>kali</v>
      </c>
      <c r="AB61" s="48">
        <f t="shared" si="8"/>
        <v>100</v>
      </c>
      <c r="AC61" s="30" t="s">
        <v>44</v>
      </c>
      <c r="AD61" s="36">
        <f t="shared" si="9"/>
        <v>31825000</v>
      </c>
      <c r="AE61" s="48">
        <f t="shared" si="10"/>
        <v>99.882306786975278</v>
      </c>
      <c r="AF61" s="30" t="s">
        <v>44</v>
      </c>
      <c r="AG61" s="49">
        <f t="shared" si="11"/>
        <v>6</v>
      </c>
      <c r="AH61" s="16" t="str">
        <f t="shared" si="12"/>
        <v>kali</v>
      </c>
      <c r="AI61" s="36">
        <f t="shared" ref="AI61:AI69" si="41">SUM(J61,AD61)</f>
        <v>31825000</v>
      </c>
      <c r="AJ61" s="48"/>
      <c r="AK61" s="30" t="s">
        <v>44</v>
      </c>
      <c r="AL61" s="48"/>
      <c r="AM61" s="11"/>
      <c r="AP61" s="21"/>
    </row>
    <row r="62" spans="1:42" ht="90" x14ac:dyDescent="0.2">
      <c r="A62" s="12"/>
      <c r="B62" s="13"/>
      <c r="C62" s="22" t="s">
        <v>108</v>
      </c>
      <c r="D62" s="25" t="s">
        <v>217</v>
      </c>
      <c r="E62" s="15">
        <v>6</v>
      </c>
      <c r="F62" s="16" t="s">
        <v>42</v>
      </c>
      <c r="G62" s="135">
        <f>68571250*2+M62</f>
        <v>192401000</v>
      </c>
      <c r="H62" s="15">
        <v>2</v>
      </c>
      <c r="I62" s="68" t="s">
        <v>42</v>
      </c>
      <c r="J62" s="19">
        <v>76661000</v>
      </c>
      <c r="K62" s="15">
        <v>2</v>
      </c>
      <c r="L62" s="16" t="s">
        <v>42</v>
      </c>
      <c r="M62" s="19">
        <v>55258500</v>
      </c>
      <c r="N62" s="15">
        <v>1</v>
      </c>
      <c r="O62" s="16" t="str">
        <f t="shared" si="2"/>
        <v>Dok</v>
      </c>
      <c r="P62" s="19">
        <v>0</v>
      </c>
      <c r="Q62" s="15">
        <v>1</v>
      </c>
      <c r="R62" s="16" t="str">
        <f t="shared" si="3"/>
        <v>Dok</v>
      </c>
      <c r="S62" s="19">
        <v>29900000</v>
      </c>
      <c r="T62" s="15">
        <v>0</v>
      </c>
      <c r="U62" s="16" t="str">
        <f t="shared" si="4"/>
        <v>Dok</v>
      </c>
      <c r="V62" s="19">
        <v>0</v>
      </c>
      <c r="W62" s="15">
        <v>0</v>
      </c>
      <c r="X62" s="16" t="str">
        <f t="shared" si="5"/>
        <v>Dok</v>
      </c>
      <c r="Y62" s="19">
        <v>25008500</v>
      </c>
      <c r="Z62" s="49">
        <f t="shared" si="6"/>
        <v>2</v>
      </c>
      <c r="AA62" s="16" t="str">
        <f t="shared" si="7"/>
        <v>Dok</v>
      </c>
      <c r="AB62" s="48">
        <f t="shared" si="8"/>
        <v>100</v>
      </c>
      <c r="AC62" s="30" t="s">
        <v>44</v>
      </c>
      <c r="AD62" s="36">
        <f t="shared" si="9"/>
        <v>54908500</v>
      </c>
      <c r="AE62" s="48">
        <f t="shared" si="10"/>
        <v>99.366613281214654</v>
      </c>
      <c r="AF62" s="30" t="s">
        <v>44</v>
      </c>
      <c r="AG62" s="49">
        <f t="shared" si="11"/>
        <v>4</v>
      </c>
      <c r="AH62" s="16" t="str">
        <f t="shared" si="12"/>
        <v>Dok</v>
      </c>
      <c r="AI62" s="36">
        <f t="shared" si="41"/>
        <v>131569500</v>
      </c>
      <c r="AJ62" s="48"/>
      <c r="AK62" s="30" t="s">
        <v>44</v>
      </c>
      <c r="AL62" s="48"/>
      <c r="AM62" s="11"/>
      <c r="AP62" s="21"/>
    </row>
    <row r="63" spans="1:42" s="95" customFormat="1" ht="75" x14ac:dyDescent="0.2">
      <c r="A63" s="82"/>
      <c r="B63" s="83"/>
      <c r="C63" s="112" t="s">
        <v>109</v>
      </c>
      <c r="D63" s="139" t="s">
        <v>223</v>
      </c>
      <c r="E63" s="84">
        <v>51</v>
      </c>
      <c r="F63" s="85" t="s">
        <v>42</v>
      </c>
      <c r="G63" s="149">
        <f>M63</f>
        <v>18155000</v>
      </c>
      <c r="H63" s="86"/>
      <c r="I63" s="85"/>
      <c r="J63" s="87"/>
      <c r="K63" s="84">
        <v>51</v>
      </c>
      <c r="L63" s="85" t="s">
        <v>42</v>
      </c>
      <c r="M63" s="89">
        <v>18155000</v>
      </c>
      <c r="N63" s="84">
        <v>51</v>
      </c>
      <c r="O63" s="85" t="str">
        <f t="shared" si="2"/>
        <v>Dok</v>
      </c>
      <c r="P63" s="89">
        <v>0</v>
      </c>
      <c r="Q63" s="84">
        <v>0</v>
      </c>
      <c r="R63" s="85" t="str">
        <f t="shared" si="3"/>
        <v>Dok</v>
      </c>
      <c r="S63" s="89">
        <v>0</v>
      </c>
      <c r="T63" s="84">
        <v>0</v>
      </c>
      <c r="U63" s="85" t="str">
        <f t="shared" si="4"/>
        <v>Dok</v>
      </c>
      <c r="V63" s="89">
        <v>0</v>
      </c>
      <c r="W63" s="84">
        <v>0</v>
      </c>
      <c r="X63" s="85" t="str">
        <f t="shared" si="5"/>
        <v>Dok</v>
      </c>
      <c r="Y63" s="89">
        <v>18155000</v>
      </c>
      <c r="Z63" s="90">
        <f t="shared" si="6"/>
        <v>51</v>
      </c>
      <c r="AA63" s="85" t="str">
        <f t="shared" si="7"/>
        <v>Dok</v>
      </c>
      <c r="AB63" s="91">
        <f t="shared" si="8"/>
        <v>100</v>
      </c>
      <c r="AC63" s="92" t="s">
        <v>44</v>
      </c>
      <c r="AD63" s="93">
        <f t="shared" si="9"/>
        <v>18155000</v>
      </c>
      <c r="AE63" s="91">
        <f t="shared" si="10"/>
        <v>100</v>
      </c>
      <c r="AF63" s="92" t="s">
        <v>44</v>
      </c>
      <c r="AG63" s="90">
        <f t="shared" si="11"/>
        <v>51</v>
      </c>
      <c r="AH63" s="85" t="str">
        <f t="shared" si="12"/>
        <v>Dok</v>
      </c>
      <c r="AI63" s="93">
        <f t="shared" si="41"/>
        <v>18155000</v>
      </c>
      <c r="AJ63" s="91"/>
      <c r="AK63" s="92" t="s">
        <v>44</v>
      </c>
      <c r="AL63" s="91"/>
      <c r="AM63" s="94"/>
      <c r="AP63" s="96"/>
    </row>
    <row r="64" spans="1:42" ht="195" x14ac:dyDescent="0.2">
      <c r="A64" s="12"/>
      <c r="B64" s="13"/>
      <c r="C64" s="22" t="s">
        <v>110</v>
      </c>
      <c r="D64" s="25" t="s">
        <v>218</v>
      </c>
      <c r="E64" s="15">
        <f>4*3</f>
        <v>12</v>
      </c>
      <c r="F64" s="16" t="s">
        <v>42</v>
      </c>
      <c r="G64" s="135">
        <f>113925050*2+M64</f>
        <v>336637600</v>
      </c>
      <c r="H64" s="40"/>
      <c r="I64" s="16"/>
      <c r="J64" s="18"/>
      <c r="K64" s="15">
        <v>4</v>
      </c>
      <c r="L64" s="16" t="s">
        <v>42</v>
      </c>
      <c r="M64" s="19">
        <v>108787500</v>
      </c>
      <c r="N64" s="15">
        <v>0</v>
      </c>
      <c r="O64" s="16" t="str">
        <f t="shared" si="2"/>
        <v>Dok</v>
      </c>
      <c r="P64" s="19">
        <v>0</v>
      </c>
      <c r="Q64" s="15">
        <v>2</v>
      </c>
      <c r="R64" s="16" t="str">
        <f t="shared" si="3"/>
        <v>Dok</v>
      </c>
      <c r="S64" s="19">
        <v>49400000</v>
      </c>
      <c r="T64" s="15">
        <v>0</v>
      </c>
      <c r="U64" s="16" t="str">
        <f t="shared" si="4"/>
        <v>Dok</v>
      </c>
      <c r="V64" s="19">
        <v>59087500</v>
      </c>
      <c r="W64" s="15">
        <v>2</v>
      </c>
      <c r="X64" s="16" t="str">
        <f t="shared" si="5"/>
        <v>Dok</v>
      </c>
      <c r="Y64" s="19">
        <v>0</v>
      </c>
      <c r="Z64" s="49">
        <f t="shared" si="6"/>
        <v>4</v>
      </c>
      <c r="AA64" s="16" t="str">
        <f t="shared" si="7"/>
        <v>Dok</v>
      </c>
      <c r="AB64" s="48">
        <f t="shared" si="8"/>
        <v>100</v>
      </c>
      <c r="AC64" s="30" t="s">
        <v>44</v>
      </c>
      <c r="AD64" s="36">
        <f t="shared" si="9"/>
        <v>108487500</v>
      </c>
      <c r="AE64" s="48">
        <f t="shared" si="10"/>
        <v>99.724233023095493</v>
      </c>
      <c r="AF64" s="30" t="s">
        <v>44</v>
      </c>
      <c r="AG64" s="49">
        <f t="shared" si="11"/>
        <v>4</v>
      </c>
      <c r="AH64" s="16" t="str">
        <f t="shared" si="12"/>
        <v>Dok</v>
      </c>
      <c r="AI64" s="36">
        <f t="shared" si="41"/>
        <v>108487500</v>
      </c>
      <c r="AJ64" s="48"/>
      <c r="AK64" s="30" t="s">
        <v>44</v>
      </c>
      <c r="AL64" s="48"/>
      <c r="AM64" s="11"/>
      <c r="AP64" s="21"/>
    </row>
    <row r="65" spans="1:42" s="95" customFormat="1" ht="78.75" x14ac:dyDescent="0.2">
      <c r="A65" s="82"/>
      <c r="B65" s="83"/>
      <c r="C65" s="98" t="s">
        <v>111</v>
      </c>
      <c r="D65" s="97" t="s">
        <v>138</v>
      </c>
      <c r="E65" s="41">
        <v>100</v>
      </c>
      <c r="F65" s="42" t="s">
        <v>44</v>
      </c>
      <c r="G65" s="103">
        <f>SUM(G66:G68)</f>
        <v>606565439448</v>
      </c>
      <c r="H65" s="99"/>
      <c r="I65" s="113"/>
      <c r="J65" s="103"/>
      <c r="K65" s="99">
        <v>100</v>
      </c>
      <c r="L65" s="113" t="s">
        <v>44</v>
      </c>
      <c r="M65" s="103">
        <f>M66+M67+M68</f>
        <v>198507709448</v>
      </c>
      <c r="N65" s="117">
        <f>P65/M65*100</f>
        <v>17.121476217981936</v>
      </c>
      <c r="O65" s="113" t="str">
        <f t="shared" si="2"/>
        <v>%</v>
      </c>
      <c r="P65" s="103">
        <f>SUM(P66:P68)</f>
        <v>33987450264</v>
      </c>
      <c r="Q65" s="117">
        <f>S65/M65*100</f>
        <v>0.92280666685132418</v>
      </c>
      <c r="R65" s="113" t="str">
        <f t="shared" si="3"/>
        <v>%</v>
      </c>
      <c r="S65" s="103">
        <f>SUM(S66:S68)</f>
        <v>1831842377</v>
      </c>
      <c r="T65" s="117">
        <f>V65/M65*100</f>
        <v>15.736266044207648</v>
      </c>
      <c r="U65" s="85" t="str">
        <f t="shared" si="4"/>
        <v>%</v>
      </c>
      <c r="V65" s="103">
        <f>SUM(V66:V68)</f>
        <v>31237701277</v>
      </c>
      <c r="W65" s="117">
        <f>Y65/P65*100</f>
        <v>24.890599130822753</v>
      </c>
      <c r="X65" s="85" t="str">
        <f t="shared" si="5"/>
        <v>%</v>
      </c>
      <c r="Y65" s="103">
        <f>SUM(Y66:Y68)</f>
        <v>8459680000</v>
      </c>
      <c r="Z65" s="106">
        <f t="shared" si="6"/>
        <v>58.671148059863668</v>
      </c>
      <c r="AA65" s="113" t="str">
        <f t="shared" si="7"/>
        <v>%</v>
      </c>
      <c r="AB65" s="106">
        <f t="shared" si="8"/>
        <v>58.671148059863668</v>
      </c>
      <c r="AC65" s="107" t="s">
        <v>44</v>
      </c>
      <c r="AD65" s="108">
        <f t="shared" si="9"/>
        <v>75516673918</v>
      </c>
      <c r="AE65" s="106">
        <f t="shared" si="10"/>
        <v>38.042186939737945</v>
      </c>
      <c r="AF65" s="107" t="s">
        <v>44</v>
      </c>
      <c r="AG65" s="104">
        <f t="shared" si="11"/>
        <v>58.671148059863668</v>
      </c>
      <c r="AH65" s="113" t="str">
        <f t="shared" si="12"/>
        <v>%</v>
      </c>
      <c r="AI65" s="108">
        <f t="shared" si="41"/>
        <v>75516673918</v>
      </c>
      <c r="AJ65" s="106"/>
      <c r="AK65" s="107" t="s">
        <v>44</v>
      </c>
      <c r="AL65" s="106"/>
      <c r="AM65" s="94"/>
      <c r="AP65" s="96"/>
    </row>
    <row r="66" spans="1:42" ht="45" x14ac:dyDescent="0.2">
      <c r="A66" s="12"/>
      <c r="B66" s="13"/>
      <c r="C66" s="22" t="s">
        <v>112</v>
      </c>
      <c r="D66" s="25" t="s">
        <v>219</v>
      </c>
      <c r="E66" s="15">
        <v>100</v>
      </c>
      <c r="F66" s="16" t="s">
        <v>44</v>
      </c>
      <c r="G66" s="45">
        <f>191400000000*2+M66</f>
        <v>565003532000</v>
      </c>
      <c r="H66" s="40"/>
      <c r="I66" s="16"/>
      <c r="J66" s="18"/>
      <c r="K66" s="15">
        <v>100</v>
      </c>
      <c r="L66" s="16" t="s">
        <v>44</v>
      </c>
      <c r="M66" s="19">
        <v>182203532000</v>
      </c>
      <c r="N66" s="157">
        <f>P66/M66*100</f>
        <v>17.440408345102774</v>
      </c>
      <c r="O66" s="16" t="str">
        <f t="shared" si="2"/>
        <v>%</v>
      </c>
      <c r="P66" s="19">
        <v>31777040000</v>
      </c>
      <c r="Q66" s="17">
        <f>S66/M66*100</f>
        <v>9.49268096515275E-2</v>
      </c>
      <c r="R66" s="16" t="str">
        <f t="shared" si="3"/>
        <v>%</v>
      </c>
      <c r="S66" s="19">
        <f>31950000000-31777040000</f>
        <v>172960000</v>
      </c>
      <c r="T66" s="17">
        <f>V66/M66*100</f>
        <v>14.028268123803439</v>
      </c>
      <c r="U66" s="16" t="str">
        <f t="shared" si="4"/>
        <v>%</v>
      </c>
      <c r="V66" s="19">
        <v>25560000000</v>
      </c>
      <c r="W66" s="17">
        <f>Y66/M66*100</f>
        <v>3.7814854214790965</v>
      </c>
      <c r="X66" s="16" t="str">
        <f t="shared" si="5"/>
        <v>%</v>
      </c>
      <c r="Y66" s="19">
        <v>6890000000</v>
      </c>
      <c r="Z66" s="48">
        <f>SUM(N66,Q66,T66,W66)</f>
        <v>35.34508870003684</v>
      </c>
      <c r="AA66" s="16" t="str">
        <f t="shared" si="7"/>
        <v>%</v>
      </c>
      <c r="AB66" s="48">
        <f>Z66/K66*100</f>
        <v>35.34508870003684</v>
      </c>
      <c r="AC66" s="30" t="s">
        <v>44</v>
      </c>
      <c r="AD66" s="36">
        <f t="shared" si="9"/>
        <v>64400000000</v>
      </c>
      <c r="AE66" s="48">
        <f t="shared" si="10"/>
        <v>35.34508870003684</v>
      </c>
      <c r="AF66" s="30" t="s">
        <v>44</v>
      </c>
      <c r="AG66" s="49">
        <f t="shared" si="11"/>
        <v>35.34508870003684</v>
      </c>
      <c r="AH66" s="16" t="str">
        <f t="shared" si="12"/>
        <v>%</v>
      </c>
      <c r="AI66" s="36">
        <f t="shared" si="41"/>
        <v>64400000000</v>
      </c>
      <c r="AJ66" s="48"/>
      <c r="AK66" s="30" t="s">
        <v>44</v>
      </c>
      <c r="AL66" s="48"/>
      <c r="AM66" s="11"/>
      <c r="AP66" s="21"/>
    </row>
    <row r="67" spans="1:42" ht="60" x14ac:dyDescent="0.2">
      <c r="A67" s="12"/>
      <c r="B67" s="13"/>
      <c r="C67" s="22" t="s">
        <v>113</v>
      </c>
      <c r="D67" s="25" t="s">
        <v>220</v>
      </c>
      <c r="E67" s="15">
        <v>100</v>
      </c>
      <c r="F67" s="16" t="s">
        <v>44</v>
      </c>
      <c r="G67" s="45">
        <f>10000000000*2+M67</f>
        <v>33675312448</v>
      </c>
      <c r="H67" s="40"/>
      <c r="I67" s="16"/>
      <c r="J67" s="18"/>
      <c r="K67" s="15">
        <v>100</v>
      </c>
      <c r="L67" s="16" t="s">
        <v>44</v>
      </c>
      <c r="M67" s="19">
        <v>13675312448</v>
      </c>
      <c r="N67" s="17">
        <f>P67/M67*100</f>
        <v>4.010986703855675</v>
      </c>
      <c r="O67" s="16" t="str">
        <f t="shared" si="2"/>
        <v>%</v>
      </c>
      <c r="P67" s="19">
        <v>548514964</v>
      </c>
      <c r="Q67" s="17">
        <f t="shared" ref="Q67:Q68" si="42">S67/M67*100</f>
        <v>12.078591866042315</v>
      </c>
      <c r="R67" s="16" t="str">
        <f t="shared" si="3"/>
        <v>%</v>
      </c>
      <c r="S67" s="19">
        <f>2200300141-548514964</f>
        <v>1651785177</v>
      </c>
      <c r="T67" s="17">
        <f t="shared" ref="T67:T68" si="43">V67/M67*100</f>
        <v>34.4988737547271</v>
      </c>
      <c r="U67" s="16" t="str">
        <f t="shared" si="4"/>
        <v>%</v>
      </c>
      <c r="V67" s="19">
        <v>4717828777</v>
      </c>
      <c r="W67" s="17">
        <f>Y67/M67*100</f>
        <v>11.478202095701032</v>
      </c>
      <c r="X67" s="16" t="str">
        <f t="shared" si="5"/>
        <v>%</v>
      </c>
      <c r="Y67" s="19">
        <v>1569680000</v>
      </c>
      <c r="Z67" s="48">
        <f>SUM(N67,Q67,T67,W67)</f>
        <v>62.066654420326117</v>
      </c>
      <c r="AA67" s="16" t="str">
        <f t="shared" si="7"/>
        <v>%</v>
      </c>
      <c r="AB67" s="48">
        <f>Z67/K67*100</f>
        <v>62.066654420326117</v>
      </c>
      <c r="AC67" s="30" t="s">
        <v>44</v>
      </c>
      <c r="AD67" s="36">
        <f t="shared" si="9"/>
        <v>8487808918</v>
      </c>
      <c r="AE67" s="48">
        <f t="shared" si="10"/>
        <v>62.066654420326117</v>
      </c>
      <c r="AF67" s="30" t="s">
        <v>44</v>
      </c>
      <c r="AG67" s="49">
        <f t="shared" si="11"/>
        <v>62.066654420326117</v>
      </c>
      <c r="AH67" s="16" t="str">
        <f t="shared" si="12"/>
        <v>%</v>
      </c>
      <c r="AI67" s="36">
        <f t="shared" si="41"/>
        <v>8487808918</v>
      </c>
      <c r="AJ67" s="48"/>
      <c r="AK67" s="30" t="s">
        <v>44</v>
      </c>
      <c r="AL67" s="48"/>
      <c r="AM67" s="11"/>
      <c r="AP67" s="21"/>
    </row>
    <row r="68" spans="1:42" ht="45" x14ac:dyDescent="0.2">
      <c r="A68" s="12"/>
      <c r="B68" s="13"/>
      <c r="C68" s="22" t="s">
        <v>114</v>
      </c>
      <c r="D68" s="25" t="s">
        <v>221</v>
      </c>
      <c r="E68" s="15">
        <v>100</v>
      </c>
      <c r="F68" s="16" t="s">
        <v>44</v>
      </c>
      <c r="G68" s="45">
        <f>2628865000*2+M68</f>
        <v>7886595000</v>
      </c>
      <c r="H68" s="40"/>
      <c r="I68" s="16"/>
      <c r="J68" s="18"/>
      <c r="K68" s="15">
        <v>100</v>
      </c>
      <c r="L68" s="16" t="s">
        <v>44</v>
      </c>
      <c r="M68" s="19">
        <v>2628865000</v>
      </c>
      <c r="N68" s="17">
        <f>P68/M68*100</f>
        <v>63.21721731621821</v>
      </c>
      <c r="O68" s="16" t="str">
        <f t="shared" si="2"/>
        <v>%</v>
      </c>
      <c r="P68" s="19">
        <v>1661895300</v>
      </c>
      <c r="Q68" s="17">
        <f t="shared" si="42"/>
        <v>0.26997202214643962</v>
      </c>
      <c r="R68" s="16" t="str">
        <f t="shared" si="3"/>
        <v>%</v>
      </c>
      <c r="S68" s="19">
        <f>1668992500-1661895300</f>
        <v>7097200</v>
      </c>
      <c r="T68" s="17">
        <f t="shared" si="43"/>
        <v>36.512810661635342</v>
      </c>
      <c r="U68" s="16" t="str">
        <f t="shared" si="4"/>
        <v>%</v>
      </c>
      <c r="V68" s="19">
        <v>959872500</v>
      </c>
      <c r="W68" s="17">
        <f t="shared" ref="W67:W68" si="44">Y68/P68*100</f>
        <v>0</v>
      </c>
      <c r="X68" s="16" t="str">
        <f t="shared" si="5"/>
        <v>%</v>
      </c>
      <c r="Y68" s="19">
        <v>0</v>
      </c>
      <c r="Z68" s="49">
        <f t="shared" si="6"/>
        <v>100</v>
      </c>
      <c r="AA68" s="16" t="str">
        <f t="shared" si="7"/>
        <v>%</v>
      </c>
      <c r="AB68" s="49">
        <f t="shared" si="8"/>
        <v>100</v>
      </c>
      <c r="AC68" s="30" t="s">
        <v>44</v>
      </c>
      <c r="AD68" s="36">
        <f t="shared" si="9"/>
        <v>2628865000</v>
      </c>
      <c r="AE68" s="48">
        <f t="shared" si="10"/>
        <v>100</v>
      </c>
      <c r="AF68" s="30" t="s">
        <v>44</v>
      </c>
      <c r="AG68" s="49">
        <f t="shared" si="11"/>
        <v>100</v>
      </c>
      <c r="AH68" s="16" t="str">
        <f t="shared" si="12"/>
        <v>%</v>
      </c>
      <c r="AI68" s="36">
        <f t="shared" si="41"/>
        <v>2628865000</v>
      </c>
      <c r="AJ68" s="48"/>
      <c r="AK68" s="30" t="s">
        <v>44</v>
      </c>
      <c r="AL68" s="48"/>
      <c r="AM68" s="11"/>
      <c r="AP68" s="21"/>
    </row>
    <row r="69" spans="1:42" s="69" customFormat="1" ht="91.5" customHeight="1" x14ac:dyDescent="0.25">
      <c r="A69" s="12"/>
      <c r="B69" s="13"/>
      <c r="C69" s="124" t="s">
        <v>115</v>
      </c>
      <c r="D69" s="145" t="s">
        <v>164</v>
      </c>
      <c r="E69" s="41">
        <v>100</v>
      </c>
      <c r="F69" s="42" t="s">
        <v>44</v>
      </c>
      <c r="G69" s="38">
        <f>G71</f>
        <v>1177949900</v>
      </c>
      <c r="H69" s="41">
        <v>100</v>
      </c>
      <c r="I69" s="42" t="s">
        <v>44</v>
      </c>
      <c r="J69" s="38">
        <f>J71</f>
        <v>29280000</v>
      </c>
      <c r="K69" s="41">
        <v>100</v>
      </c>
      <c r="L69" s="42" t="s">
        <v>44</v>
      </c>
      <c r="M69" s="38">
        <f>M71</f>
        <v>352780000</v>
      </c>
      <c r="N69" s="41">
        <v>100</v>
      </c>
      <c r="O69" s="42" t="str">
        <f t="shared" si="2"/>
        <v>%</v>
      </c>
      <c r="P69" s="38">
        <f>P71</f>
        <v>0</v>
      </c>
      <c r="Q69" s="41">
        <v>0</v>
      </c>
      <c r="R69" s="42" t="str">
        <f t="shared" si="3"/>
        <v>%</v>
      </c>
      <c r="S69" s="38">
        <f>S71</f>
        <v>70184200</v>
      </c>
      <c r="T69" s="41">
        <v>0</v>
      </c>
      <c r="U69" s="42" t="str">
        <f t="shared" si="4"/>
        <v>%</v>
      </c>
      <c r="V69" s="38">
        <f>V71</f>
        <v>237044400</v>
      </c>
      <c r="W69" s="41">
        <v>0</v>
      </c>
      <c r="X69" s="42" t="str">
        <f t="shared" si="5"/>
        <v>%</v>
      </c>
      <c r="Y69" s="38">
        <f>Y71</f>
        <v>25123800</v>
      </c>
      <c r="Z69" s="53">
        <f t="shared" si="6"/>
        <v>100</v>
      </c>
      <c r="AA69" s="42" t="str">
        <f t="shared" si="7"/>
        <v>%</v>
      </c>
      <c r="AB69" s="50">
        <f t="shared" si="8"/>
        <v>100</v>
      </c>
      <c r="AC69" s="52" t="s">
        <v>44</v>
      </c>
      <c r="AD69" s="51">
        <f t="shared" si="9"/>
        <v>332352400</v>
      </c>
      <c r="AE69" s="50">
        <f t="shared" si="10"/>
        <v>94.209535687964177</v>
      </c>
      <c r="AF69" s="52" t="s">
        <v>44</v>
      </c>
      <c r="AG69" s="53">
        <f t="shared" si="11"/>
        <v>200</v>
      </c>
      <c r="AH69" s="75" t="str">
        <f t="shared" si="12"/>
        <v>%</v>
      </c>
      <c r="AI69" s="51">
        <f t="shared" si="41"/>
        <v>361632400</v>
      </c>
      <c r="AJ69" s="50"/>
      <c r="AK69" s="52" t="s">
        <v>44</v>
      </c>
      <c r="AL69" s="50"/>
      <c r="AM69" s="72"/>
      <c r="AP69" s="70"/>
    </row>
    <row r="70" spans="1:42" s="69" customFormat="1" ht="99" customHeight="1" x14ac:dyDescent="0.25">
      <c r="A70" s="12"/>
      <c r="B70" s="13"/>
      <c r="C70" s="125"/>
      <c r="D70" s="145" t="s">
        <v>165</v>
      </c>
      <c r="E70" s="41">
        <v>100</v>
      </c>
      <c r="F70" s="42" t="s">
        <v>44</v>
      </c>
      <c r="G70" s="38">
        <f>G78+G77</f>
        <v>3886876000</v>
      </c>
      <c r="H70" s="41">
        <v>42.69</v>
      </c>
      <c r="I70" s="42" t="s">
        <v>44</v>
      </c>
      <c r="J70" s="38">
        <f>J78+J77</f>
        <v>571705000</v>
      </c>
      <c r="K70" s="46">
        <v>75.28</v>
      </c>
      <c r="L70" s="42" t="s">
        <v>44</v>
      </c>
      <c r="M70" s="38">
        <f>M78+M77</f>
        <v>1030925000</v>
      </c>
      <c r="N70" s="46">
        <f>N73</f>
        <v>0</v>
      </c>
      <c r="O70" s="42" t="str">
        <f t="shared" si="2"/>
        <v>%</v>
      </c>
      <c r="P70" s="38">
        <f>P78+P77</f>
        <v>20034000</v>
      </c>
      <c r="Q70" s="46">
        <f>Q73</f>
        <v>0.83333333333333337</v>
      </c>
      <c r="R70" s="42" t="str">
        <f t="shared" si="3"/>
        <v>%</v>
      </c>
      <c r="S70" s="38">
        <f>S78+S77</f>
        <v>26415600</v>
      </c>
      <c r="T70" s="46">
        <f>T73</f>
        <v>0</v>
      </c>
      <c r="U70" s="42" t="str">
        <f t="shared" si="4"/>
        <v>%</v>
      </c>
      <c r="V70" s="38">
        <f>V78+V77</f>
        <v>59021640</v>
      </c>
      <c r="W70" s="46" t="e">
        <f>W73</f>
        <v>#DIV/0!</v>
      </c>
      <c r="X70" s="42" t="str">
        <f t="shared" si="5"/>
        <v>%</v>
      </c>
      <c r="Y70" s="38">
        <f>Y78+Y77</f>
        <v>177061560</v>
      </c>
      <c r="Z70" s="50" t="e">
        <f t="shared" si="6"/>
        <v>#DIV/0!</v>
      </c>
      <c r="AA70" s="42" t="str">
        <f t="shared" si="7"/>
        <v>%</v>
      </c>
      <c r="AB70" s="50" t="e">
        <f t="shared" ref="AB70" si="45">Z70/K70*100</f>
        <v>#DIV/0!</v>
      </c>
      <c r="AC70" s="52" t="s">
        <v>44</v>
      </c>
      <c r="AD70" s="51">
        <f t="shared" ref="AD70" si="46">SUM(P70,S70,V70,Y70)</f>
        <v>282532800</v>
      </c>
      <c r="AE70" s="50">
        <f t="shared" ref="AE70" si="47">AD70/M70*100</f>
        <v>27.405756965831657</v>
      </c>
      <c r="AF70" s="52" t="s">
        <v>44</v>
      </c>
      <c r="AG70" s="53" t="e">
        <f t="shared" ref="AG70" si="48">SUM(H70,Z70)</f>
        <v>#DIV/0!</v>
      </c>
      <c r="AH70" s="75" t="str">
        <f t="shared" ref="AH70" si="49">O70</f>
        <v>%</v>
      </c>
      <c r="AI70" s="51">
        <f t="shared" ref="AI70" si="50">SUM(J70,AD70)</f>
        <v>854237800</v>
      </c>
      <c r="AJ70" s="50"/>
      <c r="AK70" s="52"/>
      <c r="AL70" s="50"/>
      <c r="AM70" s="72"/>
      <c r="AP70" s="70"/>
    </row>
    <row r="71" spans="1:42" s="69" customFormat="1" ht="47.25" x14ac:dyDescent="0.25">
      <c r="A71" s="12"/>
      <c r="B71" s="13"/>
      <c r="C71" s="144" t="s">
        <v>116</v>
      </c>
      <c r="D71" s="144" t="s">
        <v>166</v>
      </c>
      <c r="E71" s="41">
        <v>100</v>
      </c>
      <c r="F71" s="42" t="s">
        <v>44</v>
      </c>
      <c r="G71" s="38">
        <f>G74+G75</f>
        <v>1177949900</v>
      </c>
      <c r="H71" s="41"/>
      <c r="I71" s="42"/>
      <c r="J71" s="38">
        <f>J74+J75</f>
        <v>29280000</v>
      </c>
      <c r="K71" s="41">
        <v>100</v>
      </c>
      <c r="L71" s="42" t="s">
        <v>44</v>
      </c>
      <c r="M71" s="38">
        <f>M74+M75</f>
        <v>352780000</v>
      </c>
      <c r="N71" s="41">
        <v>0</v>
      </c>
      <c r="O71" s="42" t="str">
        <f t="shared" si="2"/>
        <v>%</v>
      </c>
      <c r="P71" s="38">
        <f>P74+P75</f>
        <v>0</v>
      </c>
      <c r="Q71" s="41">
        <v>0</v>
      </c>
      <c r="R71" s="42" t="str">
        <f t="shared" si="3"/>
        <v>%</v>
      </c>
      <c r="S71" s="38">
        <f>S74+S75</f>
        <v>70184200</v>
      </c>
      <c r="T71" s="41">
        <v>0</v>
      </c>
      <c r="U71" s="42" t="str">
        <f t="shared" si="4"/>
        <v>%</v>
      </c>
      <c r="V71" s="38">
        <f>V74+V75</f>
        <v>237044400</v>
      </c>
      <c r="W71" s="41">
        <v>0</v>
      </c>
      <c r="X71" s="42" t="str">
        <f t="shared" si="5"/>
        <v>%</v>
      </c>
      <c r="Y71" s="38">
        <f>Y74+Y75</f>
        <v>25123800</v>
      </c>
      <c r="Z71" s="50">
        <f t="shared" si="6"/>
        <v>0</v>
      </c>
      <c r="AA71" s="42" t="str">
        <f t="shared" si="7"/>
        <v>%</v>
      </c>
      <c r="AB71" s="50">
        <f t="shared" si="8"/>
        <v>0</v>
      </c>
      <c r="AC71" s="52" t="s">
        <v>44</v>
      </c>
      <c r="AD71" s="51">
        <f t="shared" si="9"/>
        <v>332352400</v>
      </c>
      <c r="AE71" s="50">
        <f t="shared" si="10"/>
        <v>94.209535687964177</v>
      </c>
      <c r="AF71" s="52" t="s">
        <v>44</v>
      </c>
      <c r="AG71" s="53">
        <f t="shared" si="11"/>
        <v>0</v>
      </c>
      <c r="AH71" s="42" t="str">
        <f t="shared" si="12"/>
        <v>%</v>
      </c>
      <c r="AI71" s="51">
        <f>SUM(J71,AD71)</f>
        <v>361632400</v>
      </c>
      <c r="AJ71" s="50"/>
      <c r="AK71" s="30" t="s">
        <v>44</v>
      </c>
      <c r="AL71" s="48"/>
      <c r="AM71" s="72"/>
      <c r="AP71" s="70"/>
    </row>
    <row r="72" spans="1:42" s="69" customFormat="1" ht="78.75" x14ac:dyDescent="0.25">
      <c r="A72" s="12"/>
      <c r="B72" s="13"/>
      <c r="C72" s="83"/>
      <c r="D72" s="144" t="s">
        <v>167</v>
      </c>
      <c r="E72" s="41">
        <v>100</v>
      </c>
      <c r="F72" s="42" t="s">
        <v>44</v>
      </c>
      <c r="G72" s="38">
        <f>G76+G79+G80</f>
        <v>585264400</v>
      </c>
      <c r="H72" s="41">
        <v>1</v>
      </c>
      <c r="I72" s="42" t="s">
        <v>210</v>
      </c>
      <c r="J72" s="38">
        <f>J76+J79+J80</f>
        <v>93475000</v>
      </c>
      <c r="K72" s="41">
        <v>100</v>
      </c>
      <c r="L72" s="42" t="s">
        <v>44</v>
      </c>
      <c r="M72" s="38">
        <f>M76+M79+M80</f>
        <v>193287900</v>
      </c>
      <c r="N72" s="41">
        <v>0</v>
      </c>
      <c r="O72" s="42" t="str">
        <f t="shared" si="2"/>
        <v>%</v>
      </c>
      <c r="P72" s="38">
        <f>P76+P79+P80</f>
        <v>0</v>
      </c>
      <c r="Q72" s="46">
        <f>102/104*100</f>
        <v>98.076923076923066</v>
      </c>
      <c r="R72" s="42" t="str">
        <f t="shared" si="3"/>
        <v>%</v>
      </c>
      <c r="S72" s="38">
        <f>S76+S79+S80</f>
        <v>39200000</v>
      </c>
      <c r="T72" s="41">
        <v>0</v>
      </c>
      <c r="U72" s="42" t="str">
        <f t="shared" si="4"/>
        <v>%</v>
      </c>
      <c r="V72" s="38">
        <f>V76+V79+V80</f>
        <v>7475000</v>
      </c>
      <c r="W72" s="41">
        <v>0</v>
      </c>
      <c r="X72" s="42" t="str">
        <f t="shared" si="5"/>
        <v>%</v>
      </c>
      <c r="Y72" s="38">
        <f>Y76+Y79+Y80</f>
        <v>61027100</v>
      </c>
      <c r="Z72" s="50">
        <f t="shared" ref="Z72:Z73" si="51">SUM(N72,Q72,T72,W72)</f>
        <v>98.076923076923066</v>
      </c>
      <c r="AA72" s="42" t="str">
        <f t="shared" ref="AA72:AA73" si="52">L72</f>
        <v>%</v>
      </c>
      <c r="AB72" s="50">
        <f t="shared" ref="AB72:AB73" si="53">Z72/K72*100</f>
        <v>98.076923076923066</v>
      </c>
      <c r="AC72" s="52" t="s">
        <v>44</v>
      </c>
      <c r="AD72" s="51">
        <f t="shared" ref="AD72:AD73" si="54">SUM(P72,S72,V72,Y72)</f>
        <v>107702100</v>
      </c>
      <c r="AE72" s="50">
        <f t="shared" ref="AE72:AE73" si="55">AD72/M72*100</f>
        <v>55.721077211765454</v>
      </c>
      <c r="AF72" s="52" t="s">
        <v>44</v>
      </c>
      <c r="AG72" s="53">
        <f t="shared" ref="AG72:AG73" si="56">SUM(H72,Z72)</f>
        <v>99.076923076923066</v>
      </c>
      <c r="AH72" s="42" t="str">
        <f t="shared" ref="AH72:AH73" si="57">O72</f>
        <v>%</v>
      </c>
      <c r="AI72" s="51">
        <f t="shared" ref="AI72:AI73" si="58">SUM(J72,AD72)</f>
        <v>201177100</v>
      </c>
      <c r="AJ72" s="50"/>
      <c r="AK72" s="30"/>
      <c r="AL72" s="48"/>
      <c r="AM72" s="72"/>
      <c r="AP72" s="70"/>
    </row>
    <row r="73" spans="1:42" s="69" customFormat="1" ht="110.25" x14ac:dyDescent="0.25">
      <c r="A73" s="12"/>
      <c r="B73" s="13"/>
      <c r="C73" s="98"/>
      <c r="D73" s="154" t="s">
        <v>168</v>
      </c>
      <c r="E73" s="41">
        <v>100</v>
      </c>
      <c r="F73" s="42" t="s">
        <v>44</v>
      </c>
      <c r="G73" s="38">
        <f>G77+G78</f>
        <v>3886876000</v>
      </c>
      <c r="H73" s="41">
        <v>100</v>
      </c>
      <c r="I73" s="42" t="s">
        <v>44</v>
      </c>
      <c r="J73" s="38">
        <f>J77+J78</f>
        <v>571705000</v>
      </c>
      <c r="K73" s="41">
        <v>100</v>
      </c>
      <c r="L73" s="42" t="s">
        <v>44</v>
      </c>
      <c r="M73" s="38">
        <f>M77+M78</f>
        <v>1030925000</v>
      </c>
      <c r="N73" s="46">
        <f>N77/K77*100</f>
        <v>0</v>
      </c>
      <c r="O73" s="42" t="str">
        <f t="shared" ref="O73:O95" si="59">L73</f>
        <v>%</v>
      </c>
      <c r="P73" s="38">
        <f>P77+P78</f>
        <v>20034000</v>
      </c>
      <c r="Q73" s="46">
        <f>Q77/K77*100</f>
        <v>0.83333333333333337</v>
      </c>
      <c r="R73" s="42" t="str">
        <f t="shared" ref="R73:R95" si="60">L73</f>
        <v>%</v>
      </c>
      <c r="S73" s="38">
        <f>S77+S78</f>
        <v>26415600</v>
      </c>
      <c r="T73" s="46">
        <f>T77/K77*100</f>
        <v>0</v>
      </c>
      <c r="U73" s="42" t="str">
        <f t="shared" ref="U73:U95" si="61">L73</f>
        <v>%</v>
      </c>
      <c r="V73" s="38">
        <f>V77+V78</f>
        <v>59021640</v>
      </c>
      <c r="W73" s="46" t="e">
        <f>W77/N77*100</f>
        <v>#DIV/0!</v>
      </c>
      <c r="X73" s="42" t="str">
        <f t="shared" si="5"/>
        <v>%</v>
      </c>
      <c r="Y73" s="38">
        <f>Y77+Y78</f>
        <v>177061560</v>
      </c>
      <c r="Z73" s="50" t="e">
        <f t="shared" si="51"/>
        <v>#DIV/0!</v>
      </c>
      <c r="AA73" s="42" t="str">
        <f t="shared" si="52"/>
        <v>%</v>
      </c>
      <c r="AB73" s="50" t="e">
        <f t="shared" si="53"/>
        <v>#DIV/0!</v>
      </c>
      <c r="AC73" s="52" t="s">
        <v>44</v>
      </c>
      <c r="AD73" s="51">
        <f t="shared" si="54"/>
        <v>282532800</v>
      </c>
      <c r="AE73" s="50">
        <f t="shared" si="55"/>
        <v>27.405756965831657</v>
      </c>
      <c r="AF73" s="52" t="s">
        <v>44</v>
      </c>
      <c r="AG73" s="53" t="e">
        <f t="shared" si="56"/>
        <v>#DIV/0!</v>
      </c>
      <c r="AH73" s="42" t="str">
        <f t="shared" si="57"/>
        <v>%</v>
      </c>
      <c r="AI73" s="51">
        <f t="shared" si="58"/>
        <v>854237800</v>
      </c>
      <c r="AJ73" s="50"/>
      <c r="AK73" s="30"/>
      <c r="AL73" s="48"/>
      <c r="AM73" s="72"/>
      <c r="AP73" s="70"/>
    </row>
    <row r="74" spans="1:42" ht="60" customHeight="1" x14ac:dyDescent="0.2">
      <c r="A74" s="12"/>
      <c r="B74" s="13"/>
      <c r="C74" s="22" t="s">
        <v>117</v>
      </c>
      <c r="D74" s="25" t="s">
        <v>169</v>
      </c>
      <c r="E74" s="15">
        <v>12</v>
      </c>
      <c r="F74" s="16" t="s">
        <v>42</v>
      </c>
      <c r="G74" s="132">
        <f>380779950*2+M74</f>
        <v>1090209900</v>
      </c>
      <c r="H74" s="40"/>
      <c r="I74" s="16"/>
      <c r="J74" s="18"/>
      <c r="K74" s="15">
        <v>4</v>
      </c>
      <c r="L74" s="16" t="s">
        <v>42</v>
      </c>
      <c r="M74" s="19">
        <v>328650000</v>
      </c>
      <c r="N74" s="15">
        <v>0</v>
      </c>
      <c r="O74" s="16" t="str">
        <f t="shared" si="59"/>
        <v>Dok</v>
      </c>
      <c r="P74" s="19">
        <v>0</v>
      </c>
      <c r="Q74" s="15">
        <v>0</v>
      </c>
      <c r="R74" s="16" t="str">
        <f t="shared" si="60"/>
        <v>Dok</v>
      </c>
      <c r="S74" s="19">
        <v>66934200</v>
      </c>
      <c r="T74" s="15">
        <v>0</v>
      </c>
      <c r="U74" s="16" t="str">
        <f t="shared" si="61"/>
        <v>Dok</v>
      </c>
      <c r="V74" s="19">
        <v>237044400</v>
      </c>
      <c r="W74" s="15">
        <v>0</v>
      </c>
      <c r="X74" s="16" t="str">
        <f t="shared" si="5"/>
        <v>Dok</v>
      </c>
      <c r="Y74" s="19">
        <v>4450000</v>
      </c>
      <c r="Z74" s="49">
        <f t="shared" si="6"/>
        <v>0</v>
      </c>
      <c r="AA74" s="16" t="str">
        <f t="shared" si="7"/>
        <v>Dok</v>
      </c>
      <c r="AB74" s="48">
        <f t="shared" si="8"/>
        <v>0</v>
      </c>
      <c r="AC74" s="30" t="s">
        <v>44</v>
      </c>
      <c r="AD74" s="36">
        <f t="shared" si="9"/>
        <v>308428600</v>
      </c>
      <c r="AE74" s="48">
        <f t="shared" si="10"/>
        <v>93.8471322075156</v>
      </c>
      <c r="AF74" s="30" t="s">
        <v>44</v>
      </c>
      <c r="AG74" s="49">
        <f t="shared" si="11"/>
        <v>0</v>
      </c>
      <c r="AH74" s="16" t="str">
        <f t="shared" si="12"/>
        <v>Dok</v>
      </c>
      <c r="AI74" s="36">
        <f t="shared" ref="AI74:AI81" si="62">SUM(J74,AD74)</f>
        <v>308428600</v>
      </c>
      <c r="AJ74" s="48"/>
      <c r="AK74" s="30" t="s">
        <v>44</v>
      </c>
      <c r="AL74" s="48"/>
      <c r="AM74" s="11"/>
      <c r="AP74" s="21"/>
    </row>
    <row r="75" spans="1:42" ht="82.5" customHeight="1" x14ac:dyDescent="0.2">
      <c r="A75" s="12"/>
      <c r="B75" s="13"/>
      <c r="C75" s="22" t="s">
        <v>118</v>
      </c>
      <c r="D75" s="25" t="s">
        <v>130</v>
      </c>
      <c r="E75" s="15">
        <v>6</v>
      </c>
      <c r="F75" s="16" t="s">
        <v>42</v>
      </c>
      <c r="G75" s="135">
        <f>31805000*2+M75</f>
        <v>87740000</v>
      </c>
      <c r="H75" s="15">
        <v>2</v>
      </c>
      <c r="I75" s="68" t="s">
        <v>42</v>
      </c>
      <c r="J75" s="19">
        <v>29280000</v>
      </c>
      <c r="K75" s="15">
        <v>2</v>
      </c>
      <c r="L75" s="16" t="s">
        <v>42</v>
      </c>
      <c r="M75" s="19">
        <v>24130000</v>
      </c>
      <c r="N75" s="15">
        <v>0</v>
      </c>
      <c r="O75" s="16" t="str">
        <f t="shared" si="59"/>
        <v>Dok</v>
      </c>
      <c r="P75" s="19">
        <v>0</v>
      </c>
      <c r="Q75" s="15">
        <v>0</v>
      </c>
      <c r="R75" s="16" t="str">
        <f t="shared" si="60"/>
        <v>Dok</v>
      </c>
      <c r="S75" s="19">
        <v>3250000</v>
      </c>
      <c r="T75" s="15">
        <v>0</v>
      </c>
      <c r="U75" s="16" t="str">
        <f t="shared" si="61"/>
        <v>Dok</v>
      </c>
      <c r="V75" s="19">
        <v>0</v>
      </c>
      <c r="W75" s="15">
        <v>0</v>
      </c>
      <c r="X75" s="16" t="str">
        <f t="shared" si="5"/>
        <v>Dok</v>
      </c>
      <c r="Y75" s="19">
        <v>20673800</v>
      </c>
      <c r="Z75" s="49">
        <f t="shared" si="6"/>
        <v>0</v>
      </c>
      <c r="AA75" s="16" t="str">
        <f t="shared" si="7"/>
        <v>Dok</v>
      </c>
      <c r="AB75" s="48">
        <f t="shared" si="8"/>
        <v>0</v>
      </c>
      <c r="AC75" s="30" t="s">
        <v>44</v>
      </c>
      <c r="AD75" s="36">
        <f t="shared" si="9"/>
        <v>23923800</v>
      </c>
      <c r="AE75" s="48">
        <f t="shared" si="10"/>
        <v>99.145462080397849</v>
      </c>
      <c r="AF75" s="30" t="s">
        <v>44</v>
      </c>
      <c r="AG75" s="49">
        <f t="shared" si="11"/>
        <v>2</v>
      </c>
      <c r="AH75" s="16" t="str">
        <f t="shared" si="12"/>
        <v>Dok</v>
      </c>
      <c r="AI75" s="36">
        <f t="shared" si="62"/>
        <v>53203800</v>
      </c>
      <c r="AJ75" s="48"/>
      <c r="AK75" s="30" t="s">
        <v>44</v>
      </c>
      <c r="AL75" s="48"/>
      <c r="AM75" s="11"/>
      <c r="AP75" s="21"/>
    </row>
    <row r="76" spans="1:42" ht="50.25" customHeight="1" x14ac:dyDescent="0.2">
      <c r="A76" s="12"/>
      <c r="B76" s="13"/>
      <c r="C76" s="22" t="s">
        <v>119</v>
      </c>
      <c r="D76" s="25" t="s">
        <v>170</v>
      </c>
      <c r="E76" s="15">
        <v>3</v>
      </c>
      <c r="F76" s="16" t="s">
        <v>42</v>
      </c>
      <c r="G76" s="135">
        <f>136788200*2+M76</f>
        <v>417864500</v>
      </c>
      <c r="H76" s="15">
        <v>1</v>
      </c>
      <c r="I76" s="16" t="s">
        <v>210</v>
      </c>
      <c r="J76" s="19">
        <v>93475000</v>
      </c>
      <c r="K76" s="15">
        <v>1</v>
      </c>
      <c r="L76" s="16" t="s">
        <v>42</v>
      </c>
      <c r="M76" s="19">
        <v>144288100</v>
      </c>
      <c r="N76" s="15">
        <v>0</v>
      </c>
      <c r="O76" s="16" t="str">
        <f t="shared" si="59"/>
        <v>Dok</v>
      </c>
      <c r="P76" s="19">
        <v>0</v>
      </c>
      <c r="Q76" s="15">
        <v>0</v>
      </c>
      <c r="R76" s="16" t="str">
        <f t="shared" si="60"/>
        <v>Dok</v>
      </c>
      <c r="S76" s="19">
        <v>16000000</v>
      </c>
      <c r="T76" s="15">
        <v>0</v>
      </c>
      <c r="U76" s="16" t="str">
        <f t="shared" si="61"/>
        <v>Dok</v>
      </c>
      <c r="V76" s="19">
        <v>7475000</v>
      </c>
      <c r="W76" s="15">
        <v>0</v>
      </c>
      <c r="X76" s="16" t="str">
        <f t="shared" si="5"/>
        <v>Dok</v>
      </c>
      <c r="Y76" s="19">
        <v>47066250</v>
      </c>
      <c r="Z76" s="49">
        <f t="shared" si="6"/>
        <v>0</v>
      </c>
      <c r="AA76" s="16" t="str">
        <f t="shared" si="7"/>
        <v>Dok</v>
      </c>
      <c r="AB76" s="48">
        <f t="shared" si="8"/>
        <v>0</v>
      </c>
      <c r="AC76" s="30" t="s">
        <v>44</v>
      </c>
      <c r="AD76" s="36">
        <f t="shared" si="9"/>
        <v>70541250</v>
      </c>
      <c r="AE76" s="48">
        <f t="shared" si="10"/>
        <v>48.889166882092148</v>
      </c>
      <c r="AF76" s="30" t="s">
        <v>44</v>
      </c>
      <c r="AG76" s="49">
        <f t="shared" si="11"/>
        <v>1</v>
      </c>
      <c r="AH76" s="16" t="str">
        <f t="shared" si="12"/>
        <v>Dok</v>
      </c>
      <c r="AI76" s="36">
        <f t="shared" si="62"/>
        <v>164016250</v>
      </c>
      <c r="AJ76" s="48"/>
      <c r="AK76" s="30" t="s">
        <v>44</v>
      </c>
      <c r="AL76" s="48"/>
      <c r="AM76" s="11"/>
      <c r="AP76" s="21"/>
    </row>
    <row r="77" spans="1:42" ht="98.25" customHeight="1" x14ac:dyDescent="0.2">
      <c r="A77" s="12"/>
      <c r="B77" s="13"/>
      <c r="C77" s="22" t="s">
        <v>120</v>
      </c>
      <c r="D77" s="25" t="s">
        <v>171</v>
      </c>
      <c r="E77" s="67">
        <f>600+300+155</f>
        <v>1055</v>
      </c>
      <c r="F77" s="16" t="s">
        <v>47</v>
      </c>
      <c r="G77" s="134">
        <f>1357175200*2+M77</f>
        <v>3674475400</v>
      </c>
      <c r="H77" s="15">
        <v>100</v>
      </c>
      <c r="I77" s="16" t="s">
        <v>47</v>
      </c>
      <c r="J77" s="19">
        <v>470375000</v>
      </c>
      <c r="K77" s="15">
        <v>600</v>
      </c>
      <c r="L77" s="16" t="s">
        <v>47</v>
      </c>
      <c r="M77" s="19">
        <v>960125000</v>
      </c>
      <c r="N77" s="15">
        <v>0</v>
      </c>
      <c r="O77" s="16" t="str">
        <f t="shared" si="59"/>
        <v>Persil</v>
      </c>
      <c r="P77" s="19">
        <v>6400000</v>
      </c>
      <c r="Q77" s="15">
        <v>5</v>
      </c>
      <c r="R77" s="16" t="str">
        <f t="shared" si="60"/>
        <v>Persil</v>
      </c>
      <c r="S77" s="19">
        <v>24965600</v>
      </c>
      <c r="T77" s="15">
        <v>0</v>
      </c>
      <c r="U77" s="16" t="str">
        <f t="shared" si="61"/>
        <v>Persil</v>
      </c>
      <c r="V77" s="19">
        <v>59021640</v>
      </c>
      <c r="W77" s="15">
        <v>0</v>
      </c>
      <c r="X77" s="16" t="str">
        <f t="shared" si="5"/>
        <v>Persil</v>
      </c>
      <c r="Y77" s="19">
        <v>166909560</v>
      </c>
      <c r="Z77" s="49">
        <f t="shared" si="6"/>
        <v>5</v>
      </c>
      <c r="AA77" s="16" t="str">
        <f t="shared" si="7"/>
        <v>Persil</v>
      </c>
      <c r="AB77" s="48">
        <f t="shared" si="8"/>
        <v>0.83333333333333337</v>
      </c>
      <c r="AC77" s="30" t="s">
        <v>44</v>
      </c>
      <c r="AD77" s="36">
        <f t="shared" si="9"/>
        <v>257296800</v>
      </c>
      <c r="AE77" s="48">
        <f t="shared" si="10"/>
        <v>26.798260643145422</v>
      </c>
      <c r="AF77" s="30" t="s">
        <v>44</v>
      </c>
      <c r="AG77" s="49">
        <f t="shared" si="11"/>
        <v>105</v>
      </c>
      <c r="AH77" s="68" t="str">
        <f t="shared" si="12"/>
        <v>Persil</v>
      </c>
      <c r="AI77" s="36">
        <f t="shared" si="62"/>
        <v>727671800</v>
      </c>
      <c r="AJ77" s="48"/>
      <c r="AK77" s="30" t="s">
        <v>44</v>
      </c>
      <c r="AL77" s="48"/>
      <c r="AM77" s="11"/>
      <c r="AP77" s="21"/>
    </row>
    <row r="78" spans="1:42" ht="105" x14ac:dyDescent="0.2">
      <c r="A78" s="12"/>
      <c r="B78" s="13"/>
      <c r="C78" s="22" t="s">
        <v>121</v>
      </c>
      <c r="D78" s="25" t="s">
        <v>131</v>
      </c>
      <c r="E78" s="15">
        <v>100</v>
      </c>
      <c r="F78" s="16" t="s">
        <v>44</v>
      </c>
      <c r="G78" s="135">
        <f>70800300*2+M78</f>
        <v>212400600</v>
      </c>
      <c r="H78" s="15">
        <v>100</v>
      </c>
      <c r="I78" s="16" t="s">
        <v>44</v>
      </c>
      <c r="J78" s="19">
        <v>101330000</v>
      </c>
      <c r="K78" s="15">
        <v>100</v>
      </c>
      <c r="L78" s="16" t="s">
        <v>44</v>
      </c>
      <c r="M78" s="19">
        <v>70800000</v>
      </c>
      <c r="N78" s="15">
        <v>0</v>
      </c>
      <c r="O78" s="16" t="str">
        <f t="shared" si="59"/>
        <v>%</v>
      </c>
      <c r="P78" s="19">
        <v>13634000</v>
      </c>
      <c r="Q78" s="15">
        <v>0</v>
      </c>
      <c r="R78" s="16" t="str">
        <f t="shared" si="60"/>
        <v>%</v>
      </c>
      <c r="S78" s="19">
        <v>1450000</v>
      </c>
      <c r="T78" s="15">
        <v>0</v>
      </c>
      <c r="U78" s="16" t="str">
        <f t="shared" si="61"/>
        <v>%</v>
      </c>
      <c r="V78" s="19">
        <v>0</v>
      </c>
      <c r="W78" s="15">
        <v>0</v>
      </c>
      <c r="X78" s="16" t="str">
        <f t="shared" ref="X78:X95" si="63">O78</f>
        <v>%</v>
      </c>
      <c r="Y78" s="19">
        <v>10152000</v>
      </c>
      <c r="Z78" s="49">
        <f t="shared" si="6"/>
        <v>0</v>
      </c>
      <c r="AA78" s="16" t="str">
        <f t="shared" si="7"/>
        <v>%</v>
      </c>
      <c r="AB78" s="48">
        <f t="shared" si="8"/>
        <v>0</v>
      </c>
      <c r="AC78" s="30" t="s">
        <v>44</v>
      </c>
      <c r="AD78" s="36">
        <f t="shared" si="9"/>
        <v>25236000</v>
      </c>
      <c r="AE78" s="48">
        <f t="shared" si="10"/>
        <v>35.644067796610166</v>
      </c>
      <c r="AF78" s="30" t="s">
        <v>44</v>
      </c>
      <c r="AG78" s="49">
        <f t="shared" si="11"/>
        <v>100</v>
      </c>
      <c r="AH78" s="16" t="str">
        <f t="shared" si="12"/>
        <v>%</v>
      </c>
      <c r="AI78" s="36">
        <f t="shared" si="62"/>
        <v>126566000</v>
      </c>
      <c r="AJ78" s="48"/>
      <c r="AK78" s="30" t="s">
        <v>44</v>
      </c>
      <c r="AL78" s="48"/>
      <c r="AM78" s="11"/>
      <c r="AP78" s="21"/>
    </row>
    <row r="79" spans="1:42" ht="60" x14ac:dyDescent="0.2">
      <c r="A79" s="12"/>
      <c r="B79" s="13"/>
      <c r="C79" s="22" t="s">
        <v>122</v>
      </c>
      <c r="D79" s="25" t="s">
        <v>172</v>
      </c>
      <c r="E79" s="15">
        <v>9</v>
      </c>
      <c r="F79" s="16" t="s">
        <v>42</v>
      </c>
      <c r="G79" s="135">
        <f>20000000*2+M79</f>
        <v>59999800</v>
      </c>
      <c r="H79" s="40"/>
      <c r="I79" s="16"/>
      <c r="J79" s="18"/>
      <c r="K79" s="15">
        <v>3</v>
      </c>
      <c r="L79" s="16" t="s">
        <v>42</v>
      </c>
      <c r="M79" s="19">
        <v>19999800</v>
      </c>
      <c r="N79" s="15">
        <v>1</v>
      </c>
      <c r="O79" s="16" t="str">
        <f t="shared" si="59"/>
        <v>Dok</v>
      </c>
      <c r="P79" s="19">
        <v>0</v>
      </c>
      <c r="Q79" s="15">
        <v>1</v>
      </c>
      <c r="R79" s="16" t="str">
        <f t="shared" si="60"/>
        <v>Dok</v>
      </c>
      <c r="S79" s="19">
        <v>4650000</v>
      </c>
      <c r="T79" s="15">
        <v>0</v>
      </c>
      <c r="U79" s="16" t="str">
        <f t="shared" si="61"/>
        <v>Dok</v>
      </c>
      <c r="V79" s="19">
        <v>0</v>
      </c>
      <c r="W79" s="15">
        <v>0</v>
      </c>
      <c r="X79" s="16" t="str">
        <f t="shared" si="63"/>
        <v>Dok</v>
      </c>
      <c r="Y79" s="19">
        <v>13960850</v>
      </c>
      <c r="Z79" s="49">
        <f t="shared" si="6"/>
        <v>2</v>
      </c>
      <c r="AA79" s="16" t="str">
        <f t="shared" si="7"/>
        <v>Dok</v>
      </c>
      <c r="AB79" s="48">
        <f t="shared" si="8"/>
        <v>66.666666666666657</v>
      </c>
      <c r="AC79" s="30" t="s">
        <v>44</v>
      </c>
      <c r="AD79" s="36">
        <f t="shared" si="9"/>
        <v>18610850</v>
      </c>
      <c r="AE79" s="48">
        <f t="shared" si="10"/>
        <v>93.05518055180552</v>
      </c>
      <c r="AF79" s="30" t="s">
        <v>44</v>
      </c>
      <c r="AG79" s="49">
        <f t="shared" si="11"/>
        <v>2</v>
      </c>
      <c r="AH79" s="16" t="str">
        <f t="shared" si="12"/>
        <v>Dok</v>
      </c>
      <c r="AI79" s="36">
        <f t="shared" si="62"/>
        <v>18610850</v>
      </c>
      <c r="AJ79" s="48"/>
      <c r="AK79" s="30" t="s">
        <v>44</v>
      </c>
      <c r="AL79" s="48"/>
      <c r="AM79" s="11"/>
      <c r="AP79" s="21"/>
    </row>
    <row r="80" spans="1:42" ht="90" x14ac:dyDescent="0.2">
      <c r="A80" s="12"/>
      <c r="B80" s="13"/>
      <c r="C80" s="22" t="s">
        <v>123</v>
      </c>
      <c r="D80" s="25" t="s">
        <v>173</v>
      </c>
      <c r="E80" s="15">
        <v>300</v>
      </c>
      <c r="F80" s="16" t="s">
        <v>48</v>
      </c>
      <c r="G80" s="135">
        <f>39200050*2+M80</f>
        <v>107400100</v>
      </c>
      <c r="H80" s="40"/>
      <c r="I80" s="16"/>
      <c r="J80" s="18"/>
      <c r="K80" s="15">
        <v>100</v>
      </c>
      <c r="L80" s="16" t="s">
        <v>48</v>
      </c>
      <c r="M80" s="19">
        <v>29000000</v>
      </c>
      <c r="N80" s="15">
        <v>0</v>
      </c>
      <c r="O80" s="16" t="str">
        <f t="shared" si="59"/>
        <v>Org</v>
      </c>
      <c r="P80" s="19">
        <v>0</v>
      </c>
      <c r="Q80" s="15">
        <v>100</v>
      </c>
      <c r="R80" s="16" t="str">
        <f t="shared" si="60"/>
        <v>Org</v>
      </c>
      <c r="S80" s="19">
        <v>18550000</v>
      </c>
      <c r="T80" s="15">
        <v>0</v>
      </c>
      <c r="U80" s="16" t="str">
        <f t="shared" si="61"/>
        <v>Org</v>
      </c>
      <c r="V80" s="19">
        <v>0</v>
      </c>
      <c r="W80" s="15">
        <v>0</v>
      </c>
      <c r="X80" s="16" t="str">
        <f t="shared" si="63"/>
        <v>Org</v>
      </c>
      <c r="Y80" s="19">
        <v>0</v>
      </c>
      <c r="Z80" s="49">
        <f>SUM(N80,Q80,T80,W80)</f>
        <v>100</v>
      </c>
      <c r="AA80" s="16" t="str">
        <f t="shared" si="7"/>
        <v>Org</v>
      </c>
      <c r="AB80" s="48">
        <f t="shared" si="8"/>
        <v>100</v>
      </c>
      <c r="AC80" s="30" t="s">
        <v>44</v>
      </c>
      <c r="AD80" s="36">
        <f t="shared" si="9"/>
        <v>18550000</v>
      </c>
      <c r="AE80" s="48">
        <f t="shared" si="10"/>
        <v>63.96551724137931</v>
      </c>
      <c r="AF80" s="30" t="s">
        <v>44</v>
      </c>
      <c r="AG80" s="49">
        <f t="shared" si="11"/>
        <v>100</v>
      </c>
      <c r="AH80" s="16" t="str">
        <f t="shared" si="12"/>
        <v>Org</v>
      </c>
      <c r="AI80" s="36">
        <f t="shared" si="62"/>
        <v>18550000</v>
      </c>
      <c r="AJ80" s="48"/>
      <c r="AK80" s="30" t="s">
        <v>44</v>
      </c>
      <c r="AL80" s="48"/>
      <c r="AM80" s="11"/>
      <c r="AP80" s="21"/>
    </row>
    <row r="81" spans="1:42" s="69" customFormat="1" ht="63" x14ac:dyDescent="0.25">
      <c r="A81" s="12"/>
      <c r="B81" s="13"/>
      <c r="C81" s="124" t="s">
        <v>124</v>
      </c>
      <c r="D81" s="148" t="s">
        <v>162</v>
      </c>
      <c r="E81" s="79">
        <v>100</v>
      </c>
      <c r="F81" s="42" t="s">
        <v>44</v>
      </c>
      <c r="G81" s="38">
        <f>SUM(G83:G85)</f>
        <v>1460345150</v>
      </c>
      <c r="H81" s="79">
        <v>100</v>
      </c>
      <c r="I81" s="42" t="s">
        <v>44</v>
      </c>
      <c r="J81" s="38">
        <f>SUM(J83:J85)</f>
        <v>460383700</v>
      </c>
      <c r="K81" s="79">
        <v>100</v>
      </c>
      <c r="L81" s="42" t="s">
        <v>44</v>
      </c>
      <c r="M81" s="38">
        <f>SUM(M83:M85)</f>
        <v>535815850</v>
      </c>
      <c r="N81" s="80">
        <f>43304999413.68/174400450000*100</f>
        <v>24.83078421740311</v>
      </c>
      <c r="O81" s="42" t="str">
        <f t="shared" si="59"/>
        <v>%</v>
      </c>
      <c r="P81" s="38">
        <f>SUM(P83:P85)</f>
        <v>19674240</v>
      </c>
      <c r="Q81" s="80">
        <f>(72042814166.62-43304999413.68)/174400450000*100</f>
        <v>16.478062271593906</v>
      </c>
      <c r="R81" s="42" t="str">
        <f t="shared" si="60"/>
        <v>%</v>
      </c>
      <c r="S81" s="38">
        <f>SUM(S83:S85)</f>
        <v>85686346</v>
      </c>
      <c r="T81" s="41"/>
      <c r="U81" s="42" t="str">
        <f t="shared" si="61"/>
        <v>%</v>
      </c>
      <c r="V81" s="38">
        <f>SUM(V83:V85)</f>
        <v>22125000</v>
      </c>
      <c r="W81" s="41"/>
      <c r="X81" s="42" t="str">
        <f t="shared" si="63"/>
        <v>%</v>
      </c>
      <c r="Y81" s="38">
        <f>SUM(Y83:Y85)</f>
        <v>121215650</v>
      </c>
      <c r="Z81" s="81">
        <f>SUM(N81,Q81,T81,W81)</f>
        <v>41.30884648899702</v>
      </c>
      <c r="AA81" s="42" t="str">
        <f t="shared" si="7"/>
        <v>%</v>
      </c>
      <c r="AB81" s="50">
        <f>Z81/K81*100</f>
        <v>41.30884648899702</v>
      </c>
      <c r="AC81" s="52" t="s">
        <v>44</v>
      </c>
      <c r="AD81" s="51">
        <f t="shared" si="9"/>
        <v>248701236</v>
      </c>
      <c r="AE81" s="50">
        <f>AD81/M81*100</f>
        <v>46.415430973159907</v>
      </c>
      <c r="AF81" s="52" t="s">
        <v>44</v>
      </c>
      <c r="AG81" s="53">
        <f t="shared" si="11"/>
        <v>141.30884648899701</v>
      </c>
      <c r="AH81" s="75" t="str">
        <f t="shared" si="12"/>
        <v>%</v>
      </c>
      <c r="AI81" s="51">
        <f t="shared" si="62"/>
        <v>709084936</v>
      </c>
      <c r="AJ81" s="50"/>
      <c r="AK81" s="52" t="s">
        <v>44</v>
      </c>
      <c r="AL81" s="50"/>
      <c r="AM81" s="72"/>
      <c r="AP81" s="70"/>
    </row>
    <row r="82" spans="1:42" s="69" customFormat="1" ht="63" x14ac:dyDescent="0.25">
      <c r="A82" s="12"/>
      <c r="B82" s="13"/>
      <c r="C82" s="125"/>
      <c r="D82" s="145" t="s">
        <v>163</v>
      </c>
      <c r="E82" s="79">
        <v>100</v>
      </c>
      <c r="F82" s="42" t="s">
        <v>44</v>
      </c>
      <c r="G82" s="38">
        <f>SUM(G86:G88)</f>
        <v>1584615525</v>
      </c>
      <c r="H82" s="79">
        <v>100</v>
      </c>
      <c r="I82" s="42" t="s">
        <v>44</v>
      </c>
      <c r="J82" s="38">
        <f>SUM(J86:J88)</f>
        <v>1600000</v>
      </c>
      <c r="K82" s="79">
        <v>100</v>
      </c>
      <c r="L82" s="42" t="s">
        <v>44</v>
      </c>
      <c r="M82" s="38">
        <f>SUM(M86:M88)</f>
        <v>460491125</v>
      </c>
      <c r="N82" s="80">
        <f>14319575/1343533000*100</f>
        <v>1.0658149074120249</v>
      </c>
      <c r="O82" s="42" t="str">
        <f t="shared" si="59"/>
        <v>%</v>
      </c>
      <c r="P82" s="38">
        <f>SUM(P86:P88)</f>
        <v>11570000</v>
      </c>
      <c r="Q82" s="80">
        <f>(337191017-14319575)/1343533000*100</f>
        <v>24.031523006878132</v>
      </c>
      <c r="R82" s="42" t="str">
        <f t="shared" si="60"/>
        <v>%</v>
      </c>
      <c r="S82" s="38">
        <f>SUM(S86:S88)</f>
        <v>23440200</v>
      </c>
      <c r="T82" s="41"/>
      <c r="U82" s="42" t="str">
        <f t="shared" si="61"/>
        <v>%</v>
      </c>
      <c r="V82" s="38">
        <f>SUM(V86:V88)</f>
        <v>140039000</v>
      </c>
      <c r="W82" s="41"/>
      <c r="X82" s="42" t="str">
        <f t="shared" si="63"/>
        <v>%</v>
      </c>
      <c r="Y82" s="38">
        <f>SUM(Y86:Y88)</f>
        <v>216899400</v>
      </c>
      <c r="Z82" s="81">
        <f>SUM(N82,Q82,T82,W82)</f>
        <v>25.097337914290158</v>
      </c>
      <c r="AA82" s="42"/>
      <c r="AB82" s="50">
        <f>Z82/K82*100</f>
        <v>25.097337914290158</v>
      </c>
      <c r="AC82" s="52"/>
      <c r="AD82" s="51">
        <f t="shared" ref="AD82" si="64">SUM(P82,S82,V82,Y82)</f>
        <v>391948600</v>
      </c>
      <c r="AE82" s="50">
        <f>AD82/M82*100</f>
        <v>85.115342885272753</v>
      </c>
      <c r="AF82" s="52" t="s">
        <v>44</v>
      </c>
      <c r="AG82" s="53">
        <f t="shared" ref="AG82" si="65">SUM(H82,Z82)</f>
        <v>125.09733791429016</v>
      </c>
      <c r="AH82" s="75" t="str">
        <f t="shared" ref="AH82" si="66">O82</f>
        <v>%</v>
      </c>
      <c r="AI82" s="51">
        <f t="shared" ref="AI82" si="67">SUM(J82,AD82)</f>
        <v>393548600</v>
      </c>
      <c r="AJ82" s="50"/>
      <c r="AK82" s="52"/>
      <c r="AL82" s="50"/>
      <c r="AM82" s="72"/>
      <c r="AP82" s="70"/>
    </row>
    <row r="83" spans="1:42" s="69" customFormat="1" ht="47.25" x14ac:dyDescent="0.25">
      <c r="A83" s="12"/>
      <c r="B83" s="13"/>
      <c r="C83" s="153" t="s">
        <v>155</v>
      </c>
      <c r="D83" s="144" t="s">
        <v>156</v>
      </c>
      <c r="E83" s="79">
        <v>48</v>
      </c>
      <c r="F83" s="42" t="s">
        <v>44</v>
      </c>
      <c r="G83" s="38">
        <f>G89</f>
        <v>348199000</v>
      </c>
      <c r="H83" s="41"/>
      <c r="I83" s="42"/>
      <c r="J83" s="38">
        <f>J89</f>
        <v>147338000</v>
      </c>
      <c r="K83" s="79">
        <v>16</v>
      </c>
      <c r="L83" s="42" t="s">
        <v>44</v>
      </c>
      <c r="M83" s="38">
        <f>M89</f>
        <v>126849000</v>
      </c>
      <c r="N83" s="158">
        <v>0</v>
      </c>
      <c r="O83" s="42" t="str">
        <f t="shared" si="59"/>
        <v>%</v>
      </c>
      <c r="P83" s="38">
        <f>P89</f>
        <v>0</v>
      </c>
      <c r="Q83" s="158">
        <v>0</v>
      </c>
      <c r="R83" s="42" t="str">
        <f t="shared" si="60"/>
        <v>%</v>
      </c>
      <c r="S83" s="38">
        <f>S89</f>
        <v>59800000</v>
      </c>
      <c r="T83" s="41"/>
      <c r="U83" s="42" t="str">
        <f t="shared" si="61"/>
        <v>%</v>
      </c>
      <c r="V83" s="38">
        <f>V89</f>
        <v>0</v>
      </c>
      <c r="W83" s="41"/>
      <c r="X83" s="42" t="str">
        <f t="shared" si="63"/>
        <v>%</v>
      </c>
      <c r="Y83" s="38">
        <f>Y89</f>
        <v>25851000</v>
      </c>
      <c r="Z83" s="81">
        <f t="shared" si="6"/>
        <v>0</v>
      </c>
      <c r="AA83" s="42" t="str">
        <f t="shared" si="7"/>
        <v>%</v>
      </c>
      <c r="AB83" s="50">
        <f t="shared" si="8"/>
        <v>0</v>
      </c>
      <c r="AC83" s="52" t="s">
        <v>44</v>
      </c>
      <c r="AD83" s="51">
        <f t="shared" si="9"/>
        <v>85651000</v>
      </c>
      <c r="AE83" s="50">
        <f t="shared" si="10"/>
        <v>67.522014363534595</v>
      </c>
      <c r="AF83" s="52" t="s">
        <v>44</v>
      </c>
      <c r="AG83" s="53">
        <f>SUM(H83,Z83)</f>
        <v>0</v>
      </c>
      <c r="AH83" s="42" t="str">
        <f t="shared" si="12"/>
        <v>%</v>
      </c>
      <c r="AI83" s="51">
        <f>SUM(J83,AD83)</f>
        <v>232989000</v>
      </c>
      <c r="AJ83" s="50"/>
      <c r="AK83" s="52" t="s">
        <v>44</v>
      </c>
      <c r="AL83" s="50"/>
      <c r="AM83" s="72"/>
      <c r="AP83" s="70"/>
    </row>
    <row r="84" spans="1:42" s="69" customFormat="1" ht="94.5" x14ac:dyDescent="0.25">
      <c r="A84" s="12"/>
      <c r="B84" s="13"/>
      <c r="C84" s="155"/>
      <c r="D84" s="153" t="s">
        <v>157</v>
      </c>
      <c r="E84" s="79">
        <v>100</v>
      </c>
      <c r="F84" s="42" t="s">
        <v>44</v>
      </c>
      <c r="G84" s="38">
        <f>G91</f>
        <v>362446350</v>
      </c>
      <c r="H84" s="41"/>
      <c r="I84" s="42"/>
      <c r="J84" s="38">
        <f>J91</f>
        <v>55916000</v>
      </c>
      <c r="K84" s="79">
        <v>100</v>
      </c>
      <c r="L84" s="42" t="s">
        <v>44</v>
      </c>
      <c r="M84" s="38">
        <f>M91</f>
        <v>138827250</v>
      </c>
      <c r="N84" s="158">
        <v>0</v>
      </c>
      <c r="O84" s="42" t="str">
        <f t="shared" si="59"/>
        <v>%</v>
      </c>
      <c r="P84" s="38">
        <f>P91</f>
        <v>5238720</v>
      </c>
      <c r="Q84" s="158">
        <v>0</v>
      </c>
      <c r="R84" s="42" t="str">
        <f t="shared" si="60"/>
        <v>%</v>
      </c>
      <c r="S84" s="38">
        <f>S91</f>
        <v>6000000</v>
      </c>
      <c r="T84" s="41"/>
      <c r="U84" s="42" t="str">
        <f t="shared" si="61"/>
        <v>%</v>
      </c>
      <c r="V84" s="38">
        <f>V91</f>
        <v>13125000</v>
      </c>
      <c r="W84" s="41"/>
      <c r="X84" s="42" t="str">
        <f t="shared" si="63"/>
        <v>%</v>
      </c>
      <c r="Y84" s="38">
        <f>Y91</f>
        <v>64280150</v>
      </c>
      <c r="Z84" s="81">
        <f t="shared" ref="Z84:Z87" si="68">SUM(N84,Q84,T84,W84)</f>
        <v>0</v>
      </c>
      <c r="AA84" s="42" t="str">
        <f t="shared" ref="AA84:AA87" si="69">L84</f>
        <v>%</v>
      </c>
      <c r="AB84" s="50">
        <f t="shared" ref="AB84:AB87" si="70">Z84/K84*100</f>
        <v>0</v>
      </c>
      <c r="AC84" s="52" t="s">
        <v>44</v>
      </c>
      <c r="AD84" s="51">
        <f t="shared" ref="AD84:AD88" si="71">SUM(P84,S84,V84,Y84)</f>
        <v>88643870</v>
      </c>
      <c r="AE84" s="50">
        <f t="shared" ref="AE84:AE88" si="72">AD84/M84*100</f>
        <v>63.851923883819637</v>
      </c>
      <c r="AF84" s="52" t="s">
        <v>44</v>
      </c>
      <c r="AG84" s="53">
        <f t="shared" ref="AG84:AG88" si="73">SUM(H84,Z84)</f>
        <v>0</v>
      </c>
      <c r="AH84" s="42" t="str">
        <f t="shared" ref="AH84:AH88" si="74">O84</f>
        <v>%</v>
      </c>
      <c r="AI84" s="51">
        <f t="shared" ref="AI84:AI88" si="75">SUM(J84,AD84)</f>
        <v>144559870</v>
      </c>
      <c r="AJ84" s="50"/>
      <c r="AK84" s="52"/>
      <c r="AL84" s="50"/>
      <c r="AM84" s="72"/>
      <c r="AP84" s="70"/>
    </row>
    <row r="85" spans="1:42" s="69" customFormat="1" ht="78.75" x14ac:dyDescent="0.25">
      <c r="A85" s="12"/>
      <c r="B85" s="13"/>
      <c r="C85" s="156"/>
      <c r="D85" s="144" t="s">
        <v>158</v>
      </c>
      <c r="E85" s="79">
        <v>100</v>
      </c>
      <c r="F85" s="42" t="s">
        <v>44</v>
      </c>
      <c r="G85" s="38">
        <f>G92+G93</f>
        <v>749699800</v>
      </c>
      <c r="H85" s="41"/>
      <c r="I85" s="42"/>
      <c r="J85" s="38">
        <f>J92+J93</f>
        <v>257129700</v>
      </c>
      <c r="K85" s="79">
        <v>100</v>
      </c>
      <c r="L85" s="42" t="s">
        <v>44</v>
      </c>
      <c r="M85" s="38">
        <f>M92+M93</f>
        <v>270139600</v>
      </c>
      <c r="N85" s="80">
        <f>67615/70060*100</f>
        <v>96.510134170710813</v>
      </c>
      <c r="O85" s="42" t="str">
        <f t="shared" si="59"/>
        <v>%</v>
      </c>
      <c r="P85" s="38">
        <f>P92+P93</f>
        <v>14435520</v>
      </c>
      <c r="Q85" s="80">
        <f>1413/70060*100</f>
        <v>2.0168427062517842</v>
      </c>
      <c r="R85" s="42" t="str">
        <f t="shared" si="60"/>
        <v>%</v>
      </c>
      <c r="S85" s="38">
        <f>S92+S93</f>
        <v>19886346</v>
      </c>
      <c r="T85" s="41"/>
      <c r="U85" s="42" t="str">
        <f t="shared" si="61"/>
        <v>%</v>
      </c>
      <c r="V85" s="38">
        <f>V92+V93</f>
        <v>9000000</v>
      </c>
      <c r="W85" s="41"/>
      <c r="X85" s="42" t="str">
        <f t="shared" si="63"/>
        <v>%</v>
      </c>
      <c r="Y85" s="38">
        <f>Y92+Y93</f>
        <v>31084500</v>
      </c>
      <c r="Z85" s="81">
        <f t="shared" si="68"/>
        <v>98.526976876962593</v>
      </c>
      <c r="AA85" s="42" t="str">
        <f t="shared" si="69"/>
        <v>%</v>
      </c>
      <c r="AB85" s="50">
        <f t="shared" si="70"/>
        <v>98.526976876962593</v>
      </c>
      <c r="AC85" s="52" t="s">
        <v>44</v>
      </c>
      <c r="AD85" s="51">
        <f t="shared" si="71"/>
        <v>74406366</v>
      </c>
      <c r="AE85" s="50">
        <f t="shared" si="72"/>
        <v>27.543672234652011</v>
      </c>
      <c r="AF85" s="52" t="s">
        <v>44</v>
      </c>
      <c r="AG85" s="53">
        <f t="shared" si="73"/>
        <v>98.526976876962593</v>
      </c>
      <c r="AH85" s="42" t="str">
        <f t="shared" si="74"/>
        <v>%</v>
      </c>
      <c r="AI85" s="51">
        <f t="shared" si="75"/>
        <v>331536066</v>
      </c>
      <c r="AJ85" s="50"/>
      <c r="AK85" s="52"/>
      <c r="AL85" s="50"/>
      <c r="AM85" s="72"/>
      <c r="AP85" s="70"/>
    </row>
    <row r="86" spans="1:42" s="69" customFormat="1" ht="91.5" customHeight="1" x14ac:dyDescent="0.25">
      <c r="A86" s="12"/>
      <c r="B86" s="13"/>
      <c r="C86" s="156"/>
      <c r="D86" s="97" t="s">
        <v>159</v>
      </c>
      <c r="E86" s="79">
        <v>100</v>
      </c>
      <c r="F86" s="42" t="s">
        <v>44</v>
      </c>
      <c r="G86" s="38">
        <f>G90</f>
        <v>234765225</v>
      </c>
      <c r="H86" s="41"/>
      <c r="I86" s="42"/>
      <c r="J86" s="38">
        <f>J90</f>
        <v>1600000</v>
      </c>
      <c r="K86" s="79">
        <v>100</v>
      </c>
      <c r="L86" s="42" t="s">
        <v>44</v>
      </c>
      <c r="M86" s="38">
        <f>M90</f>
        <v>53081225</v>
      </c>
      <c r="N86" s="158">
        <v>25</v>
      </c>
      <c r="O86" s="42" t="str">
        <f t="shared" si="59"/>
        <v>%</v>
      </c>
      <c r="P86" s="38">
        <f>P90</f>
        <v>7070000</v>
      </c>
      <c r="Q86" s="158">
        <v>25</v>
      </c>
      <c r="R86" s="42" t="str">
        <f t="shared" si="60"/>
        <v>%</v>
      </c>
      <c r="S86" s="38">
        <f>S90</f>
        <v>600000</v>
      </c>
      <c r="T86" s="41"/>
      <c r="U86" s="42" t="str">
        <f t="shared" si="61"/>
        <v>%</v>
      </c>
      <c r="V86" s="38">
        <f>V90</f>
        <v>12950000</v>
      </c>
      <c r="W86" s="41"/>
      <c r="X86" s="42" t="str">
        <f t="shared" si="63"/>
        <v>%</v>
      </c>
      <c r="Y86" s="38">
        <f>Y90</f>
        <v>20141200</v>
      </c>
      <c r="Z86" s="81">
        <f t="shared" si="68"/>
        <v>50</v>
      </c>
      <c r="AA86" s="42" t="str">
        <f t="shared" si="69"/>
        <v>%</v>
      </c>
      <c r="AB86" s="50">
        <f t="shared" si="70"/>
        <v>50</v>
      </c>
      <c r="AC86" s="52" t="s">
        <v>44</v>
      </c>
      <c r="AD86" s="51">
        <f t="shared" si="71"/>
        <v>40761200</v>
      </c>
      <c r="AE86" s="50">
        <f t="shared" si="72"/>
        <v>76.790239863529891</v>
      </c>
      <c r="AF86" s="52" t="s">
        <v>44</v>
      </c>
      <c r="AG86" s="53">
        <f t="shared" si="73"/>
        <v>50</v>
      </c>
      <c r="AH86" s="42" t="str">
        <f t="shared" si="74"/>
        <v>%</v>
      </c>
      <c r="AI86" s="51">
        <f t="shared" si="75"/>
        <v>42361200</v>
      </c>
      <c r="AJ86" s="50"/>
      <c r="AK86" s="52"/>
      <c r="AL86" s="50"/>
      <c r="AM86" s="72"/>
      <c r="AP86" s="70"/>
    </row>
    <row r="87" spans="1:42" s="69" customFormat="1" ht="47.25" x14ac:dyDescent="0.25">
      <c r="A87" s="12"/>
      <c r="B87" s="13"/>
      <c r="C87" s="156"/>
      <c r="D87" s="97" t="s">
        <v>160</v>
      </c>
      <c r="E87" s="79">
        <v>100</v>
      </c>
      <c r="F87" s="42" t="s">
        <v>44</v>
      </c>
      <c r="G87" s="38">
        <f>G94</f>
        <v>987553000</v>
      </c>
      <c r="H87" s="41"/>
      <c r="I87" s="42"/>
      <c r="J87" s="38">
        <f>J94</f>
        <v>0</v>
      </c>
      <c r="K87" s="79">
        <v>100</v>
      </c>
      <c r="L87" s="42" t="s">
        <v>44</v>
      </c>
      <c r="M87" s="38">
        <f>M94</f>
        <v>265475000</v>
      </c>
      <c r="N87" s="159">
        <f>N94/K94*100</f>
        <v>7.2411296162201294E-2</v>
      </c>
      <c r="O87" s="42" t="str">
        <f t="shared" si="59"/>
        <v>%</v>
      </c>
      <c r="P87" s="38">
        <f>P94</f>
        <v>0</v>
      </c>
      <c r="Q87" s="159">
        <f>Q94/K94*100</f>
        <v>32.205648081100655</v>
      </c>
      <c r="R87" s="42" t="str">
        <f t="shared" si="60"/>
        <v>%</v>
      </c>
      <c r="S87" s="38">
        <f>S94</f>
        <v>15064200</v>
      </c>
      <c r="T87" s="41"/>
      <c r="U87" s="42" t="str">
        <f t="shared" si="61"/>
        <v>%</v>
      </c>
      <c r="V87" s="38">
        <f>V94</f>
        <v>124089000</v>
      </c>
      <c r="W87" s="41"/>
      <c r="X87" s="42" t="str">
        <f t="shared" si="63"/>
        <v>%</v>
      </c>
      <c r="Y87" s="38">
        <f>Y94</f>
        <v>113094300</v>
      </c>
      <c r="Z87" s="81">
        <f t="shared" si="68"/>
        <v>32.278059377262856</v>
      </c>
      <c r="AA87" s="42" t="str">
        <f t="shared" si="69"/>
        <v>%</v>
      </c>
      <c r="AB87" s="50">
        <f t="shared" si="70"/>
        <v>32.278059377262856</v>
      </c>
      <c r="AC87" s="52" t="s">
        <v>44</v>
      </c>
      <c r="AD87" s="51">
        <f t="shared" si="71"/>
        <v>252247500</v>
      </c>
      <c r="AE87" s="50">
        <f t="shared" si="72"/>
        <v>95.017421602787451</v>
      </c>
      <c r="AF87" s="52" t="s">
        <v>44</v>
      </c>
      <c r="AG87" s="53">
        <f t="shared" si="73"/>
        <v>32.278059377262856</v>
      </c>
      <c r="AH87" s="42" t="str">
        <f t="shared" si="74"/>
        <v>%</v>
      </c>
      <c r="AI87" s="51">
        <f t="shared" si="75"/>
        <v>252247500</v>
      </c>
      <c r="AJ87" s="50"/>
      <c r="AK87" s="52"/>
      <c r="AL87" s="50"/>
      <c r="AM87" s="72"/>
      <c r="AP87" s="70"/>
    </row>
    <row r="88" spans="1:42" s="69" customFormat="1" ht="63" x14ac:dyDescent="0.25">
      <c r="A88" s="12"/>
      <c r="B88" s="13"/>
      <c r="C88" s="125"/>
      <c r="D88" s="97" t="s">
        <v>161</v>
      </c>
      <c r="E88" s="79">
        <v>100</v>
      </c>
      <c r="F88" s="42" t="s">
        <v>44</v>
      </c>
      <c r="G88" s="38">
        <f>G95</f>
        <v>362297300</v>
      </c>
      <c r="H88" s="41"/>
      <c r="I88" s="42"/>
      <c r="J88" s="38">
        <f>J95</f>
        <v>0</v>
      </c>
      <c r="K88" s="79">
        <v>100</v>
      </c>
      <c r="L88" s="42" t="s">
        <v>44</v>
      </c>
      <c r="M88" s="38">
        <f>M95</f>
        <v>141934900</v>
      </c>
      <c r="N88" s="158">
        <f>N95/K95*100</f>
        <v>15</v>
      </c>
      <c r="O88" s="42" t="str">
        <f t="shared" si="59"/>
        <v>%</v>
      </c>
      <c r="P88" s="38">
        <f>P95</f>
        <v>4500000</v>
      </c>
      <c r="Q88" s="158">
        <f>Q95/K95*100</f>
        <v>25</v>
      </c>
      <c r="R88" s="42" t="str">
        <f t="shared" si="60"/>
        <v>%</v>
      </c>
      <c r="S88" s="38">
        <f>S95</f>
        <v>7776000</v>
      </c>
      <c r="T88" s="41"/>
      <c r="U88" s="42" t="str">
        <f t="shared" si="61"/>
        <v>%</v>
      </c>
      <c r="V88" s="38">
        <f>V95</f>
        <v>3000000</v>
      </c>
      <c r="W88" s="41"/>
      <c r="X88" s="42" t="str">
        <f t="shared" si="63"/>
        <v>%</v>
      </c>
      <c r="Y88" s="38">
        <f>Y95</f>
        <v>83663900</v>
      </c>
      <c r="Z88" s="81">
        <f t="shared" ref="Z88" si="76">SUM(N88,Q88,T88,W88)</f>
        <v>40</v>
      </c>
      <c r="AA88" s="42" t="str">
        <f t="shared" ref="AA88" si="77">L88</f>
        <v>%</v>
      </c>
      <c r="AB88" s="50">
        <f t="shared" ref="AB88" si="78">Z88/K88*100</f>
        <v>40</v>
      </c>
      <c r="AC88" s="52" t="s">
        <v>44</v>
      </c>
      <c r="AD88" s="51">
        <f t="shared" si="71"/>
        <v>98939900</v>
      </c>
      <c r="AE88" s="50">
        <f t="shared" si="72"/>
        <v>69.707943571313322</v>
      </c>
      <c r="AF88" s="52" t="s">
        <v>44</v>
      </c>
      <c r="AG88" s="53">
        <f t="shared" si="73"/>
        <v>40</v>
      </c>
      <c r="AH88" s="42" t="str">
        <f t="shared" si="74"/>
        <v>%</v>
      </c>
      <c r="AI88" s="51">
        <f t="shared" si="75"/>
        <v>98939900</v>
      </c>
      <c r="AJ88" s="50"/>
      <c r="AK88" s="52"/>
      <c r="AL88" s="50"/>
      <c r="AM88" s="72"/>
      <c r="AP88" s="70"/>
    </row>
    <row r="89" spans="1:42" ht="45" x14ac:dyDescent="0.2">
      <c r="A89" s="12"/>
      <c r="B89" s="13"/>
      <c r="C89" s="146" t="s">
        <v>125</v>
      </c>
      <c r="D89" s="141" t="s">
        <v>148</v>
      </c>
      <c r="E89" s="63">
        <v>621884111405</v>
      </c>
      <c r="F89" s="16" t="s">
        <v>14</v>
      </c>
      <c r="G89" s="45">
        <f>110675000*2+M89</f>
        <v>348199000</v>
      </c>
      <c r="H89" s="67">
        <v>203906048913</v>
      </c>
      <c r="I89" s="16" t="s">
        <v>14</v>
      </c>
      <c r="J89" s="18">
        <v>147338000</v>
      </c>
      <c r="K89" s="160">
        <v>174400450000</v>
      </c>
      <c r="L89" s="16" t="s">
        <v>14</v>
      </c>
      <c r="M89" s="19">
        <v>126849000</v>
      </c>
      <c r="N89" s="147">
        <v>43304999413.68</v>
      </c>
      <c r="O89" s="16" t="str">
        <f t="shared" si="59"/>
        <v>Rp</v>
      </c>
      <c r="P89" s="19">
        <v>0</v>
      </c>
      <c r="Q89" s="122">
        <f>72042814166.62-N89</f>
        <v>28737814752.939995</v>
      </c>
      <c r="R89" s="16" t="str">
        <f t="shared" si="60"/>
        <v>Rp</v>
      </c>
      <c r="S89" s="19">
        <v>59800000</v>
      </c>
      <c r="T89" s="15"/>
      <c r="U89" s="16" t="str">
        <f t="shared" si="61"/>
        <v>Rp</v>
      </c>
      <c r="V89" s="19">
        <v>0</v>
      </c>
      <c r="W89" s="15"/>
      <c r="X89" s="16" t="str">
        <f t="shared" si="63"/>
        <v>Rp</v>
      </c>
      <c r="Y89" s="19">
        <v>25851000</v>
      </c>
      <c r="Z89" s="161">
        <f t="shared" si="6"/>
        <v>72042814166.619995</v>
      </c>
      <c r="AA89" s="16" t="str">
        <f t="shared" si="7"/>
        <v>Rp</v>
      </c>
      <c r="AB89" s="48">
        <f t="shared" si="8"/>
        <v>41.308846488997013</v>
      </c>
      <c r="AC89" s="30" t="s">
        <v>44</v>
      </c>
      <c r="AD89" s="36">
        <f t="shared" si="9"/>
        <v>85651000</v>
      </c>
      <c r="AE89" s="48">
        <f t="shared" si="10"/>
        <v>67.522014363534595</v>
      </c>
      <c r="AF89" s="30" t="s">
        <v>44</v>
      </c>
      <c r="AG89" s="161">
        <f t="shared" si="11"/>
        <v>275948863079.62</v>
      </c>
      <c r="AH89" s="68" t="str">
        <f t="shared" si="12"/>
        <v>Rp</v>
      </c>
      <c r="AI89" s="36">
        <f>SUM(J89,AD89)</f>
        <v>232989000</v>
      </c>
      <c r="AJ89" s="48"/>
      <c r="AK89" s="30" t="s">
        <v>44</v>
      </c>
      <c r="AL89" s="48"/>
      <c r="AM89" s="11"/>
      <c r="AP89" s="21"/>
    </row>
    <row r="90" spans="1:42" ht="75" x14ac:dyDescent="0.2">
      <c r="A90" s="12"/>
      <c r="B90" s="13"/>
      <c r="C90" s="25" t="s">
        <v>150</v>
      </c>
      <c r="D90" s="25" t="s">
        <v>151</v>
      </c>
      <c r="E90" s="15">
        <f>240*3</f>
        <v>720</v>
      </c>
      <c r="F90" s="16" t="s">
        <v>222</v>
      </c>
      <c r="G90" s="136">
        <f>90842000*2+M90</f>
        <v>234765225</v>
      </c>
      <c r="H90" s="40">
        <v>0</v>
      </c>
      <c r="I90" s="16" t="s">
        <v>210</v>
      </c>
      <c r="J90" s="18">
        <v>1600000</v>
      </c>
      <c r="K90" s="15">
        <v>240</v>
      </c>
      <c r="L90" s="16" t="s">
        <v>222</v>
      </c>
      <c r="M90" s="19">
        <v>53081225</v>
      </c>
      <c r="N90" s="15">
        <v>60</v>
      </c>
      <c r="O90" s="16" t="str">
        <f t="shared" si="59"/>
        <v>org</v>
      </c>
      <c r="P90" s="19">
        <v>7070000</v>
      </c>
      <c r="Q90" s="15">
        <v>60</v>
      </c>
      <c r="R90" s="16" t="str">
        <f t="shared" si="60"/>
        <v>org</v>
      </c>
      <c r="S90" s="19">
        <v>600000</v>
      </c>
      <c r="T90" s="15"/>
      <c r="U90" s="16" t="str">
        <f t="shared" si="61"/>
        <v>org</v>
      </c>
      <c r="V90" s="19">
        <v>12950000</v>
      </c>
      <c r="W90" s="15"/>
      <c r="X90" s="16" t="str">
        <f t="shared" si="63"/>
        <v>org</v>
      </c>
      <c r="Y90" s="19">
        <v>20141200</v>
      </c>
      <c r="Z90" s="49">
        <f t="shared" si="6"/>
        <v>120</v>
      </c>
      <c r="AA90" s="16" t="str">
        <f t="shared" si="7"/>
        <v>org</v>
      </c>
      <c r="AB90" s="48">
        <f t="shared" si="8"/>
        <v>50</v>
      </c>
      <c r="AC90" s="30" t="s">
        <v>44</v>
      </c>
      <c r="AD90" s="36">
        <f t="shared" si="9"/>
        <v>40761200</v>
      </c>
      <c r="AE90" s="48">
        <f t="shared" si="10"/>
        <v>76.790239863529891</v>
      </c>
      <c r="AF90" s="30" t="s">
        <v>44</v>
      </c>
      <c r="AG90" s="49">
        <f t="shared" si="11"/>
        <v>120</v>
      </c>
      <c r="AH90" s="16" t="str">
        <f t="shared" si="12"/>
        <v>org</v>
      </c>
      <c r="AI90" s="36">
        <f>SUM(J90,AD90)</f>
        <v>42361200</v>
      </c>
      <c r="AJ90" s="48"/>
      <c r="AK90" s="30" t="s">
        <v>44</v>
      </c>
      <c r="AL90" s="48"/>
      <c r="AM90" s="11"/>
      <c r="AP90" s="21"/>
    </row>
    <row r="91" spans="1:42" ht="45" x14ac:dyDescent="0.2">
      <c r="A91" s="12"/>
      <c r="B91" s="13"/>
      <c r="C91" s="25" t="s">
        <v>149</v>
      </c>
      <c r="D91" s="25" t="s">
        <v>132</v>
      </c>
      <c r="E91" s="66">
        <f>7100*3</f>
        <v>21300</v>
      </c>
      <c r="F91" s="16" t="s">
        <v>139</v>
      </c>
      <c r="G91" s="45">
        <f>111809550*2+M91</f>
        <v>362446350</v>
      </c>
      <c r="H91" s="40">
        <v>478</v>
      </c>
      <c r="I91" s="16" t="s">
        <v>46</v>
      </c>
      <c r="J91" s="18">
        <v>55916000</v>
      </c>
      <c r="K91" s="66">
        <v>7100</v>
      </c>
      <c r="L91" s="16" t="s">
        <v>139</v>
      </c>
      <c r="M91" s="19">
        <v>138827250</v>
      </c>
      <c r="N91" s="15">
        <v>22</v>
      </c>
      <c r="O91" s="16" t="str">
        <f t="shared" si="59"/>
        <v>OP</v>
      </c>
      <c r="P91" s="19">
        <v>5238720</v>
      </c>
      <c r="Q91" s="15">
        <v>821</v>
      </c>
      <c r="R91" s="16" t="str">
        <f t="shared" si="60"/>
        <v>OP</v>
      </c>
      <c r="S91" s="19">
        <v>6000000</v>
      </c>
      <c r="T91" s="15"/>
      <c r="U91" s="16" t="str">
        <f t="shared" si="61"/>
        <v>OP</v>
      </c>
      <c r="V91" s="19">
        <v>13125000</v>
      </c>
      <c r="W91" s="15"/>
      <c r="X91" s="16" t="str">
        <f t="shared" si="63"/>
        <v>OP</v>
      </c>
      <c r="Y91" s="19">
        <v>64280150</v>
      </c>
      <c r="Z91" s="49">
        <f t="shared" si="6"/>
        <v>843</v>
      </c>
      <c r="AA91" s="16" t="str">
        <f t="shared" si="7"/>
        <v>OP</v>
      </c>
      <c r="AB91" s="48">
        <f t="shared" si="8"/>
        <v>11.873239436619718</v>
      </c>
      <c r="AC91" s="30" t="s">
        <v>44</v>
      </c>
      <c r="AD91" s="36">
        <f t="shared" si="9"/>
        <v>88643870</v>
      </c>
      <c r="AE91" s="48">
        <f t="shared" si="10"/>
        <v>63.851923883819637</v>
      </c>
      <c r="AF91" s="30" t="s">
        <v>44</v>
      </c>
      <c r="AG91" s="49">
        <f t="shared" si="11"/>
        <v>1321</v>
      </c>
      <c r="AH91" s="77" t="str">
        <f t="shared" si="12"/>
        <v>OP</v>
      </c>
      <c r="AI91" s="36">
        <f>SUM(J91,AD91)</f>
        <v>144559870</v>
      </c>
      <c r="AJ91" s="48"/>
      <c r="AK91" s="30" t="s">
        <v>44</v>
      </c>
      <c r="AL91" s="48"/>
      <c r="AM91" s="11"/>
      <c r="AP91" s="21"/>
    </row>
    <row r="92" spans="1:42" ht="60" x14ac:dyDescent="0.2">
      <c r="A92" s="12"/>
      <c r="B92" s="13"/>
      <c r="C92" s="25" t="s">
        <v>126</v>
      </c>
      <c r="D92" s="25" t="s">
        <v>133</v>
      </c>
      <c r="E92" s="67">
        <f>70000*3</f>
        <v>210000</v>
      </c>
      <c r="F92" s="68" t="s">
        <v>237</v>
      </c>
      <c r="G92" s="137">
        <f>116650300*2+M92</f>
        <v>429350400</v>
      </c>
      <c r="H92" s="67">
        <v>68104</v>
      </c>
      <c r="I92" s="16" t="s">
        <v>232</v>
      </c>
      <c r="J92" s="138">
        <v>257129700</v>
      </c>
      <c r="K92" s="67">
        <v>70000</v>
      </c>
      <c r="L92" s="16" t="s">
        <v>237</v>
      </c>
      <c r="M92" s="19">
        <v>196049800</v>
      </c>
      <c r="N92" s="67">
        <v>67600</v>
      </c>
      <c r="O92" s="16" t="str">
        <f t="shared" si="59"/>
        <v>Lbr</v>
      </c>
      <c r="P92" s="19">
        <v>0</v>
      </c>
      <c r="Q92" s="67">
        <v>1363</v>
      </c>
      <c r="R92" s="16" t="str">
        <f t="shared" si="60"/>
        <v>Lbr</v>
      </c>
      <c r="S92" s="19">
        <v>500000</v>
      </c>
      <c r="T92" s="15"/>
      <c r="U92" s="16" t="str">
        <f t="shared" si="61"/>
        <v>Lbr</v>
      </c>
      <c r="V92" s="19">
        <v>0</v>
      </c>
      <c r="W92" s="15"/>
      <c r="X92" s="16" t="str">
        <f t="shared" si="63"/>
        <v>Lbr</v>
      </c>
      <c r="Y92" s="19">
        <v>10162500</v>
      </c>
      <c r="Z92" s="161">
        <f t="shared" si="6"/>
        <v>68963</v>
      </c>
      <c r="AA92" s="16" t="str">
        <f t="shared" si="7"/>
        <v>Lbr</v>
      </c>
      <c r="AB92" s="48">
        <f t="shared" si="8"/>
        <v>98.518571428571434</v>
      </c>
      <c r="AC92" s="30" t="s">
        <v>44</v>
      </c>
      <c r="AD92" s="36">
        <f t="shared" si="9"/>
        <v>10662500</v>
      </c>
      <c r="AE92" s="48">
        <f t="shared" si="10"/>
        <v>5.4386691544699355</v>
      </c>
      <c r="AF92" s="30" t="s">
        <v>44</v>
      </c>
      <c r="AG92" s="49">
        <f t="shared" si="11"/>
        <v>137067</v>
      </c>
      <c r="AH92" s="68" t="str">
        <f t="shared" si="12"/>
        <v>Lbr</v>
      </c>
      <c r="AI92" s="36">
        <f>SUM('[1]T-C29'!M264,AD92)</f>
        <v>10662510</v>
      </c>
      <c r="AJ92" s="48"/>
      <c r="AK92" s="30" t="s">
        <v>44</v>
      </c>
      <c r="AL92" s="48"/>
      <c r="AM92" s="11"/>
      <c r="AP92" s="21"/>
    </row>
    <row r="93" spans="1:42" ht="60" x14ac:dyDescent="0.2">
      <c r="A93" s="12"/>
      <c r="B93" s="13"/>
      <c r="C93" s="25" t="s">
        <v>127</v>
      </c>
      <c r="D93" s="25" t="s">
        <v>152</v>
      </c>
      <c r="E93" s="15">
        <f>60*3</f>
        <v>180</v>
      </c>
      <c r="F93" s="16" t="s">
        <v>46</v>
      </c>
      <c r="G93" s="137">
        <f>123129800*2+M93</f>
        <v>320349400</v>
      </c>
      <c r="H93" s="40"/>
      <c r="I93" s="16"/>
      <c r="J93" s="18"/>
      <c r="K93" s="15">
        <v>60</v>
      </c>
      <c r="L93" s="16" t="s">
        <v>46</v>
      </c>
      <c r="M93" s="19">
        <v>74089800</v>
      </c>
      <c r="N93" s="15">
        <v>15</v>
      </c>
      <c r="O93" s="16" t="str">
        <f t="shared" si="59"/>
        <v>WP</v>
      </c>
      <c r="P93" s="19">
        <v>14435520</v>
      </c>
      <c r="Q93" s="15">
        <v>50</v>
      </c>
      <c r="R93" s="16" t="str">
        <f t="shared" si="60"/>
        <v>WP</v>
      </c>
      <c r="S93" s="19">
        <v>19386346</v>
      </c>
      <c r="T93" s="15"/>
      <c r="U93" s="16" t="str">
        <f t="shared" si="61"/>
        <v>WP</v>
      </c>
      <c r="V93" s="19">
        <v>9000000</v>
      </c>
      <c r="W93" s="15"/>
      <c r="X93" s="16" t="str">
        <f t="shared" si="63"/>
        <v>WP</v>
      </c>
      <c r="Y93" s="19">
        <v>20922000</v>
      </c>
      <c r="Z93" s="49">
        <f t="shared" si="6"/>
        <v>65</v>
      </c>
      <c r="AA93" s="16" t="str">
        <f t="shared" si="7"/>
        <v>WP</v>
      </c>
      <c r="AB93" s="48">
        <f t="shared" si="8"/>
        <v>108.33333333333333</v>
      </c>
      <c r="AC93" s="30" t="s">
        <v>44</v>
      </c>
      <c r="AD93" s="36">
        <f t="shared" si="9"/>
        <v>63743866</v>
      </c>
      <c r="AE93" s="48">
        <f t="shared" si="10"/>
        <v>86.035953667036495</v>
      </c>
      <c r="AF93" s="30" t="s">
        <v>44</v>
      </c>
      <c r="AG93" s="49">
        <f t="shared" si="11"/>
        <v>65</v>
      </c>
      <c r="AH93" s="16" t="str">
        <f t="shared" si="12"/>
        <v>WP</v>
      </c>
      <c r="AI93" s="36">
        <f>SUM(J93,AD93)</f>
        <v>63743866</v>
      </c>
      <c r="AJ93" s="48"/>
      <c r="AK93" s="30" t="s">
        <v>44</v>
      </c>
      <c r="AL93" s="48"/>
      <c r="AM93" s="11"/>
      <c r="AP93" s="21"/>
    </row>
    <row r="94" spans="1:42" s="95" customFormat="1" ht="45" x14ac:dyDescent="0.2">
      <c r="A94" s="82"/>
      <c r="B94" s="83"/>
      <c r="C94" s="139" t="s">
        <v>128</v>
      </c>
      <c r="D94" s="139" t="s">
        <v>153</v>
      </c>
      <c r="E94" s="88">
        <f>69050*3</f>
        <v>207150</v>
      </c>
      <c r="F94" s="85" t="s">
        <v>46</v>
      </c>
      <c r="G94" s="137">
        <f>361039000*2+M94</f>
        <v>987553000</v>
      </c>
      <c r="H94" s="86"/>
      <c r="I94" s="85"/>
      <c r="J94" s="87"/>
      <c r="K94" s="88">
        <v>69050</v>
      </c>
      <c r="L94" s="85" t="s">
        <v>46</v>
      </c>
      <c r="M94" s="89">
        <v>265475000</v>
      </c>
      <c r="N94" s="84">
        <v>50</v>
      </c>
      <c r="O94" s="85" t="str">
        <f t="shared" si="59"/>
        <v>WP</v>
      </c>
      <c r="P94" s="89">
        <v>0</v>
      </c>
      <c r="Q94" s="88">
        <v>22238</v>
      </c>
      <c r="R94" s="85" t="str">
        <f t="shared" si="60"/>
        <v>WP</v>
      </c>
      <c r="S94" s="89">
        <v>15064200</v>
      </c>
      <c r="T94" s="84"/>
      <c r="U94" s="85" t="str">
        <f t="shared" si="61"/>
        <v>WP</v>
      </c>
      <c r="V94" s="89">
        <v>124089000</v>
      </c>
      <c r="W94" s="84"/>
      <c r="X94" s="85" t="str">
        <f t="shared" si="63"/>
        <v>WP</v>
      </c>
      <c r="Y94" s="89">
        <v>113094300</v>
      </c>
      <c r="Z94" s="162">
        <f t="shared" si="6"/>
        <v>22288</v>
      </c>
      <c r="AA94" s="85" t="str">
        <f t="shared" si="7"/>
        <v>WP</v>
      </c>
      <c r="AB94" s="91">
        <f t="shared" si="8"/>
        <v>32.278059377262849</v>
      </c>
      <c r="AC94" s="92" t="s">
        <v>44</v>
      </c>
      <c r="AD94" s="93">
        <f t="shared" si="9"/>
        <v>252247500</v>
      </c>
      <c r="AE94" s="91">
        <f t="shared" si="10"/>
        <v>95.017421602787451</v>
      </c>
      <c r="AF94" s="92" t="s">
        <v>44</v>
      </c>
      <c r="AG94" s="90">
        <f t="shared" si="11"/>
        <v>22288</v>
      </c>
      <c r="AH94" s="85" t="str">
        <f t="shared" si="12"/>
        <v>WP</v>
      </c>
      <c r="AI94" s="93">
        <f>SUM(J94,AD94)</f>
        <v>252247500</v>
      </c>
      <c r="AJ94" s="91"/>
      <c r="AK94" s="92" t="s">
        <v>44</v>
      </c>
      <c r="AL94" s="91"/>
      <c r="AM94" s="94"/>
      <c r="AP94" s="96"/>
    </row>
    <row r="95" spans="1:42" ht="60" x14ac:dyDescent="0.2">
      <c r="A95" s="12"/>
      <c r="B95" s="13"/>
      <c r="C95" s="25" t="s">
        <v>129</v>
      </c>
      <c r="D95" s="25" t="s">
        <v>154</v>
      </c>
      <c r="E95" s="15">
        <f>25+20+25</f>
        <v>70</v>
      </c>
      <c r="F95" s="16" t="s">
        <v>46</v>
      </c>
      <c r="G95" s="137">
        <f>110181200*$G$106+M95</f>
        <v>362297300</v>
      </c>
      <c r="H95" s="40"/>
      <c r="I95" s="16"/>
      <c r="J95" s="18"/>
      <c r="K95" s="15">
        <v>20</v>
      </c>
      <c r="L95" s="16" t="s">
        <v>46</v>
      </c>
      <c r="M95" s="19">
        <v>141934900</v>
      </c>
      <c r="N95" s="15">
        <v>3</v>
      </c>
      <c r="O95" s="16" t="str">
        <f t="shared" si="59"/>
        <v>WP</v>
      </c>
      <c r="P95" s="19">
        <v>4500000</v>
      </c>
      <c r="Q95" s="15">
        <v>5</v>
      </c>
      <c r="R95" s="16" t="str">
        <f t="shared" si="60"/>
        <v>WP</v>
      </c>
      <c r="S95" s="19">
        <v>7776000</v>
      </c>
      <c r="T95" s="15"/>
      <c r="U95" s="16" t="str">
        <f t="shared" si="61"/>
        <v>WP</v>
      </c>
      <c r="V95" s="19">
        <v>3000000</v>
      </c>
      <c r="W95" s="15"/>
      <c r="X95" s="16" t="str">
        <f t="shared" si="63"/>
        <v>WP</v>
      </c>
      <c r="Y95" s="19">
        <v>83663900</v>
      </c>
      <c r="Z95" s="49">
        <f t="shared" ref="Z95" si="79">SUM(N95,Q95,T95,W95)</f>
        <v>8</v>
      </c>
      <c r="AA95" s="16" t="str">
        <f t="shared" ref="AA95" si="80">L95</f>
        <v>WP</v>
      </c>
      <c r="AB95" s="48">
        <f t="shared" ref="AB95" si="81">Z95/K95*100</f>
        <v>40</v>
      </c>
      <c r="AC95" s="30" t="s">
        <v>44</v>
      </c>
      <c r="AD95" s="36">
        <f t="shared" ref="AD95" si="82">SUM(P95,S95,V95,Y95)</f>
        <v>98939900</v>
      </c>
      <c r="AE95" s="48">
        <f t="shared" ref="AE95" si="83">AD95/M95*100</f>
        <v>69.707943571313322</v>
      </c>
      <c r="AF95" s="30" t="s">
        <v>44</v>
      </c>
      <c r="AG95" s="49">
        <f t="shared" ref="AG95" si="84">SUM(H95,Z95)</f>
        <v>8</v>
      </c>
      <c r="AH95" s="16" t="str">
        <f t="shared" ref="AH95" si="85">O95</f>
        <v>WP</v>
      </c>
      <c r="AI95" s="36">
        <f t="shared" ref="AI95" si="86">SUM(J95,AD95)</f>
        <v>98939900</v>
      </c>
      <c r="AJ95" s="48"/>
      <c r="AK95" s="30" t="s">
        <v>44</v>
      </c>
      <c r="AL95" s="48"/>
      <c r="AM95" s="11"/>
      <c r="AP95" s="21"/>
    </row>
    <row r="96" spans="1:42" ht="15" x14ac:dyDescent="0.2">
      <c r="A96" s="182" t="s">
        <v>49</v>
      </c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4"/>
      <c r="AB96" s="65" t="e">
        <f>AVERAGE(AB13:AB95)</f>
        <v>#DIV/0!</v>
      </c>
      <c r="AC96" s="55"/>
      <c r="AD96" s="54"/>
      <c r="AE96" s="65">
        <f>AVERAGE(AE13,AE39,AE69,AE81)</f>
        <v>73.145320243034135</v>
      </c>
      <c r="AF96" s="55"/>
      <c r="AG96" s="54"/>
      <c r="AH96" s="55"/>
      <c r="AI96" s="54"/>
      <c r="AJ96" s="54"/>
      <c r="AK96" s="55"/>
      <c r="AL96" s="56"/>
      <c r="AM96" s="11"/>
    </row>
    <row r="97" spans="1:39" ht="15" x14ac:dyDescent="0.2">
      <c r="A97" s="168" t="s">
        <v>23</v>
      </c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70"/>
      <c r="AB97" s="26" t="e">
        <f>IF(AB96&gt;=91,"Sangat Tinggi",IF(AB96&gt;=76,"Tinggi",IF(AB96&gt;=66,"Sedang",IF(AB96&gt;=51,"Rendah",IF(AB96&lt;=50,"Sangat Rendah")))))</f>
        <v>#DIV/0!</v>
      </c>
      <c r="AC97" s="55"/>
      <c r="AD97" s="57"/>
      <c r="AE97" s="26" t="str">
        <f>IF(AE96&gt;=91,"Sangat Tinggi",IF(AE96&gt;=76,"Tinggi",IF(AE96&gt;=66,"Sedang",IF(AE96&gt;=51,"Rendah",IF(AE96&lt;=50,"Sangat Rendah")))))</f>
        <v>Sedang</v>
      </c>
      <c r="AF97" s="55"/>
      <c r="AG97" s="58"/>
      <c r="AH97" s="55"/>
      <c r="AI97" s="57"/>
      <c r="AJ97" s="58"/>
      <c r="AK97" s="55"/>
      <c r="AL97" s="59"/>
      <c r="AM97" s="11"/>
    </row>
    <row r="98" spans="1:39" ht="15" x14ac:dyDescent="0.2">
      <c r="A98" s="171" t="s">
        <v>233</v>
      </c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1"/>
    </row>
    <row r="99" spans="1:39" ht="17.25" customHeight="1" x14ac:dyDescent="0.2">
      <c r="A99" s="171" t="s">
        <v>234</v>
      </c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1"/>
    </row>
    <row r="100" spans="1:39" ht="20.25" customHeight="1" x14ac:dyDescent="0.2">
      <c r="A100" s="171" t="s">
        <v>235</v>
      </c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1"/>
    </row>
    <row r="101" spans="1:39" ht="21" customHeight="1" x14ac:dyDescent="0.2">
      <c r="A101" s="171" t="s">
        <v>236</v>
      </c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27"/>
    </row>
    <row r="102" spans="1:39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9"/>
      <c r="AB102" s="28"/>
      <c r="AC102" s="29"/>
      <c r="AD102" s="28"/>
      <c r="AE102" s="28"/>
      <c r="AF102" s="29"/>
      <c r="AG102" s="28"/>
      <c r="AH102" s="29"/>
      <c r="AI102" s="28"/>
      <c r="AJ102" s="28"/>
      <c r="AK102" s="29"/>
      <c r="AL102" s="28"/>
    </row>
    <row r="103" spans="1:39" ht="15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15" t="s">
        <v>53</v>
      </c>
      <c r="AA103" s="215"/>
      <c r="AB103" s="215"/>
      <c r="AC103" s="215"/>
      <c r="AD103" s="215"/>
      <c r="AE103" s="215"/>
      <c r="AF103" s="29"/>
      <c r="AG103" s="28"/>
      <c r="AH103" s="215" t="s">
        <v>54</v>
      </c>
      <c r="AI103" s="215"/>
      <c r="AJ103" s="215"/>
      <c r="AK103" s="215"/>
      <c r="AL103" s="215"/>
      <c r="AM103" s="215"/>
    </row>
    <row r="104" spans="1:39" ht="15.75" x14ac:dyDescent="0.25">
      <c r="A104" s="34"/>
      <c r="B104" s="35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15" t="s">
        <v>239</v>
      </c>
      <c r="AA104" s="215"/>
      <c r="AB104" s="215"/>
      <c r="AC104" s="215"/>
      <c r="AD104" s="215"/>
      <c r="AE104" s="215"/>
      <c r="AF104" s="29"/>
      <c r="AG104" s="28"/>
      <c r="AH104" s="215" t="s">
        <v>239</v>
      </c>
      <c r="AI104" s="215"/>
      <c r="AJ104" s="215"/>
      <c r="AK104" s="215"/>
      <c r="AL104" s="215"/>
      <c r="AM104" s="215"/>
    </row>
    <row r="105" spans="1:39" ht="15.75" customHeight="1" x14ac:dyDescent="0.2">
      <c r="Y105" s="78"/>
      <c r="Z105" s="215" t="s">
        <v>62</v>
      </c>
      <c r="AA105" s="215"/>
      <c r="AB105" s="215"/>
      <c r="AC105" s="215"/>
      <c r="AD105" s="215"/>
      <c r="AE105" s="215"/>
      <c r="AF105" s="78"/>
      <c r="AG105" s="78"/>
      <c r="AH105" s="215" t="s">
        <v>55</v>
      </c>
      <c r="AI105" s="215"/>
      <c r="AJ105" s="215"/>
      <c r="AK105" s="215"/>
      <c r="AL105" s="215"/>
      <c r="AM105" s="215"/>
    </row>
    <row r="106" spans="1:39" ht="15" x14ac:dyDescent="0.2">
      <c r="G106" s="2">
        <v>2</v>
      </c>
      <c r="Z106" s="215" t="s">
        <v>56</v>
      </c>
      <c r="AA106" s="215"/>
      <c r="AB106" s="215"/>
      <c r="AC106" s="215"/>
      <c r="AD106" s="215"/>
      <c r="AE106" s="215"/>
      <c r="AH106" s="215" t="s">
        <v>56</v>
      </c>
      <c r="AI106" s="215"/>
      <c r="AJ106" s="215"/>
      <c r="AK106" s="215"/>
      <c r="AL106" s="215"/>
      <c r="AM106" s="215"/>
    </row>
    <row r="107" spans="1:39" ht="25.5" x14ac:dyDescent="0.2">
      <c r="A107" s="31" t="s">
        <v>24</v>
      </c>
      <c r="B107" s="31" t="s">
        <v>25</v>
      </c>
      <c r="C107" s="31" t="s">
        <v>26</v>
      </c>
      <c r="Z107" s="28"/>
      <c r="AA107" s="29"/>
      <c r="AB107" s="28"/>
      <c r="AC107" s="29"/>
      <c r="AD107" s="28"/>
      <c r="AH107" s="28"/>
      <c r="AI107" s="29"/>
      <c r="AJ107" s="28"/>
      <c r="AK107" s="29"/>
      <c r="AL107" s="28"/>
    </row>
    <row r="108" spans="1:39" ht="25.5" x14ac:dyDescent="0.25">
      <c r="A108" s="32" t="s">
        <v>27</v>
      </c>
      <c r="B108" s="32" t="s">
        <v>28</v>
      </c>
      <c r="C108" s="32" t="s">
        <v>29</v>
      </c>
      <c r="Z108" s="216" t="s">
        <v>59</v>
      </c>
      <c r="AA108" s="216"/>
      <c r="AB108" s="216"/>
      <c r="AC108" s="216"/>
      <c r="AD108" s="216"/>
      <c r="AE108" s="216"/>
      <c r="AH108" s="216" t="s">
        <v>57</v>
      </c>
      <c r="AI108" s="216"/>
      <c r="AJ108" s="216"/>
      <c r="AK108" s="216"/>
      <c r="AL108" s="216"/>
      <c r="AM108" s="216"/>
    </row>
    <row r="109" spans="1:39" ht="25.5" x14ac:dyDescent="0.2">
      <c r="A109" s="32" t="s">
        <v>30</v>
      </c>
      <c r="B109" s="32" t="s">
        <v>31</v>
      </c>
      <c r="C109" s="32" t="s">
        <v>32</v>
      </c>
      <c r="Z109" s="217" t="s">
        <v>60</v>
      </c>
      <c r="AA109" s="217"/>
      <c r="AB109" s="217"/>
      <c r="AC109" s="217"/>
      <c r="AD109" s="217"/>
      <c r="AE109" s="217"/>
      <c r="AH109" s="217" t="s">
        <v>58</v>
      </c>
      <c r="AI109" s="217"/>
      <c r="AJ109" s="217"/>
      <c r="AK109" s="217"/>
      <c r="AL109" s="217"/>
      <c r="AM109" s="217"/>
    </row>
    <row r="110" spans="1:39" ht="25.5" x14ac:dyDescent="0.2">
      <c r="A110" s="32" t="s">
        <v>33</v>
      </c>
      <c r="B110" s="32" t="s">
        <v>34</v>
      </c>
      <c r="C110" s="32" t="s">
        <v>35</v>
      </c>
    </row>
    <row r="111" spans="1:39" ht="25.5" x14ac:dyDescent="0.2">
      <c r="A111" s="32" t="s">
        <v>36</v>
      </c>
      <c r="B111" s="32" t="s">
        <v>37</v>
      </c>
      <c r="C111" s="32" t="s">
        <v>38</v>
      </c>
    </row>
    <row r="112" spans="1:39" ht="25.5" x14ac:dyDescent="0.2">
      <c r="A112" s="32" t="s">
        <v>39</v>
      </c>
      <c r="B112" s="33" t="s">
        <v>40</v>
      </c>
      <c r="C112" s="32" t="s">
        <v>41</v>
      </c>
    </row>
  </sheetData>
  <mergeCells count="83">
    <mergeCell ref="Z106:AE106"/>
    <mergeCell ref="AH106:AM106"/>
    <mergeCell ref="Z108:AE108"/>
    <mergeCell ref="AH108:AM108"/>
    <mergeCell ref="Z109:AE109"/>
    <mergeCell ref="AH109:AM109"/>
    <mergeCell ref="Z103:AE103"/>
    <mergeCell ref="AH103:AM103"/>
    <mergeCell ref="Z104:AE104"/>
    <mergeCell ref="AH104:AM104"/>
    <mergeCell ref="AH105:AM105"/>
    <mergeCell ref="Z105:AE105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E12:AF12"/>
    <mergeCell ref="A101:AL101"/>
    <mergeCell ref="A98:AL98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96:AA96"/>
    <mergeCell ref="C39:C41"/>
    <mergeCell ref="A97:AA97"/>
    <mergeCell ref="A99:AL99"/>
    <mergeCell ref="A100:AL100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</mergeCells>
  <printOptions horizontalCentered="1"/>
  <pageMargins left="0.23622047244094491" right="0.23622047244094491" top="3.937007874015748E-2" bottom="3.937007874015748E-2" header="0" footer="0"/>
  <pageSetup paperSize="5" scale="30" fitToHeight="0" orientation="landscape" horizontalDpi="4294967293" r:id="rId1"/>
  <rowBreaks count="5" manualBreakCount="5">
    <brk id="25" max="38" man="1"/>
    <brk id="41" max="38" man="1"/>
    <brk id="53" max="38" man="1"/>
    <brk id="62" max="38" man="1"/>
    <brk id="77" max="3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2" sqref="I12"/>
    </sheetView>
  </sheetViews>
  <sheetFormatPr defaultRowHeight="15" x14ac:dyDescent="0.25"/>
  <cols>
    <col min="2" max="2" width="16.28515625" style="120" bestFit="1" customWidth="1"/>
    <col min="5" max="5" width="18.42578125" customWidth="1"/>
  </cols>
  <sheetData>
    <row r="1" spans="1:5" x14ac:dyDescent="0.25">
      <c r="A1" t="s">
        <v>224</v>
      </c>
      <c r="B1" s="120">
        <v>31777040000</v>
      </c>
      <c r="D1" t="s">
        <v>224</v>
      </c>
      <c r="E1" s="120">
        <v>31950000000</v>
      </c>
    </row>
    <row r="2" spans="1:5" x14ac:dyDescent="0.25">
      <c r="B2" s="120">
        <v>182203532000</v>
      </c>
      <c r="E2" s="120">
        <v>182203532000</v>
      </c>
    </row>
    <row r="3" spans="1:5" x14ac:dyDescent="0.25">
      <c r="B3" s="121">
        <f>B1/B2*100</f>
        <v>17.440408345102774</v>
      </c>
      <c r="E3" s="121">
        <f>E1/E2*100</f>
        <v>17.5353351547543</v>
      </c>
    </row>
    <row r="4" spans="1:5" x14ac:dyDescent="0.25">
      <c r="E4" s="120"/>
    </row>
    <row r="5" spans="1:5" x14ac:dyDescent="0.25">
      <c r="E5" s="120"/>
    </row>
    <row r="6" spans="1:5" x14ac:dyDescent="0.25">
      <c r="A6" t="s">
        <v>225</v>
      </c>
      <c r="B6" s="120">
        <v>548514964</v>
      </c>
      <c r="D6" t="s">
        <v>225</v>
      </c>
      <c r="E6" s="120">
        <v>2200300141</v>
      </c>
    </row>
    <row r="7" spans="1:5" x14ac:dyDescent="0.25">
      <c r="B7" s="120">
        <v>28000000000</v>
      </c>
      <c r="E7" s="120">
        <v>28000000000</v>
      </c>
    </row>
    <row r="8" spans="1:5" x14ac:dyDescent="0.25">
      <c r="B8" s="121">
        <f>B6/B7*100</f>
        <v>1.9589820142857144</v>
      </c>
      <c r="E8" s="121">
        <f>E6/E7*100</f>
        <v>7.8582147892857144</v>
      </c>
    </row>
    <row r="9" spans="1:5" x14ac:dyDescent="0.25">
      <c r="E9" s="120"/>
    </row>
    <row r="10" spans="1:5" x14ac:dyDescent="0.25">
      <c r="E10" s="120"/>
    </row>
    <row r="11" spans="1:5" x14ac:dyDescent="0.25">
      <c r="E11" s="120"/>
    </row>
    <row r="12" spans="1:5" x14ac:dyDescent="0.25">
      <c r="A12" t="s">
        <v>226</v>
      </c>
      <c r="B12" s="120">
        <v>1661895300</v>
      </c>
      <c r="D12" t="s">
        <v>226</v>
      </c>
      <c r="E12" s="120">
        <v>1668992500</v>
      </c>
    </row>
    <row r="13" spans="1:5" x14ac:dyDescent="0.25">
      <c r="B13" s="120">
        <v>2628865000</v>
      </c>
      <c r="E13" s="120">
        <v>2628865000</v>
      </c>
    </row>
    <row r="14" spans="1:5" x14ac:dyDescent="0.25">
      <c r="B14" s="121">
        <f>B12/B13*100</f>
        <v>63.21721731621821</v>
      </c>
      <c r="E14" s="121">
        <f>E12/E13*100</f>
        <v>63.487189338364658</v>
      </c>
    </row>
    <row r="16" spans="1:5" x14ac:dyDescent="0.25">
      <c r="B16" s="120" t="s">
        <v>227</v>
      </c>
      <c r="E1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Bakeuda</vt:lpstr>
      <vt:lpstr>Sheet1</vt:lpstr>
      <vt:lpstr>Bakeuda!Print_Area</vt:lpstr>
      <vt:lpstr>Bakeuda!Print_Titles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2021-07-28T05:54:32Z</cp:lastPrinted>
  <dcterms:created xsi:type="dcterms:W3CDTF">2020-03-18T05:59:44Z</dcterms:created>
  <dcterms:modified xsi:type="dcterms:W3CDTF">2021-12-20T07:47:28Z</dcterms:modified>
</cp:coreProperties>
</file>