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Dinas Perdagangan" sheetId="1" r:id="rId1"/>
  </sheets>
  <definedNames>
    <definedName name="_xlnm.Print_Area" localSheetId="0">'Dinas Perdagangan'!$A$1:$AM$84</definedName>
    <definedName name="_xlnm.Print_Titles" localSheetId="0">'Dinas Perdagangan'!$7:$12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5" i="1" l="1"/>
  <c r="Y31" i="1"/>
  <c r="Y62" i="1"/>
  <c r="Y61" i="1" s="1"/>
  <c r="Y58" i="1"/>
  <c r="Y57" i="1" s="1"/>
  <c r="Y55" i="1"/>
  <c r="Y54" i="1" s="1"/>
  <c r="Y52" i="1"/>
  <c r="W52" i="1"/>
  <c r="Y49" i="1"/>
  <c r="W49" i="1"/>
  <c r="Y42" i="1"/>
  <c r="Y39" i="1"/>
  <c r="Y38" i="1" s="1"/>
  <c r="W39" i="1"/>
  <c r="Y34" i="1"/>
  <c r="Y29" i="1"/>
  <c r="Y22" i="1"/>
  <c r="Y17" i="1"/>
  <c r="Y14" i="1"/>
  <c r="W14" i="1"/>
  <c r="Y48" i="1" l="1"/>
  <c r="Y41" i="1"/>
  <c r="Y13" i="1"/>
  <c r="E37" i="1"/>
  <c r="E36" i="1"/>
  <c r="E35" i="1"/>
  <c r="E33" i="1"/>
  <c r="E32" i="1"/>
  <c r="E30" i="1"/>
  <c r="E28" i="1"/>
  <c r="E27" i="1"/>
  <c r="E26" i="1"/>
  <c r="E25" i="1"/>
  <c r="E24" i="1"/>
  <c r="E23" i="1"/>
  <c r="E21" i="1"/>
  <c r="E17" i="1" s="1"/>
  <c r="E20" i="1"/>
  <c r="E19" i="1"/>
  <c r="E18" i="1"/>
  <c r="E16" i="1"/>
  <c r="E14" i="1" s="1"/>
  <c r="E15" i="1"/>
  <c r="H17" i="1"/>
  <c r="H14" i="1"/>
  <c r="T41" i="1" l="1"/>
  <c r="Q41" i="1"/>
  <c r="N41" i="1"/>
  <c r="K41" i="1"/>
  <c r="U42" i="1"/>
  <c r="U41" i="1"/>
  <c r="R42" i="1"/>
  <c r="R41" i="1"/>
  <c r="O42" i="1"/>
  <c r="X42" i="1" s="1"/>
  <c r="O41" i="1"/>
  <c r="X41" i="1" s="1"/>
  <c r="J38" i="1"/>
  <c r="E38" i="1"/>
  <c r="U47" i="1"/>
  <c r="U46" i="1"/>
  <c r="R47" i="1"/>
  <c r="R46" i="1"/>
  <c r="O47" i="1"/>
  <c r="X47" i="1" s="1"/>
  <c r="O46" i="1"/>
  <c r="X46" i="1" s="1"/>
  <c r="G47" i="1"/>
  <c r="G46" i="1"/>
  <c r="J45" i="1"/>
  <c r="U45" i="1"/>
  <c r="R45" i="1"/>
  <c r="O45" i="1"/>
  <c r="X45" i="1" s="1"/>
  <c r="G44" i="1"/>
  <c r="G43" i="1"/>
  <c r="J42" i="1"/>
  <c r="J41" i="1" s="1"/>
  <c r="R43" i="1"/>
  <c r="U43" i="1"/>
  <c r="O43" i="1"/>
  <c r="X43" i="1" s="1"/>
  <c r="U44" i="1"/>
  <c r="R44" i="1"/>
  <c r="O44" i="1"/>
  <c r="X44" i="1" s="1"/>
  <c r="J57" i="1"/>
  <c r="V58" i="1"/>
  <c r="G60" i="1"/>
  <c r="E60" i="1"/>
  <c r="G59" i="1"/>
  <c r="E59" i="1"/>
  <c r="U60" i="1"/>
  <c r="R60" i="1"/>
  <c r="O60" i="1"/>
  <c r="X60" i="1" s="1"/>
  <c r="U58" i="1"/>
  <c r="R58" i="1"/>
  <c r="O58" i="1"/>
  <c r="X58" i="1" s="1"/>
  <c r="U59" i="1"/>
  <c r="R59" i="1"/>
  <c r="O59" i="1"/>
  <c r="X59" i="1" s="1"/>
  <c r="J58" i="1"/>
  <c r="Z57" i="1"/>
  <c r="U57" i="1"/>
  <c r="R57" i="1"/>
  <c r="O57" i="1"/>
  <c r="X57" i="1" s="1"/>
  <c r="J62" i="1"/>
  <c r="J61" i="1" s="1"/>
  <c r="G63" i="1"/>
  <c r="G62" i="1" s="1"/>
  <c r="G61" i="1" s="1"/>
  <c r="E61" i="1"/>
  <c r="E56" i="1"/>
  <c r="U56" i="1"/>
  <c r="R56" i="1"/>
  <c r="O56" i="1"/>
  <c r="X56" i="1" s="1"/>
  <c r="G56" i="1"/>
  <c r="J55" i="1"/>
  <c r="G55" i="1"/>
  <c r="G54" i="1" s="1"/>
  <c r="U55" i="1"/>
  <c r="R55" i="1"/>
  <c r="O55" i="1"/>
  <c r="X55" i="1" s="1"/>
  <c r="J54" i="1"/>
  <c r="E54" i="1"/>
  <c r="S49" i="1"/>
  <c r="V52" i="1"/>
  <c r="S52" i="1"/>
  <c r="P52" i="1"/>
  <c r="T52" i="1"/>
  <c r="Q52" i="1"/>
  <c r="N52" i="1"/>
  <c r="J52" i="1"/>
  <c r="G53" i="1"/>
  <c r="G52" i="1" s="1"/>
  <c r="K52" i="1"/>
  <c r="E53" i="1"/>
  <c r="U53" i="1"/>
  <c r="R53" i="1"/>
  <c r="O53" i="1"/>
  <c r="X53" i="1" s="1"/>
  <c r="U52" i="1"/>
  <c r="R52" i="1"/>
  <c r="O52" i="1"/>
  <c r="X52" i="1" s="1"/>
  <c r="H49" i="1"/>
  <c r="T49" i="1"/>
  <c r="Q49" i="1"/>
  <c r="N49" i="1"/>
  <c r="K49" i="1"/>
  <c r="J49" i="1"/>
  <c r="G51" i="1"/>
  <c r="G50" i="1"/>
  <c r="E48" i="1"/>
  <c r="E51" i="1"/>
  <c r="E50" i="1"/>
  <c r="U51" i="1"/>
  <c r="R51" i="1"/>
  <c r="O51" i="1"/>
  <c r="X51" i="1" s="1"/>
  <c r="U50" i="1"/>
  <c r="R50" i="1"/>
  <c r="O50" i="1"/>
  <c r="X50" i="1" s="1"/>
  <c r="J39" i="1"/>
  <c r="G58" i="1" l="1"/>
  <c r="G57" i="1" s="1"/>
  <c r="J48" i="1"/>
  <c r="G45" i="1"/>
  <c r="G41" i="1" s="1"/>
  <c r="G42" i="1"/>
  <c r="G49" i="1"/>
  <c r="G48" i="1"/>
  <c r="G40" i="1" l="1"/>
  <c r="G39" i="1" s="1"/>
  <c r="G38" i="1" s="1"/>
  <c r="T39" i="1"/>
  <c r="U40" i="1"/>
  <c r="R40" i="1"/>
  <c r="O40" i="1"/>
  <c r="X40" i="1" s="1"/>
  <c r="H39" i="1"/>
  <c r="E39" i="1"/>
  <c r="K39" i="1"/>
  <c r="U39" i="1"/>
  <c r="R39" i="1"/>
  <c r="O39" i="1"/>
  <c r="X39" i="1" s="1"/>
  <c r="V62" i="1"/>
  <c r="V61" i="1" s="1"/>
  <c r="V57" i="1"/>
  <c r="V55" i="1"/>
  <c r="V54" i="1" s="1"/>
  <c r="V49" i="1"/>
  <c r="V48" i="1" s="1"/>
  <c r="V45" i="1"/>
  <c r="V42" i="1"/>
  <c r="V39" i="1"/>
  <c r="V38" i="1" s="1"/>
  <c r="V34" i="1"/>
  <c r="V31" i="1"/>
  <c r="V29" i="1"/>
  <c r="V22" i="1"/>
  <c r="V17" i="1"/>
  <c r="T17" i="1"/>
  <c r="V14" i="1"/>
  <c r="T14" i="1"/>
  <c r="S62" i="1"/>
  <c r="S61" i="1" s="1"/>
  <c r="S58" i="1"/>
  <c r="S57" i="1" s="1"/>
  <c r="S55" i="1"/>
  <c r="S54" i="1" s="1"/>
  <c r="S48" i="1"/>
  <c r="S45" i="1"/>
  <c r="S42" i="1"/>
  <c r="S39" i="1"/>
  <c r="S38" i="1" s="1"/>
  <c r="S34" i="1"/>
  <c r="S31" i="1"/>
  <c r="S17" i="1"/>
  <c r="S29" i="1"/>
  <c r="S22" i="1"/>
  <c r="Q17" i="1"/>
  <c r="S14" i="1"/>
  <c r="Q14" i="1"/>
  <c r="V13" i="1" l="1"/>
  <c r="V41" i="1"/>
  <c r="S41" i="1"/>
  <c r="S13" i="1"/>
  <c r="AH63" i="1"/>
  <c r="AD63" i="1"/>
  <c r="AI63" i="1" s="1"/>
  <c r="AA63" i="1"/>
  <c r="Z63" i="1"/>
  <c r="AG63" i="1" s="1"/>
  <c r="AH62" i="1"/>
  <c r="AA62" i="1"/>
  <c r="AH61" i="1"/>
  <c r="AA61" i="1"/>
  <c r="Z61" i="1"/>
  <c r="AG61" i="1" s="1"/>
  <c r="AH60" i="1"/>
  <c r="AD60" i="1"/>
  <c r="AI60" i="1" s="1"/>
  <c r="AA60" i="1"/>
  <c r="Z60" i="1"/>
  <c r="AG60" i="1" s="1"/>
  <c r="AH59" i="1"/>
  <c r="AD59" i="1"/>
  <c r="AI59" i="1" s="1"/>
  <c r="AA59" i="1"/>
  <c r="Z59" i="1"/>
  <c r="AG59" i="1" s="1"/>
  <c r="AH58" i="1"/>
  <c r="AA58" i="1"/>
  <c r="Z58" i="1"/>
  <c r="AG58" i="1" s="1"/>
  <c r="AH57" i="1"/>
  <c r="AA57" i="1"/>
  <c r="AG57" i="1"/>
  <c r="AH56" i="1"/>
  <c r="AD56" i="1"/>
  <c r="AI56" i="1" s="1"/>
  <c r="AA56" i="1"/>
  <c r="Z56" i="1"/>
  <c r="AG56" i="1" s="1"/>
  <c r="AH55" i="1"/>
  <c r="AA55" i="1"/>
  <c r="Z55" i="1"/>
  <c r="AG55" i="1" s="1"/>
  <c r="AH54" i="1"/>
  <c r="AA54" i="1"/>
  <c r="Z54" i="1"/>
  <c r="AG54" i="1" s="1"/>
  <c r="AH53" i="1"/>
  <c r="AD53" i="1"/>
  <c r="AI53" i="1" s="1"/>
  <c r="AA53" i="1"/>
  <c r="Z53" i="1"/>
  <c r="AG53" i="1" s="1"/>
  <c r="AH52" i="1"/>
  <c r="AD52" i="1"/>
  <c r="AI52" i="1" s="1"/>
  <c r="AA52" i="1"/>
  <c r="AH51" i="1"/>
  <c r="AD51" i="1"/>
  <c r="AI51" i="1" s="1"/>
  <c r="AA51" i="1"/>
  <c r="Z51" i="1"/>
  <c r="AG51" i="1" s="1"/>
  <c r="AH50" i="1"/>
  <c r="AD50" i="1"/>
  <c r="AI50" i="1" s="1"/>
  <c r="AA50" i="1"/>
  <c r="Z50" i="1"/>
  <c r="AG50" i="1" s="1"/>
  <c r="AH49" i="1"/>
  <c r="AA49" i="1"/>
  <c r="Z49" i="1"/>
  <c r="AG49" i="1" s="1"/>
  <c r="AH48" i="1"/>
  <c r="AA48" i="1"/>
  <c r="Z48" i="1"/>
  <c r="AG48" i="1" s="1"/>
  <c r="AH47" i="1"/>
  <c r="AD47" i="1"/>
  <c r="AI47" i="1" s="1"/>
  <c r="AA47" i="1"/>
  <c r="Z47" i="1"/>
  <c r="AG47" i="1" s="1"/>
  <c r="AH46" i="1"/>
  <c r="AD46" i="1"/>
  <c r="AI46" i="1" s="1"/>
  <c r="AA46" i="1"/>
  <c r="Z46" i="1"/>
  <c r="AG46" i="1" s="1"/>
  <c r="AH45" i="1"/>
  <c r="AA45" i="1"/>
  <c r="Z45" i="1"/>
  <c r="AG45" i="1" s="1"/>
  <c r="AH44" i="1"/>
  <c r="AD44" i="1"/>
  <c r="AI44" i="1" s="1"/>
  <c r="AA44" i="1"/>
  <c r="Z44" i="1"/>
  <c r="AG44" i="1" s="1"/>
  <c r="AH43" i="1"/>
  <c r="AD43" i="1"/>
  <c r="AI43" i="1" s="1"/>
  <c r="AA43" i="1"/>
  <c r="Z43" i="1"/>
  <c r="AG43" i="1" s="1"/>
  <c r="AH42" i="1"/>
  <c r="AA42" i="1"/>
  <c r="Z42" i="1"/>
  <c r="AG42" i="1" s="1"/>
  <c r="AH41" i="1"/>
  <c r="AA41" i="1"/>
  <c r="Z41" i="1"/>
  <c r="AG41" i="1" s="1"/>
  <c r="AH40" i="1"/>
  <c r="AD40" i="1"/>
  <c r="AI40" i="1" s="1"/>
  <c r="AA40" i="1"/>
  <c r="Z40" i="1"/>
  <c r="AG40" i="1" s="1"/>
  <c r="AH39" i="1"/>
  <c r="AA39" i="1"/>
  <c r="Z39" i="1"/>
  <c r="AG39" i="1" s="1"/>
  <c r="AH38" i="1"/>
  <c r="AA38" i="1"/>
  <c r="Z38" i="1"/>
  <c r="AG38" i="1" s="1"/>
  <c r="AH37" i="1"/>
  <c r="AD37" i="1"/>
  <c r="AI37" i="1" s="1"/>
  <c r="AA37" i="1"/>
  <c r="Z37" i="1"/>
  <c r="AG37" i="1" s="1"/>
  <c r="AH36" i="1"/>
  <c r="AD36" i="1"/>
  <c r="AI36" i="1" s="1"/>
  <c r="AA36" i="1"/>
  <c r="Z36" i="1"/>
  <c r="AG36" i="1" s="1"/>
  <c r="AH35" i="1"/>
  <c r="AD35" i="1"/>
  <c r="AI35" i="1" s="1"/>
  <c r="AA35" i="1"/>
  <c r="Z35" i="1"/>
  <c r="AG35" i="1" s="1"/>
  <c r="AH34" i="1"/>
  <c r="AA34" i="1"/>
  <c r="Z34" i="1"/>
  <c r="AG34" i="1" s="1"/>
  <c r="AH33" i="1"/>
  <c r="AD33" i="1"/>
  <c r="AI33" i="1" s="1"/>
  <c r="AA33" i="1"/>
  <c r="Z33" i="1"/>
  <c r="AG33" i="1" s="1"/>
  <c r="AH32" i="1"/>
  <c r="AD32" i="1"/>
  <c r="AI32" i="1" s="1"/>
  <c r="AA32" i="1"/>
  <c r="Z32" i="1"/>
  <c r="AG32" i="1" s="1"/>
  <c r="AH31" i="1"/>
  <c r="AA31" i="1"/>
  <c r="Z31" i="1"/>
  <c r="AG31" i="1" s="1"/>
  <c r="AH30" i="1"/>
  <c r="AD30" i="1"/>
  <c r="AI30" i="1" s="1"/>
  <c r="AA30" i="1"/>
  <c r="Z30" i="1"/>
  <c r="AG30" i="1" s="1"/>
  <c r="AH29" i="1"/>
  <c r="AA29" i="1"/>
  <c r="Z29" i="1"/>
  <c r="AG29" i="1" s="1"/>
  <c r="AH28" i="1"/>
  <c r="AD28" i="1"/>
  <c r="AI28" i="1" s="1"/>
  <c r="AA28" i="1"/>
  <c r="Z28" i="1"/>
  <c r="AG28" i="1" s="1"/>
  <c r="AH27" i="1"/>
  <c r="AD27" i="1"/>
  <c r="AI27" i="1" s="1"/>
  <c r="AA27" i="1"/>
  <c r="Z27" i="1"/>
  <c r="AG27" i="1" s="1"/>
  <c r="AH26" i="1"/>
  <c r="AD26" i="1"/>
  <c r="AI26" i="1" s="1"/>
  <c r="AA26" i="1"/>
  <c r="Z26" i="1"/>
  <c r="AG26" i="1" s="1"/>
  <c r="AH25" i="1"/>
  <c r="AD25" i="1"/>
  <c r="AI25" i="1" s="1"/>
  <c r="AA25" i="1"/>
  <c r="Z25" i="1"/>
  <c r="AG25" i="1" s="1"/>
  <c r="AH24" i="1"/>
  <c r="AD24" i="1"/>
  <c r="AI24" i="1" s="1"/>
  <c r="AA24" i="1"/>
  <c r="Z24" i="1"/>
  <c r="AG24" i="1" s="1"/>
  <c r="AH23" i="1"/>
  <c r="AD23" i="1"/>
  <c r="AI23" i="1" s="1"/>
  <c r="AA23" i="1"/>
  <c r="Z23" i="1"/>
  <c r="AG23" i="1" s="1"/>
  <c r="AH22" i="1"/>
  <c r="AA22" i="1"/>
  <c r="Z22" i="1"/>
  <c r="AG22" i="1" s="1"/>
  <c r="AH21" i="1"/>
  <c r="AD21" i="1"/>
  <c r="AI21" i="1" s="1"/>
  <c r="AA21" i="1"/>
  <c r="Z21" i="1"/>
  <c r="AG21" i="1" s="1"/>
  <c r="AH20" i="1"/>
  <c r="AD20" i="1"/>
  <c r="AI20" i="1" s="1"/>
  <c r="AA20" i="1"/>
  <c r="Z20" i="1"/>
  <c r="AG20" i="1" s="1"/>
  <c r="AH19" i="1"/>
  <c r="AD19" i="1"/>
  <c r="AI19" i="1" s="1"/>
  <c r="AA19" i="1"/>
  <c r="Z19" i="1"/>
  <c r="AG19" i="1" s="1"/>
  <c r="AH18" i="1"/>
  <c r="AD18" i="1"/>
  <c r="AI18" i="1" s="1"/>
  <c r="AA18" i="1"/>
  <c r="Z18" i="1"/>
  <c r="AG18" i="1" s="1"/>
  <c r="AH17" i="1"/>
  <c r="AA17" i="1"/>
  <c r="AH16" i="1"/>
  <c r="AD16" i="1"/>
  <c r="AI16" i="1" s="1"/>
  <c r="AA16" i="1"/>
  <c r="Z16" i="1"/>
  <c r="AG16" i="1" s="1"/>
  <c r="AH15" i="1"/>
  <c r="AD15" i="1"/>
  <c r="AI15" i="1" s="1"/>
  <c r="AA15" i="1"/>
  <c r="Z15" i="1"/>
  <c r="AG15" i="1" s="1"/>
  <c r="AH14" i="1"/>
  <c r="AA14" i="1"/>
  <c r="AH13" i="1"/>
  <c r="AA13" i="1"/>
  <c r="Z13" i="1"/>
  <c r="AG13" i="1" s="1"/>
  <c r="AE21" i="1" l="1"/>
  <c r="AE27" i="1"/>
  <c r="AE60" i="1"/>
  <c r="AE59" i="1"/>
  <c r="AE56" i="1"/>
  <c r="AE53" i="1"/>
  <c r="AE51" i="1"/>
  <c r="AE43" i="1"/>
  <c r="AE23" i="1"/>
  <c r="AE15" i="1"/>
  <c r="AE25" i="1"/>
  <c r="AE33" i="1"/>
  <c r="AE35" i="1"/>
  <c r="AE37" i="1"/>
  <c r="AE19" i="1"/>
  <c r="AB13" i="1"/>
  <c r="AE18" i="1"/>
  <c r="AE26" i="1"/>
  <c r="AE30" i="1"/>
  <c r="AE46" i="1"/>
  <c r="AE50" i="1"/>
  <c r="AE47" i="1"/>
  <c r="AE16" i="1"/>
  <c r="AE20" i="1"/>
  <c r="AE24" i="1"/>
  <c r="AE28" i="1"/>
  <c r="AE32" i="1"/>
  <c r="AE36" i="1"/>
  <c r="AE40" i="1"/>
  <c r="AE44" i="1"/>
  <c r="AE63" i="1"/>
  <c r="AB15" i="1"/>
  <c r="AB16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3" i="1"/>
  <c r="AB54" i="1"/>
  <c r="AB55" i="1"/>
  <c r="AB56" i="1"/>
  <c r="AB57" i="1"/>
  <c r="AB58" i="1"/>
  <c r="AB59" i="1"/>
  <c r="AB60" i="1"/>
  <c r="AB61" i="1"/>
  <c r="AB63" i="1"/>
  <c r="Z52" i="1"/>
  <c r="AG52" i="1" s="1"/>
  <c r="N62" i="1"/>
  <c r="Z62" i="1" s="1"/>
  <c r="AG62" i="1" s="1"/>
  <c r="P62" i="1"/>
  <c r="AD62" i="1" s="1"/>
  <c r="M62" i="1"/>
  <c r="M61" i="1" s="1"/>
  <c r="P58" i="1"/>
  <c r="M58" i="1"/>
  <c r="M57" i="1" s="1"/>
  <c r="P55" i="1"/>
  <c r="P54" i="1" s="1"/>
  <c r="M55" i="1"/>
  <c r="M54" i="1" s="1"/>
  <c r="M52" i="1"/>
  <c r="AE52" i="1" s="1"/>
  <c r="P49" i="1"/>
  <c r="M49" i="1"/>
  <c r="P45" i="1"/>
  <c r="AD45" i="1" s="1"/>
  <c r="M45" i="1"/>
  <c r="P42" i="1"/>
  <c r="M42" i="1"/>
  <c r="P39" i="1"/>
  <c r="M39" i="1"/>
  <c r="M38" i="1"/>
  <c r="P34" i="1"/>
  <c r="AD34" i="1" s="1"/>
  <c r="M34" i="1"/>
  <c r="P31" i="1"/>
  <c r="AD31" i="1" s="1"/>
  <c r="M31" i="1"/>
  <c r="P29" i="1"/>
  <c r="AD29" i="1" s="1"/>
  <c r="M29" i="1"/>
  <c r="M22" i="1"/>
  <c r="P22" i="1"/>
  <c r="AD22" i="1" s="1"/>
  <c r="P17" i="1"/>
  <c r="AD17" i="1" s="1"/>
  <c r="N17" i="1"/>
  <c r="M17" i="1"/>
  <c r="K17" i="1"/>
  <c r="P14" i="1"/>
  <c r="AD14" i="1" s="1"/>
  <c r="M14" i="1"/>
  <c r="N14" i="1"/>
  <c r="Z14" i="1" s="1"/>
  <c r="AG14" i="1" s="1"/>
  <c r="K14" i="1"/>
  <c r="M41" i="1" l="1"/>
  <c r="Z17" i="1"/>
  <c r="AB17" i="1" s="1"/>
  <c r="AB14" i="1"/>
  <c r="P38" i="1"/>
  <c r="AD38" i="1" s="1"/>
  <c r="AD39" i="1"/>
  <c r="AI62" i="1"/>
  <c r="AE62" i="1"/>
  <c r="AI14" i="1"/>
  <c r="AE14" i="1"/>
  <c r="AI29" i="1"/>
  <c r="AE29" i="1"/>
  <c r="AI17" i="1"/>
  <c r="AE17" i="1"/>
  <c r="AI34" i="1"/>
  <c r="AE34" i="1"/>
  <c r="AI45" i="1"/>
  <c r="AE45" i="1"/>
  <c r="P57" i="1"/>
  <c r="AD57" i="1" s="1"/>
  <c r="AD58" i="1"/>
  <c r="AI22" i="1"/>
  <c r="AE22" i="1"/>
  <c r="AD54" i="1"/>
  <c r="AD55" i="1"/>
  <c r="AB52" i="1"/>
  <c r="AI31" i="1"/>
  <c r="AE31" i="1"/>
  <c r="P41" i="1"/>
  <c r="AD41" i="1" s="1"/>
  <c r="AD42" i="1"/>
  <c r="P48" i="1"/>
  <c r="AD48" i="1" s="1"/>
  <c r="AD49" i="1"/>
  <c r="P61" i="1"/>
  <c r="AD61" i="1" s="1"/>
  <c r="AB62" i="1"/>
  <c r="M48" i="1"/>
  <c r="AG17" i="1" l="1"/>
  <c r="AI48" i="1"/>
  <c r="AE48" i="1"/>
  <c r="AI57" i="1"/>
  <c r="AE57" i="1"/>
  <c r="AI49" i="1"/>
  <c r="AE49" i="1"/>
  <c r="AI54" i="1"/>
  <c r="AE54" i="1"/>
  <c r="AI58" i="1"/>
  <c r="AE58" i="1"/>
  <c r="AI42" i="1"/>
  <c r="AE42" i="1"/>
  <c r="AI39" i="1"/>
  <c r="AE39" i="1"/>
  <c r="AI61" i="1"/>
  <c r="AE61" i="1"/>
  <c r="AI41" i="1"/>
  <c r="AE41" i="1"/>
  <c r="AI55" i="1"/>
  <c r="AE55" i="1"/>
  <c r="AI38" i="1"/>
  <c r="AE38" i="1"/>
  <c r="P13" i="1"/>
  <c r="AD13" i="1" s="1"/>
  <c r="M13" i="1"/>
  <c r="AE13" i="1" l="1"/>
  <c r="AE64" i="1" s="1"/>
  <c r="AI13" i="1"/>
  <c r="AB64" i="1"/>
  <c r="AP21" i="1" l="1"/>
  <c r="AP20" i="1"/>
  <c r="AP19" i="1"/>
  <c r="AP18" i="1"/>
  <c r="AP13" i="1"/>
  <c r="AE65" i="1" l="1"/>
  <c r="AB65" i="1" l="1"/>
</calcChain>
</file>

<file path=xl/comments1.xml><?xml version="1.0" encoding="utf-8"?>
<comments xmlns="http://schemas.openxmlformats.org/spreadsheetml/2006/main">
  <authors>
    <author>USER</author>
  </authors>
  <commentList>
    <comment ref="K38" authorId="0" shapeId="0">
      <text>
        <r>
          <rPr>
            <b/>
            <sz val="12"/>
            <color indexed="81"/>
            <rFont val="Tahoma"/>
            <family val="2"/>
          </rPr>
          <t>Jumlah nilai ekspor tahun n-n-1/jumlah nilai ekspor tahun n-1X100</t>
        </r>
      </text>
    </comment>
    <comment ref="K39" authorId="0" shapeId="0">
      <text>
        <r>
          <rPr>
            <b/>
            <sz val="12"/>
            <color indexed="81"/>
            <rFont val="Tahoma"/>
            <family val="2"/>
          </rPr>
          <t>Jumlah objek pengawasan yang dilakukan pengawasan/Jumlah seluruh objek pengawasanX100</t>
        </r>
      </text>
    </comment>
    <comment ref="T42" authorId="0" shapeId="0">
      <text>
        <r>
          <rPr>
            <b/>
            <sz val="12"/>
            <color indexed="81"/>
            <rFont val="Tahoma"/>
            <family val="2"/>
          </rPr>
          <t>s.d agustus</t>
        </r>
      </text>
    </comment>
    <comment ref="K48" authorId="0" shapeId="0">
      <text>
        <r>
          <rPr>
            <b/>
            <sz val="12"/>
            <color indexed="81"/>
            <rFont val="Tahoma"/>
            <family val="2"/>
          </rPr>
          <t>Jumlah nilai ekspor tahun n-n-1/jumlah nilai ekspor tahun n-1X100</t>
        </r>
      </text>
    </comment>
    <comment ref="K54" authorId="0" shapeId="0">
      <text>
        <r>
          <rPr>
            <b/>
            <sz val="12"/>
            <color indexed="81"/>
            <rFont val="Tahoma"/>
            <family val="2"/>
          </rPr>
          <t>Jumlah nilai ekspor tahun n-n-1/jumlah nilai ekspor tahun n-1X100</t>
        </r>
      </text>
    </comment>
    <comment ref="K61" authorId="0" shapeId="0">
      <text>
        <r>
          <rPr>
            <b/>
            <sz val="12"/>
            <color indexed="81"/>
            <rFont val="Tahoma"/>
            <family val="2"/>
          </rPr>
          <t>Jumlah nilai ekspor tahun n-n-1/jumlah nilai ekspor tahun n-1X100</t>
        </r>
      </text>
    </comment>
  </commentList>
</comments>
</file>

<file path=xl/sharedStrings.xml><?xml version="1.0" encoding="utf-8"?>
<sst xmlns="http://schemas.openxmlformats.org/spreadsheetml/2006/main" count="631" uniqueCount="168">
  <si>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</si>
  <si>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</si>
  <si>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</si>
  <si>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</si>
  <si>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</si>
  <si>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</si>
  <si>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</si>
  <si>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</si>
  <si>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</si>
  <si>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</si>
  <si>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</si>
  <si>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</si>
  <si>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</si>
  <si>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</si>
  <si>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</si>
  <si>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</si>
  <si>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</si>
  <si>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</si>
  <si>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</si>
  <si>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</si>
  <si>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</si>
  <si>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</si>
  <si>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</si>
  <si>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</si>
  <si>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</si>
  <si>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</si>
  <si>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</si>
  <si>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</si>
  <si>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</si>
  <si>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</si>
  <si>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</si>
  <si>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</si>
  <si>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</si>
  <si>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</si>
  <si>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</si>
  <si>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</si>
  <si>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</si>
  <si>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</si>
  <si>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</si>
  <si>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</si>
  <si>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</si>
  <si>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</si>
  <si>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</si>
  <si>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</si>
  <si>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</si>
  <si>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</si>
  <si>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</si>
  <si>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</si>
  <si>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</si>
  <si>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</si>
  <si>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DINAS PERDAGANGAN</t>
  </si>
  <si>
    <t>Dinas Perdagangan</t>
  </si>
  <si>
    <t>Menurunnya Tingkat Pengangguran Terbuka</t>
  </si>
  <si>
    <t>[kolom (12)(K) : kolom (7)(K)] x 100%</t>
  </si>
  <si>
    <t>[kolom (13)(Rp) : kolom (5)(Rp)]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</si>
  <si>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</si>
  <si>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</si>
  <si>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</si>
  <si>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</si>
  <si>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</si>
  <si>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</si>
  <si>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</si>
  <si>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Perdagangan</t>
  </si>
  <si>
    <t>SUDIONO, ST, M.Si</t>
  </si>
  <si>
    <t>NIP. 19690321 200003 1 005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</si>
  <si>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</si>
  <si>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</si>
  <si>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</si>
  <si>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</si>
  <si>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</si>
  <si>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</si>
  <si>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</si>
  <si>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</si>
  <si>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</si>
  <si>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</si>
  <si>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</si>
  <si>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</si>
  <si>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</si>
  <si>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</si>
  <si>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</si>
  <si>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</si>
  <si>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</si>
  <si>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</si>
  <si>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Penyediaan Bahan Bacaan dan Peraturan Perundang-undangan</t>
  </si>
  <si>
    <t>Penyelenggaraan Rapat Koordinasi dan Konsultasi SKPD</t>
  </si>
  <si>
    <t>Pengadaan Barang Milik Daerah Penunjang Urusan Pemerintah Daerah</t>
  </si>
  <si>
    <t>Pengadaan Peralatan dan Mesin Lainnya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</si>
  <si>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</si>
  <si>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</si>
  <si>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</si>
  <si>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</si>
  <si>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Pajak,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</si>
  <si>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</si>
  <si>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</si>
  <si>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Perizinan Dan Pendaftaran Perusahaan</t>
  </si>
  <si>
    <t>Pengendalian Fasilitas Penyimpanan Bahan Berbahaya dan Pengawasan Distribusi, Pengemasan dan Pelabelan Bahan Berbahaya di Tingkat Daerah Kabupaten/ Kota</t>
  </si>
  <si>
    <t>Pengawasan Distribusi, Pengemasan dan Pelabelan Bahan Berbahaya Terhadap Pengguna Akhir Bahan Berbahaya (PA-B2) maupun Produsen B2 (P-B2)</t>
  </si>
  <si>
    <t>Program Peningkatan Sarana Distribusi Perdagangan</t>
  </si>
  <si>
    <t>Pembangunan dan Pengelolaan Sarana Distribusi Perdagangan</t>
  </si>
  <si>
    <t>Penyediaan Sarana Distribusi Perdagangan</t>
  </si>
  <si>
    <t>Fasilitasi Pengelolaan Sarana Distribusi Perdagangan</t>
  </si>
  <si>
    <t>Pembinaan Terhadap Pengelola Sarana Distribusi Perdagangan Masyarakat di Wilayah Kerjanya</t>
  </si>
  <si>
    <t>Pembinaan dan Pengendalian Pengelola Sarana Distribusi Perdagangan</t>
  </si>
  <si>
    <t>Pemberdayaan Pengelola Sarana Distribusi Perdagangan</t>
  </si>
  <si>
    <t>Program Stabilisasi Harga Barang Kebutuhan Pokok Dan Barang Penting</t>
  </si>
  <si>
    <t>Pengendalian Harga, dan Stok Barang Kebutuhan Pokok dan Barang Penting di Tingkat Pasar Kabupaten/Kota</t>
  </si>
  <si>
    <t>Pelaksanaan Operasi Pasar Reguler dan Pasar Khusus yang Berdampak dalam 1 (satu) Kabupaten/Kota</t>
  </si>
  <si>
    <t>Pengawasan Pupuk dan Pestisida Bersubsidi di Tingkat Daerah Kabupaten/Kota</t>
  </si>
  <si>
    <t>Pengawasan Penyaluran dan Penggunaan Pupuk dan Pestisida Bersubsidi</t>
  </si>
  <si>
    <t>Program Pengembangan Ekspor</t>
  </si>
  <si>
    <t>Penyelenggaraan Promosi Dagang melalui Pameran Dagang dan Misi Dagang bagi Produk Ekspor Unggulan yang terdapat pada 1 (satu) Daerah Kabupaten/Kota</t>
  </si>
  <si>
    <t>Pameran Dagang Lokal</t>
  </si>
  <si>
    <t>Program Standardisasi Dan Perlindungan Konsumen</t>
  </si>
  <si>
    <t>Pelaksanaan Metrologi Legal, Berupa Tera, Tera Ulang, dan Pengawasan</t>
  </si>
  <si>
    <t>Pelaksanaan Metrologi Legal, Berupa Tera, Tera Ulang</t>
  </si>
  <si>
    <t>Pengawasan/Penyuluhan Metrologi Legal</t>
  </si>
  <si>
    <t>Program Penggunaan Dan Pemasaran Produk Dalam Negeri</t>
  </si>
  <si>
    <t>Pelaksanaan Promosi, Pemasaran dan Peningkatan Penggunaan Produk Dalam Negeri</t>
  </si>
  <si>
    <t>Pelayanan Administrasi Sesuai Standar</t>
  </si>
  <si>
    <t xml:space="preserve">Laporan Keuangan Yang Memenuhi Aspek Kualitas </t>
  </si>
  <si>
    <t>Peralatan dan Perlengkapan Kantor Dalam Kondisi Baik</t>
  </si>
  <si>
    <t>Kendaraan Dinas Operasional Dalam Kondisi Baik</t>
  </si>
  <si>
    <t>Gedung Kantor Dalam Kondisi Baik</t>
  </si>
  <si>
    <t xml:space="preserve">Jumlah pasar yang dikelola                                         </t>
  </si>
  <si>
    <t>Pemantauan Harga dan Stok Barang Kebutuhan Pokok dan Barang Penting pada Pasar Rakyat yang Terintegrasi dalam Sistem Informasi Perdagangan</t>
  </si>
  <si>
    <t>Jumlah Aplikasi yang dikembangkan</t>
  </si>
  <si>
    <t>Peningkatan Sistem dan Jaringan Informasi Perdagangan</t>
  </si>
  <si>
    <t>%</t>
  </si>
  <si>
    <t>Jumlah Dokumen Perencanaan dan Evaluasi Kinerja yang berkualitas</t>
  </si>
  <si>
    <t>Dokumen Perencanaan yang Memenuhi Aspek Kualitas</t>
  </si>
  <si>
    <t>Dokumen Evaluasi yang Memenuhi Aspek Kualitas</t>
  </si>
  <si>
    <t>Jumlah dokumen administrasi Keuangan sesuai standar</t>
  </si>
  <si>
    <t>Jumlah dokumen administrasi umum sesuai standar</t>
  </si>
  <si>
    <t>Tingkat Pelayanan Adminstrasi Umum sesuai Standar</t>
  </si>
  <si>
    <t>Pasar</t>
  </si>
  <si>
    <t>Aplikasi</t>
  </si>
  <si>
    <t>Jumlah Pameran yang diikuti dan dilaksanakan</t>
  </si>
  <si>
    <t>Tingkat kepuasan pelayanan</t>
  </si>
  <si>
    <t>Persentase Kegiatan Pengawasan Barang Beredar Sesuai Standar</t>
  </si>
  <si>
    <t>Jumlah Objek Pengawasan barang beredar</t>
  </si>
  <si>
    <t>Objek Pengawasan</t>
  </si>
  <si>
    <t>Jumlah Pemantauan Stok Barang Kebutuhan Pokok dan Barang Penting</t>
  </si>
  <si>
    <t>Jumlah Operasi Pasar Reguler dan Pasar Khusus yang dilaksanakan</t>
  </si>
  <si>
    <t>Kali</t>
  </si>
  <si>
    <t>Persentase Pertumbuhan Nilai Ekspor Non Migas</t>
  </si>
  <si>
    <t>Persentase Barang Kebutuhan Pokok yang Dikendalikan</t>
  </si>
  <si>
    <t>Jumlah Pengawasan Pupuk Bersubsidi</t>
  </si>
  <si>
    <t>Persentase Pengawasan Penyaluran Pupuk Bersubsidi di Kab. HSS</t>
  </si>
  <si>
    <t>Nilai Ekspor Dagang</t>
  </si>
  <si>
    <t>Milyar</t>
  </si>
  <si>
    <t>Pameran</t>
  </si>
  <si>
    <t>Kontribusi PAD Sektor Perdagangan</t>
  </si>
  <si>
    <t>4.760.718.400</t>
  </si>
  <si>
    <t>3.864.795.400</t>
  </si>
  <si>
    <t>5.001.729.000</t>
  </si>
  <si>
    <t>Kontribusi PAD dari Pelaksanaan Metrologi Legal</t>
  </si>
  <si>
    <t>UTTP</t>
  </si>
  <si>
    <t>Jumlah UTTP (ukur, takar, timbang, dan perelengkapannya) yang ditera atau ditera ulang</t>
  </si>
  <si>
    <t>Org</t>
  </si>
  <si>
    <t>Jumlah Pengawasan/Penyuluhan Metrologi Legal</t>
  </si>
  <si>
    <t>Kontribusi PAD dari Pengelolaan Pasar</t>
  </si>
  <si>
    <t>Jumlah SDM Petugas Kebersihan Pasar yang Berkinerja Baik</t>
  </si>
  <si>
    <t>Jumlah Pengelola Pasar yang Berkinerja Baik</t>
  </si>
  <si>
    <t>Pengelola</t>
  </si>
  <si>
    <t>Jumlah SDM Petugas Keamanan Pasar yang Berkinerja Baik</t>
  </si>
  <si>
    <t>Jumlah SDM Petugas Retribusi Pasar yang Berkinerja Baik</t>
  </si>
  <si>
    <t>PERIODE PELAKSANAAN TRIWULAN IV TAHUN 2021</t>
  </si>
  <si>
    <t>Kandangan, 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</si>
</sst>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7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8" fillId="0" borderId="15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6" fontId="8" fillId="0" borderId="15" xfId="1" applyNumberFormat="1" applyFont="1" applyFill="1" applyBorder="1" applyAlignment="1">
      <alignment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 wrapText="1"/>
    </xf>
    <xf numFmtId="4" fontId="6" fillId="0" borderId="2" xfId="0" quotePrefix="1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2" xfId="0" quotePrefix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64" fontId="8" fillId="0" borderId="15" xfId="2" applyFont="1" applyFill="1" applyBorder="1" applyAlignment="1">
      <alignment vertical="top"/>
    </xf>
    <xf numFmtId="164" fontId="8" fillId="0" borderId="2" xfId="2" quotePrefix="1" applyFont="1" applyFill="1" applyBorder="1" applyAlignment="1">
      <alignment vertical="top"/>
    </xf>
    <xf numFmtId="2" fontId="8" fillId="0" borderId="2" xfId="0" quotePrefix="1" applyNumberFormat="1" applyFont="1" applyFill="1" applyBorder="1" applyAlignment="1">
      <alignment horizontal="center" vertical="top" wrapText="1"/>
    </xf>
    <xf numFmtId="2" fontId="6" fillId="0" borderId="2" xfId="0" quotePrefix="1" applyNumberFormat="1" applyFont="1" applyFill="1" applyBorder="1" applyAlignment="1">
      <alignment horizontal="center" vertical="top" wrapText="1"/>
    </xf>
    <xf numFmtId="3" fontId="8" fillId="0" borderId="2" xfId="0" quotePrefix="1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4" fontId="6" fillId="0" borderId="15" xfId="0" applyNumberFormat="1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4" fontId="8" fillId="0" borderId="2" xfId="2" applyFont="1" applyFill="1" applyBorder="1" applyAlignment="1">
      <alignment horizontal="center" vertical="top"/>
    </xf>
    <xf numFmtId="3" fontId="6" fillId="0" borderId="2" xfId="0" quotePrefix="1" applyNumberFormat="1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top" wrapText="1"/>
    </xf>
    <xf numFmtId="9" fontId="6" fillId="0" borderId="15" xfId="0" applyNumberFormat="1" applyFont="1" applyFill="1" applyBorder="1" applyAlignment="1">
      <alignment horizontal="center" vertical="top" wrapText="1"/>
    </xf>
    <xf numFmtId="164" fontId="8" fillId="0" borderId="0" xfId="2" applyFont="1" applyFill="1" applyAlignment="1">
      <alignment vertical="top"/>
    </xf>
    <xf numFmtId="0" fontId="8" fillId="0" borderId="2" xfId="0" quotePrefix="1" applyNumberFormat="1" applyFont="1" applyFill="1" applyBorder="1" applyAlignment="1">
      <alignment horizontal="center" vertical="top" wrapText="1"/>
    </xf>
    <xf numFmtId="166" fontId="8" fillId="0" borderId="2" xfId="1" quotePrefix="1" applyNumberFormat="1" applyFont="1" applyFill="1" applyBorder="1" applyAlignment="1">
      <alignment horizontal="center" vertical="top"/>
    </xf>
    <xf numFmtId="0" fontId="8" fillId="0" borderId="15" xfId="0" quotePrefix="1" applyNumberFormat="1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vertical="top" wrapText="1"/>
    </xf>
    <xf numFmtId="1" fontId="6" fillId="0" borderId="15" xfId="0" applyNumberFormat="1" applyFont="1" applyFill="1" applyBorder="1" applyAlignment="1">
      <alignment horizontal="center" vertical="top" wrapText="1"/>
    </xf>
    <xf numFmtId="0" fontId="6" fillId="0" borderId="2" xfId="0" quotePrefix="1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15" xfId="0" quotePrefix="1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0" fontId="8" fillId="4" borderId="13" xfId="0" applyNumberFormat="1" applyFont="1" applyFill="1" applyBorder="1" applyAlignment="1">
      <alignment horizontal="center" wrapText="1"/>
    </xf>
    <xf numFmtId="0" fontId="8" fillId="0" borderId="0" xfId="0" applyNumberFormat="1" applyFont="1" applyFill="1" applyAlignment="1">
      <alignment wrapText="1"/>
    </xf>
    <xf numFmtId="1" fontId="6" fillId="0" borderId="15" xfId="0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/>
    </xf>
    <xf numFmtId="1" fontId="6" fillId="0" borderId="2" xfId="2" applyNumberFormat="1" applyFont="1" applyFill="1" applyBorder="1" applyAlignment="1">
      <alignment horizontal="center" vertical="top"/>
    </xf>
    <xf numFmtId="1" fontId="8" fillId="0" borderId="0" xfId="0" applyNumberFormat="1" applyFont="1" applyFill="1"/>
    <xf numFmtId="1" fontId="4" fillId="0" borderId="0" xfId="0" applyNumberFormat="1" applyFont="1" applyFill="1"/>
    <xf numFmtId="1" fontId="6" fillId="0" borderId="6" xfId="0" applyNumberFormat="1" applyFont="1" applyFill="1" applyBorder="1" applyAlignment="1">
      <alignment horizontal="center" vertical="top"/>
    </xf>
    <xf numFmtId="0" fontId="14" fillId="0" borderId="11" xfId="0" applyFont="1" applyFill="1" applyBorder="1"/>
    <xf numFmtId="0" fontId="6" fillId="0" borderId="6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2" fontId="6" fillId="0" borderId="15" xfId="0" quotePrefix="1" applyNumberFormat="1" applyFont="1" applyFill="1" applyBorder="1" applyAlignment="1">
      <alignment horizontal="center" vertical="top" wrapText="1"/>
    </xf>
    <xf numFmtId="1" fontId="6" fillId="0" borderId="15" xfId="0" quotePrefix="1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center" vertical="top" wrapText="1"/>
    </xf>
    <xf numFmtId="167" fontId="6" fillId="0" borderId="2" xfId="0" quotePrefix="1" applyNumberFormat="1" applyFont="1" applyFill="1" applyBorder="1" applyAlignment="1">
      <alignment horizontal="center" vertical="top" wrapText="1"/>
    </xf>
    <xf numFmtId="1" fontId="8" fillId="0" borderId="2" xfId="0" quotePrefix="1" applyNumberFormat="1" applyFont="1" applyFill="1" applyBorder="1" applyAlignment="1">
      <alignment horizontal="center" vertical="top" wrapText="1"/>
    </xf>
    <xf numFmtId="1" fontId="6" fillId="0" borderId="2" xfId="0" quotePrefix="1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/>
    </xf>
    <xf numFmtId="3" fontId="6" fillId="0" borderId="2" xfId="2" applyNumberFormat="1" applyFont="1" applyFill="1" applyBorder="1" applyAlignment="1">
      <alignment horizontal="center" vertical="top" wrapText="1"/>
    </xf>
    <xf numFmtId="3" fontId="8" fillId="0" borderId="2" xfId="2" applyNumberFormat="1" applyFont="1" applyFill="1" applyBorder="1" applyAlignment="1">
      <alignment horizontal="center" vertical="top"/>
    </xf>
    <xf numFmtId="3" fontId="8" fillId="0" borderId="2" xfId="0" applyNumberFormat="1" applyFont="1" applyFill="1" applyBorder="1" applyAlignment="1">
      <alignment horizontal="center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80"/>
  <sheetViews>
    <sheetView tabSelected="1" showRuler="0" view="pageBreakPreview" zoomScale="70" zoomScaleNormal="40" zoomScaleSheetLayoutView="70" zoomScalePageLayoutView="55" workbookViewId="0">
      <selection activeCell="E55" sqref="E55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22.7109375" style="2" customWidth="1"/>
    <col min="4" max="4" width="17.85546875" style="2" customWidth="1"/>
    <col min="5" max="5" width="17.5703125" style="2" bestFit="1" customWidth="1"/>
    <col min="6" max="6" width="7.7109375" style="2" customWidth="1"/>
    <col min="7" max="7" width="18.28515625" style="2" customWidth="1"/>
    <col min="8" max="8" width="17.5703125" style="2" bestFit="1" customWidth="1"/>
    <col min="9" max="9" width="7.7109375" style="2" customWidth="1"/>
    <col min="10" max="10" width="21.42578125" style="2" customWidth="1"/>
    <col min="11" max="11" width="16" style="2" bestFit="1" customWidth="1"/>
    <col min="12" max="12" width="7.5703125" style="2" customWidth="1"/>
    <col min="13" max="13" width="19.28515625" style="2" customWidth="1"/>
    <col min="14" max="14" width="14.140625" style="2" bestFit="1" customWidth="1"/>
    <col min="15" max="15" width="8" style="2" customWidth="1"/>
    <col min="16" max="16" width="18.28515625" style="2" customWidth="1"/>
    <col min="17" max="17" width="15.28515625" style="2" bestFit="1" customWidth="1"/>
    <col min="18" max="18" width="7.7109375" style="2" customWidth="1"/>
    <col min="19" max="19" width="18.7109375" style="2" customWidth="1"/>
    <col min="20" max="20" width="14.85546875" style="2" bestFit="1" customWidth="1"/>
    <col min="21" max="21" width="8" style="2" customWidth="1"/>
    <col min="22" max="22" width="18.28515625" style="2" customWidth="1"/>
    <col min="23" max="23" width="11.42578125" style="2" bestFit="1" customWidth="1"/>
    <col min="24" max="24" width="7.5703125" style="2" customWidth="1"/>
    <col min="25" max="25" width="17.85546875" style="2" customWidth="1"/>
    <col min="26" max="26" width="16" style="111" bestFit="1" customWidth="1"/>
    <col min="27" max="27" width="5.5703125" style="104" customWidth="1"/>
    <col min="28" max="28" width="12.7109375" style="2" customWidth="1"/>
    <col min="29" max="29" width="5.5703125" style="4" customWidth="1"/>
    <col min="30" max="30" width="17.28515625" style="2" customWidth="1"/>
    <col min="31" max="31" width="8" style="2" customWidth="1"/>
    <col min="32" max="32" width="5.5703125" style="4" customWidth="1"/>
    <col min="33" max="33" width="16" style="2" bestFit="1" customWidth="1"/>
    <col min="34" max="34" width="5.5703125" style="104" customWidth="1"/>
    <col min="35" max="35" width="17.28515625" style="2" customWidth="1"/>
    <col min="36" max="36" width="8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"/>
    </row>
    <row r="2" spans="1:45" ht="23.25" x14ac:dyDescent="0.35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3"/>
    </row>
    <row r="3" spans="1:45" ht="23.25" x14ac:dyDescent="0.35">
      <c r="A3" s="166" t="s">
        <v>50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3"/>
    </row>
    <row r="4" spans="1:45" ht="23.25" x14ac:dyDescent="0.35">
      <c r="A4" s="167" t="s">
        <v>166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"/>
    </row>
    <row r="5" spans="1:45" ht="18" x14ac:dyDescent="0.2">
      <c r="A5" s="168" t="s">
        <v>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</row>
    <row r="6" spans="1:45" ht="18" x14ac:dyDescent="0.25">
      <c r="A6" s="165" t="s">
        <v>50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</row>
    <row r="7" spans="1:45" ht="81" customHeight="1" x14ac:dyDescent="0.2">
      <c r="A7" s="169" t="s">
        <v>3</v>
      </c>
      <c r="B7" s="169" t="s">
        <v>4</v>
      </c>
      <c r="C7" s="170" t="s">
        <v>5</v>
      </c>
      <c r="D7" s="170" t="s">
        <v>6</v>
      </c>
      <c r="E7" s="156" t="s">
        <v>7</v>
      </c>
      <c r="F7" s="157"/>
      <c r="G7" s="160"/>
      <c r="H7" s="156" t="s">
        <v>65</v>
      </c>
      <c r="I7" s="157"/>
      <c r="J7" s="160"/>
      <c r="K7" s="156" t="s">
        <v>66</v>
      </c>
      <c r="L7" s="157"/>
      <c r="M7" s="157"/>
      <c r="N7" s="156" t="s">
        <v>8</v>
      </c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60"/>
      <c r="Z7" s="156" t="s">
        <v>55</v>
      </c>
      <c r="AA7" s="157"/>
      <c r="AB7" s="157"/>
      <c r="AC7" s="157"/>
      <c r="AD7" s="157"/>
      <c r="AE7" s="157"/>
      <c r="AF7" s="160"/>
      <c r="AG7" s="156" t="s">
        <v>67</v>
      </c>
      <c r="AH7" s="157"/>
      <c r="AI7" s="160"/>
      <c r="AJ7" s="156" t="s">
        <v>68</v>
      </c>
      <c r="AK7" s="157"/>
      <c r="AL7" s="157"/>
      <c r="AM7" s="148" t="s">
        <v>9</v>
      </c>
      <c r="AO7" s="4"/>
      <c r="AP7" s="4"/>
      <c r="AQ7" s="4"/>
      <c r="AR7" s="4"/>
      <c r="AS7" s="4"/>
    </row>
    <row r="8" spans="1:45" ht="18" customHeight="1" x14ac:dyDescent="0.2">
      <c r="A8" s="169"/>
      <c r="B8" s="169"/>
      <c r="C8" s="170"/>
      <c r="D8" s="170"/>
      <c r="E8" s="162"/>
      <c r="F8" s="163"/>
      <c r="G8" s="164"/>
      <c r="H8" s="162"/>
      <c r="I8" s="163"/>
      <c r="J8" s="164"/>
      <c r="K8" s="158"/>
      <c r="L8" s="159"/>
      <c r="M8" s="159"/>
      <c r="N8" s="158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61"/>
      <c r="Z8" s="158"/>
      <c r="AA8" s="159"/>
      <c r="AB8" s="159"/>
      <c r="AC8" s="159"/>
      <c r="AD8" s="159"/>
      <c r="AE8" s="159"/>
      <c r="AF8" s="161"/>
      <c r="AG8" s="158"/>
      <c r="AH8" s="159"/>
      <c r="AI8" s="161"/>
      <c r="AJ8" s="158"/>
      <c r="AK8" s="159"/>
      <c r="AL8" s="159"/>
      <c r="AM8" s="149"/>
    </row>
    <row r="9" spans="1:45" ht="15.75" customHeight="1" x14ac:dyDescent="0.2">
      <c r="A9" s="169"/>
      <c r="B9" s="169"/>
      <c r="C9" s="170"/>
      <c r="D9" s="170"/>
      <c r="E9" s="158"/>
      <c r="F9" s="159"/>
      <c r="G9" s="161"/>
      <c r="H9" s="158"/>
      <c r="I9" s="159"/>
      <c r="J9" s="161"/>
      <c r="K9" s="150">
        <v>2021</v>
      </c>
      <c r="L9" s="151"/>
      <c r="M9" s="152"/>
      <c r="N9" s="153" t="s">
        <v>10</v>
      </c>
      <c r="O9" s="154"/>
      <c r="P9" s="155"/>
      <c r="Q9" s="153" t="s">
        <v>11</v>
      </c>
      <c r="R9" s="154"/>
      <c r="S9" s="155"/>
      <c r="T9" s="153" t="s">
        <v>12</v>
      </c>
      <c r="U9" s="154"/>
      <c r="V9" s="155"/>
      <c r="W9" s="153" t="s">
        <v>13</v>
      </c>
      <c r="X9" s="154"/>
      <c r="Y9" s="155"/>
      <c r="Z9" s="153">
        <v>2021</v>
      </c>
      <c r="AA9" s="154"/>
      <c r="AB9" s="154"/>
      <c r="AC9" s="154"/>
      <c r="AD9" s="154"/>
      <c r="AE9" s="154"/>
      <c r="AF9" s="155"/>
      <c r="AG9" s="153">
        <v>2021</v>
      </c>
      <c r="AH9" s="154"/>
      <c r="AI9" s="155"/>
      <c r="AJ9" s="153">
        <v>2021</v>
      </c>
      <c r="AK9" s="154"/>
      <c r="AL9" s="155"/>
      <c r="AM9" s="5"/>
    </row>
    <row r="10" spans="1:45" s="7" customFormat="1" ht="15.75" x14ac:dyDescent="0.25">
      <c r="A10" s="135">
        <v>1</v>
      </c>
      <c r="B10" s="135">
        <v>2</v>
      </c>
      <c r="C10" s="135">
        <v>3</v>
      </c>
      <c r="D10" s="135">
        <v>4</v>
      </c>
      <c r="E10" s="139">
        <v>5</v>
      </c>
      <c r="F10" s="141"/>
      <c r="G10" s="140"/>
      <c r="H10" s="139">
        <v>6</v>
      </c>
      <c r="I10" s="141"/>
      <c r="J10" s="140"/>
      <c r="K10" s="145">
        <v>7</v>
      </c>
      <c r="L10" s="146"/>
      <c r="M10" s="147"/>
      <c r="N10" s="145">
        <v>8</v>
      </c>
      <c r="O10" s="146"/>
      <c r="P10" s="147"/>
      <c r="Q10" s="145">
        <v>9</v>
      </c>
      <c r="R10" s="146"/>
      <c r="S10" s="147"/>
      <c r="T10" s="145">
        <v>10</v>
      </c>
      <c r="U10" s="146"/>
      <c r="V10" s="147"/>
      <c r="W10" s="145">
        <v>11</v>
      </c>
      <c r="X10" s="146"/>
      <c r="Y10" s="147"/>
      <c r="Z10" s="142">
        <v>12</v>
      </c>
      <c r="AA10" s="143"/>
      <c r="AB10" s="143"/>
      <c r="AC10" s="143"/>
      <c r="AD10" s="143"/>
      <c r="AE10" s="143"/>
      <c r="AF10" s="144"/>
      <c r="AG10" s="142">
        <v>13</v>
      </c>
      <c r="AH10" s="143"/>
      <c r="AI10" s="144"/>
      <c r="AJ10" s="142">
        <v>14</v>
      </c>
      <c r="AK10" s="143"/>
      <c r="AL10" s="144"/>
      <c r="AM10" s="6">
        <v>15</v>
      </c>
    </row>
    <row r="11" spans="1:45" s="7" customFormat="1" ht="87" customHeight="1" x14ac:dyDescent="0.2">
      <c r="A11" s="137"/>
      <c r="B11" s="137"/>
      <c r="C11" s="137"/>
      <c r="D11" s="137"/>
      <c r="E11" s="131" t="s">
        <v>14</v>
      </c>
      <c r="F11" s="132"/>
      <c r="G11" s="136" t="s">
        <v>15</v>
      </c>
      <c r="H11" s="131" t="s">
        <v>14</v>
      </c>
      <c r="I11" s="132"/>
      <c r="J11" s="136" t="s">
        <v>15</v>
      </c>
      <c r="K11" s="131" t="s">
        <v>14</v>
      </c>
      <c r="L11" s="132"/>
      <c r="M11" s="135" t="s">
        <v>15</v>
      </c>
      <c r="N11" s="131" t="s">
        <v>14</v>
      </c>
      <c r="O11" s="132"/>
      <c r="P11" s="135" t="s">
        <v>15</v>
      </c>
      <c r="Q11" s="131" t="s">
        <v>14</v>
      </c>
      <c r="R11" s="132"/>
      <c r="S11" s="135" t="s">
        <v>15</v>
      </c>
      <c r="T11" s="131" t="s">
        <v>14</v>
      </c>
      <c r="U11" s="132"/>
      <c r="V11" s="135" t="s">
        <v>15</v>
      </c>
      <c r="W11" s="131" t="s">
        <v>14</v>
      </c>
      <c r="X11" s="132"/>
      <c r="Y11" s="135" t="s">
        <v>15</v>
      </c>
      <c r="Z11" s="139" t="s">
        <v>16</v>
      </c>
      <c r="AA11" s="140"/>
      <c r="AB11" s="139" t="s">
        <v>53</v>
      </c>
      <c r="AC11" s="140"/>
      <c r="AD11" s="8" t="s">
        <v>17</v>
      </c>
      <c r="AE11" s="139" t="s">
        <v>54</v>
      </c>
      <c r="AF11" s="140"/>
      <c r="AG11" s="139" t="s">
        <v>18</v>
      </c>
      <c r="AH11" s="140"/>
      <c r="AI11" s="8" t="s">
        <v>19</v>
      </c>
      <c r="AJ11" s="139" t="s">
        <v>20</v>
      </c>
      <c r="AK11" s="140"/>
      <c r="AL11" s="8" t="s">
        <v>21</v>
      </c>
      <c r="AM11" s="9"/>
    </row>
    <row r="12" spans="1:45" s="7" customFormat="1" ht="15.75" x14ac:dyDescent="0.2">
      <c r="A12" s="136"/>
      <c r="B12" s="136"/>
      <c r="C12" s="136"/>
      <c r="D12" s="136"/>
      <c r="E12" s="133"/>
      <c r="F12" s="134"/>
      <c r="G12" s="138"/>
      <c r="H12" s="133"/>
      <c r="I12" s="134"/>
      <c r="J12" s="138"/>
      <c r="K12" s="133"/>
      <c r="L12" s="134"/>
      <c r="M12" s="136"/>
      <c r="N12" s="133"/>
      <c r="O12" s="134"/>
      <c r="P12" s="136"/>
      <c r="Q12" s="133"/>
      <c r="R12" s="134"/>
      <c r="S12" s="136"/>
      <c r="T12" s="133"/>
      <c r="U12" s="134"/>
      <c r="V12" s="136"/>
      <c r="W12" s="133"/>
      <c r="X12" s="134"/>
      <c r="Y12" s="136"/>
      <c r="Z12" s="133" t="s">
        <v>14</v>
      </c>
      <c r="AA12" s="134"/>
      <c r="AB12" s="133" t="s">
        <v>14</v>
      </c>
      <c r="AC12" s="134"/>
      <c r="AD12" s="10" t="s">
        <v>15</v>
      </c>
      <c r="AE12" s="133" t="s">
        <v>15</v>
      </c>
      <c r="AF12" s="134"/>
      <c r="AG12" s="133" t="s">
        <v>14</v>
      </c>
      <c r="AH12" s="134"/>
      <c r="AI12" s="10" t="s">
        <v>15</v>
      </c>
      <c r="AJ12" s="133" t="s">
        <v>14</v>
      </c>
      <c r="AK12" s="134"/>
      <c r="AL12" s="10" t="s">
        <v>15</v>
      </c>
      <c r="AM12" s="84"/>
    </row>
    <row r="13" spans="1:45" ht="121.5" customHeight="1" x14ac:dyDescent="0.2">
      <c r="A13" s="47">
        <v>1</v>
      </c>
      <c r="B13" s="14" t="s">
        <v>22</v>
      </c>
      <c r="C13" s="16" t="s">
        <v>69</v>
      </c>
      <c r="D13" s="16" t="s">
        <v>137</v>
      </c>
      <c r="E13" s="44">
        <v>100</v>
      </c>
      <c r="F13" s="45" t="s">
        <v>127</v>
      </c>
      <c r="G13" s="41"/>
      <c r="H13" s="44">
        <v>100</v>
      </c>
      <c r="I13" s="45" t="s">
        <v>127</v>
      </c>
      <c r="J13" s="41"/>
      <c r="K13" s="44">
        <v>100</v>
      </c>
      <c r="L13" s="45" t="s">
        <v>127</v>
      </c>
      <c r="M13" s="41">
        <f>M14+M17+M22+M29+M31+M34</f>
        <v>5501965116</v>
      </c>
      <c r="N13" s="44">
        <v>25</v>
      </c>
      <c r="O13" s="45" t="s">
        <v>127</v>
      </c>
      <c r="P13" s="41">
        <f>P14+P17+P22+P29+P31+P34</f>
        <v>494096329</v>
      </c>
      <c r="Q13" s="44">
        <v>25</v>
      </c>
      <c r="R13" s="45" t="s">
        <v>127</v>
      </c>
      <c r="S13" s="41">
        <f>S14+S17+S22+S29+S31+S34</f>
        <v>2074123423</v>
      </c>
      <c r="T13" s="44">
        <v>25</v>
      </c>
      <c r="U13" s="45" t="s">
        <v>127</v>
      </c>
      <c r="V13" s="41">
        <f>V14+V17+V22+V29+V31+V34</f>
        <v>1097829087</v>
      </c>
      <c r="W13" s="44">
        <v>25</v>
      </c>
      <c r="X13" s="45" t="s">
        <v>127</v>
      </c>
      <c r="Y13" s="41">
        <f>Y14+Y17+Y22+Y29+Y31+Y34</f>
        <v>1145604796</v>
      </c>
      <c r="Z13" s="68">
        <f>SUM(N13,Q13,T13,W13)</f>
        <v>100</v>
      </c>
      <c r="AA13" s="100" t="str">
        <f>L13</f>
        <v>%</v>
      </c>
      <c r="AB13" s="68">
        <f>Z13/K13*100</f>
        <v>100</v>
      </c>
      <c r="AC13" s="66" t="s">
        <v>127</v>
      </c>
      <c r="AD13" s="80">
        <f>SUM(P13,S13,V13,Y13)</f>
        <v>4811653635</v>
      </c>
      <c r="AE13" s="81">
        <f>AD13/M13*100</f>
        <v>87.453364998761288</v>
      </c>
      <c r="AF13" s="47" t="s">
        <v>127</v>
      </c>
      <c r="AG13" s="64">
        <f>SUM(H13,Z13)</f>
        <v>200</v>
      </c>
      <c r="AH13" s="100" t="str">
        <f>O13</f>
        <v>%</v>
      </c>
      <c r="AI13" s="80">
        <f>SUM(J13,AD13)</f>
        <v>4811653635</v>
      </c>
      <c r="AJ13" s="66"/>
      <c r="AK13" s="66" t="s">
        <v>127</v>
      </c>
      <c r="AL13" s="81"/>
      <c r="AM13" s="21" t="s">
        <v>51</v>
      </c>
      <c r="AP13" s="22">
        <f t="shared" ref="AP13:AP21" si="0">P13+S13+V13+Y13</f>
        <v>4811653635</v>
      </c>
    </row>
    <row r="14" spans="1:45" ht="99.75" customHeight="1" x14ac:dyDescent="0.2">
      <c r="A14" s="47">
        <v>2</v>
      </c>
      <c r="B14" s="48" t="s">
        <v>23</v>
      </c>
      <c r="C14" s="15" t="s">
        <v>70</v>
      </c>
      <c r="D14" s="16" t="s">
        <v>128</v>
      </c>
      <c r="E14" s="56">
        <f>SUM(E15:E16)</f>
        <v>45</v>
      </c>
      <c r="F14" s="57" t="s">
        <v>48</v>
      </c>
      <c r="G14" s="12"/>
      <c r="H14" s="56">
        <f>SUM(H15:H16)</f>
        <v>15</v>
      </c>
      <c r="I14" s="57" t="s">
        <v>48</v>
      </c>
      <c r="J14" s="25"/>
      <c r="K14" s="56">
        <f>SUM(K15:K16)</f>
        <v>15</v>
      </c>
      <c r="L14" s="57" t="s">
        <v>48</v>
      </c>
      <c r="M14" s="41">
        <f>SUM(M15:M16)</f>
        <v>9500000</v>
      </c>
      <c r="N14" s="56">
        <f>SUM(N15:N16)</f>
        <v>1</v>
      </c>
      <c r="O14" s="57" t="s">
        <v>48</v>
      </c>
      <c r="P14" s="41">
        <f>SUM(P15:P16)</f>
        <v>0</v>
      </c>
      <c r="Q14" s="56">
        <f>SUM(Q15:Q16)</f>
        <v>3</v>
      </c>
      <c r="R14" s="57" t="s">
        <v>48</v>
      </c>
      <c r="S14" s="41">
        <f>SUM(S15:S16)</f>
        <v>187500</v>
      </c>
      <c r="T14" s="56">
        <f>SUM(T15:T16)</f>
        <v>3</v>
      </c>
      <c r="U14" s="57" t="s">
        <v>48</v>
      </c>
      <c r="V14" s="41">
        <f>SUM(V15:V16)</f>
        <v>1555000</v>
      </c>
      <c r="W14" s="56">
        <f>SUM(W15:W16)</f>
        <v>8</v>
      </c>
      <c r="X14" s="57" t="s">
        <v>48</v>
      </c>
      <c r="Y14" s="41">
        <f>SUM(Y15:Y16)</f>
        <v>7051500</v>
      </c>
      <c r="Z14" s="107">
        <f>SUM(N14,Q14,T14,W14)</f>
        <v>15</v>
      </c>
      <c r="AA14" s="101" t="str">
        <f>L14</f>
        <v>Dok</v>
      </c>
      <c r="AB14" s="107">
        <f>Z14/K14*100</f>
        <v>100</v>
      </c>
      <c r="AC14" s="83" t="s">
        <v>127</v>
      </c>
      <c r="AD14" s="67">
        <f>SUM(P14,S14,V14,Y14)</f>
        <v>8794000</v>
      </c>
      <c r="AE14" s="82">
        <f>AD14/M14*100</f>
        <v>92.568421052631578</v>
      </c>
      <c r="AF14" s="83" t="s">
        <v>127</v>
      </c>
      <c r="AG14" s="64">
        <f>SUM(H14,Z14)</f>
        <v>30</v>
      </c>
      <c r="AH14" s="100" t="str">
        <f>O14</f>
        <v>Dok</v>
      </c>
      <c r="AI14" s="67">
        <f>SUM(J14,AD14)</f>
        <v>8794000</v>
      </c>
      <c r="AJ14" s="64"/>
      <c r="AK14" s="66" t="s">
        <v>127</v>
      </c>
      <c r="AL14" s="82"/>
      <c r="AM14" s="21"/>
      <c r="AP14" s="22"/>
    </row>
    <row r="15" spans="1:45" ht="63" x14ac:dyDescent="0.2">
      <c r="A15" s="47">
        <v>28</v>
      </c>
      <c r="B15" s="48" t="s">
        <v>52</v>
      </c>
      <c r="C15" s="23" t="s">
        <v>71</v>
      </c>
      <c r="D15" s="27" t="s">
        <v>129</v>
      </c>
      <c r="E15" s="17">
        <f>5*3</f>
        <v>15</v>
      </c>
      <c r="F15" s="18" t="s">
        <v>48</v>
      </c>
      <c r="G15" s="49"/>
      <c r="H15" s="17">
        <v>5</v>
      </c>
      <c r="I15" s="18" t="s">
        <v>48</v>
      </c>
      <c r="J15" s="19"/>
      <c r="K15" s="17">
        <v>5</v>
      </c>
      <c r="L15" s="18" t="s">
        <v>48</v>
      </c>
      <c r="M15" s="88">
        <v>8000000</v>
      </c>
      <c r="N15" s="17">
        <v>0</v>
      </c>
      <c r="O15" s="18" t="s">
        <v>48</v>
      </c>
      <c r="P15" s="20">
        <v>0</v>
      </c>
      <c r="Q15" s="17">
        <v>1</v>
      </c>
      <c r="R15" s="18" t="s">
        <v>48</v>
      </c>
      <c r="S15" s="20">
        <v>187500</v>
      </c>
      <c r="T15" s="17">
        <v>1</v>
      </c>
      <c r="U15" s="18" t="s">
        <v>48</v>
      </c>
      <c r="V15" s="20">
        <v>1485000</v>
      </c>
      <c r="W15" s="17">
        <v>3</v>
      </c>
      <c r="X15" s="18" t="s">
        <v>48</v>
      </c>
      <c r="Y15" s="20">
        <v>5996500</v>
      </c>
      <c r="Z15" s="69">
        <f t="shared" ref="Z15:Z63" si="1">SUM(N15,Q15,T15,W15)</f>
        <v>5</v>
      </c>
      <c r="AA15" s="99" t="str">
        <f t="shared" ref="AA15:AA63" si="2">L15</f>
        <v>Dok</v>
      </c>
      <c r="AB15" s="69">
        <f t="shared" ref="AB15:AB63" si="3">Z15/K15*100</f>
        <v>100</v>
      </c>
      <c r="AC15" s="33" t="s">
        <v>127</v>
      </c>
      <c r="AD15" s="39">
        <f t="shared" ref="AD15:AD63" si="4">SUM(P15,S15,V15,Y15)</f>
        <v>7669000</v>
      </c>
      <c r="AE15" s="63">
        <f t="shared" ref="AE15:AE63" si="5">AD15/M15*100</f>
        <v>95.862499999999997</v>
      </c>
      <c r="AF15" s="33" t="s">
        <v>127</v>
      </c>
      <c r="AG15" s="69">
        <f t="shared" ref="AG15:AG63" si="6">SUM(H15,Z15)</f>
        <v>10</v>
      </c>
      <c r="AH15" s="99" t="str">
        <f t="shared" ref="AH15:AH63" si="7">O15</f>
        <v>Dok</v>
      </c>
      <c r="AI15" s="39">
        <f t="shared" ref="AI15:AI63" si="8">SUM(J15,AD15)</f>
        <v>7669000</v>
      </c>
      <c r="AJ15" s="63"/>
      <c r="AK15" s="33" t="s">
        <v>127</v>
      </c>
      <c r="AL15" s="63"/>
      <c r="AM15" s="11"/>
      <c r="AP15" s="22"/>
    </row>
    <row r="16" spans="1:45" ht="60" x14ac:dyDescent="0.2">
      <c r="A16" s="13"/>
      <c r="B16" s="14"/>
      <c r="C16" s="23" t="s">
        <v>72</v>
      </c>
      <c r="D16" s="27" t="s">
        <v>130</v>
      </c>
      <c r="E16" s="17">
        <f>10*3</f>
        <v>30</v>
      </c>
      <c r="F16" s="18" t="s">
        <v>48</v>
      </c>
      <c r="G16" s="49"/>
      <c r="H16" s="17">
        <v>10</v>
      </c>
      <c r="I16" s="18" t="s">
        <v>48</v>
      </c>
      <c r="J16" s="19"/>
      <c r="K16" s="17">
        <v>10</v>
      </c>
      <c r="L16" s="18" t="s">
        <v>48</v>
      </c>
      <c r="M16" s="20">
        <v>1500000</v>
      </c>
      <c r="N16" s="17">
        <v>1</v>
      </c>
      <c r="O16" s="18" t="s">
        <v>48</v>
      </c>
      <c r="P16" s="20">
        <v>0</v>
      </c>
      <c r="Q16" s="17">
        <v>2</v>
      </c>
      <c r="R16" s="18" t="s">
        <v>48</v>
      </c>
      <c r="S16" s="20">
        <v>0</v>
      </c>
      <c r="T16" s="17">
        <v>2</v>
      </c>
      <c r="U16" s="18" t="s">
        <v>48</v>
      </c>
      <c r="V16" s="20">
        <v>70000</v>
      </c>
      <c r="W16" s="17">
        <v>5</v>
      </c>
      <c r="X16" s="18" t="s">
        <v>48</v>
      </c>
      <c r="Y16" s="20">
        <v>1055000</v>
      </c>
      <c r="Z16" s="69">
        <f t="shared" si="1"/>
        <v>10</v>
      </c>
      <c r="AA16" s="99" t="str">
        <f t="shared" si="2"/>
        <v>Dok</v>
      </c>
      <c r="AB16" s="69">
        <f t="shared" si="3"/>
        <v>100</v>
      </c>
      <c r="AC16" s="33" t="s">
        <v>127</v>
      </c>
      <c r="AD16" s="39">
        <f t="shared" si="4"/>
        <v>1125000</v>
      </c>
      <c r="AE16" s="63">
        <f t="shared" si="5"/>
        <v>75</v>
      </c>
      <c r="AF16" s="33" t="s">
        <v>127</v>
      </c>
      <c r="AG16" s="69">
        <f t="shared" si="6"/>
        <v>20</v>
      </c>
      <c r="AH16" s="99" t="str">
        <f t="shared" si="7"/>
        <v>Dok</v>
      </c>
      <c r="AI16" s="39">
        <f t="shared" si="8"/>
        <v>1125000</v>
      </c>
      <c r="AJ16" s="33"/>
      <c r="AK16" s="33" t="s">
        <v>127</v>
      </c>
      <c r="AL16" s="63"/>
      <c r="AM16" s="11"/>
      <c r="AP16" s="22"/>
    </row>
    <row r="17" spans="1:42" ht="78.75" x14ac:dyDescent="0.2">
      <c r="A17" s="11"/>
      <c r="B17" s="11"/>
      <c r="C17" s="14" t="s">
        <v>73</v>
      </c>
      <c r="D17" s="16" t="s">
        <v>131</v>
      </c>
      <c r="E17" s="94">
        <f>SUM(E19:E21)</f>
        <v>42</v>
      </c>
      <c r="F17" s="57" t="s">
        <v>48</v>
      </c>
      <c r="G17" s="40"/>
      <c r="H17" s="94">
        <f>SUM(H19:H21)</f>
        <v>14</v>
      </c>
      <c r="I17" s="57" t="s">
        <v>48</v>
      </c>
      <c r="J17" s="40"/>
      <c r="K17" s="94">
        <f>SUM(K19:K21)</f>
        <v>14</v>
      </c>
      <c r="L17" s="57" t="s">
        <v>48</v>
      </c>
      <c r="M17" s="41">
        <f>SUM(M18:M21)</f>
        <v>4423960016</v>
      </c>
      <c r="N17" s="94">
        <f>SUM(N19:N21)</f>
        <v>3</v>
      </c>
      <c r="O17" s="57" t="s">
        <v>48</v>
      </c>
      <c r="P17" s="41">
        <f>SUM(P18:P21)</f>
        <v>481059866</v>
      </c>
      <c r="Q17" s="94">
        <f>SUM(Q19:Q21)</f>
        <v>4</v>
      </c>
      <c r="R17" s="57" t="s">
        <v>48</v>
      </c>
      <c r="S17" s="41">
        <f>SUM(S18:S21)</f>
        <v>1752602797</v>
      </c>
      <c r="T17" s="94">
        <f>SUM(T19:T21)</f>
        <v>3</v>
      </c>
      <c r="U17" s="57" t="s">
        <v>48</v>
      </c>
      <c r="V17" s="41">
        <f>SUM(V18:V21)</f>
        <v>895795887</v>
      </c>
      <c r="W17" s="94">
        <v>5</v>
      </c>
      <c r="X17" s="57" t="s">
        <v>48</v>
      </c>
      <c r="Y17" s="41">
        <f>SUM(Y18:Y21)</f>
        <v>739453371</v>
      </c>
      <c r="Z17" s="68">
        <f>SUM(N17,Q17,T17,W17)</f>
        <v>15</v>
      </c>
      <c r="AA17" s="101" t="str">
        <f t="shared" si="2"/>
        <v>Dok</v>
      </c>
      <c r="AB17" s="64">
        <f t="shared" si="3"/>
        <v>107.14285714285714</v>
      </c>
      <c r="AC17" s="66" t="s">
        <v>127</v>
      </c>
      <c r="AD17" s="65">
        <f t="shared" si="4"/>
        <v>3868911921</v>
      </c>
      <c r="AE17" s="64">
        <f t="shared" si="5"/>
        <v>87.453591510940996</v>
      </c>
      <c r="AF17" s="66" t="s">
        <v>127</v>
      </c>
      <c r="AG17" s="68">
        <f t="shared" si="6"/>
        <v>29</v>
      </c>
      <c r="AH17" s="101" t="str">
        <f t="shared" si="7"/>
        <v>Dok</v>
      </c>
      <c r="AI17" s="65">
        <f t="shared" si="8"/>
        <v>3868911921</v>
      </c>
      <c r="AJ17" s="64"/>
      <c r="AK17" s="66" t="s">
        <v>127</v>
      </c>
      <c r="AL17" s="64"/>
      <c r="AM17" s="11"/>
      <c r="AP17" s="22"/>
    </row>
    <row r="18" spans="1:42" ht="54.75" customHeight="1" x14ac:dyDescent="0.2">
      <c r="A18" s="13"/>
      <c r="B18" s="14"/>
      <c r="C18" s="27" t="s">
        <v>74</v>
      </c>
      <c r="D18" s="23" t="s">
        <v>118</v>
      </c>
      <c r="E18" s="17">
        <f>12*3</f>
        <v>36</v>
      </c>
      <c r="F18" s="18" t="s">
        <v>49</v>
      </c>
      <c r="G18" s="58"/>
      <c r="H18" s="17">
        <v>12</v>
      </c>
      <c r="I18" s="18" t="s">
        <v>49</v>
      </c>
      <c r="J18" s="25"/>
      <c r="K18" s="17">
        <v>12</v>
      </c>
      <c r="L18" s="18" t="s">
        <v>49</v>
      </c>
      <c r="M18" s="20">
        <v>4418960016</v>
      </c>
      <c r="N18" s="17">
        <v>3</v>
      </c>
      <c r="O18" s="18" t="s">
        <v>49</v>
      </c>
      <c r="P18" s="20">
        <v>481059866</v>
      </c>
      <c r="Q18" s="17">
        <v>3</v>
      </c>
      <c r="R18" s="18" t="s">
        <v>49</v>
      </c>
      <c r="S18" s="20">
        <v>1752602797</v>
      </c>
      <c r="T18" s="17">
        <v>3</v>
      </c>
      <c r="U18" s="18" t="s">
        <v>49</v>
      </c>
      <c r="V18" s="20">
        <v>895190887</v>
      </c>
      <c r="W18" s="17">
        <v>3</v>
      </c>
      <c r="X18" s="18" t="s">
        <v>49</v>
      </c>
      <c r="Y18" s="20">
        <v>735073371</v>
      </c>
      <c r="Z18" s="69">
        <f t="shared" si="1"/>
        <v>12</v>
      </c>
      <c r="AA18" s="102" t="str">
        <f t="shared" si="2"/>
        <v>Bln</v>
      </c>
      <c r="AB18" s="69">
        <f t="shared" si="3"/>
        <v>100</v>
      </c>
      <c r="AC18" s="33" t="s">
        <v>127</v>
      </c>
      <c r="AD18" s="39">
        <f t="shared" si="4"/>
        <v>3863926921</v>
      </c>
      <c r="AE18" s="63">
        <f t="shared" si="5"/>
        <v>87.43973484733155</v>
      </c>
      <c r="AF18" s="33" t="s">
        <v>127</v>
      </c>
      <c r="AG18" s="69">
        <f t="shared" si="6"/>
        <v>24</v>
      </c>
      <c r="AH18" s="102" t="str">
        <f t="shared" si="7"/>
        <v>Bln</v>
      </c>
      <c r="AI18" s="39">
        <f t="shared" si="8"/>
        <v>3863926921</v>
      </c>
      <c r="AJ18" s="63"/>
      <c r="AK18" s="33" t="s">
        <v>127</v>
      </c>
      <c r="AL18" s="63"/>
      <c r="AM18" s="28"/>
      <c r="AP18" s="22">
        <f t="shared" si="0"/>
        <v>3863926921</v>
      </c>
    </row>
    <row r="19" spans="1:42" ht="62.25" customHeight="1" x14ac:dyDescent="0.2">
      <c r="A19" s="13"/>
      <c r="B19" s="14"/>
      <c r="C19" s="27" t="s">
        <v>75</v>
      </c>
      <c r="D19" s="23" t="s">
        <v>119</v>
      </c>
      <c r="E19" s="17">
        <f>1*3</f>
        <v>3</v>
      </c>
      <c r="F19" s="18" t="s">
        <v>48</v>
      </c>
      <c r="G19" s="49"/>
      <c r="H19" s="17">
        <v>1</v>
      </c>
      <c r="I19" s="18" t="s">
        <v>48</v>
      </c>
      <c r="J19" s="19"/>
      <c r="K19" s="17">
        <v>1</v>
      </c>
      <c r="L19" s="18" t="s">
        <v>48</v>
      </c>
      <c r="M19" s="26">
        <v>2000000</v>
      </c>
      <c r="N19" s="17">
        <v>0</v>
      </c>
      <c r="O19" s="18" t="s">
        <v>48</v>
      </c>
      <c r="P19" s="26">
        <v>0</v>
      </c>
      <c r="Q19" s="17">
        <v>0</v>
      </c>
      <c r="R19" s="18" t="s">
        <v>48</v>
      </c>
      <c r="S19" s="26">
        <v>0</v>
      </c>
      <c r="T19" s="17">
        <v>0</v>
      </c>
      <c r="U19" s="18" t="s">
        <v>48</v>
      </c>
      <c r="V19" s="26">
        <v>0</v>
      </c>
      <c r="W19" s="17">
        <v>1</v>
      </c>
      <c r="X19" s="18" t="s">
        <v>48</v>
      </c>
      <c r="Y19" s="26">
        <v>2000000</v>
      </c>
      <c r="Z19" s="69">
        <f t="shared" si="1"/>
        <v>1</v>
      </c>
      <c r="AA19" s="102" t="str">
        <f t="shared" si="2"/>
        <v>Dok</v>
      </c>
      <c r="AB19" s="69">
        <f t="shared" si="3"/>
        <v>100</v>
      </c>
      <c r="AC19" s="33" t="s">
        <v>127</v>
      </c>
      <c r="AD19" s="39">
        <f t="shared" si="4"/>
        <v>2000000</v>
      </c>
      <c r="AE19" s="63">
        <f t="shared" si="5"/>
        <v>100</v>
      </c>
      <c r="AF19" s="33" t="s">
        <v>127</v>
      </c>
      <c r="AG19" s="69">
        <f t="shared" si="6"/>
        <v>2</v>
      </c>
      <c r="AH19" s="102" t="str">
        <f t="shared" si="7"/>
        <v>Dok</v>
      </c>
      <c r="AI19" s="39">
        <f t="shared" si="8"/>
        <v>2000000</v>
      </c>
      <c r="AJ19" s="63"/>
      <c r="AK19" s="33" t="s">
        <v>127</v>
      </c>
      <c r="AL19" s="63"/>
      <c r="AM19" s="11"/>
      <c r="AP19" s="22">
        <f t="shared" si="0"/>
        <v>2000000</v>
      </c>
    </row>
    <row r="20" spans="1:42" ht="79.5" customHeight="1" x14ac:dyDescent="0.2">
      <c r="A20" s="83"/>
      <c r="B20" s="15"/>
      <c r="C20" s="27" t="s">
        <v>76</v>
      </c>
      <c r="D20" s="23" t="s">
        <v>119</v>
      </c>
      <c r="E20" s="17">
        <f>12*3</f>
        <v>36</v>
      </c>
      <c r="F20" s="18" t="s">
        <v>48</v>
      </c>
      <c r="G20" s="49"/>
      <c r="H20" s="17">
        <v>12</v>
      </c>
      <c r="I20" s="18" t="s">
        <v>48</v>
      </c>
      <c r="J20" s="19"/>
      <c r="K20" s="17">
        <v>12</v>
      </c>
      <c r="L20" s="18" t="s">
        <v>48</v>
      </c>
      <c r="M20" s="20">
        <v>1500000</v>
      </c>
      <c r="N20" s="17">
        <v>3</v>
      </c>
      <c r="O20" s="18" t="s">
        <v>48</v>
      </c>
      <c r="P20" s="20">
        <v>0</v>
      </c>
      <c r="Q20" s="17">
        <v>3</v>
      </c>
      <c r="R20" s="18" t="s">
        <v>48</v>
      </c>
      <c r="S20" s="20">
        <v>0</v>
      </c>
      <c r="T20" s="17">
        <v>3</v>
      </c>
      <c r="U20" s="18" t="s">
        <v>48</v>
      </c>
      <c r="V20" s="20">
        <v>60000</v>
      </c>
      <c r="W20" s="17">
        <v>3</v>
      </c>
      <c r="X20" s="18" t="s">
        <v>48</v>
      </c>
      <c r="Y20" s="20">
        <v>1440000</v>
      </c>
      <c r="Z20" s="69">
        <f t="shared" si="1"/>
        <v>12</v>
      </c>
      <c r="AA20" s="102" t="str">
        <f t="shared" si="2"/>
        <v>Dok</v>
      </c>
      <c r="AB20" s="69">
        <f t="shared" si="3"/>
        <v>100</v>
      </c>
      <c r="AC20" s="33" t="s">
        <v>127</v>
      </c>
      <c r="AD20" s="39">
        <f t="shared" si="4"/>
        <v>1500000</v>
      </c>
      <c r="AE20" s="63">
        <f t="shared" si="5"/>
        <v>100</v>
      </c>
      <c r="AF20" s="33" t="s">
        <v>127</v>
      </c>
      <c r="AG20" s="69">
        <f t="shared" si="6"/>
        <v>24</v>
      </c>
      <c r="AH20" s="102" t="str">
        <f t="shared" si="7"/>
        <v>Dok</v>
      </c>
      <c r="AI20" s="39">
        <f t="shared" si="8"/>
        <v>1500000</v>
      </c>
      <c r="AJ20" s="63"/>
      <c r="AK20" s="33" t="s">
        <v>127</v>
      </c>
      <c r="AL20" s="63"/>
      <c r="AM20" s="11"/>
      <c r="AP20" s="22">
        <f t="shared" si="0"/>
        <v>1500000</v>
      </c>
    </row>
    <row r="21" spans="1:42" ht="72" customHeight="1" x14ac:dyDescent="0.2">
      <c r="A21" s="13"/>
      <c r="B21" s="14"/>
      <c r="C21" s="27" t="s">
        <v>77</v>
      </c>
      <c r="D21" s="23" t="s">
        <v>119</v>
      </c>
      <c r="E21" s="17">
        <f>1*3</f>
        <v>3</v>
      </c>
      <c r="F21" s="18" t="s">
        <v>48</v>
      </c>
      <c r="G21" s="49"/>
      <c r="H21" s="17">
        <v>1</v>
      </c>
      <c r="I21" s="18" t="s">
        <v>48</v>
      </c>
      <c r="J21" s="19"/>
      <c r="K21" s="17">
        <v>1</v>
      </c>
      <c r="L21" s="18" t="s">
        <v>48</v>
      </c>
      <c r="M21" s="20">
        <v>1500000</v>
      </c>
      <c r="N21" s="17">
        <v>0</v>
      </c>
      <c r="O21" s="18" t="s">
        <v>48</v>
      </c>
      <c r="P21" s="20">
        <v>0</v>
      </c>
      <c r="Q21" s="17">
        <v>1</v>
      </c>
      <c r="R21" s="18" t="s">
        <v>48</v>
      </c>
      <c r="S21" s="20">
        <v>0</v>
      </c>
      <c r="T21" s="17">
        <v>0</v>
      </c>
      <c r="U21" s="18" t="s">
        <v>48</v>
      </c>
      <c r="V21" s="20">
        <v>545000</v>
      </c>
      <c r="W21" s="17">
        <v>0</v>
      </c>
      <c r="X21" s="18" t="s">
        <v>48</v>
      </c>
      <c r="Y21" s="20">
        <v>940000</v>
      </c>
      <c r="Z21" s="69">
        <f t="shared" si="1"/>
        <v>1</v>
      </c>
      <c r="AA21" s="102" t="str">
        <f t="shared" si="2"/>
        <v>Dok</v>
      </c>
      <c r="AB21" s="69">
        <f t="shared" si="3"/>
        <v>100</v>
      </c>
      <c r="AC21" s="33" t="s">
        <v>127</v>
      </c>
      <c r="AD21" s="39">
        <f t="shared" si="4"/>
        <v>1485000</v>
      </c>
      <c r="AE21" s="63">
        <f t="shared" si="5"/>
        <v>99</v>
      </c>
      <c r="AF21" s="33" t="s">
        <v>127</v>
      </c>
      <c r="AG21" s="69">
        <f t="shared" si="6"/>
        <v>2</v>
      </c>
      <c r="AH21" s="102" t="str">
        <f t="shared" si="7"/>
        <v>Dok</v>
      </c>
      <c r="AI21" s="39">
        <f t="shared" si="8"/>
        <v>1485000</v>
      </c>
      <c r="AJ21" s="63"/>
      <c r="AK21" s="33" t="s">
        <v>127</v>
      </c>
      <c r="AL21" s="63"/>
      <c r="AM21" s="11"/>
      <c r="AP21" s="22">
        <f t="shared" si="0"/>
        <v>1485000</v>
      </c>
    </row>
    <row r="22" spans="1:42" ht="78.75" x14ac:dyDescent="0.25">
      <c r="A22" s="13"/>
      <c r="B22" s="14"/>
      <c r="C22" s="15" t="s">
        <v>78</v>
      </c>
      <c r="D22" s="16" t="s">
        <v>132</v>
      </c>
      <c r="E22" s="94">
        <v>1</v>
      </c>
      <c r="F22" s="57" t="s">
        <v>48</v>
      </c>
      <c r="G22" s="49"/>
      <c r="H22" s="94">
        <v>1</v>
      </c>
      <c r="I22" s="57" t="s">
        <v>48</v>
      </c>
      <c r="J22" s="19"/>
      <c r="K22" s="94">
        <v>1</v>
      </c>
      <c r="L22" s="57" t="s">
        <v>48</v>
      </c>
      <c r="M22" s="41">
        <f>SUM(M23:M28)</f>
        <v>435309100</v>
      </c>
      <c r="N22" s="94">
        <v>0</v>
      </c>
      <c r="O22" s="57" t="s">
        <v>48</v>
      </c>
      <c r="P22" s="41">
        <f>SUM(P23:P28)</f>
        <v>0</v>
      </c>
      <c r="Q22" s="94">
        <v>0</v>
      </c>
      <c r="R22" s="57" t="s">
        <v>48</v>
      </c>
      <c r="S22" s="41">
        <f>SUM(S23:S28)</f>
        <v>111250500</v>
      </c>
      <c r="T22" s="94">
        <v>0</v>
      </c>
      <c r="U22" s="57" t="s">
        <v>48</v>
      </c>
      <c r="V22" s="41">
        <f>SUM(V23:V28)</f>
        <v>77644204</v>
      </c>
      <c r="W22" s="94">
        <v>1</v>
      </c>
      <c r="X22" s="57" t="s">
        <v>48</v>
      </c>
      <c r="Y22" s="41">
        <f>SUM(Y23:Y28)</f>
        <v>215716650</v>
      </c>
      <c r="Z22" s="68">
        <f t="shared" si="1"/>
        <v>1</v>
      </c>
      <c r="AA22" s="101" t="str">
        <f t="shared" si="2"/>
        <v>Dok</v>
      </c>
      <c r="AB22" s="68">
        <f t="shared" si="3"/>
        <v>100</v>
      </c>
      <c r="AC22" s="66" t="s">
        <v>127</v>
      </c>
      <c r="AD22" s="65">
        <f t="shared" si="4"/>
        <v>404611354</v>
      </c>
      <c r="AE22" s="64">
        <f t="shared" si="5"/>
        <v>92.948057828333944</v>
      </c>
      <c r="AF22" s="66" t="s">
        <v>127</v>
      </c>
      <c r="AG22" s="68">
        <f t="shared" si="6"/>
        <v>2</v>
      </c>
      <c r="AH22" s="101" t="str">
        <f t="shared" si="7"/>
        <v>Dok</v>
      </c>
      <c r="AI22" s="65">
        <f t="shared" si="8"/>
        <v>404611354</v>
      </c>
      <c r="AJ22" s="64"/>
      <c r="AK22" s="66" t="s">
        <v>127</v>
      </c>
      <c r="AL22" s="64"/>
      <c r="AM22" s="113"/>
      <c r="AP22" s="22"/>
    </row>
    <row r="23" spans="1:42" ht="72.75" customHeight="1" x14ac:dyDescent="0.2">
      <c r="A23" s="13"/>
      <c r="B23" s="14"/>
      <c r="C23" s="23" t="s">
        <v>79</v>
      </c>
      <c r="D23" s="23" t="s">
        <v>120</v>
      </c>
      <c r="E23" s="42">
        <f t="shared" ref="E23:E28" si="9">12*3</f>
        <v>36</v>
      </c>
      <c r="F23" s="24" t="s">
        <v>49</v>
      </c>
      <c r="G23" s="49"/>
      <c r="H23" s="42">
        <v>12</v>
      </c>
      <c r="I23" s="24" t="s">
        <v>49</v>
      </c>
      <c r="J23" s="19"/>
      <c r="K23" s="42">
        <v>12</v>
      </c>
      <c r="L23" s="24" t="s">
        <v>49</v>
      </c>
      <c r="M23" s="20">
        <v>5725000</v>
      </c>
      <c r="N23" s="42">
        <v>3</v>
      </c>
      <c r="O23" s="24" t="s">
        <v>49</v>
      </c>
      <c r="P23" s="20">
        <v>0</v>
      </c>
      <c r="Q23" s="42">
        <v>3</v>
      </c>
      <c r="R23" s="24" t="s">
        <v>49</v>
      </c>
      <c r="S23" s="20">
        <v>1745000</v>
      </c>
      <c r="T23" s="42">
        <v>3</v>
      </c>
      <c r="U23" s="24" t="s">
        <v>49</v>
      </c>
      <c r="V23" s="20">
        <v>0</v>
      </c>
      <c r="W23" s="42">
        <v>3</v>
      </c>
      <c r="X23" s="24" t="s">
        <v>49</v>
      </c>
      <c r="Y23" s="20">
        <v>3980000</v>
      </c>
      <c r="Z23" s="69">
        <f t="shared" si="1"/>
        <v>12</v>
      </c>
      <c r="AA23" s="102" t="str">
        <f t="shared" si="2"/>
        <v>Bln</v>
      </c>
      <c r="AB23" s="69">
        <f t="shared" si="3"/>
        <v>100</v>
      </c>
      <c r="AC23" s="33" t="s">
        <v>127</v>
      </c>
      <c r="AD23" s="39">
        <f t="shared" si="4"/>
        <v>5725000</v>
      </c>
      <c r="AE23" s="63">
        <f t="shared" si="5"/>
        <v>100</v>
      </c>
      <c r="AF23" s="33" t="s">
        <v>127</v>
      </c>
      <c r="AG23" s="69">
        <f t="shared" si="6"/>
        <v>24</v>
      </c>
      <c r="AH23" s="102" t="str">
        <f t="shared" si="7"/>
        <v>Bln</v>
      </c>
      <c r="AI23" s="39">
        <f t="shared" si="8"/>
        <v>5725000</v>
      </c>
      <c r="AJ23" s="63"/>
      <c r="AK23" s="33" t="s">
        <v>127</v>
      </c>
      <c r="AL23" s="63"/>
      <c r="AM23" s="11"/>
      <c r="AP23" s="22"/>
    </row>
    <row r="24" spans="1:42" ht="69" customHeight="1" x14ac:dyDescent="0.2">
      <c r="A24" s="13"/>
      <c r="B24" s="14"/>
      <c r="C24" s="23" t="s">
        <v>80</v>
      </c>
      <c r="D24" s="23" t="s">
        <v>120</v>
      </c>
      <c r="E24" s="42">
        <f t="shared" si="9"/>
        <v>36</v>
      </c>
      <c r="F24" s="24" t="s">
        <v>49</v>
      </c>
      <c r="G24" s="41"/>
      <c r="H24" s="42">
        <v>12</v>
      </c>
      <c r="I24" s="24" t="s">
        <v>49</v>
      </c>
      <c r="J24" s="41"/>
      <c r="K24" s="42">
        <v>12</v>
      </c>
      <c r="L24" s="24" t="s">
        <v>49</v>
      </c>
      <c r="M24" s="20">
        <v>59383500</v>
      </c>
      <c r="N24" s="42">
        <v>3</v>
      </c>
      <c r="O24" s="24" t="s">
        <v>49</v>
      </c>
      <c r="P24" s="20">
        <v>0</v>
      </c>
      <c r="Q24" s="42">
        <v>3</v>
      </c>
      <c r="R24" s="24" t="s">
        <v>49</v>
      </c>
      <c r="S24" s="20">
        <v>53449000</v>
      </c>
      <c r="T24" s="42">
        <v>3</v>
      </c>
      <c r="U24" s="24" t="s">
        <v>49</v>
      </c>
      <c r="V24" s="20">
        <v>0</v>
      </c>
      <c r="W24" s="42">
        <v>3</v>
      </c>
      <c r="X24" s="24" t="s">
        <v>49</v>
      </c>
      <c r="Y24" s="20">
        <v>5814000</v>
      </c>
      <c r="Z24" s="69">
        <f t="shared" si="1"/>
        <v>12</v>
      </c>
      <c r="AA24" s="102" t="str">
        <f t="shared" si="2"/>
        <v>Bln</v>
      </c>
      <c r="AB24" s="69">
        <f t="shared" si="3"/>
        <v>100</v>
      </c>
      <c r="AC24" s="33" t="s">
        <v>127</v>
      </c>
      <c r="AD24" s="39">
        <f t="shared" si="4"/>
        <v>59263000</v>
      </c>
      <c r="AE24" s="63">
        <f t="shared" si="5"/>
        <v>99.797081680938305</v>
      </c>
      <c r="AF24" s="33" t="s">
        <v>127</v>
      </c>
      <c r="AG24" s="69">
        <f t="shared" si="6"/>
        <v>24</v>
      </c>
      <c r="AH24" s="102" t="str">
        <f t="shared" si="7"/>
        <v>Bln</v>
      </c>
      <c r="AI24" s="39">
        <f t="shared" si="8"/>
        <v>59263000</v>
      </c>
      <c r="AJ24" s="33"/>
      <c r="AK24" s="33" t="s">
        <v>127</v>
      </c>
      <c r="AL24" s="63"/>
      <c r="AM24" s="11"/>
      <c r="AP24" s="22"/>
    </row>
    <row r="25" spans="1:42" ht="49.5" customHeight="1" x14ac:dyDescent="0.2">
      <c r="A25" s="13"/>
      <c r="B25" s="14"/>
      <c r="C25" s="23" t="s">
        <v>81</v>
      </c>
      <c r="D25" s="23" t="s">
        <v>118</v>
      </c>
      <c r="E25" s="42">
        <f t="shared" si="9"/>
        <v>36</v>
      </c>
      <c r="F25" s="24" t="s">
        <v>49</v>
      </c>
      <c r="G25" s="59"/>
      <c r="H25" s="42">
        <v>12</v>
      </c>
      <c r="I25" s="24" t="s">
        <v>49</v>
      </c>
      <c r="J25" s="19"/>
      <c r="K25" s="42">
        <v>12</v>
      </c>
      <c r="L25" s="24" t="s">
        <v>49</v>
      </c>
      <c r="M25" s="20">
        <v>36420000</v>
      </c>
      <c r="N25" s="42">
        <v>3</v>
      </c>
      <c r="O25" s="24" t="s">
        <v>49</v>
      </c>
      <c r="P25" s="20">
        <v>0</v>
      </c>
      <c r="Q25" s="42">
        <v>3</v>
      </c>
      <c r="R25" s="24" t="s">
        <v>49</v>
      </c>
      <c r="S25" s="20">
        <v>7560000</v>
      </c>
      <c r="T25" s="42">
        <v>3</v>
      </c>
      <c r="U25" s="24" t="s">
        <v>49</v>
      </c>
      <c r="V25" s="20">
        <v>4044000</v>
      </c>
      <c r="W25" s="42">
        <v>3</v>
      </c>
      <c r="X25" s="24" t="s">
        <v>49</v>
      </c>
      <c r="Y25" s="20">
        <v>10867500</v>
      </c>
      <c r="Z25" s="69">
        <f t="shared" si="1"/>
        <v>12</v>
      </c>
      <c r="AA25" s="102" t="str">
        <f t="shared" si="2"/>
        <v>Bln</v>
      </c>
      <c r="AB25" s="69">
        <f t="shared" si="3"/>
        <v>100</v>
      </c>
      <c r="AC25" s="33" t="s">
        <v>127</v>
      </c>
      <c r="AD25" s="39">
        <f t="shared" si="4"/>
        <v>22471500</v>
      </c>
      <c r="AE25" s="63">
        <f t="shared" si="5"/>
        <v>61.700988467874794</v>
      </c>
      <c r="AF25" s="33" t="s">
        <v>127</v>
      </c>
      <c r="AG25" s="69">
        <f t="shared" si="6"/>
        <v>24</v>
      </c>
      <c r="AH25" s="102" t="str">
        <f t="shared" si="7"/>
        <v>Bln</v>
      </c>
      <c r="AI25" s="39">
        <f t="shared" si="8"/>
        <v>22471500</v>
      </c>
      <c r="AJ25" s="63"/>
      <c r="AK25" s="33" t="s">
        <v>127</v>
      </c>
      <c r="AL25" s="63"/>
      <c r="AM25" s="11"/>
      <c r="AP25" s="22"/>
    </row>
    <row r="26" spans="1:42" ht="48" customHeight="1" x14ac:dyDescent="0.2">
      <c r="A26" s="13"/>
      <c r="B26" s="14"/>
      <c r="C26" s="23" t="s">
        <v>82</v>
      </c>
      <c r="D26" s="27" t="s">
        <v>118</v>
      </c>
      <c r="E26" s="42">
        <f t="shared" si="9"/>
        <v>36</v>
      </c>
      <c r="F26" s="24" t="s">
        <v>49</v>
      </c>
      <c r="G26" s="49"/>
      <c r="H26" s="42">
        <v>12</v>
      </c>
      <c r="I26" s="24" t="s">
        <v>49</v>
      </c>
      <c r="J26" s="19"/>
      <c r="K26" s="42">
        <v>12</v>
      </c>
      <c r="L26" s="24" t="s">
        <v>49</v>
      </c>
      <c r="M26" s="20">
        <v>147605000</v>
      </c>
      <c r="N26" s="42">
        <v>3</v>
      </c>
      <c r="O26" s="24" t="s">
        <v>49</v>
      </c>
      <c r="P26" s="20">
        <v>0</v>
      </c>
      <c r="Q26" s="42">
        <v>3</v>
      </c>
      <c r="R26" s="24" t="s">
        <v>49</v>
      </c>
      <c r="S26" s="20">
        <v>12862500</v>
      </c>
      <c r="T26" s="42">
        <v>3</v>
      </c>
      <c r="U26" s="24" t="s">
        <v>49</v>
      </c>
      <c r="V26" s="20">
        <v>8585000</v>
      </c>
      <c r="W26" s="42">
        <v>3</v>
      </c>
      <c r="X26" s="24" t="s">
        <v>49</v>
      </c>
      <c r="Y26" s="20">
        <v>110877950</v>
      </c>
      <c r="Z26" s="69">
        <f t="shared" si="1"/>
        <v>12</v>
      </c>
      <c r="AA26" s="102" t="str">
        <f t="shared" si="2"/>
        <v>Bln</v>
      </c>
      <c r="AB26" s="69">
        <f t="shared" si="3"/>
        <v>100</v>
      </c>
      <c r="AC26" s="33" t="s">
        <v>127</v>
      </c>
      <c r="AD26" s="39">
        <f t="shared" si="4"/>
        <v>132325450</v>
      </c>
      <c r="AE26" s="63">
        <f t="shared" si="5"/>
        <v>89.64835202059551</v>
      </c>
      <c r="AF26" s="33" t="s">
        <v>127</v>
      </c>
      <c r="AG26" s="69">
        <f t="shared" si="6"/>
        <v>24</v>
      </c>
      <c r="AH26" s="102" t="str">
        <f t="shared" si="7"/>
        <v>Bln</v>
      </c>
      <c r="AI26" s="39">
        <f t="shared" si="8"/>
        <v>132325450</v>
      </c>
      <c r="AJ26" s="63"/>
      <c r="AK26" s="33" t="s">
        <v>127</v>
      </c>
      <c r="AL26" s="63"/>
      <c r="AM26" s="11"/>
      <c r="AP26" s="22"/>
    </row>
    <row r="27" spans="1:42" ht="68.25" customHeight="1" x14ac:dyDescent="0.2">
      <c r="A27" s="13"/>
      <c r="B27" s="14"/>
      <c r="C27" s="23" t="s">
        <v>83</v>
      </c>
      <c r="D27" s="27" t="s">
        <v>118</v>
      </c>
      <c r="E27" s="42">
        <f t="shared" si="9"/>
        <v>36</v>
      </c>
      <c r="F27" s="24" t="s">
        <v>49</v>
      </c>
      <c r="G27" s="49"/>
      <c r="H27" s="42">
        <v>12</v>
      </c>
      <c r="I27" s="24" t="s">
        <v>49</v>
      </c>
      <c r="J27" s="19"/>
      <c r="K27" s="42">
        <v>12</v>
      </c>
      <c r="L27" s="24" t="s">
        <v>49</v>
      </c>
      <c r="M27" s="20">
        <v>2890000</v>
      </c>
      <c r="N27" s="42">
        <v>3</v>
      </c>
      <c r="O27" s="24" t="s">
        <v>49</v>
      </c>
      <c r="P27" s="20">
        <v>0</v>
      </c>
      <c r="Q27" s="42">
        <v>3</v>
      </c>
      <c r="R27" s="24" t="s">
        <v>49</v>
      </c>
      <c r="S27" s="20">
        <v>1070000</v>
      </c>
      <c r="T27" s="42">
        <v>3</v>
      </c>
      <c r="U27" s="24" t="s">
        <v>49</v>
      </c>
      <c r="V27" s="20">
        <v>615000</v>
      </c>
      <c r="W27" s="42">
        <v>3</v>
      </c>
      <c r="X27" s="24" t="s">
        <v>49</v>
      </c>
      <c r="Y27" s="20">
        <v>1025000</v>
      </c>
      <c r="Z27" s="69">
        <f t="shared" si="1"/>
        <v>12</v>
      </c>
      <c r="AA27" s="102" t="str">
        <f t="shared" si="2"/>
        <v>Bln</v>
      </c>
      <c r="AB27" s="69">
        <f t="shared" si="3"/>
        <v>100</v>
      </c>
      <c r="AC27" s="33" t="s">
        <v>127</v>
      </c>
      <c r="AD27" s="39">
        <f t="shared" si="4"/>
        <v>2710000</v>
      </c>
      <c r="AE27" s="63">
        <f t="shared" si="5"/>
        <v>93.771626297577853</v>
      </c>
      <c r="AF27" s="33" t="s">
        <v>127</v>
      </c>
      <c r="AG27" s="69">
        <f t="shared" si="6"/>
        <v>24</v>
      </c>
      <c r="AH27" s="102" t="str">
        <f t="shared" si="7"/>
        <v>Bln</v>
      </c>
      <c r="AI27" s="39">
        <f t="shared" si="8"/>
        <v>2710000</v>
      </c>
      <c r="AJ27" s="63"/>
      <c r="AK27" s="33" t="s">
        <v>127</v>
      </c>
      <c r="AL27" s="63"/>
      <c r="AM27" s="11"/>
      <c r="AP27" s="22"/>
    </row>
    <row r="28" spans="1:42" ht="53.25" customHeight="1" x14ac:dyDescent="0.2">
      <c r="A28" s="13"/>
      <c r="B28" s="14"/>
      <c r="C28" s="23" t="s">
        <v>84</v>
      </c>
      <c r="D28" s="27" t="s">
        <v>118</v>
      </c>
      <c r="E28" s="42">
        <f t="shared" si="9"/>
        <v>36</v>
      </c>
      <c r="F28" s="24" t="s">
        <v>49</v>
      </c>
      <c r="G28" s="49"/>
      <c r="H28" s="42">
        <v>12</v>
      </c>
      <c r="I28" s="24" t="s">
        <v>49</v>
      </c>
      <c r="J28" s="19"/>
      <c r="K28" s="42">
        <v>12</v>
      </c>
      <c r="L28" s="24" t="s">
        <v>49</v>
      </c>
      <c r="M28" s="20">
        <v>183285600</v>
      </c>
      <c r="N28" s="42">
        <v>3</v>
      </c>
      <c r="O28" s="24" t="s">
        <v>49</v>
      </c>
      <c r="P28" s="20">
        <v>0</v>
      </c>
      <c r="Q28" s="42">
        <v>3</v>
      </c>
      <c r="R28" s="24" t="s">
        <v>49</v>
      </c>
      <c r="S28" s="20">
        <v>34564000</v>
      </c>
      <c r="T28" s="42">
        <v>3</v>
      </c>
      <c r="U28" s="24" t="s">
        <v>49</v>
      </c>
      <c r="V28" s="20">
        <v>64400204</v>
      </c>
      <c r="W28" s="42">
        <v>3</v>
      </c>
      <c r="X28" s="24" t="s">
        <v>49</v>
      </c>
      <c r="Y28" s="20">
        <v>83152200</v>
      </c>
      <c r="Z28" s="69">
        <f t="shared" si="1"/>
        <v>12</v>
      </c>
      <c r="AA28" s="102" t="str">
        <f t="shared" si="2"/>
        <v>Bln</v>
      </c>
      <c r="AB28" s="69">
        <f t="shared" si="3"/>
        <v>100</v>
      </c>
      <c r="AC28" s="33" t="s">
        <v>127</v>
      </c>
      <c r="AD28" s="39">
        <f t="shared" si="4"/>
        <v>182116404</v>
      </c>
      <c r="AE28" s="63">
        <f t="shared" si="5"/>
        <v>99.362090638871791</v>
      </c>
      <c r="AF28" s="33" t="s">
        <v>127</v>
      </c>
      <c r="AG28" s="69">
        <f t="shared" si="6"/>
        <v>24</v>
      </c>
      <c r="AH28" s="102" t="str">
        <f t="shared" si="7"/>
        <v>Bln</v>
      </c>
      <c r="AI28" s="39">
        <f t="shared" si="8"/>
        <v>182116404</v>
      </c>
      <c r="AJ28" s="63"/>
      <c r="AK28" s="33" t="s">
        <v>127</v>
      </c>
      <c r="AL28" s="63"/>
      <c r="AM28" s="11"/>
      <c r="AP28" s="22"/>
    </row>
    <row r="29" spans="1:42" ht="78.75" x14ac:dyDescent="0.2">
      <c r="A29" s="13"/>
      <c r="B29" s="14"/>
      <c r="C29" s="15" t="s">
        <v>85</v>
      </c>
      <c r="D29" s="16" t="s">
        <v>133</v>
      </c>
      <c r="E29" s="94">
        <v>100</v>
      </c>
      <c r="F29" s="57" t="s">
        <v>127</v>
      </c>
      <c r="G29" s="41"/>
      <c r="H29" s="94">
        <v>100</v>
      </c>
      <c r="I29" s="57" t="s">
        <v>127</v>
      </c>
      <c r="J29" s="41"/>
      <c r="K29" s="94">
        <v>100</v>
      </c>
      <c r="L29" s="57" t="s">
        <v>127</v>
      </c>
      <c r="M29" s="41">
        <f>M30</f>
        <v>220430000</v>
      </c>
      <c r="N29" s="94">
        <v>25</v>
      </c>
      <c r="O29" s="57" t="s">
        <v>127</v>
      </c>
      <c r="P29" s="41">
        <f>P30</f>
        <v>0</v>
      </c>
      <c r="Q29" s="94">
        <v>25</v>
      </c>
      <c r="R29" s="57" t="s">
        <v>127</v>
      </c>
      <c r="S29" s="41">
        <f>S30</f>
        <v>112448500</v>
      </c>
      <c r="T29" s="94">
        <v>25</v>
      </c>
      <c r="U29" s="57" t="s">
        <v>127</v>
      </c>
      <c r="V29" s="41">
        <f>V30</f>
        <v>0</v>
      </c>
      <c r="W29" s="94">
        <v>25</v>
      </c>
      <c r="X29" s="57" t="s">
        <v>127</v>
      </c>
      <c r="Y29" s="41">
        <f>Y30</f>
        <v>90503000</v>
      </c>
      <c r="Z29" s="68">
        <f t="shared" si="1"/>
        <v>100</v>
      </c>
      <c r="AA29" s="101" t="str">
        <f t="shared" si="2"/>
        <v>%</v>
      </c>
      <c r="AB29" s="68">
        <f t="shared" si="3"/>
        <v>100</v>
      </c>
      <c r="AC29" s="66" t="s">
        <v>127</v>
      </c>
      <c r="AD29" s="65">
        <f t="shared" si="4"/>
        <v>202951500</v>
      </c>
      <c r="AE29" s="64">
        <f t="shared" si="5"/>
        <v>92.070725400353865</v>
      </c>
      <c r="AF29" s="66" t="s">
        <v>127</v>
      </c>
      <c r="AG29" s="68">
        <f t="shared" si="6"/>
        <v>200</v>
      </c>
      <c r="AH29" s="101" t="str">
        <f t="shared" si="7"/>
        <v>%</v>
      </c>
      <c r="AI29" s="65">
        <f t="shared" si="8"/>
        <v>202951500</v>
      </c>
      <c r="AJ29" s="66"/>
      <c r="AK29" s="66" t="s">
        <v>127</v>
      </c>
      <c r="AL29" s="64"/>
      <c r="AM29" s="11"/>
      <c r="AP29" s="22"/>
    </row>
    <row r="30" spans="1:42" ht="72" customHeight="1" x14ac:dyDescent="0.2">
      <c r="A30" s="13"/>
      <c r="B30" s="14"/>
      <c r="C30" s="86" t="s">
        <v>86</v>
      </c>
      <c r="D30" s="23" t="s">
        <v>120</v>
      </c>
      <c r="E30" s="42">
        <f>12*3</f>
        <v>36</v>
      </c>
      <c r="F30" s="24" t="s">
        <v>49</v>
      </c>
      <c r="G30" s="41"/>
      <c r="H30" s="42">
        <v>12</v>
      </c>
      <c r="I30" s="24" t="s">
        <v>49</v>
      </c>
      <c r="J30" s="41"/>
      <c r="K30" s="42">
        <v>12</v>
      </c>
      <c r="L30" s="24" t="s">
        <v>49</v>
      </c>
      <c r="M30" s="20">
        <v>220430000</v>
      </c>
      <c r="N30" s="42">
        <v>3</v>
      </c>
      <c r="O30" s="24" t="s">
        <v>49</v>
      </c>
      <c r="P30" s="20">
        <v>0</v>
      </c>
      <c r="Q30" s="42">
        <v>3</v>
      </c>
      <c r="R30" s="24" t="s">
        <v>49</v>
      </c>
      <c r="S30" s="20">
        <v>112448500</v>
      </c>
      <c r="T30" s="42">
        <v>3</v>
      </c>
      <c r="U30" s="24" t="s">
        <v>49</v>
      </c>
      <c r="V30" s="20">
        <v>0</v>
      </c>
      <c r="W30" s="42">
        <v>3</v>
      </c>
      <c r="X30" s="24" t="s">
        <v>49</v>
      </c>
      <c r="Y30" s="20">
        <v>90503000</v>
      </c>
      <c r="Z30" s="69">
        <f t="shared" si="1"/>
        <v>12</v>
      </c>
      <c r="AA30" s="102" t="str">
        <f t="shared" si="2"/>
        <v>Bln</v>
      </c>
      <c r="AB30" s="69">
        <f t="shared" si="3"/>
        <v>100</v>
      </c>
      <c r="AC30" s="33" t="s">
        <v>127</v>
      </c>
      <c r="AD30" s="39">
        <f t="shared" si="4"/>
        <v>202951500</v>
      </c>
      <c r="AE30" s="63">
        <f t="shared" si="5"/>
        <v>92.070725400353865</v>
      </c>
      <c r="AF30" s="33" t="s">
        <v>127</v>
      </c>
      <c r="AG30" s="69">
        <f t="shared" si="6"/>
        <v>24</v>
      </c>
      <c r="AH30" s="102" t="str">
        <f t="shared" si="7"/>
        <v>Bln</v>
      </c>
      <c r="AI30" s="39">
        <f t="shared" si="8"/>
        <v>202951500</v>
      </c>
      <c r="AJ30" s="33"/>
      <c r="AK30" s="33" t="s">
        <v>127</v>
      </c>
      <c r="AL30" s="63"/>
      <c r="AM30" s="11"/>
      <c r="AP30" s="22"/>
    </row>
    <row r="31" spans="1:42" ht="90.75" customHeight="1" x14ac:dyDescent="0.2">
      <c r="A31" s="13"/>
      <c r="B31" s="14"/>
      <c r="C31" s="93" t="s">
        <v>87</v>
      </c>
      <c r="D31" s="16" t="s">
        <v>133</v>
      </c>
      <c r="E31" s="94">
        <v>100</v>
      </c>
      <c r="F31" s="57" t="s">
        <v>127</v>
      </c>
      <c r="G31" s="41"/>
      <c r="H31" s="94">
        <v>100</v>
      </c>
      <c r="I31" s="57" t="s">
        <v>127</v>
      </c>
      <c r="J31" s="41"/>
      <c r="K31" s="94">
        <v>100</v>
      </c>
      <c r="L31" s="57" t="s">
        <v>127</v>
      </c>
      <c r="M31" s="41">
        <f>SUM(M32:M33)</f>
        <v>173984000</v>
      </c>
      <c r="N31" s="94">
        <v>25</v>
      </c>
      <c r="O31" s="57" t="s">
        <v>127</v>
      </c>
      <c r="P31" s="41">
        <f>SUM(P32:P33)</f>
        <v>13036463</v>
      </c>
      <c r="Q31" s="94">
        <v>25</v>
      </c>
      <c r="R31" s="57" t="s">
        <v>127</v>
      </c>
      <c r="S31" s="41">
        <f>SUM(S32:S33)</f>
        <v>41937886</v>
      </c>
      <c r="T31" s="94">
        <v>25</v>
      </c>
      <c r="U31" s="57" t="s">
        <v>127</v>
      </c>
      <c r="V31" s="41">
        <f>SUM(V32:V33)</f>
        <v>49359112</v>
      </c>
      <c r="W31" s="94">
        <v>25</v>
      </c>
      <c r="X31" s="57" t="s">
        <v>127</v>
      </c>
      <c r="Y31" s="41">
        <f>SUM(Y32:Y33)</f>
        <v>51099791</v>
      </c>
      <c r="Z31" s="68">
        <f t="shared" si="1"/>
        <v>100</v>
      </c>
      <c r="AA31" s="101" t="str">
        <f t="shared" si="2"/>
        <v>%</v>
      </c>
      <c r="AB31" s="68">
        <f t="shared" si="3"/>
        <v>100</v>
      </c>
      <c r="AC31" s="66" t="s">
        <v>127</v>
      </c>
      <c r="AD31" s="65">
        <f t="shared" si="4"/>
        <v>155433252</v>
      </c>
      <c r="AE31" s="64">
        <f t="shared" si="5"/>
        <v>89.337670130586716</v>
      </c>
      <c r="AF31" s="66" t="s">
        <v>127</v>
      </c>
      <c r="AG31" s="68">
        <f t="shared" si="6"/>
        <v>200</v>
      </c>
      <c r="AH31" s="101" t="str">
        <f t="shared" si="7"/>
        <v>%</v>
      </c>
      <c r="AI31" s="65">
        <f t="shared" si="8"/>
        <v>155433252</v>
      </c>
      <c r="AJ31" s="66"/>
      <c r="AK31" s="66" t="s">
        <v>127</v>
      </c>
      <c r="AL31" s="64"/>
      <c r="AM31" s="11"/>
      <c r="AP31" s="22"/>
    </row>
    <row r="32" spans="1:42" ht="55.5" customHeight="1" x14ac:dyDescent="0.2">
      <c r="A32" s="13"/>
      <c r="B32" s="14"/>
      <c r="C32" s="86" t="s">
        <v>88</v>
      </c>
      <c r="D32" s="27" t="s">
        <v>118</v>
      </c>
      <c r="E32" s="42">
        <f t="shared" ref="E32:E33" si="10">12*3</f>
        <v>36</v>
      </c>
      <c r="F32" s="24" t="s">
        <v>49</v>
      </c>
      <c r="G32" s="41"/>
      <c r="H32" s="42">
        <v>12</v>
      </c>
      <c r="I32" s="24" t="s">
        <v>49</v>
      </c>
      <c r="J32" s="41"/>
      <c r="K32" s="42">
        <v>12</v>
      </c>
      <c r="L32" s="24" t="s">
        <v>49</v>
      </c>
      <c r="M32" s="20">
        <v>153840000</v>
      </c>
      <c r="N32" s="42">
        <v>3</v>
      </c>
      <c r="O32" s="24" t="s">
        <v>49</v>
      </c>
      <c r="P32" s="20">
        <v>11536463</v>
      </c>
      <c r="Q32" s="42">
        <v>3</v>
      </c>
      <c r="R32" s="24" t="s">
        <v>49</v>
      </c>
      <c r="S32" s="20">
        <v>32445094</v>
      </c>
      <c r="T32" s="42">
        <v>3</v>
      </c>
      <c r="U32" s="24" t="s">
        <v>49</v>
      </c>
      <c r="V32" s="20">
        <v>45616320</v>
      </c>
      <c r="W32" s="42">
        <v>3</v>
      </c>
      <c r="X32" s="24" t="s">
        <v>49</v>
      </c>
      <c r="Y32" s="20">
        <v>45856999</v>
      </c>
      <c r="Z32" s="69">
        <f t="shared" si="1"/>
        <v>12</v>
      </c>
      <c r="AA32" s="102" t="str">
        <f t="shared" si="2"/>
        <v>Bln</v>
      </c>
      <c r="AB32" s="69">
        <f t="shared" si="3"/>
        <v>100</v>
      </c>
      <c r="AC32" s="33" t="s">
        <v>127</v>
      </c>
      <c r="AD32" s="39">
        <f t="shared" si="4"/>
        <v>135454876</v>
      </c>
      <c r="AE32" s="63">
        <f t="shared" si="5"/>
        <v>88.049191367654714</v>
      </c>
      <c r="AF32" s="33" t="s">
        <v>127</v>
      </c>
      <c r="AG32" s="69">
        <f t="shared" si="6"/>
        <v>24</v>
      </c>
      <c r="AH32" s="102" t="str">
        <f t="shared" si="7"/>
        <v>Bln</v>
      </c>
      <c r="AI32" s="39">
        <f t="shared" si="8"/>
        <v>135454876</v>
      </c>
      <c r="AJ32" s="33"/>
      <c r="AK32" s="33" t="s">
        <v>127</v>
      </c>
      <c r="AL32" s="63"/>
      <c r="AM32" s="11"/>
      <c r="AP32" s="22"/>
    </row>
    <row r="33" spans="1:42" ht="49.5" customHeight="1" x14ac:dyDescent="0.2">
      <c r="A33" s="13"/>
      <c r="B33" s="14"/>
      <c r="C33" s="86" t="s">
        <v>89</v>
      </c>
      <c r="D33" s="27" t="s">
        <v>118</v>
      </c>
      <c r="E33" s="42">
        <f t="shared" si="10"/>
        <v>36</v>
      </c>
      <c r="F33" s="24" t="s">
        <v>49</v>
      </c>
      <c r="G33" s="41"/>
      <c r="H33" s="42">
        <v>12</v>
      </c>
      <c r="I33" s="24" t="s">
        <v>49</v>
      </c>
      <c r="J33" s="41"/>
      <c r="K33" s="42">
        <v>12</v>
      </c>
      <c r="L33" s="24" t="s">
        <v>49</v>
      </c>
      <c r="M33" s="20">
        <v>20144000</v>
      </c>
      <c r="N33" s="42">
        <v>3</v>
      </c>
      <c r="O33" s="24" t="s">
        <v>49</v>
      </c>
      <c r="P33" s="20">
        <v>1500000</v>
      </c>
      <c r="Q33" s="42">
        <v>3</v>
      </c>
      <c r="R33" s="24" t="s">
        <v>49</v>
      </c>
      <c r="S33" s="20">
        <v>9492792</v>
      </c>
      <c r="T33" s="42">
        <v>3</v>
      </c>
      <c r="U33" s="24" t="s">
        <v>49</v>
      </c>
      <c r="V33" s="20">
        <v>3742792</v>
      </c>
      <c r="W33" s="42">
        <v>3</v>
      </c>
      <c r="X33" s="24" t="s">
        <v>49</v>
      </c>
      <c r="Y33" s="20">
        <v>5242792</v>
      </c>
      <c r="Z33" s="69">
        <f t="shared" si="1"/>
        <v>12</v>
      </c>
      <c r="AA33" s="102" t="str">
        <f t="shared" si="2"/>
        <v>Bln</v>
      </c>
      <c r="AB33" s="69">
        <f t="shared" si="3"/>
        <v>100</v>
      </c>
      <c r="AC33" s="33" t="s">
        <v>127</v>
      </c>
      <c r="AD33" s="39">
        <f t="shared" si="4"/>
        <v>19978376</v>
      </c>
      <c r="AE33" s="63">
        <f t="shared" si="5"/>
        <v>99.177799841143766</v>
      </c>
      <c r="AF33" s="33" t="s">
        <v>127</v>
      </c>
      <c r="AG33" s="69">
        <f t="shared" si="6"/>
        <v>24</v>
      </c>
      <c r="AH33" s="102" t="str">
        <f t="shared" si="7"/>
        <v>Bln</v>
      </c>
      <c r="AI33" s="39">
        <f t="shared" si="8"/>
        <v>19978376</v>
      </c>
      <c r="AJ33" s="33"/>
      <c r="AK33" s="33" t="s">
        <v>127</v>
      </c>
      <c r="AL33" s="63"/>
      <c r="AM33" s="11"/>
      <c r="AP33" s="22"/>
    </row>
    <row r="34" spans="1:42" ht="96" customHeight="1" x14ac:dyDescent="0.2">
      <c r="A34" s="13"/>
      <c r="B34" s="14"/>
      <c r="C34" s="93" t="s">
        <v>90</v>
      </c>
      <c r="D34" s="16" t="s">
        <v>133</v>
      </c>
      <c r="E34" s="94">
        <v>100</v>
      </c>
      <c r="F34" s="57" t="s">
        <v>127</v>
      </c>
      <c r="G34" s="49"/>
      <c r="H34" s="94">
        <v>100</v>
      </c>
      <c r="I34" s="57" t="s">
        <v>127</v>
      </c>
      <c r="J34" s="19"/>
      <c r="K34" s="94">
        <v>100</v>
      </c>
      <c r="L34" s="57" t="s">
        <v>127</v>
      </c>
      <c r="M34" s="41">
        <f>SUM(M35:M37)</f>
        <v>238782000</v>
      </c>
      <c r="N34" s="94">
        <v>25</v>
      </c>
      <c r="O34" s="57" t="s">
        <v>127</v>
      </c>
      <c r="P34" s="41">
        <f>SUM(P35:P37)</f>
        <v>0</v>
      </c>
      <c r="Q34" s="94">
        <v>25</v>
      </c>
      <c r="R34" s="57" t="s">
        <v>127</v>
      </c>
      <c r="S34" s="41">
        <f>SUM(S35:S37)</f>
        <v>55696240</v>
      </c>
      <c r="T34" s="94">
        <v>25</v>
      </c>
      <c r="U34" s="57" t="s">
        <v>127</v>
      </c>
      <c r="V34" s="41">
        <f>SUM(V35:V37)</f>
        <v>73474884</v>
      </c>
      <c r="W34" s="94">
        <v>25</v>
      </c>
      <c r="X34" s="57" t="s">
        <v>127</v>
      </c>
      <c r="Y34" s="41">
        <f>SUM(Y35:Y37)</f>
        <v>41780484</v>
      </c>
      <c r="Z34" s="68">
        <f t="shared" si="1"/>
        <v>100</v>
      </c>
      <c r="AA34" s="100" t="str">
        <f t="shared" si="2"/>
        <v>%</v>
      </c>
      <c r="AB34" s="68">
        <f t="shared" si="3"/>
        <v>100</v>
      </c>
      <c r="AC34" s="66" t="s">
        <v>127</v>
      </c>
      <c r="AD34" s="65">
        <f t="shared" si="4"/>
        <v>170951608</v>
      </c>
      <c r="AE34" s="64">
        <f t="shared" si="5"/>
        <v>71.59317201464097</v>
      </c>
      <c r="AF34" s="66" t="s">
        <v>127</v>
      </c>
      <c r="AG34" s="68">
        <f t="shared" si="6"/>
        <v>200</v>
      </c>
      <c r="AH34" s="100" t="str">
        <f t="shared" si="7"/>
        <v>%</v>
      </c>
      <c r="AI34" s="65">
        <f t="shared" si="8"/>
        <v>170951608</v>
      </c>
      <c r="AJ34" s="64"/>
      <c r="AK34" s="66" t="s">
        <v>127</v>
      </c>
      <c r="AL34" s="64"/>
      <c r="AM34" s="11"/>
      <c r="AP34" s="22"/>
    </row>
    <row r="35" spans="1:42" ht="108" customHeight="1" x14ac:dyDescent="0.2">
      <c r="A35" s="13"/>
      <c r="B35" s="14"/>
      <c r="C35" s="23" t="s">
        <v>91</v>
      </c>
      <c r="D35" s="27" t="s">
        <v>121</v>
      </c>
      <c r="E35" s="42">
        <f t="shared" ref="E35:E37" si="11">12*3</f>
        <v>36</v>
      </c>
      <c r="F35" s="24" t="s">
        <v>49</v>
      </c>
      <c r="G35" s="49"/>
      <c r="H35" s="42">
        <v>12</v>
      </c>
      <c r="I35" s="24" t="s">
        <v>49</v>
      </c>
      <c r="J35" s="19"/>
      <c r="K35" s="42">
        <v>12</v>
      </c>
      <c r="L35" s="24" t="s">
        <v>49</v>
      </c>
      <c r="M35" s="20">
        <v>126994000</v>
      </c>
      <c r="N35" s="42">
        <v>3</v>
      </c>
      <c r="O35" s="24" t="s">
        <v>49</v>
      </c>
      <c r="P35" s="20">
        <v>0</v>
      </c>
      <c r="Q35" s="42">
        <v>3</v>
      </c>
      <c r="R35" s="24" t="s">
        <v>49</v>
      </c>
      <c r="S35" s="20">
        <v>22659348</v>
      </c>
      <c r="T35" s="42">
        <v>3</v>
      </c>
      <c r="U35" s="24" t="s">
        <v>49</v>
      </c>
      <c r="V35" s="20">
        <v>18017692</v>
      </c>
      <c r="W35" s="42">
        <v>3</v>
      </c>
      <c r="X35" s="24" t="s">
        <v>49</v>
      </c>
      <c r="Y35" s="20">
        <v>27195292</v>
      </c>
      <c r="Z35" s="69">
        <f t="shared" si="1"/>
        <v>12</v>
      </c>
      <c r="AA35" s="99" t="str">
        <f t="shared" si="2"/>
        <v>Bln</v>
      </c>
      <c r="AB35" s="69">
        <f t="shared" si="3"/>
        <v>100</v>
      </c>
      <c r="AC35" s="33" t="s">
        <v>127</v>
      </c>
      <c r="AD35" s="39">
        <f t="shared" si="4"/>
        <v>67872332</v>
      </c>
      <c r="AE35" s="63">
        <f t="shared" si="5"/>
        <v>53.445306077452479</v>
      </c>
      <c r="AF35" s="33" t="s">
        <v>127</v>
      </c>
      <c r="AG35" s="69">
        <f t="shared" si="6"/>
        <v>24</v>
      </c>
      <c r="AH35" s="99" t="str">
        <f t="shared" si="7"/>
        <v>Bln</v>
      </c>
      <c r="AI35" s="39">
        <f t="shared" si="8"/>
        <v>67872332</v>
      </c>
      <c r="AJ35" s="63"/>
      <c r="AK35" s="33" t="s">
        <v>127</v>
      </c>
      <c r="AL35" s="63"/>
      <c r="AM35" s="11"/>
      <c r="AP35" s="22"/>
    </row>
    <row r="36" spans="1:42" ht="61.5" customHeight="1" x14ac:dyDescent="0.2">
      <c r="A36" s="13"/>
      <c r="B36" s="14"/>
      <c r="C36" s="23" t="s">
        <v>92</v>
      </c>
      <c r="D36" s="27" t="s">
        <v>122</v>
      </c>
      <c r="E36" s="42">
        <f t="shared" si="11"/>
        <v>36</v>
      </c>
      <c r="F36" s="24" t="s">
        <v>49</v>
      </c>
      <c r="G36" s="49"/>
      <c r="H36" s="42">
        <v>12</v>
      </c>
      <c r="I36" s="24" t="s">
        <v>49</v>
      </c>
      <c r="J36" s="19"/>
      <c r="K36" s="42">
        <v>12</v>
      </c>
      <c r="L36" s="24" t="s">
        <v>49</v>
      </c>
      <c r="M36" s="20">
        <v>77044000</v>
      </c>
      <c r="N36" s="42">
        <v>3</v>
      </c>
      <c r="O36" s="24" t="s">
        <v>49</v>
      </c>
      <c r="P36" s="20">
        <v>0</v>
      </c>
      <c r="Q36" s="42">
        <v>3</v>
      </c>
      <c r="R36" s="24" t="s">
        <v>49</v>
      </c>
      <c r="S36" s="20">
        <v>21529492</v>
      </c>
      <c r="T36" s="42">
        <v>3</v>
      </c>
      <c r="U36" s="24" t="s">
        <v>49</v>
      </c>
      <c r="V36" s="20">
        <v>49799292</v>
      </c>
      <c r="W36" s="42">
        <v>3</v>
      </c>
      <c r="X36" s="24" t="s">
        <v>49</v>
      </c>
      <c r="Y36" s="20">
        <v>4992792</v>
      </c>
      <c r="Z36" s="108">
        <f t="shared" si="1"/>
        <v>12</v>
      </c>
      <c r="AA36" s="99" t="str">
        <f t="shared" si="2"/>
        <v>Bln</v>
      </c>
      <c r="AB36" s="69">
        <f t="shared" si="3"/>
        <v>100</v>
      </c>
      <c r="AC36" s="33" t="s">
        <v>127</v>
      </c>
      <c r="AD36" s="39">
        <f t="shared" si="4"/>
        <v>76321576</v>
      </c>
      <c r="AE36" s="63">
        <f t="shared" si="5"/>
        <v>99.062322828513572</v>
      </c>
      <c r="AF36" s="33" t="s">
        <v>127</v>
      </c>
      <c r="AG36" s="78">
        <f t="shared" si="6"/>
        <v>24</v>
      </c>
      <c r="AH36" s="99" t="str">
        <f t="shared" si="7"/>
        <v>Bln</v>
      </c>
      <c r="AI36" s="39">
        <f t="shared" si="8"/>
        <v>76321576</v>
      </c>
      <c r="AJ36" s="63"/>
      <c r="AK36" s="33" t="s">
        <v>127</v>
      </c>
      <c r="AL36" s="63"/>
      <c r="AM36" s="11"/>
      <c r="AP36" s="22"/>
    </row>
    <row r="37" spans="1:42" ht="78" customHeight="1" x14ac:dyDescent="0.2">
      <c r="A37" s="13"/>
      <c r="B37" s="14"/>
      <c r="C37" s="23" t="s">
        <v>93</v>
      </c>
      <c r="D37" s="27" t="s">
        <v>120</v>
      </c>
      <c r="E37" s="42">
        <f t="shared" si="11"/>
        <v>36</v>
      </c>
      <c r="F37" s="24" t="s">
        <v>49</v>
      </c>
      <c r="G37" s="49"/>
      <c r="H37" s="42">
        <v>12</v>
      </c>
      <c r="I37" s="24" t="s">
        <v>49</v>
      </c>
      <c r="J37" s="19"/>
      <c r="K37" s="42">
        <v>12</v>
      </c>
      <c r="L37" s="24" t="s">
        <v>49</v>
      </c>
      <c r="M37" s="20">
        <v>34744000</v>
      </c>
      <c r="N37" s="42">
        <v>3</v>
      </c>
      <c r="O37" s="24" t="s">
        <v>49</v>
      </c>
      <c r="P37" s="20">
        <v>0</v>
      </c>
      <c r="Q37" s="42">
        <v>3</v>
      </c>
      <c r="R37" s="24" t="s">
        <v>49</v>
      </c>
      <c r="S37" s="20">
        <v>11507400</v>
      </c>
      <c r="T37" s="42">
        <v>3</v>
      </c>
      <c r="U37" s="24" t="s">
        <v>49</v>
      </c>
      <c r="V37" s="20">
        <v>5657900</v>
      </c>
      <c r="W37" s="42">
        <v>3</v>
      </c>
      <c r="X37" s="24" t="s">
        <v>49</v>
      </c>
      <c r="Y37" s="20">
        <v>9592400</v>
      </c>
      <c r="Z37" s="69">
        <f t="shared" si="1"/>
        <v>12</v>
      </c>
      <c r="AA37" s="99" t="str">
        <f t="shared" si="2"/>
        <v>Bln</v>
      </c>
      <c r="AB37" s="69">
        <f t="shared" si="3"/>
        <v>100</v>
      </c>
      <c r="AC37" s="33" t="s">
        <v>127</v>
      </c>
      <c r="AD37" s="39">
        <f t="shared" si="4"/>
        <v>26757700</v>
      </c>
      <c r="AE37" s="63">
        <f t="shared" si="5"/>
        <v>77.013872898917796</v>
      </c>
      <c r="AF37" s="33" t="s">
        <v>127</v>
      </c>
      <c r="AG37" s="69">
        <f t="shared" si="6"/>
        <v>24</v>
      </c>
      <c r="AH37" s="99" t="str">
        <f t="shared" si="7"/>
        <v>Bln</v>
      </c>
      <c r="AI37" s="39">
        <f t="shared" si="8"/>
        <v>26757700</v>
      </c>
      <c r="AJ37" s="33"/>
      <c r="AK37" s="33" t="s">
        <v>127</v>
      </c>
      <c r="AL37" s="63"/>
      <c r="AM37" s="11"/>
      <c r="AP37" s="22"/>
    </row>
    <row r="38" spans="1:42" ht="63" x14ac:dyDescent="0.2">
      <c r="A38" s="13"/>
      <c r="B38" s="14"/>
      <c r="C38" s="15" t="s">
        <v>94</v>
      </c>
      <c r="D38" s="16" t="s">
        <v>144</v>
      </c>
      <c r="E38" s="51">
        <f>9.26</f>
        <v>9.26</v>
      </c>
      <c r="F38" s="50" t="s">
        <v>127</v>
      </c>
      <c r="G38" s="41">
        <f>G39</f>
        <v>188836720</v>
      </c>
      <c r="H38" s="51">
        <v>-4.96</v>
      </c>
      <c r="I38" s="50" t="s">
        <v>127</v>
      </c>
      <c r="J38" s="41">
        <f>J39</f>
        <v>5588000</v>
      </c>
      <c r="K38" s="115">
        <v>8.8699999999999992</v>
      </c>
      <c r="L38" s="45" t="s">
        <v>127</v>
      </c>
      <c r="M38" s="41">
        <f>M39</f>
        <v>55261120</v>
      </c>
      <c r="N38" s="95">
        <v>0</v>
      </c>
      <c r="O38" s="45" t="s">
        <v>127</v>
      </c>
      <c r="P38" s="41">
        <f>P39</f>
        <v>0</v>
      </c>
      <c r="Q38" s="118">
        <v>0</v>
      </c>
      <c r="R38" s="45" t="s">
        <v>127</v>
      </c>
      <c r="S38" s="41">
        <f>S39</f>
        <v>18677500</v>
      </c>
      <c r="T38" s="118">
        <v>0</v>
      </c>
      <c r="U38" s="45" t="s">
        <v>127</v>
      </c>
      <c r="V38" s="41">
        <f>V39</f>
        <v>0</v>
      </c>
      <c r="W38" s="118">
        <v>0</v>
      </c>
      <c r="X38" s="45" t="s">
        <v>127</v>
      </c>
      <c r="Y38" s="41">
        <f>Y39</f>
        <v>21680600</v>
      </c>
      <c r="Z38" s="68">
        <f t="shared" si="1"/>
        <v>0</v>
      </c>
      <c r="AA38" s="100" t="str">
        <f t="shared" si="2"/>
        <v>%</v>
      </c>
      <c r="AB38" s="68">
        <f t="shared" si="3"/>
        <v>0</v>
      </c>
      <c r="AC38" s="66" t="s">
        <v>127</v>
      </c>
      <c r="AD38" s="65">
        <f t="shared" si="4"/>
        <v>40358100</v>
      </c>
      <c r="AE38" s="64">
        <f t="shared" si="5"/>
        <v>73.031635985662263</v>
      </c>
      <c r="AF38" s="66" t="s">
        <v>127</v>
      </c>
      <c r="AG38" s="68">
        <f t="shared" si="6"/>
        <v>-4.96</v>
      </c>
      <c r="AH38" s="100" t="str">
        <f t="shared" si="7"/>
        <v>%</v>
      </c>
      <c r="AI38" s="65">
        <f t="shared" si="8"/>
        <v>45946100</v>
      </c>
      <c r="AJ38" s="64"/>
      <c r="AK38" s="66" t="s">
        <v>127</v>
      </c>
      <c r="AL38" s="64"/>
      <c r="AM38" s="11"/>
      <c r="AP38" s="22"/>
    </row>
    <row r="39" spans="1:42" ht="179.25" customHeight="1" x14ac:dyDescent="0.2">
      <c r="A39" s="11"/>
      <c r="B39" s="11"/>
      <c r="C39" s="93" t="s">
        <v>95</v>
      </c>
      <c r="D39" s="16" t="s">
        <v>138</v>
      </c>
      <c r="E39" s="44">
        <f>7/7*100</f>
        <v>100</v>
      </c>
      <c r="F39" s="45" t="s">
        <v>127</v>
      </c>
      <c r="G39" s="41">
        <f>SUM(G40)</f>
        <v>188836720</v>
      </c>
      <c r="H39" s="53">
        <f>2/7*100</f>
        <v>28.571428571428569</v>
      </c>
      <c r="I39" s="45" t="s">
        <v>127</v>
      </c>
      <c r="J39" s="41">
        <f>SUM(J40)</f>
        <v>5588000</v>
      </c>
      <c r="K39" s="61">
        <f>5/7*100</f>
        <v>71.428571428571431</v>
      </c>
      <c r="L39" s="50" t="s">
        <v>127</v>
      </c>
      <c r="M39" s="41">
        <f>SUM(M40)</f>
        <v>55261120</v>
      </c>
      <c r="N39" s="95">
        <v>0</v>
      </c>
      <c r="O39" s="50" t="str">
        <f>L39</f>
        <v>%</v>
      </c>
      <c r="P39" s="41">
        <f>SUM(P40)</f>
        <v>0</v>
      </c>
      <c r="Q39" s="44">
        <v>0</v>
      </c>
      <c r="R39" s="50" t="str">
        <f>L39</f>
        <v>%</v>
      </c>
      <c r="S39" s="41">
        <f>SUM(S40)</f>
        <v>18677500</v>
      </c>
      <c r="T39" s="53">
        <f>T40/7*100</f>
        <v>42.857142857142854</v>
      </c>
      <c r="U39" s="50" t="str">
        <f>L39</f>
        <v>%</v>
      </c>
      <c r="V39" s="41">
        <f>SUM(V40)</f>
        <v>0</v>
      </c>
      <c r="W39" s="53">
        <f>W40/7*100</f>
        <v>28.571428571428569</v>
      </c>
      <c r="X39" s="50" t="str">
        <f>O39</f>
        <v>%</v>
      </c>
      <c r="Y39" s="41">
        <f>SUM(Y40)</f>
        <v>21680600</v>
      </c>
      <c r="Z39" s="68">
        <f t="shared" si="1"/>
        <v>71.428571428571416</v>
      </c>
      <c r="AA39" s="100" t="str">
        <f t="shared" si="2"/>
        <v>%</v>
      </c>
      <c r="AB39" s="68">
        <f t="shared" si="3"/>
        <v>99.999999999999972</v>
      </c>
      <c r="AC39" s="66" t="s">
        <v>127</v>
      </c>
      <c r="AD39" s="65">
        <f t="shared" si="4"/>
        <v>40358100</v>
      </c>
      <c r="AE39" s="64">
        <f t="shared" si="5"/>
        <v>73.031635985662263</v>
      </c>
      <c r="AF39" s="66" t="s">
        <v>127</v>
      </c>
      <c r="AG39" s="68">
        <f t="shared" si="6"/>
        <v>99.999999999999986</v>
      </c>
      <c r="AH39" s="100" t="str">
        <f t="shared" si="7"/>
        <v>%</v>
      </c>
      <c r="AI39" s="65">
        <f t="shared" si="8"/>
        <v>45946100</v>
      </c>
      <c r="AJ39" s="64"/>
      <c r="AK39" s="66" t="s">
        <v>127</v>
      </c>
      <c r="AL39" s="64"/>
      <c r="AM39" s="11"/>
      <c r="AP39" s="22"/>
    </row>
    <row r="40" spans="1:42" ht="144" customHeight="1" x14ac:dyDescent="0.2">
      <c r="A40" s="13"/>
      <c r="B40" s="14"/>
      <c r="C40" s="23" t="s">
        <v>96</v>
      </c>
      <c r="D40" s="27" t="s">
        <v>139</v>
      </c>
      <c r="E40" s="17">
        <v>7</v>
      </c>
      <c r="F40" s="46" t="s">
        <v>140</v>
      </c>
      <c r="G40" s="49">
        <f>M40+66787800*2</f>
        <v>188836720</v>
      </c>
      <c r="H40" s="43">
        <v>2</v>
      </c>
      <c r="I40" s="46" t="s">
        <v>140</v>
      </c>
      <c r="J40" s="19">
        <v>5588000</v>
      </c>
      <c r="K40" s="62">
        <v>5</v>
      </c>
      <c r="L40" s="46" t="s">
        <v>140</v>
      </c>
      <c r="M40" s="20">
        <v>55261120</v>
      </c>
      <c r="N40" s="89">
        <v>0</v>
      </c>
      <c r="O40" s="46" t="str">
        <f>L40</f>
        <v>Objek Pengawasan</v>
      </c>
      <c r="P40" s="20">
        <v>0</v>
      </c>
      <c r="Q40" s="17">
        <v>0</v>
      </c>
      <c r="R40" s="46" t="str">
        <f>L40</f>
        <v>Objek Pengawasan</v>
      </c>
      <c r="S40" s="20">
        <v>18677500</v>
      </c>
      <c r="T40" s="17">
        <v>3</v>
      </c>
      <c r="U40" s="46" t="str">
        <f>L40</f>
        <v>Objek Pengawasan</v>
      </c>
      <c r="V40" s="20">
        <v>0</v>
      </c>
      <c r="W40" s="17">
        <v>2</v>
      </c>
      <c r="X40" s="46" t="str">
        <f>O40</f>
        <v>Objek Pengawasan</v>
      </c>
      <c r="Y40" s="20">
        <v>21680600</v>
      </c>
      <c r="Z40" s="69">
        <f t="shared" si="1"/>
        <v>5</v>
      </c>
      <c r="AA40" s="99" t="str">
        <f t="shared" si="2"/>
        <v>Objek Pengawasan</v>
      </c>
      <c r="AB40" s="69">
        <f t="shared" si="3"/>
        <v>100</v>
      </c>
      <c r="AC40" s="33" t="s">
        <v>127</v>
      </c>
      <c r="AD40" s="39">
        <f t="shared" si="4"/>
        <v>40358100</v>
      </c>
      <c r="AE40" s="63">
        <f t="shared" si="5"/>
        <v>73.031635985662263</v>
      </c>
      <c r="AF40" s="33" t="s">
        <v>127</v>
      </c>
      <c r="AG40" s="69">
        <f t="shared" si="6"/>
        <v>7</v>
      </c>
      <c r="AH40" s="99" t="str">
        <f t="shared" si="7"/>
        <v>Objek Pengawasan</v>
      </c>
      <c r="AI40" s="39">
        <f t="shared" si="8"/>
        <v>45946100</v>
      </c>
      <c r="AJ40" s="63"/>
      <c r="AK40" s="33" t="s">
        <v>127</v>
      </c>
      <c r="AL40" s="63"/>
      <c r="AM40" s="11"/>
      <c r="AP40" s="22"/>
    </row>
    <row r="41" spans="1:42" ht="63" x14ac:dyDescent="0.2">
      <c r="A41" s="13"/>
      <c r="B41" s="14"/>
      <c r="C41" s="15" t="s">
        <v>97</v>
      </c>
      <c r="D41" s="16" t="s">
        <v>151</v>
      </c>
      <c r="E41" s="79">
        <v>5001729000</v>
      </c>
      <c r="F41" s="45" t="s">
        <v>15</v>
      </c>
      <c r="G41" s="41">
        <f>G42+G45</f>
        <v>8900060750</v>
      </c>
      <c r="H41" s="79">
        <v>3864795400</v>
      </c>
      <c r="I41" s="45" t="s">
        <v>15</v>
      </c>
      <c r="J41" s="41">
        <f>J42+J45</f>
        <v>2460682360</v>
      </c>
      <c r="K41" s="79">
        <f>K42+K58</f>
        <v>4760718400</v>
      </c>
      <c r="L41" s="45" t="s">
        <v>15</v>
      </c>
      <c r="M41" s="41">
        <f>M42+M45</f>
        <v>3110096600</v>
      </c>
      <c r="N41" s="79">
        <f>N42+N58</f>
        <v>932708809</v>
      </c>
      <c r="O41" s="45" t="str">
        <f t="shared" ref="O41:O42" si="12">L41</f>
        <v>Rp</v>
      </c>
      <c r="P41" s="41">
        <f>P42+P45</f>
        <v>150000</v>
      </c>
      <c r="Q41" s="79">
        <f>Q42+Q58</f>
        <v>832280948</v>
      </c>
      <c r="R41" s="45" t="str">
        <f t="shared" ref="R41:R42" si="13">L41</f>
        <v>Rp</v>
      </c>
      <c r="S41" s="41">
        <f>S42+S45</f>
        <v>1025369560</v>
      </c>
      <c r="T41" s="79">
        <f>T42+T58</f>
        <v>697877997</v>
      </c>
      <c r="U41" s="45" t="str">
        <f t="shared" ref="U41:U42" si="14">L41</f>
        <v>Rp</v>
      </c>
      <c r="V41" s="41">
        <f>V42+V45</f>
        <v>900590757</v>
      </c>
      <c r="W41" s="79"/>
      <c r="X41" s="45" t="str">
        <f t="shared" ref="X41:X42" si="15">O41</f>
        <v>Rp</v>
      </c>
      <c r="Y41" s="41">
        <f>Y42+Y45</f>
        <v>583264647</v>
      </c>
      <c r="Z41" s="123">
        <f t="shared" si="1"/>
        <v>2462867754</v>
      </c>
      <c r="AA41" s="100" t="str">
        <f t="shared" si="2"/>
        <v>Rp</v>
      </c>
      <c r="AB41" s="68">
        <f t="shared" si="3"/>
        <v>51.733111414445354</v>
      </c>
      <c r="AC41" s="66" t="s">
        <v>127</v>
      </c>
      <c r="AD41" s="65">
        <f t="shared" si="4"/>
        <v>2509374964</v>
      </c>
      <c r="AE41" s="64">
        <f t="shared" si="5"/>
        <v>80.684791719974228</v>
      </c>
      <c r="AF41" s="66" t="s">
        <v>127</v>
      </c>
      <c r="AG41" s="123">
        <f t="shared" si="6"/>
        <v>6327663154</v>
      </c>
      <c r="AH41" s="100" t="str">
        <f t="shared" si="7"/>
        <v>Rp</v>
      </c>
      <c r="AI41" s="65">
        <f t="shared" si="8"/>
        <v>4970057324</v>
      </c>
      <c r="AJ41" s="66"/>
      <c r="AK41" s="66" t="s">
        <v>127</v>
      </c>
      <c r="AL41" s="63"/>
      <c r="AM41" s="11"/>
      <c r="AP41" s="22"/>
    </row>
    <row r="42" spans="1:42" ht="67.5" customHeight="1" x14ac:dyDescent="0.2">
      <c r="A42" s="13"/>
      <c r="B42" s="14"/>
      <c r="C42" s="16" t="s">
        <v>98</v>
      </c>
      <c r="D42" s="16" t="s">
        <v>160</v>
      </c>
      <c r="E42" s="79">
        <v>4951729700</v>
      </c>
      <c r="F42" s="45" t="s">
        <v>15</v>
      </c>
      <c r="G42" s="41">
        <f>SUM(G43:G44)</f>
        <v>4170382650</v>
      </c>
      <c r="H42" s="79">
        <v>3853601900</v>
      </c>
      <c r="I42" s="45" t="s">
        <v>15</v>
      </c>
      <c r="J42" s="41">
        <f>SUM(J43:J44)</f>
        <v>2460682360</v>
      </c>
      <c r="K42" s="79">
        <v>4723718400</v>
      </c>
      <c r="L42" s="45" t="s">
        <v>15</v>
      </c>
      <c r="M42" s="41">
        <f>SUM(M43:M44)</f>
        <v>1541256100</v>
      </c>
      <c r="N42" s="96">
        <v>932108809</v>
      </c>
      <c r="O42" s="45" t="str">
        <f t="shared" si="12"/>
        <v>Rp</v>
      </c>
      <c r="P42" s="41">
        <f>SUM(P43:P44)</f>
        <v>150000</v>
      </c>
      <c r="Q42" s="124">
        <v>831890948</v>
      </c>
      <c r="R42" s="45" t="str">
        <f t="shared" si="13"/>
        <v>Rp</v>
      </c>
      <c r="S42" s="41">
        <f>SUM(S43:S44)</f>
        <v>377800142</v>
      </c>
      <c r="T42" s="96">
        <v>690755497</v>
      </c>
      <c r="U42" s="45" t="str">
        <f t="shared" si="14"/>
        <v>Rp</v>
      </c>
      <c r="V42" s="41">
        <f>SUM(V43:V44)</f>
        <v>613668144</v>
      </c>
      <c r="W42" s="96"/>
      <c r="X42" s="45" t="str">
        <f t="shared" si="15"/>
        <v>Rp</v>
      </c>
      <c r="Y42" s="41">
        <f>SUM(Y43:Y44)</f>
        <v>280860344</v>
      </c>
      <c r="Z42" s="123">
        <f t="shared" si="1"/>
        <v>2454755254</v>
      </c>
      <c r="AA42" s="100" t="str">
        <f t="shared" si="2"/>
        <v>Rp</v>
      </c>
      <c r="AB42" s="68">
        <f t="shared" si="3"/>
        <v>51.966587466348543</v>
      </c>
      <c r="AC42" s="66" t="s">
        <v>127</v>
      </c>
      <c r="AD42" s="65">
        <f t="shared" si="4"/>
        <v>1272478630</v>
      </c>
      <c r="AE42" s="64">
        <f t="shared" si="5"/>
        <v>82.561141526057867</v>
      </c>
      <c r="AF42" s="66" t="s">
        <v>127</v>
      </c>
      <c r="AG42" s="123">
        <f t="shared" si="6"/>
        <v>6308357154</v>
      </c>
      <c r="AH42" s="100" t="str">
        <f t="shared" si="7"/>
        <v>Rp</v>
      </c>
      <c r="AI42" s="65">
        <f t="shared" si="8"/>
        <v>3733160990</v>
      </c>
      <c r="AJ42" s="64"/>
      <c r="AK42" s="66" t="s">
        <v>127</v>
      </c>
      <c r="AL42" s="63"/>
      <c r="AM42" s="11"/>
      <c r="AP42" s="22"/>
    </row>
    <row r="43" spans="1:42" ht="47.25" customHeight="1" x14ac:dyDescent="0.2">
      <c r="A43" s="13"/>
      <c r="B43" s="14"/>
      <c r="C43" s="27" t="s">
        <v>99</v>
      </c>
      <c r="D43" s="27" t="s">
        <v>123</v>
      </c>
      <c r="E43" s="55">
        <v>3</v>
      </c>
      <c r="F43" s="18" t="s">
        <v>134</v>
      </c>
      <c r="G43" s="49">
        <f>M43+433540000+M43</f>
        <v>2538703200</v>
      </c>
      <c r="H43" s="55">
        <v>3</v>
      </c>
      <c r="I43" s="18" t="s">
        <v>134</v>
      </c>
      <c r="J43" s="20">
        <v>2189036960</v>
      </c>
      <c r="K43" s="55">
        <v>3</v>
      </c>
      <c r="L43" s="18" t="s">
        <v>134</v>
      </c>
      <c r="M43" s="90">
        <v>1052581600</v>
      </c>
      <c r="N43" s="55">
        <v>0</v>
      </c>
      <c r="O43" s="18" t="str">
        <f>L43</f>
        <v>Pasar</v>
      </c>
      <c r="P43" s="90">
        <v>0</v>
      </c>
      <c r="Q43" s="62">
        <v>3</v>
      </c>
      <c r="R43" s="18" t="str">
        <f>L43</f>
        <v>Pasar</v>
      </c>
      <c r="S43" s="20">
        <v>116133900</v>
      </c>
      <c r="T43" s="62">
        <v>0</v>
      </c>
      <c r="U43" s="18" t="str">
        <f>L43</f>
        <v>Pasar</v>
      </c>
      <c r="V43" s="20">
        <v>529506000</v>
      </c>
      <c r="W43" s="62">
        <v>0</v>
      </c>
      <c r="X43" s="18" t="str">
        <f>O43</f>
        <v>Pasar</v>
      </c>
      <c r="Y43" s="20">
        <v>165183700</v>
      </c>
      <c r="Z43" s="108">
        <f t="shared" si="1"/>
        <v>3</v>
      </c>
      <c r="AA43" s="99" t="str">
        <f t="shared" si="2"/>
        <v>Pasar</v>
      </c>
      <c r="AB43" s="69">
        <f t="shared" si="3"/>
        <v>100</v>
      </c>
      <c r="AC43" s="33" t="s">
        <v>127</v>
      </c>
      <c r="AD43" s="39">
        <f t="shared" si="4"/>
        <v>810823600</v>
      </c>
      <c r="AE43" s="63">
        <f t="shared" si="5"/>
        <v>77.03189947458705</v>
      </c>
      <c r="AF43" s="33" t="s">
        <v>127</v>
      </c>
      <c r="AG43" s="125">
        <f t="shared" si="6"/>
        <v>6</v>
      </c>
      <c r="AH43" s="99" t="str">
        <f t="shared" si="7"/>
        <v>Pasar</v>
      </c>
      <c r="AI43" s="39">
        <f t="shared" si="8"/>
        <v>2999860560</v>
      </c>
      <c r="AJ43" s="63"/>
      <c r="AK43" s="33" t="s">
        <v>127</v>
      </c>
      <c r="AL43" s="63"/>
      <c r="AM43" s="11"/>
      <c r="AP43" s="22"/>
    </row>
    <row r="44" spans="1:42" ht="75" x14ac:dyDescent="0.2">
      <c r="A44" s="13"/>
      <c r="B44" s="14"/>
      <c r="C44" s="27" t="s">
        <v>100</v>
      </c>
      <c r="D44" s="27" t="s">
        <v>161</v>
      </c>
      <c r="E44" s="55">
        <v>18</v>
      </c>
      <c r="F44" s="18" t="s">
        <v>158</v>
      </c>
      <c r="G44" s="49">
        <f>M44+541430450+601574500</f>
        <v>1631679450</v>
      </c>
      <c r="H44" s="55">
        <v>18</v>
      </c>
      <c r="I44" s="18" t="s">
        <v>158</v>
      </c>
      <c r="J44" s="19">
        <v>271645400</v>
      </c>
      <c r="K44" s="55">
        <v>18</v>
      </c>
      <c r="L44" s="18" t="s">
        <v>158</v>
      </c>
      <c r="M44" s="90">
        <v>488674500</v>
      </c>
      <c r="N44" s="55">
        <v>18</v>
      </c>
      <c r="O44" s="18" t="str">
        <f>L44</f>
        <v>Org</v>
      </c>
      <c r="P44" s="90">
        <v>150000</v>
      </c>
      <c r="Q44" s="62">
        <v>0</v>
      </c>
      <c r="R44" s="18" t="str">
        <f>L44</f>
        <v>Org</v>
      </c>
      <c r="S44" s="20">
        <v>261666242</v>
      </c>
      <c r="T44" s="62">
        <v>0</v>
      </c>
      <c r="U44" s="18" t="str">
        <f>L44</f>
        <v>Org</v>
      </c>
      <c r="V44" s="20">
        <v>84162144</v>
      </c>
      <c r="W44" s="62">
        <v>0</v>
      </c>
      <c r="X44" s="18" t="str">
        <f>O44</f>
        <v>Org</v>
      </c>
      <c r="Y44" s="20">
        <v>115676644</v>
      </c>
      <c r="Z44" s="108">
        <f t="shared" si="1"/>
        <v>18</v>
      </c>
      <c r="AA44" s="99" t="str">
        <f t="shared" si="2"/>
        <v>Org</v>
      </c>
      <c r="AB44" s="69">
        <f t="shared" si="3"/>
        <v>100</v>
      </c>
      <c r="AC44" s="33" t="s">
        <v>127</v>
      </c>
      <c r="AD44" s="39">
        <f t="shared" si="4"/>
        <v>461655030</v>
      </c>
      <c r="AE44" s="63">
        <f t="shared" si="5"/>
        <v>94.470865576165735</v>
      </c>
      <c r="AF44" s="33" t="s">
        <v>127</v>
      </c>
      <c r="AG44" s="125">
        <f t="shared" si="6"/>
        <v>36</v>
      </c>
      <c r="AH44" s="99" t="str">
        <f t="shared" si="7"/>
        <v>Org</v>
      </c>
      <c r="AI44" s="39">
        <f t="shared" si="8"/>
        <v>733300430</v>
      </c>
      <c r="AJ44" s="63"/>
      <c r="AK44" s="33" t="s">
        <v>127</v>
      </c>
      <c r="AL44" s="63"/>
      <c r="AM44" s="11"/>
      <c r="AP44" s="22"/>
    </row>
    <row r="45" spans="1:42" ht="125.25" customHeight="1" x14ac:dyDescent="0.2">
      <c r="A45" s="13"/>
      <c r="B45" s="14"/>
      <c r="C45" s="16" t="s">
        <v>101</v>
      </c>
      <c r="D45" s="16" t="s">
        <v>162</v>
      </c>
      <c r="E45" s="54">
        <v>11</v>
      </c>
      <c r="F45" s="50" t="s">
        <v>163</v>
      </c>
      <c r="G45" s="41">
        <f>SUM(G46:G47)</f>
        <v>4729678100</v>
      </c>
      <c r="H45" s="54">
        <v>8</v>
      </c>
      <c r="I45" s="50" t="s">
        <v>163</v>
      </c>
      <c r="J45" s="41">
        <f>SUM(J46:J47)</f>
        <v>0</v>
      </c>
      <c r="K45" s="54">
        <v>11</v>
      </c>
      <c r="L45" s="50" t="s">
        <v>163</v>
      </c>
      <c r="M45" s="41">
        <f>SUM(M46:M47)</f>
        <v>1568840500</v>
      </c>
      <c r="N45" s="54">
        <v>11</v>
      </c>
      <c r="O45" s="50" t="str">
        <f>L45</f>
        <v>Pengelola</v>
      </c>
      <c r="P45" s="41">
        <f>SUM(P46:P47)</f>
        <v>0</v>
      </c>
      <c r="Q45" s="62">
        <v>0</v>
      </c>
      <c r="R45" s="50" t="str">
        <f>L45</f>
        <v>Pengelola</v>
      </c>
      <c r="S45" s="41">
        <f>SUM(S46:S47)</f>
        <v>647569418</v>
      </c>
      <c r="T45" s="62">
        <v>0</v>
      </c>
      <c r="U45" s="50" t="str">
        <f>L45</f>
        <v>Pengelola</v>
      </c>
      <c r="V45" s="41">
        <f>SUM(V46:V47)</f>
        <v>286922613</v>
      </c>
      <c r="W45" s="62">
        <v>0</v>
      </c>
      <c r="X45" s="50" t="str">
        <f>O45</f>
        <v>Pengelola</v>
      </c>
      <c r="Y45" s="41">
        <f>SUM(Y46:Y47)</f>
        <v>302404303</v>
      </c>
      <c r="Z45" s="109">
        <f t="shared" si="1"/>
        <v>11</v>
      </c>
      <c r="AA45" s="100" t="str">
        <f t="shared" si="2"/>
        <v>Pengelola</v>
      </c>
      <c r="AB45" s="68">
        <f t="shared" si="3"/>
        <v>100</v>
      </c>
      <c r="AC45" s="66" t="s">
        <v>127</v>
      </c>
      <c r="AD45" s="65">
        <f t="shared" si="4"/>
        <v>1236896334</v>
      </c>
      <c r="AE45" s="64">
        <f t="shared" si="5"/>
        <v>78.841433147601677</v>
      </c>
      <c r="AF45" s="68" t="s">
        <v>127</v>
      </c>
      <c r="AG45" s="109">
        <f t="shared" si="6"/>
        <v>19</v>
      </c>
      <c r="AH45" s="100" t="str">
        <f t="shared" si="7"/>
        <v>Pengelola</v>
      </c>
      <c r="AI45" s="65">
        <f t="shared" si="8"/>
        <v>1236896334</v>
      </c>
      <c r="AJ45" s="64"/>
      <c r="AK45" s="66" t="s">
        <v>127</v>
      </c>
      <c r="AL45" s="64"/>
      <c r="AM45" s="11"/>
      <c r="AP45" s="22"/>
    </row>
    <row r="46" spans="1:42" ht="79.5" customHeight="1" x14ac:dyDescent="0.2">
      <c r="A46" s="13"/>
      <c r="B46" s="14"/>
      <c r="C46" s="27" t="s">
        <v>102</v>
      </c>
      <c r="D46" s="27" t="s">
        <v>164</v>
      </c>
      <c r="E46" s="55">
        <v>17</v>
      </c>
      <c r="F46" s="18" t="s">
        <v>158</v>
      </c>
      <c r="G46" s="19">
        <f>M46+584478000+M46</f>
        <v>1796252000</v>
      </c>
      <c r="H46" s="55">
        <v>17</v>
      </c>
      <c r="I46" s="18" t="s">
        <v>158</v>
      </c>
      <c r="J46" s="19"/>
      <c r="K46" s="55">
        <v>17</v>
      </c>
      <c r="L46" s="18" t="s">
        <v>158</v>
      </c>
      <c r="M46" s="20">
        <v>605887000</v>
      </c>
      <c r="N46" s="55">
        <v>17</v>
      </c>
      <c r="O46" s="18" t="str">
        <f t="shared" ref="O46:O47" si="16">L46</f>
        <v>Org</v>
      </c>
      <c r="P46" s="20">
        <v>0</v>
      </c>
      <c r="Q46" s="17">
        <v>0</v>
      </c>
      <c r="R46" s="18" t="str">
        <f t="shared" ref="R46:R47" si="17">L46</f>
        <v>Org</v>
      </c>
      <c r="S46" s="20">
        <v>320330296</v>
      </c>
      <c r="T46" s="17">
        <v>0</v>
      </c>
      <c r="U46" s="18" t="str">
        <f t="shared" ref="U46:U47" si="18">L46</f>
        <v>Org</v>
      </c>
      <c r="V46" s="20">
        <v>110392796</v>
      </c>
      <c r="W46" s="17">
        <v>0</v>
      </c>
      <c r="X46" s="18" t="str">
        <f t="shared" ref="X46:X47" si="19">O46</f>
        <v>Org</v>
      </c>
      <c r="Y46" s="20">
        <v>155492796</v>
      </c>
      <c r="Z46" s="69">
        <f t="shared" si="1"/>
        <v>17</v>
      </c>
      <c r="AA46" s="99" t="str">
        <f t="shared" si="2"/>
        <v>Org</v>
      </c>
      <c r="AB46" s="69">
        <f t="shared" si="3"/>
        <v>100</v>
      </c>
      <c r="AC46" s="33" t="s">
        <v>127</v>
      </c>
      <c r="AD46" s="39">
        <f t="shared" si="4"/>
        <v>586215888</v>
      </c>
      <c r="AE46" s="63">
        <f t="shared" si="5"/>
        <v>96.753336513244221</v>
      </c>
      <c r="AF46" s="69" t="s">
        <v>127</v>
      </c>
      <c r="AG46" s="108">
        <f t="shared" si="6"/>
        <v>34</v>
      </c>
      <c r="AH46" s="99" t="str">
        <f t="shared" si="7"/>
        <v>Org</v>
      </c>
      <c r="AI46" s="39">
        <f t="shared" si="8"/>
        <v>586215888</v>
      </c>
      <c r="AJ46" s="63"/>
      <c r="AK46" s="33" t="s">
        <v>127</v>
      </c>
      <c r="AL46" s="63"/>
      <c r="AM46" s="11"/>
      <c r="AP46" s="22"/>
    </row>
    <row r="47" spans="1:42" ht="80.25" customHeight="1" x14ac:dyDescent="0.2">
      <c r="A47" s="13"/>
      <c r="B47" s="14"/>
      <c r="C47" s="27" t="s">
        <v>103</v>
      </c>
      <c r="D47" s="27" t="s">
        <v>165</v>
      </c>
      <c r="E47" s="55">
        <v>14</v>
      </c>
      <c r="F47" s="18" t="s">
        <v>158</v>
      </c>
      <c r="G47" s="19">
        <f>M47+985236300*2</f>
        <v>2933426100</v>
      </c>
      <c r="H47" s="55">
        <v>14</v>
      </c>
      <c r="I47" s="18" t="s">
        <v>158</v>
      </c>
      <c r="J47" s="19"/>
      <c r="K47" s="55">
        <v>14</v>
      </c>
      <c r="L47" s="18" t="s">
        <v>158</v>
      </c>
      <c r="M47" s="20">
        <v>962953500</v>
      </c>
      <c r="N47" s="55">
        <v>14</v>
      </c>
      <c r="O47" s="18" t="str">
        <f t="shared" si="16"/>
        <v>Org</v>
      </c>
      <c r="P47" s="20">
        <v>0</v>
      </c>
      <c r="Q47" s="17">
        <v>0</v>
      </c>
      <c r="R47" s="18" t="str">
        <f t="shared" si="17"/>
        <v>Org</v>
      </c>
      <c r="S47" s="20">
        <v>327239122</v>
      </c>
      <c r="T47" s="17">
        <v>0</v>
      </c>
      <c r="U47" s="18" t="str">
        <f t="shared" si="18"/>
        <v>Org</v>
      </c>
      <c r="V47" s="20">
        <v>176529817</v>
      </c>
      <c r="W47" s="17">
        <v>0</v>
      </c>
      <c r="X47" s="18" t="str">
        <f t="shared" si="19"/>
        <v>Org</v>
      </c>
      <c r="Y47" s="20">
        <v>146911507</v>
      </c>
      <c r="Z47" s="69">
        <f t="shared" si="1"/>
        <v>14</v>
      </c>
      <c r="AA47" s="99" t="str">
        <f t="shared" si="2"/>
        <v>Org</v>
      </c>
      <c r="AB47" s="69">
        <f t="shared" si="3"/>
        <v>100</v>
      </c>
      <c r="AC47" s="33" t="s">
        <v>127</v>
      </c>
      <c r="AD47" s="39">
        <f t="shared" si="4"/>
        <v>650680446</v>
      </c>
      <c r="AE47" s="63">
        <f t="shared" si="5"/>
        <v>67.571325718220038</v>
      </c>
      <c r="AF47" s="69" t="s">
        <v>127</v>
      </c>
      <c r="AG47" s="108">
        <f t="shared" si="6"/>
        <v>28</v>
      </c>
      <c r="AH47" s="99" t="str">
        <f t="shared" si="7"/>
        <v>Org</v>
      </c>
      <c r="AI47" s="39">
        <f t="shared" si="8"/>
        <v>650680446</v>
      </c>
      <c r="AJ47" s="63"/>
      <c r="AK47" s="33" t="s">
        <v>127</v>
      </c>
      <c r="AL47" s="63"/>
      <c r="AM47" s="11"/>
      <c r="AP47" s="22"/>
    </row>
    <row r="48" spans="1:42" ht="78.75" x14ac:dyDescent="0.2">
      <c r="A48" s="13"/>
      <c r="B48" s="14"/>
      <c r="C48" s="16" t="s">
        <v>104</v>
      </c>
      <c r="D48" s="16" t="s">
        <v>144</v>
      </c>
      <c r="E48" s="51">
        <f>9.26</f>
        <v>9.26</v>
      </c>
      <c r="F48" s="50" t="s">
        <v>127</v>
      </c>
      <c r="G48" s="41">
        <f>G49+G52</f>
        <v>796496400</v>
      </c>
      <c r="H48" s="51">
        <v>-4.96</v>
      </c>
      <c r="I48" s="50" t="s">
        <v>127</v>
      </c>
      <c r="J48" s="41">
        <f>J49+J52</f>
        <v>49083000</v>
      </c>
      <c r="K48" s="115">
        <v>8.8699999999999992</v>
      </c>
      <c r="L48" s="45" t="s">
        <v>127</v>
      </c>
      <c r="M48" s="41">
        <f>M49+M52</f>
        <v>155511400</v>
      </c>
      <c r="N48" s="96">
        <v>0</v>
      </c>
      <c r="O48" s="45" t="s">
        <v>127</v>
      </c>
      <c r="P48" s="41">
        <f>P49+P52</f>
        <v>0</v>
      </c>
      <c r="Q48" s="44">
        <v>0</v>
      </c>
      <c r="R48" s="45" t="s">
        <v>127</v>
      </c>
      <c r="S48" s="41">
        <f>S49+S52</f>
        <v>42902500</v>
      </c>
      <c r="T48" s="44">
        <v>0</v>
      </c>
      <c r="U48" s="45" t="s">
        <v>127</v>
      </c>
      <c r="V48" s="41">
        <f>V49+V52</f>
        <v>4096600</v>
      </c>
      <c r="W48" s="44">
        <v>0</v>
      </c>
      <c r="X48" s="45" t="s">
        <v>127</v>
      </c>
      <c r="Y48" s="41">
        <f>Y49+Y52</f>
        <v>24366700</v>
      </c>
      <c r="Z48" s="68">
        <f t="shared" si="1"/>
        <v>0</v>
      </c>
      <c r="AA48" s="100" t="str">
        <f t="shared" si="2"/>
        <v>%</v>
      </c>
      <c r="AB48" s="68">
        <f t="shared" si="3"/>
        <v>0</v>
      </c>
      <c r="AC48" s="66" t="s">
        <v>127</v>
      </c>
      <c r="AD48" s="65">
        <f t="shared" si="4"/>
        <v>71365800</v>
      </c>
      <c r="AE48" s="81">
        <f t="shared" si="5"/>
        <v>45.891040785434377</v>
      </c>
      <c r="AF48" s="112" t="s">
        <v>127</v>
      </c>
      <c r="AG48" s="112">
        <f t="shared" si="6"/>
        <v>-4.96</v>
      </c>
      <c r="AH48" s="114" t="str">
        <f t="shared" si="7"/>
        <v>%</v>
      </c>
      <c r="AI48" s="80">
        <f t="shared" si="8"/>
        <v>120448800</v>
      </c>
      <c r="AJ48" s="81"/>
      <c r="AK48" s="47" t="s">
        <v>127</v>
      </c>
      <c r="AL48" s="81"/>
      <c r="AM48" s="11"/>
      <c r="AP48" s="22"/>
    </row>
    <row r="49" spans="1:42" ht="116.25" customHeight="1" x14ac:dyDescent="0.2">
      <c r="A49" s="13"/>
      <c r="B49" s="14"/>
      <c r="C49" s="16" t="s">
        <v>105</v>
      </c>
      <c r="D49" s="97" t="s">
        <v>145</v>
      </c>
      <c r="E49" s="98">
        <v>100</v>
      </c>
      <c r="F49" s="87" t="s">
        <v>127</v>
      </c>
      <c r="G49" s="40">
        <f>SUM(G50:G51)</f>
        <v>732921400</v>
      </c>
      <c r="H49" s="117">
        <f>118/118*100</f>
        <v>100</v>
      </c>
      <c r="I49" s="87" t="s">
        <v>127</v>
      </c>
      <c r="J49" s="40">
        <f>SUM(J50:J51)</f>
        <v>49083000</v>
      </c>
      <c r="K49" s="117">
        <f>118/118*100</f>
        <v>100</v>
      </c>
      <c r="L49" s="87" t="s">
        <v>127</v>
      </c>
      <c r="M49" s="40">
        <f>SUM(M50:M51)</f>
        <v>139686400</v>
      </c>
      <c r="N49" s="116">
        <f>SUM(N50:N51)/118*100</f>
        <v>29.66101694915254</v>
      </c>
      <c r="O49" s="87" t="s">
        <v>127</v>
      </c>
      <c r="P49" s="40">
        <f>SUM(P50:P51)</f>
        <v>0</v>
      </c>
      <c r="Q49" s="116">
        <f>SUM(Q50:Q51)/118*100</f>
        <v>29.66101694915254</v>
      </c>
      <c r="R49" s="87" t="s">
        <v>127</v>
      </c>
      <c r="S49" s="40">
        <f>SUM(S50:S51)</f>
        <v>42227500</v>
      </c>
      <c r="T49" s="116">
        <f>SUM(T50:T51)/118*100</f>
        <v>20.33898305084746</v>
      </c>
      <c r="U49" s="87" t="s">
        <v>127</v>
      </c>
      <c r="V49" s="40">
        <f>SUM(V50:V51)</f>
        <v>3137500</v>
      </c>
      <c r="W49" s="116">
        <f>SUM(W50:W51)/118*100</f>
        <v>20.33898305084746</v>
      </c>
      <c r="X49" s="87" t="s">
        <v>127</v>
      </c>
      <c r="Y49" s="40">
        <f>SUM(Y50:Y51)</f>
        <v>19718800</v>
      </c>
      <c r="Z49" s="107">
        <f t="shared" si="1"/>
        <v>100</v>
      </c>
      <c r="AA49" s="101" t="str">
        <f t="shared" si="2"/>
        <v>%</v>
      </c>
      <c r="AB49" s="107">
        <f t="shared" si="3"/>
        <v>100</v>
      </c>
      <c r="AC49" s="83" t="s">
        <v>127</v>
      </c>
      <c r="AD49" s="67">
        <f t="shared" si="4"/>
        <v>65083800</v>
      </c>
      <c r="AE49" s="64">
        <f t="shared" si="5"/>
        <v>46.592796435443965</v>
      </c>
      <c r="AF49" s="68" t="s">
        <v>127</v>
      </c>
      <c r="AG49" s="68">
        <f t="shared" si="6"/>
        <v>200</v>
      </c>
      <c r="AH49" s="100" t="str">
        <f t="shared" si="7"/>
        <v>%</v>
      </c>
      <c r="AI49" s="65">
        <f t="shared" si="8"/>
        <v>114166800</v>
      </c>
      <c r="AJ49" s="64"/>
      <c r="AK49" s="66" t="s">
        <v>127</v>
      </c>
      <c r="AL49" s="64"/>
      <c r="AM49" s="11"/>
      <c r="AP49" s="22"/>
    </row>
    <row r="50" spans="1:42" ht="131.25" customHeight="1" x14ac:dyDescent="0.2">
      <c r="A50" s="13"/>
      <c r="B50" s="14"/>
      <c r="C50" s="27" t="s">
        <v>124</v>
      </c>
      <c r="D50" s="27" t="s">
        <v>141</v>
      </c>
      <c r="E50" s="17">
        <f>96*3</f>
        <v>288</v>
      </c>
      <c r="F50" s="92" t="s">
        <v>143</v>
      </c>
      <c r="G50" s="49">
        <f>M50+200227500*2</f>
        <v>481556400</v>
      </c>
      <c r="H50" s="43">
        <v>96</v>
      </c>
      <c r="I50" s="92" t="s">
        <v>143</v>
      </c>
      <c r="J50" s="19">
        <v>49083000</v>
      </c>
      <c r="K50" s="91">
        <v>96</v>
      </c>
      <c r="L50" s="92" t="s">
        <v>143</v>
      </c>
      <c r="M50" s="20">
        <v>81101400</v>
      </c>
      <c r="N50" s="91">
        <v>24</v>
      </c>
      <c r="O50" s="92" t="str">
        <f>L50</f>
        <v>Kali</v>
      </c>
      <c r="P50" s="20">
        <v>0</v>
      </c>
      <c r="Q50" s="17">
        <v>24</v>
      </c>
      <c r="R50" s="92" t="str">
        <f>L50</f>
        <v>Kali</v>
      </c>
      <c r="S50" s="20">
        <v>1065000</v>
      </c>
      <c r="T50" s="17">
        <v>24</v>
      </c>
      <c r="U50" s="92" t="str">
        <f>L50</f>
        <v>Kali</v>
      </c>
      <c r="V50" s="20">
        <v>3137500</v>
      </c>
      <c r="W50" s="17">
        <v>24</v>
      </c>
      <c r="X50" s="92" t="str">
        <f>O50</f>
        <v>Kali</v>
      </c>
      <c r="Y50" s="20">
        <v>3396800</v>
      </c>
      <c r="Z50" s="69">
        <f t="shared" si="1"/>
        <v>96</v>
      </c>
      <c r="AA50" s="99" t="str">
        <f t="shared" si="2"/>
        <v>Kali</v>
      </c>
      <c r="AB50" s="69">
        <f t="shared" si="3"/>
        <v>100</v>
      </c>
      <c r="AC50" s="33" t="s">
        <v>127</v>
      </c>
      <c r="AD50" s="39">
        <f t="shared" si="4"/>
        <v>7599300</v>
      </c>
      <c r="AE50" s="63">
        <f t="shared" si="5"/>
        <v>9.3701218474650254</v>
      </c>
      <c r="AF50" s="33" t="s">
        <v>127</v>
      </c>
      <c r="AG50" s="69">
        <f t="shared" si="6"/>
        <v>192</v>
      </c>
      <c r="AH50" s="99" t="str">
        <f t="shared" si="7"/>
        <v>Kali</v>
      </c>
      <c r="AI50" s="39">
        <f t="shared" si="8"/>
        <v>56682300</v>
      </c>
      <c r="AJ50" s="33"/>
      <c r="AK50" s="33" t="s">
        <v>127</v>
      </c>
      <c r="AL50" s="63"/>
      <c r="AM50" s="11"/>
      <c r="AP50" s="22"/>
    </row>
    <row r="51" spans="1:42" ht="112.5" customHeight="1" x14ac:dyDescent="0.2">
      <c r="A51" s="13"/>
      <c r="B51" s="14"/>
      <c r="C51" s="27" t="s">
        <v>106</v>
      </c>
      <c r="D51" s="27" t="s">
        <v>142</v>
      </c>
      <c r="E51" s="17">
        <f>K51*3</f>
        <v>66</v>
      </c>
      <c r="F51" s="92" t="s">
        <v>143</v>
      </c>
      <c r="G51" s="49">
        <f>M51+96390000*2</f>
        <v>251365000</v>
      </c>
      <c r="H51" s="43">
        <v>22</v>
      </c>
      <c r="I51" s="92" t="s">
        <v>143</v>
      </c>
      <c r="J51" s="19"/>
      <c r="K51" s="91">
        <v>22</v>
      </c>
      <c r="L51" s="92" t="s">
        <v>143</v>
      </c>
      <c r="M51" s="20">
        <v>58585000</v>
      </c>
      <c r="N51" s="91">
        <v>11</v>
      </c>
      <c r="O51" s="92" t="str">
        <f>L51</f>
        <v>Kali</v>
      </c>
      <c r="P51" s="20">
        <v>0</v>
      </c>
      <c r="Q51" s="17">
        <v>11</v>
      </c>
      <c r="R51" s="92" t="str">
        <f>L51</f>
        <v>Kali</v>
      </c>
      <c r="S51" s="20">
        <v>41162500</v>
      </c>
      <c r="T51" s="17">
        <v>0</v>
      </c>
      <c r="U51" s="92" t="str">
        <f>L51</f>
        <v>Kali</v>
      </c>
      <c r="V51" s="20">
        <v>0</v>
      </c>
      <c r="W51" s="17">
        <v>0</v>
      </c>
      <c r="X51" s="92" t="str">
        <f>O51</f>
        <v>Kali</v>
      </c>
      <c r="Y51" s="20">
        <v>16322000</v>
      </c>
      <c r="Z51" s="69">
        <f t="shared" si="1"/>
        <v>22</v>
      </c>
      <c r="AA51" s="99" t="str">
        <f t="shared" si="2"/>
        <v>Kali</v>
      </c>
      <c r="AB51" s="33">
        <f t="shared" si="3"/>
        <v>100</v>
      </c>
      <c r="AC51" s="33" t="s">
        <v>127</v>
      </c>
      <c r="AD51" s="39">
        <f t="shared" si="4"/>
        <v>57484500</v>
      </c>
      <c r="AE51" s="63">
        <f t="shared" si="5"/>
        <v>98.121532815567122</v>
      </c>
      <c r="AF51" s="33" t="s">
        <v>127</v>
      </c>
      <c r="AG51" s="69">
        <f t="shared" si="6"/>
        <v>44</v>
      </c>
      <c r="AH51" s="99" t="str">
        <f t="shared" si="7"/>
        <v>Kali</v>
      </c>
      <c r="AI51" s="39">
        <f t="shared" si="8"/>
        <v>57484500</v>
      </c>
      <c r="AJ51" s="63"/>
      <c r="AK51" s="33" t="s">
        <v>127</v>
      </c>
      <c r="AL51" s="63"/>
      <c r="AM51" s="11"/>
      <c r="AP51" s="22"/>
    </row>
    <row r="52" spans="1:42" ht="106.5" customHeight="1" x14ac:dyDescent="0.2">
      <c r="A52" s="13"/>
      <c r="B52" s="14"/>
      <c r="C52" s="16" t="s">
        <v>107</v>
      </c>
      <c r="D52" s="16" t="s">
        <v>147</v>
      </c>
      <c r="E52" s="118">
        <v>100</v>
      </c>
      <c r="F52" s="50" t="s">
        <v>127</v>
      </c>
      <c r="G52" s="41">
        <f>SUM(G53)</f>
        <v>63575000</v>
      </c>
      <c r="H52" s="118">
        <v>100</v>
      </c>
      <c r="I52" s="50" t="s">
        <v>127</v>
      </c>
      <c r="J52" s="41">
        <f>SUM(J53)</f>
        <v>0</v>
      </c>
      <c r="K52" s="96">
        <f>K53/15*100</f>
        <v>100</v>
      </c>
      <c r="L52" s="87" t="s">
        <v>127</v>
      </c>
      <c r="M52" s="41">
        <f>SUM(M53)</f>
        <v>15825000</v>
      </c>
      <c r="N52" s="96">
        <f>N53/15*100</f>
        <v>0</v>
      </c>
      <c r="O52" s="87" t="str">
        <f>L52</f>
        <v>%</v>
      </c>
      <c r="P52" s="41">
        <f>SUM(P53)</f>
        <v>0</v>
      </c>
      <c r="Q52" s="96">
        <f>Q53/15*100</f>
        <v>60</v>
      </c>
      <c r="R52" s="92" t="str">
        <f>L52</f>
        <v>%</v>
      </c>
      <c r="S52" s="41">
        <f>SUM(S53)</f>
        <v>675000</v>
      </c>
      <c r="T52" s="96">
        <f>T53/15*100</f>
        <v>0</v>
      </c>
      <c r="U52" s="87" t="str">
        <f>L52</f>
        <v>%</v>
      </c>
      <c r="V52" s="41">
        <f>SUM(V53)</f>
        <v>959100</v>
      </c>
      <c r="W52" s="96">
        <f>W53/15*100</f>
        <v>0</v>
      </c>
      <c r="X52" s="87" t="str">
        <f>O52</f>
        <v>%</v>
      </c>
      <c r="Y52" s="41">
        <f>SUM(Y53)</f>
        <v>4647900</v>
      </c>
      <c r="Z52" s="68">
        <f t="shared" si="1"/>
        <v>60</v>
      </c>
      <c r="AA52" s="100" t="str">
        <f t="shared" si="2"/>
        <v>%</v>
      </c>
      <c r="AB52" s="66">
        <f t="shared" si="3"/>
        <v>60</v>
      </c>
      <c r="AC52" s="66" t="s">
        <v>127</v>
      </c>
      <c r="AD52" s="65">
        <f t="shared" si="4"/>
        <v>6282000</v>
      </c>
      <c r="AE52" s="64">
        <f t="shared" si="5"/>
        <v>39.696682464454973</v>
      </c>
      <c r="AF52" s="66" t="s">
        <v>127</v>
      </c>
      <c r="AG52" s="68">
        <f t="shared" si="6"/>
        <v>160</v>
      </c>
      <c r="AH52" s="100" t="str">
        <f t="shared" si="7"/>
        <v>%</v>
      </c>
      <c r="AI52" s="65">
        <f t="shared" si="8"/>
        <v>6282000</v>
      </c>
      <c r="AJ52" s="64"/>
      <c r="AK52" s="66" t="s">
        <v>127</v>
      </c>
      <c r="AL52" s="64"/>
      <c r="AM52" s="11"/>
      <c r="AP52" s="22"/>
    </row>
    <row r="53" spans="1:42" ht="78.75" customHeight="1" x14ac:dyDescent="0.2">
      <c r="A53" s="13"/>
      <c r="B53" s="14"/>
      <c r="C53" s="27" t="s">
        <v>108</v>
      </c>
      <c r="D53" s="27" t="s">
        <v>146</v>
      </c>
      <c r="E53" s="52">
        <f>K53*3</f>
        <v>45</v>
      </c>
      <c r="F53" s="92" t="s">
        <v>143</v>
      </c>
      <c r="G53" s="49">
        <f>M53+31925000+M53</f>
        <v>63575000</v>
      </c>
      <c r="H53" s="52">
        <v>12</v>
      </c>
      <c r="I53" s="92" t="s">
        <v>143</v>
      </c>
      <c r="J53" s="19">
        <v>0</v>
      </c>
      <c r="K53" s="52">
        <v>15</v>
      </c>
      <c r="L53" s="92" t="s">
        <v>143</v>
      </c>
      <c r="M53" s="20">
        <v>15825000</v>
      </c>
      <c r="N53" s="52">
        <v>0</v>
      </c>
      <c r="O53" s="92" t="str">
        <f>L53</f>
        <v>Kali</v>
      </c>
      <c r="P53" s="20">
        <v>0</v>
      </c>
      <c r="Q53" s="17">
        <v>9</v>
      </c>
      <c r="R53" s="92" t="str">
        <f>L53</f>
        <v>Kali</v>
      </c>
      <c r="S53" s="20">
        <v>675000</v>
      </c>
      <c r="T53" s="17">
        <v>0</v>
      </c>
      <c r="U53" s="92" t="str">
        <f>L53</f>
        <v>Kali</v>
      </c>
      <c r="V53" s="20">
        <v>959100</v>
      </c>
      <c r="W53" s="17">
        <v>0</v>
      </c>
      <c r="X53" s="92" t="str">
        <f>O53</f>
        <v>Kali</v>
      </c>
      <c r="Y53" s="20">
        <v>4647900</v>
      </c>
      <c r="Z53" s="69">
        <f t="shared" si="1"/>
        <v>9</v>
      </c>
      <c r="AA53" s="99" t="str">
        <f t="shared" si="2"/>
        <v>Kali</v>
      </c>
      <c r="AB53" s="33">
        <f t="shared" si="3"/>
        <v>60</v>
      </c>
      <c r="AC53" s="33" t="s">
        <v>127</v>
      </c>
      <c r="AD53" s="39">
        <f t="shared" si="4"/>
        <v>6282000</v>
      </c>
      <c r="AE53" s="63">
        <f t="shared" si="5"/>
        <v>39.696682464454973</v>
      </c>
      <c r="AF53" s="33" t="s">
        <v>127</v>
      </c>
      <c r="AG53" s="69">
        <f t="shared" si="6"/>
        <v>21</v>
      </c>
      <c r="AH53" s="99" t="str">
        <f t="shared" si="7"/>
        <v>Kali</v>
      </c>
      <c r="AI53" s="39">
        <f t="shared" si="8"/>
        <v>6282000</v>
      </c>
      <c r="AJ53" s="33"/>
      <c r="AK53" s="33" t="s">
        <v>127</v>
      </c>
      <c r="AL53" s="63"/>
      <c r="AM53" s="11"/>
      <c r="AP53" s="22"/>
    </row>
    <row r="54" spans="1:42" ht="63" x14ac:dyDescent="0.2">
      <c r="A54" s="13"/>
      <c r="B54" s="14"/>
      <c r="C54" s="15" t="s">
        <v>109</v>
      </c>
      <c r="D54" s="16" t="s">
        <v>144</v>
      </c>
      <c r="E54" s="51">
        <f>9.26</f>
        <v>9.26</v>
      </c>
      <c r="F54" s="50" t="s">
        <v>127</v>
      </c>
      <c r="G54" s="41">
        <f>G55</f>
        <v>1492375000</v>
      </c>
      <c r="H54" s="51">
        <v>-4.96</v>
      </c>
      <c r="I54" s="50" t="s">
        <v>127</v>
      </c>
      <c r="J54" s="41">
        <f>J55</f>
        <v>0</v>
      </c>
      <c r="K54" s="115">
        <v>8.8699999999999992</v>
      </c>
      <c r="L54" s="45" t="s">
        <v>127</v>
      </c>
      <c r="M54" s="41">
        <f>M55</f>
        <v>381375000</v>
      </c>
      <c r="N54" s="96"/>
      <c r="O54" s="45" t="s">
        <v>127</v>
      </c>
      <c r="P54" s="41">
        <f>P55</f>
        <v>0</v>
      </c>
      <c r="Q54" s="17"/>
      <c r="R54" s="45" t="s">
        <v>127</v>
      </c>
      <c r="S54" s="41">
        <f>S55</f>
        <v>0</v>
      </c>
      <c r="T54" s="17"/>
      <c r="U54" s="45" t="s">
        <v>127</v>
      </c>
      <c r="V54" s="41">
        <f>V55</f>
        <v>0</v>
      </c>
      <c r="W54" s="17"/>
      <c r="X54" s="45" t="s">
        <v>127</v>
      </c>
      <c r="Y54" s="41">
        <f>Y55</f>
        <v>19763800</v>
      </c>
      <c r="Z54" s="68">
        <f t="shared" si="1"/>
        <v>0</v>
      </c>
      <c r="AA54" s="100" t="str">
        <f t="shared" si="2"/>
        <v>%</v>
      </c>
      <c r="AB54" s="66">
        <f t="shared" si="3"/>
        <v>0</v>
      </c>
      <c r="AC54" s="66" t="s">
        <v>127</v>
      </c>
      <c r="AD54" s="65">
        <f t="shared" si="4"/>
        <v>19763800</v>
      </c>
      <c r="AE54" s="64">
        <f t="shared" si="5"/>
        <v>5.1822484431333988</v>
      </c>
      <c r="AF54" s="66" t="s">
        <v>127</v>
      </c>
      <c r="AG54" s="68">
        <f t="shared" si="6"/>
        <v>-4.96</v>
      </c>
      <c r="AH54" s="100" t="str">
        <f t="shared" si="7"/>
        <v>%</v>
      </c>
      <c r="AI54" s="65">
        <f t="shared" si="8"/>
        <v>19763800</v>
      </c>
      <c r="AJ54" s="66"/>
      <c r="AK54" s="66" t="s">
        <v>127</v>
      </c>
      <c r="AL54" s="64"/>
      <c r="AM54" s="11"/>
      <c r="AP54" s="22"/>
    </row>
    <row r="55" spans="1:42" ht="165.75" customHeight="1" x14ac:dyDescent="0.2">
      <c r="A55" s="13"/>
      <c r="B55" s="14"/>
      <c r="C55" s="16" t="s">
        <v>110</v>
      </c>
      <c r="D55" s="16" t="s">
        <v>148</v>
      </c>
      <c r="E55" s="119">
        <v>3.2</v>
      </c>
      <c r="F55" s="50" t="s">
        <v>149</v>
      </c>
      <c r="G55" s="41">
        <f>SUM(G56:G56)</f>
        <v>1492375000</v>
      </c>
      <c r="H55" s="120">
        <v>2.9</v>
      </c>
      <c r="I55" s="50" t="s">
        <v>149</v>
      </c>
      <c r="J55" s="41">
        <f>SUM(J56:J56)</f>
        <v>0</v>
      </c>
      <c r="K55" s="96">
        <v>3</v>
      </c>
      <c r="L55" s="45" t="s">
        <v>149</v>
      </c>
      <c r="M55" s="41">
        <f>SUM(M56:M56)</f>
        <v>381375000</v>
      </c>
      <c r="N55" s="96">
        <v>0</v>
      </c>
      <c r="O55" s="45" t="str">
        <f t="shared" ref="O55:O60" si="20">L55</f>
        <v>Milyar</v>
      </c>
      <c r="P55" s="41">
        <f>SUM(P56:P56)</f>
        <v>0</v>
      </c>
      <c r="Q55" s="44">
        <v>0</v>
      </c>
      <c r="R55" s="45" t="str">
        <f t="shared" ref="R55:R60" si="21">L55</f>
        <v>Milyar</v>
      </c>
      <c r="S55" s="41">
        <f>SUM(S56:S56)</f>
        <v>0</v>
      </c>
      <c r="T55" s="44">
        <v>0</v>
      </c>
      <c r="U55" s="45" t="str">
        <f t="shared" ref="U55:U60" si="22">L55</f>
        <v>Milyar</v>
      </c>
      <c r="V55" s="41">
        <f>SUM(V56:V56)</f>
        <v>0</v>
      </c>
      <c r="W55" s="44">
        <v>0</v>
      </c>
      <c r="X55" s="45" t="str">
        <f t="shared" ref="X55:X60" si="23">O55</f>
        <v>Milyar</v>
      </c>
      <c r="Y55" s="41">
        <f>SUM(Y56:Y56)</f>
        <v>19763800</v>
      </c>
      <c r="Z55" s="68">
        <f t="shared" si="1"/>
        <v>0</v>
      </c>
      <c r="AA55" s="100" t="str">
        <f t="shared" si="2"/>
        <v>Milyar</v>
      </c>
      <c r="AB55" s="66">
        <f t="shared" si="3"/>
        <v>0</v>
      </c>
      <c r="AC55" s="66" t="s">
        <v>127</v>
      </c>
      <c r="AD55" s="65">
        <f t="shared" si="4"/>
        <v>19763800</v>
      </c>
      <c r="AE55" s="64">
        <f t="shared" si="5"/>
        <v>5.1822484431333988</v>
      </c>
      <c r="AF55" s="66" t="s">
        <v>127</v>
      </c>
      <c r="AG55" s="68">
        <f t="shared" si="6"/>
        <v>2.9</v>
      </c>
      <c r="AH55" s="100" t="str">
        <f t="shared" si="7"/>
        <v>Milyar</v>
      </c>
      <c r="AI55" s="65">
        <f t="shared" si="8"/>
        <v>19763800</v>
      </c>
      <c r="AJ55" s="66"/>
      <c r="AK55" s="66" t="s">
        <v>127</v>
      </c>
      <c r="AL55" s="64"/>
      <c r="AM55" s="11"/>
      <c r="AP55" s="22"/>
    </row>
    <row r="56" spans="1:42" ht="51" customHeight="1" x14ac:dyDescent="0.2">
      <c r="A56" s="13"/>
      <c r="B56" s="14"/>
      <c r="C56" s="27" t="s">
        <v>111</v>
      </c>
      <c r="D56" s="27" t="s">
        <v>136</v>
      </c>
      <c r="E56" s="52">
        <f>K56*3</f>
        <v>9</v>
      </c>
      <c r="F56" s="46" t="s">
        <v>150</v>
      </c>
      <c r="G56" s="49">
        <f>M56+552375000+558625000</f>
        <v>1492375000</v>
      </c>
      <c r="H56" s="121">
        <v>0</v>
      </c>
      <c r="I56" s="46" t="s">
        <v>150</v>
      </c>
      <c r="J56" s="19"/>
      <c r="K56" s="52">
        <v>3</v>
      </c>
      <c r="L56" s="46" t="s">
        <v>150</v>
      </c>
      <c r="M56" s="20">
        <v>381375000</v>
      </c>
      <c r="N56" s="52">
        <v>0</v>
      </c>
      <c r="O56" s="46" t="str">
        <f t="shared" si="20"/>
        <v>Pameran</v>
      </c>
      <c r="P56" s="20">
        <v>0</v>
      </c>
      <c r="Q56" s="17">
        <v>0</v>
      </c>
      <c r="R56" s="46" t="str">
        <f t="shared" si="21"/>
        <v>Pameran</v>
      </c>
      <c r="S56" s="20">
        <v>0</v>
      </c>
      <c r="T56" s="17">
        <v>0</v>
      </c>
      <c r="U56" s="46" t="str">
        <f t="shared" si="22"/>
        <v>Pameran</v>
      </c>
      <c r="V56" s="20">
        <v>0</v>
      </c>
      <c r="W56" s="17">
        <v>0</v>
      </c>
      <c r="X56" s="46" t="str">
        <f t="shared" si="23"/>
        <v>Pameran</v>
      </c>
      <c r="Y56" s="20">
        <v>19763800</v>
      </c>
      <c r="Z56" s="69">
        <f t="shared" si="1"/>
        <v>0</v>
      </c>
      <c r="AA56" s="99" t="str">
        <f t="shared" si="2"/>
        <v>Pameran</v>
      </c>
      <c r="AB56" s="33">
        <f t="shared" si="3"/>
        <v>0</v>
      </c>
      <c r="AC56" s="33" t="s">
        <v>127</v>
      </c>
      <c r="AD56" s="39">
        <f t="shared" si="4"/>
        <v>19763800</v>
      </c>
      <c r="AE56" s="63">
        <f t="shared" si="5"/>
        <v>5.1822484431333988</v>
      </c>
      <c r="AF56" s="33" t="s">
        <v>127</v>
      </c>
      <c r="AG56" s="69">
        <f t="shared" si="6"/>
        <v>0</v>
      </c>
      <c r="AH56" s="99" t="str">
        <f t="shared" si="7"/>
        <v>Pameran</v>
      </c>
      <c r="AI56" s="39">
        <f t="shared" si="8"/>
        <v>19763800</v>
      </c>
      <c r="AJ56" s="33"/>
      <c r="AK56" s="33" t="s">
        <v>127</v>
      </c>
      <c r="AL56" s="63"/>
      <c r="AM56" s="11"/>
      <c r="AP56" s="22"/>
    </row>
    <row r="57" spans="1:42" ht="69.75" customHeight="1" x14ac:dyDescent="0.2">
      <c r="A57" s="13"/>
      <c r="B57" s="14"/>
      <c r="C57" s="15" t="s">
        <v>112</v>
      </c>
      <c r="D57" s="16" t="s">
        <v>151</v>
      </c>
      <c r="E57" s="61" t="s">
        <v>154</v>
      </c>
      <c r="F57" s="45" t="s">
        <v>15</v>
      </c>
      <c r="G57" s="41">
        <f>G58</f>
        <v>167863950</v>
      </c>
      <c r="H57" s="61" t="s">
        <v>153</v>
      </c>
      <c r="I57" s="45" t="s">
        <v>15</v>
      </c>
      <c r="J57" s="41">
        <f>J58</f>
        <v>0</v>
      </c>
      <c r="K57" s="79" t="s">
        <v>152</v>
      </c>
      <c r="L57" s="45" t="s">
        <v>15</v>
      </c>
      <c r="M57" s="41">
        <f>M58</f>
        <v>63694000</v>
      </c>
      <c r="N57" s="79">
        <v>0</v>
      </c>
      <c r="O57" s="45" t="str">
        <f t="shared" si="20"/>
        <v>Rp</v>
      </c>
      <c r="P57" s="41">
        <f>P58</f>
        <v>0</v>
      </c>
      <c r="Q57" s="79">
        <v>0</v>
      </c>
      <c r="R57" s="45" t="str">
        <f t="shared" si="21"/>
        <v>Rp</v>
      </c>
      <c r="S57" s="41">
        <f>S58</f>
        <v>14250000</v>
      </c>
      <c r="T57" s="79">
        <v>0</v>
      </c>
      <c r="U57" s="45" t="str">
        <f t="shared" si="22"/>
        <v>Rp</v>
      </c>
      <c r="V57" s="41">
        <f>V58</f>
        <v>18885500</v>
      </c>
      <c r="W57" s="79">
        <v>0</v>
      </c>
      <c r="X57" s="45" t="str">
        <f t="shared" si="23"/>
        <v>Rp</v>
      </c>
      <c r="Y57" s="41">
        <f>Y58</f>
        <v>24585000</v>
      </c>
      <c r="Z57" s="96">
        <f>SUM(N57,Q57,T57,W57)</f>
        <v>0</v>
      </c>
      <c r="AA57" s="100" t="str">
        <f t="shared" si="2"/>
        <v>Rp</v>
      </c>
      <c r="AB57" s="64">
        <f t="shared" si="3"/>
        <v>0</v>
      </c>
      <c r="AC57" s="66" t="s">
        <v>127</v>
      </c>
      <c r="AD57" s="65">
        <f t="shared" si="4"/>
        <v>57720500</v>
      </c>
      <c r="AE57" s="64">
        <f t="shared" si="5"/>
        <v>90.621565610575558</v>
      </c>
      <c r="AF57" s="66" t="s">
        <v>127</v>
      </c>
      <c r="AG57" s="68">
        <f t="shared" si="6"/>
        <v>0</v>
      </c>
      <c r="AH57" s="100" t="str">
        <f t="shared" si="7"/>
        <v>Rp</v>
      </c>
      <c r="AI57" s="65">
        <f t="shared" si="8"/>
        <v>57720500</v>
      </c>
      <c r="AJ57" s="66"/>
      <c r="AK57" s="66" t="s">
        <v>127</v>
      </c>
      <c r="AL57" s="64"/>
      <c r="AM57" s="11"/>
      <c r="AP57" s="22"/>
    </row>
    <row r="58" spans="1:42" ht="90.75" customHeight="1" x14ac:dyDescent="0.2">
      <c r="A58" s="13"/>
      <c r="B58" s="14"/>
      <c r="C58" s="16" t="s">
        <v>113</v>
      </c>
      <c r="D58" s="16" t="s">
        <v>155</v>
      </c>
      <c r="E58" s="79">
        <v>50000000</v>
      </c>
      <c r="F58" s="45" t="s">
        <v>15</v>
      </c>
      <c r="G58" s="41">
        <f>SUM(G59:G60)</f>
        <v>167863950</v>
      </c>
      <c r="H58" s="79">
        <v>11193500</v>
      </c>
      <c r="I58" s="45" t="s">
        <v>15</v>
      </c>
      <c r="J58" s="41">
        <f>SUM(J59:J60)</f>
        <v>0</v>
      </c>
      <c r="K58" s="96">
        <v>37000000</v>
      </c>
      <c r="L58" s="45" t="s">
        <v>15</v>
      </c>
      <c r="M58" s="41">
        <f>SUM(M59:M60)</f>
        <v>63694000</v>
      </c>
      <c r="N58" s="79">
        <v>600000</v>
      </c>
      <c r="O58" s="45" t="str">
        <f t="shared" si="20"/>
        <v>Rp</v>
      </c>
      <c r="P58" s="41">
        <f>SUM(P59:P60)</f>
        <v>0</v>
      </c>
      <c r="Q58" s="79">
        <v>390000</v>
      </c>
      <c r="R58" s="45" t="str">
        <f t="shared" si="21"/>
        <v>Rp</v>
      </c>
      <c r="S58" s="41">
        <f>SUM(S59:S60)</f>
        <v>14250000</v>
      </c>
      <c r="T58" s="79">
        <v>7122500</v>
      </c>
      <c r="U58" s="45" t="str">
        <f t="shared" si="22"/>
        <v>Rp</v>
      </c>
      <c r="V58" s="41">
        <f>SUM(V59:V60)</f>
        <v>18885500</v>
      </c>
      <c r="W58" s="79"/>
      <c r="X58" s="45" t="str">
        <f t="shared" si="23"/>
        <v>Rp</v>
      </c>
      <c r="Y58" s="41">
        <f>SUM(Y59:Y60)</f>
        <v>24585000</v>
      </c>
      <c r="Z58" s="123">
        <f t="shared" si="1"/>
        <v>8112500</v>
      </c>
      <c r="AA58" s="100" t="str">
        <f t="shared" si="2"/>
        <v>Rp</v>
      </c>
      <c r="AB58" s="64">
        <f t="shared" si="3"/>
        <v>21.925675675675677</v>
      </c>
      <c r="AC58" s="66" t="s">
        <v>127</v>
      </c>
      <c r="AD58" s="65">
        <f t="shared" si="4"/>
        <v>57720500</v>
      </c>
      <c r="AE58" s="64">
        <f t="shared" si="5"/>
        <v>90.621565610575558</v>
      </c>
      <c r="AF58" s="66" t="s">
        <v>127</v>
      </c>
      <c r="AG58" s="123">
        <f t="shared" si="6"/>
        <v>19306000</v>
      </c>
      <c r="AH58" s="100" t="str">
        <f t="shared" si="7"/>
        <v>Rp</v>
      </c>
      <c r="AI58" s="65">
        <f t="shared" si="8"/>
        <v>57720500</v>
      </c>
      <c r="AJ58" s="66"/>
      <c r="AK58" s="66" t="s">
        <v>127</v>
      </c>
      <c r="AL58" s="64"/>
      <c r="AM58" s="11"/>
      <c r="AP58" s="22"/>
    </row>
    <row r="59" spans="1:42" ht="105" x14ac:dyDescent="0.2">
      <c r="A59" s="13"/>
      <c r="B59" s="14"/>
      <c r="C59" s="27" t="s">
        <v>114</v>
      </c>
      <c r="D59" s="27" t="s">
        <v>157</v>
      </c>
      <c r="E59" s="52">
        <f>K59*3</f>
        <v>34719</v>
      </c>
      <c r="F59" s="18" t="s">
        <v>156</v>
      </c>
      <c r="G59" s="49">
        <f>M59+37175950+M59</f>
        <v>128745950</v>
      </c>
      <c r="H59" s="62">
        <v>1463</v>
      </c>
      <c r="I59" s="18" t="s">
        <v>156</v>
      </c>
      <c r="J59" s="19"/>
      <c r="K59" s="52">
        <v>11573</v>
      </c>
      <c r="L59" s="18" t="s">
        <v>156</v>
      </c>
      <c r="M59" s="20">
        <v>45785000</v>
      </c>
      <c r="N59" s="52">
        <v>24</v>
      </c>
      <c r="O59" s="18" t="str">
        <f t="shared" si="20"/>
        <v>UTTP</v>
      </c>
      <c r="P59" s="20">
        <v>0</v>
      </c>
      <c r="Q59" s="17">
        <v>32</v>
      </c>
      <c r="R59" s="18" t="str">
        <f t="shared" si="21"/>
        <v>UTTP</v>
      </c>
      <c r="S59" s="20">
        <v>14250000</v>
      </c>
      <c r="T59" s="17">
        <v>585</v>
      </c>
      <c r="U59" s="18" t="str">
        <f t="shared" si="22"/>
        <v>UTTP</v>
      </c>
      <c r="V59" s="20">
        <v>3150000</v>
      </c>
      <c r="W59" s="17"/>
      <c r="X59" s="18" t="str">
        <f t="shared" si="23"/>
        <v>UTTP</v>
      </c>
      <c r="Y59" s="20">
        <v>24585000</v>
      </c>
      <c r="Z59" s="126">
        <f t="shared" si="1"/>
        <v>641</v>
      </c>
      <c r="AA59" s="99" t="str">
        <f t="shared" si="2"/>
        <v>UTTP</v>
      </c>
      <c r="AB59" s="63">
        <f t="shared" si="3"/>
        <v>5.538753996370863</v>
      </c>
      <c r="AC59" s="33" t="s">
        <v>127</v>
      </c>
      <c r="AD59" s="39">
        <f t="shared" si="4"/>
        <v>41985000</v>
      </c>
      <c r="AE59" s="63">
        <f t="shared" si="5"/>
        <v>91.700338538822763</v>
      </c>
      <c r="AF59" s="33" t="s">
        <v>127</v>
      </c>
      <c r="AG59" s="126">
        <f t="shared" si="6"/>
        <v>2104</v>
      </c>
      <c r="AH59" s="99" t="str">
        <f t="shared" si="7"/>
        <v>UTTP</v>
      </c>
      <c r="AI59" s="39">
        <f t="shared" si="8"/>
        <v>41985000</v>
      </c>
      <c r="AJ59" s="33"/>
      <c r="AK59" s="33" t="s">
        <v>127</v>
      </c>
      <c r="AL59" s="63"/>
      <c r="AM59" s="11"/>
      <c r="AP59" s="22"/>
    </row>
    <row r="60" spans="1:42" ht="60" x14ac:dyDescent="0.2">
      <c r="A60" s="13"/>
      <c r="B60" s="14"/>
      <c r="C60" s="27" t="s">
        <v>115</v>
      </c>
      <c r="D60" s="27" t="s">
        <v>159</v>
      </c>
      <c r="E60" s="43">
        <f>1+3+3</f>
        <v>7</v>
      </c>
      <c r="F60" s="18" t="s">
        <v>143</v>
      </c>
      <c r="G60" s="49">
        <f>M60+3300000+M60</f>
        <v>39118000</v>
      </c>
      <c r="H60" s="60"/>
      <c r="I60" s="18" t="s">
        <v>143</v>
      </c>
      <c r="J60" s="19"/>
      <c r="K60" s="52">
        <v>1</v>
      </c>
      <c r="L60" s="18" t="s">
        <v>143</v>
      </c>
      <c r="M60" s="20">
        <v>17909000</v>
      </c>
      <c r="N60" s="52">
        <v>0</v>
      </c>
      <c r="O60" s="18" t="str">
        <f t="shared" si="20"/>
        <v>Kali</v>
      </c>
      <c r="P60" s="20">
        <v>0</v>
      </c>
      <c r="Q60" s="17">
        <v>1</v>
      </c>
      <c r="R60" s="18" t="str">
        <f t="shared" si="21"/>
        <v>Kali</v>
      </c>
      <c r="S60" s="20">
        <v>0</v>
      </c>
      <c r="T60" s="17">
        <v>0</v>
      </c>
      <c r="U60" s="18" t="str">
        <f t="shared" si="22"/>
        <v>Kali</v>
      </c>
      <c r="V60" s="20">
        <v>15735500</v>
      </c>
      <c r="W60" s="17">
        <v>0</v>
      </c>
      <c r="X60" s="18" t="str">
        <f t="shared" si="23"/>
        <v>Kali</v>
      </c>
      <c r="Y60" s="20">
        <v>0</v>
      </c>
      <c r="Z60" s="69">
        <f t="shared" si="1"/>
        <v>1</v>
      </c>
      <c r="AA60" s="99" t="str">
        <f t="shared" si="2"/>
        <v>Kali</v>
      </c>
      <c r="AB60" s="33">
        <f t="shared" si="3"/>
        <v>100</v>
      </c>
      <c r="AC60" s="33" t="s">
        <v>127</v>
      </c>
      <c r="AD60" s="39">
        <f t="shared" si="4"/>
        <v>15735500</v>
      </c>
      <c r="AE60" s="63">
        <f t="shared" si="5"/>
        <v>87.863643977888216</v>
      </c>
      <c r="AF60" s="33" t="s">
        <v>127</v>
      </c>
      <c r="AG60" s="69">
        <f t="shared" si="6"/>
        <v>1</v>
      </c>
      <c r="AH60" s="99" t="str">
        <f t="shared" si="7"/>
        <v>Kali</v>
      </c>
      <c r="AI60" s="39">
        <f t="shared" si="8"/>
        <v>15735500</v>
      </c>
      <c r="AJ60" s="33"/>
      <c r="AK60" s="33" t="s">
        <v>127</v>
      </c>
      <c r="AL60" s="63"/>
      <c r="AM60" s="11"/>
      <c r="AP60" s="22"/>
    </row>
    <row r="61" spans="1:42" ht="63" x14ac:dyDescent="0.2">
      <c r="A61" s="13"/>
      <c r="B61" s="14"/>
      <c r="C61" s="15" t="s">
        <v>116</v>
      </c>
      <c r="D61" s="16" t="s">
        <v>144</v>
      </c>
      <c r="E61" s="51">
        <f>9.26</f>
        <v>9.26</v>
      </c>
      <c r="F61" s="50" t="s">
        <v>127</v>
      </c>
      <c r="G61" s="41">
        <f>G62</f>
        <v>40736000</v>
      </c>
      <c r="H61" s="51">
        <v>-4.96</v>
      </c>
      <c r="I61" s="50" t="s">
        <v>127</v>
      </c>
      <c r="J61" s="41">
        <f>J62</f>
        <v>0</v>
      </c>
      <c r="K61" s="115">
        <v>8.8699999999999992</v>
      </c>
      <c r="L61" s="45" t="s">
        <v>127</v>
      </c>
      <c r="M61" s="41">
        <f>M62</f>
        <v>10000000</v>
      </c>
      <c r="N61" s="96"/>
      <c r="O61" s="45" t="s">
        <v>127</v>
      </c>
      <c r="P61" s="41">
        <f>P62</f>
        <v>0</v>
      </c>
      <c r="Q61" s="17"/>
      <c r="R61" s="45" t="s">
        <v>127</v>
      </c>
      <c r="S61" s="41">
        <f>S62</f>
        <v>0</v>
      </c>
      <c r="T61" s="17"/>
      <c r="U61" s="45" t="s">
        <v>127</v>
      </c>
      <c r="V61" s="41">
        <f>V62</f>
        <v>0</v>
      </c>
      <c r="W61" s="17"/>
      <c r="X61" s="45" t="s">
        <v>127</v>
      </c>
      <c r="Y61" s="41">
        <f>Y62</f>
        <v>5000000</v>
      </c>
      <c r="Z61" s="68">
        <f t="shared" si="1"/>
        <v>0</v>
      </c>
      <c r="AA61" s="100" t="str">
        <f t="shared" si="2"/>
        <v>%</v>
      </c>
      <c r="AB61" s="66">
        <f t="shared" si="3"/>
        <v>0</v>
      </c>
      <c r="AC61" s="66" t="s">
        <v>127</v>
      </c>
      <c r="AD61" s="65">
        <f t="shared" si="4"/>
        <v>5000000</v>
      </c>
      <c r="AE61" s="64">
        <f t="shared" si="5"/>
        <v>50</v>
      </c>
      <c r="AF61" s="66" t="s">
        <v>127</v>
      </c>
      <c r="AG61" s="68">
        <f t="shared" si="6"/>
        <v>-4.96</v>
      </c>
      <c r="AH61" s="100" t="str">
        <f t="shared" si="7"/>
        <v>%</v>
      </c>
      <c r="AI61" s="65">
        <f t="shared" si="8"/>
        <v>5000000</v>
      </c>
      <c r="AJ61" s="66"/>
      <c r="AK61" s="66" t="s">
        <v>127</v>
      </c>
      <c r="AL61" s="64"/>
      <c r="AM61" s="11"/>
      <c r="AP61" s="22"/>
    </row>
    <row r="62" spans="1:42" ht="115.5" customHeight="1" x14ac:dyDescent="0.2">
      <c r="A62" s="13"/>
      <c r="B62" s="14"/>
      <c r="C62" s="16" t="s">
        <v>117</v>
      </c>
      <c r="D62" s="16" t="s">
        <v>125</v>
      </c>
      <c r="E62" s="96">
        <v>3</v>
      </c>
      <c r="F62" s="50" t="s">
        <v>135</v>
      </c>
      <c r="G62" s="41">
        <f>SUM(G63)</f>
        <v>40736000</v>
      </c>
      <c r="H62" s="122">
        <v>1</v>
      </c>
      <c r="I62" s="50" t="s">
        <v>135</v>
      </c>
      <c r="J62" s="41">
        <f>SUM(J63)</f>
        <v>0</v>
      </c>
      <c r="K62" s="96">
        <v>3</v>
      </c>
      <c r="L62" s="50" t="s">
        <v>135</v>
      </c>
      <c r="M62" s="41">
        <f>SUM(M63)</f>
        <v>10000000</v>
      </c>
      <c r="N62" s="96">
        <f>N63</f>
        <v>1</v>
      </c>
      <c r="O62" s="50" t="s">
        <v>135</v>
      </c>
      <c r="P62" s="41">
        <f>SUM(P63)</f>
        <v>0</v>
      </c>
      <c r="Q62" s="44">
        <v>0</v>
      </c>
      <c r="R62" s="50" t="s">
        <v>135</v>
      </c>
      <c r="S62" s="41">
        <f>SUM(S63)</f>
        <v>0</v>
      </c>
      <c r="T62" s="44">
        <v>0</v>
      </c>
      <c r="U62" s="50" t="s">
        <v>135</v>
      </c>
      <c r="V62" s="41">
        <f>SUM(V63)</f>
        <v>0</v>
      </c>
      <c r="W62" s="44">
        <v>0</v>
      </c>
      <c r="X62" s="50" t="s">
        <v>135</v>
      </c>
      <c r="Y62" s="41">
        <f>SUM(Y63)</f>
        <v>5000000</v>
      </c>
      <c r="Z62" s="68">
        <f t="shared" si="1"/>
        <v>1</v>
      </c>
      <c r="AA62" s="100" t="str">
        <f t="shared" si="2"/>
        <v>Aplikasi</v>
      </c>
      <c r="AB62" s="64">
        <f t="shared" si="3"/>
        <v>33.333333333333329</v>
      </c>
      <c r="AC62" s="66" t="s">
        <v>127</v>
      </c>
      <c r="AD62" s="65">
        <f t="shared" si="4"/>
        <v>5000000</v>
      </c>
      <c r="AE62" s="64">
        <f t="shared" si="5"/>
        <v>50</v>
      </c>
      <c r="AF62" s="66" t="s">
        <v>127</v>
      </c>
      <c r="AG62" s="68">
        <f t="shared" si="6"/>
        <v>2</v>
      </c>
      <c r="AH62" s="100" t="str">
        <f t="shared" si="7"/>
        <v>Aplikasi</v>
      </c>
      <c r="AI62" s="65">
        <f t="shared" si="8"/>
        <v>5000000</v>
      </c>
      <c r="AJ62" s="66"/>
      <c r="AK62" s="66" t="s">
        <v>127</v>
      </c>
      <c r="AL62" s="64"/>
      <c r="AM62" s="11"/>
      <c r="AP62" s="22"/>
    </row>
    <row r="63" spans="1:42" ht="63.75" customHeight="1" x14ac:dyDescent="0.2">
      <c r="A63" s="83"/>
      <c r="B63" s="15"/>
      <c r="C63" s="27" t="s">
        <v>126</v>
      </c>
      <c r="D63" s="27" t="s">
        <v>125</v>
      </c>
      <c r="E63" s="52">
        <v>3</v>
      </c>
      <c r="F63" s="46" t="s">
        <v>135</v>
      </c>
      <c r="G63" s="49">
        <f>M63+15368000*2</f>
        <v>40736000</v>
      </c>
      <c r="H63" s="121">
        <v>1</v>
      </c>
      <c r="I63" s="46" t="s">
        <v>135</v>
      </c>
      <c r="J63" s="19">
        <v>0</v>
      </c>
      <c r="K63" s="52">
        <v>3</v>
      </c>
      <c r="L63" s="46" t="s">
        <v>135</v>
      </c>
      <c r="M63" s="20">
        <v>10000000</v>
      </c>
      <c r="N63" s="52">
        <v>1</v>
      </c>
      <c r="O63" s="46" t="s">
        <v>135</v>
      </c>
      <c r="P63" s="20">
        <v>0</v>
      </c>
      <c r="Q63" s="17">
        <v>0</v>
      </c>
      <c r="R63" s="46" t="s">
        <v>135</v>
      </c>
      <c r="S63" s="20">
        <v>0</v>
      </c>
      <c r="T63" s="17">
        <v>0</v>
      </c>
      <c r="U63" s="46" t="s">
        <v>135</v>
      </c>
      <c r="V63" s="20">
        <v>0</v>
      </c>
      <c r="W63" s="17">
        <v>0</v>
      </c>
      <c r="X63" s="46" t="s">
        <v>135</v>
      </c>
      <c r="Y63" s="20">
        <v>5000000</v>
      </c>
      <c r="Z63" s="69">
        <f t="shared" si="1"/>
        <v>1</v>
      </c>
      <c r="AA63" s="99" t="str">
        <f t="shared" si="2"/>
        <v>Aplikasi</v>
      </c>
      <c r="AB63" s="63">
        <f t="shared" si="3"/>
        <v>33.333333333333329</v>
      </c>
      <c r="AC63" s="33" t="s">
        <v>127</v>
      </c>
      <c r="AD63" s="39">
        <f t="shared" si="4"/>
        <v>5000000</v>
      </c>
      <c r="AE63" s="63">
        <f t="shared" si="5"/>
        <v>50</v>
      </c>
      <c r="AF63" s="33" t="s">
        <v>127</v>
      </c>
      <c r="AG63" s="69">
        <f t="shared" si="6"/>
        <v>2</v>
      </c>
      <c r="AH63" s="99" t="str">
        <f t="shared" si="7"/>
        <v>Aplikasi</v>
      </c>
      <c r="AI63" s="39">
        <f t="shared" si="8"/>
        <v>5000000</v>
      </c>
      <c r="AJ63" s="33"/>
      <c r="AK63" s="33" t="s">
        <v>127</v>
      </c>
      <c r="AL63" s="63"/>
      <c r="AM63" s="11"/>
      <c r="AP63" s="22"/>
    </row>
    <row r="64" spans="1:42" ht="15" x14ac:dyDescent="0.2">
      <c r="A64" s="127" t="s">
        <v>24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9"/>
      <c r="AB64" s="85">
        <f>AVERAGE(AB13:AB63)</f>
        <v>76.960267693379706</v>
      </c>
      <c r="AC64" s="72"/>
      <c r="AD64" s="70"/>
      <c r="AE64" s="85">
        <f>AVERAGE(AE13,AE38,AE41,AE48,AE54,AE57,AE61)</f>
        <v>61.83780679193444</v>
      </c>
      <c r="AF64" s="72"/>
      <c r="AG64" s="71"/>
      <c r="AH64" s="105"/>
      <c r="AI64" s="71"/>
      <c r="AJ64" s="71"/>
      <c r="AK64" s="72"/>
      <c r="AL64" s="73"/>
      <c r="AM64" s="11"/>
    </row>
    <row r="65" spans="1:39" ht="15" x14ac:dyDescent="0.2">
      <c r="A65" s="127" t="s">
        <v>25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9"/>
      <c r="AB65" s="29" t="str">
        <f>IF(AB64&gt;=91,"Sangat Tinggi",IF(AB64&gt;=76,"Tinggi",IF(AB64&gt;=66,"Sedang",IF(AB64&gt;=51,"Rendah",IF(AB64&lt;=50,"Sangat Rendah")))))</f>
        <v>Tinggi</v>
      </c>
      <c r="AC65" s="72"/>
      <c r="AD65" s="74"/>
      <c r="AE65" s="29" t="str">
        <f>IF(AE64&gt;=91,"Sangat Tinggi",IF(AE64&gt;=76,"Tinggi",IF(AE64&gt;=66,"Sedang",IF(AE64&gt;=51,"Rendah",IF(AE64&lt;=50,"Sangat Rendah")))))</f>
        <v>Rendah</v>
      </c>
      <c r="AF65" s="72"/>
      <c r="AG65" s="75"/>
      <c r="AH65" s="105"/>
      <c r="AI65" s="76"/>
      <c r="AJ65" s="75"/>
      <c r="AK65" s="72"/>
      <c r="AL65" s="77"/>
      <c r="AM65" s="11"/>
    </row>
    <row r="66" spans="1:39" ht="15" x14ac:dyDescent="0.2">
      <c r="A66" s="130" t="s">
        <v>26</v>
      </c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1"/>
    </row>
    <row r="67" spans="1:39" ht="15" x14ac:dyDescent="0.2">
      <c r="A67" s="130" t="s">
        <v>27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1"/>
    </row>
    <row r="68" spans="1:39" ht="15" x14ac:dyDescent="0.2">
      <c r="A68" s="130" t="s">
        <v>28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1"/>
    </row>
    <row r="69" spans="1:39" ht="15" x14ac:dyDescent="0.2">
      <c r="A69" s="130" t="s">
        <v>29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30"/>
    </row>
    <row r="70" spans="1:39" ht="15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110"/>
      <c r="AA70" s="103"/>
      <c r="AB70" s="31"/>
      <c r="AC70" s="32"/>
      <c r="AD70" s="31"/>
      <c r="AE70" s="31"/>
      <c r="AF70" s="32"/>
      <c r="AG70" s="31"/>
      <c r="AH70" s="103"/>
      <c r="AI70" s="31"/>
      <c r="AJ70" s="31"/>
      <c r="AK70" s="32"/>
      <c r="AL70" s="31"/>
    </row>
    <row r="71" spans="1:39" ht="15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171" t="s">
        <v>56</v>
      </c>
      <c r="AA71" s="171"/>
      <c r="AB71" s="171"/>
      <c r="AC71" s="171"/>
      <c r="AD71" s="171"/>
      <c r="AE71" s="171"/>
      <c r="AF71" s="32"/>
      <c r="AG71" s="31"/>
      <c r="AH71" s="171" t="s">
        <v>57</v>
      </c>
      <c r="AI71" s="171"/>
      <c r="AJ71" s="171"/>
      <c r="AK71" s="171"/>
      <c r="AL71" s="171"/>
      <c r="AM71" s="171"/>
    </row>
    <row r="72" spans="1:39" ht="15.75" x14ac:dyDescent="0.25">
      <c r="A72" s="37"/>
      <c r="B72" s="38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171" t="s">
        <v>167</v>
      </c>
      <c r="AA72" s="171"/>
      <c r="AB72" s="171"/>
      <c r="AC72" s="171"/>
      <c r="AD72" s="171"/>
      <c r="AE72" s="171"/>
      <c r="AF72" s="32"/>
      <c r="AG72" s="31"/>
      <c r="AH72" s="171" t="s">
        <v>167</v>
      </c>
      <c r="AI72" s="171"/>
      <c r="AJ72" s="171"/>
      <c r="AK72" s="171"/>
      <c r="AL72" s="171"/>
      <c r="AM72" s="171"/>
    </row>
    <row r="73" spans="1:39" ht="15" x14ac:dyDescent="0.2">
      <c r="Z73" s="171" t="s">
        <v>62</v>
      </c>
      <c r="AA73" s="171"/>
      <c r="AB73" s="171"/>
      <c r="AC73" s="171"/>
      <c r="AD73" s="171"/>
      <c r="AE73" s="171"/>
      <c r="AH73" s="171" t="s">
        <v>58</v>
      </c>
      <c r="AI73" s="171"/>
      <c r="AJ73" s="171"/>
      <c r="AK73" s="171"/>
      <c r="AL73" s="171"/>
      <c r="AM73" s="171"/>
    </row>
    <row r="74" spans="1:39" ht="15" x14ac:dyDescent="0.2">
      <c r="Z74" s="171" t="s">
        <v>59</v>
      </c>
      <c r="AA74" s="171"/>
      <c r="AB74" s="171"/>
      <c r="AC74" s="171"/>
      <c r="AD74" s="171"/>
      <c r="AE74" s="171"/>
      <c r="AH74" s="171" t="s">
        <v>59</v>
      </c>
      <c r="AI74" s="171"/>
      <c r="AJ74" s="171"/>
      <c r="AK74" s="171"/>
      <c r="AL74" s="171"/>
      <c r="AM74" s="171"/>
    </row>
    <row r="75" spans="1:39" ht="25.5" x14ac:dyDescent="0.2">
      <c r="A75" s="34" t="s">
        <v>30</v>
      </c>
      <c r="B75" s="34" t="s">
        <v>31</v>
      </c>
      <c r="C75" s="34" t="s">
        <v>32</v>
      </c>
      <c r="Z75" s="110"/>
      <c r="AA75" s="103"/>
      <c r="AB75" s="31"/>
      <c r="AC75" s="32"/>
      <c r="AD75" s="31"/>
      <c r="AH75" s="106"/>
      <c r="AI75" s="32"/>
      <c r="AJ75" s="31"/>
      <c r="AK75" s="32"/>
      <c r="AL75" s="31"/>
    </row>
    <row r="76" spans="1:39" ht="25.5" x14ac:dyDescent="0.25">
      <c r="A76" s="35" t="s">
        <v>33</v>
      </c>
      <c r="B76" s="35" t="s">
        <v>34</v>
      </c>
      <c r="C76" s="35" t="s">
        <v>35</v>
      </c>
      <c r="Z76" s="172" t="s">
        <v>63</v>
      </c>
      <c r="AA76" s="172"/>
      <c r="AB76" s="172"/>
      <c r="AC76" s="172"/>
      <c r="AD76" s="172"/>
      <c r="AE76" s="172"/>
      <c r="AH76" s="172" t="s">
        <v>60</v>
      </c>
      <c r="AI76" s="172"/>
      <c r="AJ76" s="172"/>
      <c r="AK76" s="172"/>
      <c r="AL76" s="172"/>
      <c r="AM76" s="172"/>
    </row>
    <row r="77" spans="1:39" ht="25.5" x14ac:dyDescent="0.2">
      <c r="A77" s="35" t="s">
        <v>36</v>
      </c>
      <c r="B77" s="35" t="s">
        <v>37</v>
      </c>
      <c r="C77" s="35" t="s">
        <v>38</v>
      </c>
      <c r="Z77" s="173" t="s">
        <v>64</v>
      </c>
      <c r="AA77" s="173"/>
      <c r="AB77" s="173"/>
      <c r="AC77" s="173"/>
      <c r="AD77" s="173"/>
      <c r="AE77" s="173"/>
      <c r="AH77" s="173" t="s">
        <v>61</v>
      </c>
      <c r="AI77" s="173"/>
      <c r="AJ77" s="173"/>
      <c r="AK77" s="173"/>
      <c r="AL77" s="173"/>
      <c r="AM77" s="173"/>
    </row>
    <row r="78" spans="1:39" ht="25.5" x14ac:dyDescent="0.2">
      <c r="A78" s="35" t="s">
        <v>39</v>
      </c>
      <c r="B78" s="35" t="s">
        <v>40</v>
      </c>
      <c r="C78" s="35" t="s">
        <v>41</v>
      </c>
    </row>
    <row r="79" spans="1:39" ht="25.5" x14ac:dyDescent="0.2">
      <c r="A79" s="35" t="s">
        <v>42</v>
      </c>
      <c r="B79" s="35" t="s">
        <v>43</v>
      </c>
      <c r="C79" s="35" t="s">
        <v>44</v>
      </c>
    </row>
    <row r="80" spans="1:39" ht="25.5" x14ac:dyDescent="0.2">
      <c r="A80" s="35" t="s">
        <v>45</v>
      </c>
      <c r="B80" s="36" t="s">
        <v>46</v>
      </c>
      <c r="C80" s="35" t="s">
        <v>47</v>
      </c>
    </row>
  </sheetData>
  <mergeCells count="82">
    <mergeCell ref="Z74:AE74"/>
    <mergeCell ref="AH74:AM74"/>
    <mergeCell ref="Z76:AE76"/>
    <mergeCell ref="AH76:AM76"/>
    <mergeCell ref="Z77:AE77"/>
    <mergeCell ref="AH77:AM77"/>
    <mergeCell ref="Z71:AE71"/>
    <mergeCell ref="AH71:AM71"/>
    <mergeCell ref="Z72:AE72"/>
    <mergeCell ref="AH72:AM72"/>
    <mergeCell ref="Z73:AE73"/>
    <mergeCell ref="AH73:AM73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69:AL69"/>
    <mergeCell ref="A66:AL66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64:AA64"/>
    <mergeCell ref="AJ11:AK11"/>
    <mergeCell ref="A65:AA65"/>
    <mergeCell ref="A67:AL67"/>
    <mergeCell ref="A68:AL68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</mergeCells>
  <printOptions horizontalCentered="1"/>
  <pageMargins left="0.23622047244094491" right="0.23622047244094491" top="3.937007874015748E-2" bottom="3.937007874015748E-2" header="0" footer="0"/>
  <pageSetup paperSize="256" scale="30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Perdagangan</vt:lpstr>
      <vt:lpstr>'Dinas Perdagangan'!Print_Area</vt:lpstr>
      <vt:lpstr>'Dinas Perdagangan'!Print_Titles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2020-06-02T00:46:16Z</cp:lastPrinted>
  <dcterms:created xsi:type="dcterms:W3CDTF">2020-03-18T05:59:44Z</dcterms:created>
  <dcterms:modified xsi:type="dcterms:W3CDTF">2021-12-24T02:11:39Z</dcterms:modified>
</cp:coreProperties>
</file>