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spera,KPLH" sheetId="1" r:id="rId1"/>
  </sheets>
  <definedNames>
    <definedName name="_xlnm.Print_Area" localSheetId="0">'Dispera,KPLH'!$A$1:$AM$92</definedName>
    <definedName name="_xlnm.Print_Titles" localSheetId="0">'Dispera,KPLH'!$7:$12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4" i="1" l="1"/>
  <c r="M64" i="1"/>
  <c r="M53" i="1"/>
  <c r="E52" i="1" l="1"/>
  <c r="K52" i="1" l="1"/>
  <c r="W52" i="1"/>
  <c r="H52" i="1"/>
  <c r="AD69" i="1" l="1"/>
  <c r="AB40" i="1" l="1"/>
  <c r="AB38" i="1"/>
  <c r="AB49" i="1"/>
  <c r="AB37" i="1"/>
  <c r="AB35" i="1"/>
  <c r="AB34" i="1"/>
  <c r="AB43" i="1"/>
  <c r="AB50" i="1" l="1"/>
  <c r="Z49" i="1"/>
  <c r="AB36" i="1"/>
  <c r="AG36" i="1"/>
  <c r="Z35" i="1"/>
  <c r="Z34" i="1"/>
  <c r="W47" i="1" l="1"/>
  <c r="T47" i="1"/>
  <c r="AB56" i="1"/>
  <c r="AB66" i="1"/>
  <c r="AB67" i="1"/>
  <c r="W65" i="1"/>
  <c r="T65" i="1"/>
  <c r="Q65" i="1"/>
  <c r="N65" i="1"/>
  <c r="T64" i="1"/>
  <c r="Q64" i="1"/>
  <c r="N64" i="1"/>
  <c r="AG50" i="1" l="1"/>
  <c r="AE50" i="1"/>
  <c r="N66" i="1" l="1"/>
  <c r="H66" i="1"/>
  <c r="H65" i="1"/>
  <c r="Z64" i="1"/>
  <c r="H64" i="1"/>
  <c r="W66" i="1"/>
  <c r="Z66" i="1" s="1"/>
  <c r="K66" i="1"/>
  <c r="AG49" i="1" l="1"/>
  <c r="AG34" i="1"/>
  <c r="W46" i="1" l="1"/>
  <c r="W43" i="1"/>
  <c r="W42" i="1"/>
  <c r="W37" i="1"/>
  <c r="W36" i="1"/>
  <c r="W35" i="1"/>
  <c r="Z67" i="1" l="1"/>
  <c r="Z68" i="1"/>
  <c r="Z69" i="1"/>
  <c r="Z70" i="1"/>
  <c r="AE67" i="1"/>
  <c r="W17" i="1"/>
  <c r="Y64" i="1"/>
  <c r="Y53" i="1"/>
  <c r="Y49" i="1"/>
  <c r="W49" i="1"/>
  <c r="Y46" i="1"/>
  <c r="Y42" i="1"/>
  <c r="Y35" i="1"/>
  <c r="W34" i="1"/>
  <c r="Y27" i="1"/>
  <c r="Y20" i="1"/>
  <c r="Y16" i="1"/>
  <c r="Y52" i="1" l="1"/>
  <c r="Y34" i="1"/>
  <c r="M52" i="1"/>
  <c r="M34" i="1" l="1"/>
  <c r="M49" i="1"/>
  <c r="M35" i="1"/>
  <c r="M42" i="1"/>
  <c r="J35" i="1" l="1"/>
  <c r="J34" i="1" s="1"/>
  <c r="T56" i="1" l="1"/>
  <c r="Q49" i="1"/>
  <c r="T49" i="1"/>
  <c r="T46" i="1"/>
  <c r="T42" i="1"/>
  <c r="T43" i="1"/>
  <c r="T34" i="1"/>
  <c r="H34" i="1"/>
  <c r="T37" i="1"/>
  <c r="T36" i="1"/>
  <c r="T35" i="1"/>
  <c r="T17" i="1"/>
  <c r="Q17" i="1"/>
  <c r="T66" i="1"/>
  <c r="V64" i="1"/>
  <c r="V53" i="1"/>
  <c r="V49" i="1"/>
  <c r="V46" i="1"/>
  <c r="V42" i="1"/>
  <c r="V35" i="1"/>
  <c r="V27" i="1"/>
  <c r="V20" i="1"/>
  <c r="V16" i="1"/>
  <c r="V52" i="1" l="1"/>
  <c r="V34" i="1"/>
  <c r="J64" i="1"/>
  <c r="J53" i="1"/>
  <c r="J52" i="1"/>
  <c r="S35" i="1" l="1"/>
  <c r="J42" i="1"/>
  <c r="H42" i="1"/>
  <c r="Q66" i="1" l="1"/>
  <c r="S64" i="1"/>
  <c r="S53" i="1"/>
  <c r="S49" i="1"/>
  <c r="S34" i="1" s="1"/>
  <c r="S46" i="1"/>
  <c r="S42" i="1"/>
  <c r="S27" i="1"/>
  <c r="S20" i="1"/>
  <c r="S16" i="1"/>
  <c r="S52" i="1" l="1"/>
  <c r="J27" i="1" l="1"/>
  <c r="J20" i="1"/>
  <c r="J46" i="1" l="1"/>
  <c r="G42" i="1" l="1"/>
  <c r="P53" i="1" l="1"/>
  <c r="G53" i="1"/>
  <c r="H56" i="1"/>
  <c r="AD53" i="1"/>
  <c r="Z53" i="1"/>
  <c r="AG53" i="1" s="1"/>
  <c r="H51" i="1"/>
  <c r="H49" i="1"/>
  <c r="H47" i="1"/>
  <c r="H46" i="1"/>
  <c r="K34" i="1"/>
  <c r="H35" i="1"/>
  <c r="H37" i="1"/>
  <c r="H36" i="1"/>
  <c r="P35" i="1"/>
  <c r="AD35" i="1" s="1"/>
  <c r="G35" i="1"/>
  <c r="Z37" i="1"/>
  <c r="Z36" i="1"/>
  <c r="H43" i="1"/>
  <c r="AE35" i="1" l="1"/>
  <c r="AI53" i="1"/>
  <c r="AL53" i="1" s="1"/>
  <c r="AE53" i="1"/>
  <c r="AJ53" i="1"/>
  <c r="AB53" i="1"/>
  <c r="AG37" i="1"/>
  <c r="AJ37" i="1" s="1"/>
  <c r="AJ36" i="1"/>
  <c r="AG35" i="1"/>
  <c r="AJ35" i="1" s="1"/>
  <c r="AI35" i="1"/>
  <c r="AL35" i="1" s="1"/>
  <c r="Z43" i="1"/>
  <c r="AG43" i="1" l="1"/>
  <c r="AJ43" i="1" s="1"/>
  <c r="Z65" i="1"/>
  <c r="P46" i="1"/>
  <c r="P42" i="1"/>
  <c r="P27" i="1"/>
  <c r="P20" i="1"/>
  <c r="N17" i="1"/>
  <c r="P64" i="1"/>
  <c r="P52" i="1" s="1"/>
  <c r="P49" i="1"/>
  <c r="P16" i="1"/>
  <c r="AI71" i="1"/>
  <c r="AL71" i="1" s="1"/>
  <c r="AG71" i="1"/>
  <c r="AJ71" i="1" s="1"/>
  <c r="AI63" i="1"/>
  <c r="AL63" i="1" s="1"/>
  <c r="AG63" i="1"/>
  <c r="AJ63" i="1" s="1"/>
  <c r="J49" i="1"/>
  <c r="G46" i="1"/>
  <c r="G32" i="1"/>
  <c r="J32" i="1"/>
  <c r="AI33" i="1"/>
  <c r="AL33" i="1" s="1"/>
  <c r="AG33" i="1"/>
  <c r="AJ33" i="1" s="1"/>
  <c r="AG32" i="1"/>
  <c r="AJ32" i="1" s="1"/>
  <c r="AG66" i="1" l="1"/>
  <c r="AG65" i="1"/>
  <c r="AJ65" i="1" s="1"/>
  <c r="AB65" i="1"/>
  <c r="AG41" i="1"/>
  <c r="AJ41" i="1" s="1"/>
  <c r="P34" i="1"/>
  <c r="AI32" i="1"/>
  <c r="AL32" i="1" s="1"/>
  <c r="E31" i="1"/>
  <c r="E62" i="1"/>
  <c r="E61" i="1"/>
  <c r="E60" i="1"/>
  <c r="G49" i="1"/>
  <c r="G34" i="1" s="1"/>
  <c r="E40" i="1"/>
  <c r="AJ66" i="1" l="1"/>
  <c r="M27" i="1"/>
  <c r="G27" i="1"/>
  <c r="G20" i="1"/>
  <c r="E38" i="1" l="1"/>
  <c r="E19" i="1" l="1"/>
  <c r="E18" i="1"/>
  <c r="G19" i="1"/>
  <c r="G18" i="1"/>
  <c r="G64" i="1"/>
  <c r="G52" i="1" s="1"/>
  <c r="J16" i="1"/>
  <c r="M16" i="1"/>
  <c r="G16" i="1" l="1"/>
  <c r="Z17" i="1"/>
  <c r="AG17" i="1" l="1"/>
  <c r="AJ17" i="1" s="1"/>
  <c r="AB17" i="1"/>
  <c r="AD70" i="1"/>
  <c r="Z55" i="1"/>
  <c r="Z54" i="1"/>
  <c r="AD62" i="1"/>
  <c r="Z62" i="1"/>
  <c r="AD60" i="1"/>
  <c r="Z60" i="1"/>
  <c r="AD59" i="1"/>
  <c r="Z59" i="1"/>
  <c r="M46" i="1"/>
  <c r="AI70" i="1" l="1"/>
  <c r="AL70" i="1" s="1"/>
  <c r="AE70" i="1"/>
  <c r="AI58" i="1"/>
  <c r="AL58" i="1" s="1"/>
  <c r="AI60" i="1"/>
  <c r="AL60" i="1" s="1"/>
  <c r="AE60" i="1"/>
  <c r="AI62" i="1"/>
  <c r="AL62" i="1" s="1"/>
  <c r="AE62" i="1"/>
  <c r="AI59" i="1"/>
  <c r="AL59" i="1" s="1"/>
  <c r="AE59" i="1"/>
  <c r="AI61" i="1"/>
  <c r="AL61" i="1" s="1"/>
  <c r="AG59" i="1"/>
  <c r="AJ59" i="1" s="1"/>
  <c r="AB59" i="1"/>
  <c r="AG61" i="1"/>
  <c r="AJ61" i="1" s="1"/>
  <c r="AG54" i="1"/>
  <c r="AJ54" i="1" s="1"/>
  <c r="AB54" i="1"/>
  <c r="AG55" i="1"/>
  <c r="AJ55" i="1" s="1"/>
  <c r="AB55" i="1"/>
  <c r="AG58" i="1"/>
  <c r="AJ58" i="1" s="1"/>
  <c r="AG60" i="1"/>
  <c r="AJ60" i="1" s="1"/>
  <c r="AB60" i="1"/>
  <c r="AG62" i="1"/>
  <c r="AJ62" i="1" s="1"/>
  <c r="AB62" i="1"/>
  <c r="AG70" i="1"/>
  <c r="AJ70" i="1" s="1"/>
  <c r="AB70" i="1"/>
  <c r="AD40" i="1"/>
  <c r="Z40" i="1"/>
  <c r="AD39" i="1"/>
  <c r="Z39" i="1"/>
  <c r="AD31" i="1"/>
  <c r="Z31" i="1"/>
  <c r="AD30" i="1"/>
  <c r="Z30" i="1"/>
  <c r="AI39" i="1" l="1"/>
  <c r="AL39" i="1" s="1"/>
  <c r="AE39" i="1"/>
  <c r="AI40" i="1"/>
  <c r="AL40" i="1" s="1"/>
  <c r="AE40" i="1"/>
  <c r="AI30" i="1"/>
  <c r="AL30" i="1" s="1"/>
  <c r="AE30" i="1"/>
  <c r="AI31" i="1"/>
  <c r="AL31" i="1" s="1"/>
  <c r="AE31" i="1"/>
  <c r="AG31" i="1"/>
  <c r="AJ31" i="1" s="1"/>
  <c r="AB31" i="1"/>
  <c r="AG40" i="1"/>
  <c r="AJ40" i="1" s="1"/>
  <c r="AG30" i="1"/>
  <c r="AJ30" i="1" s="1"/>
  <c r="AB30" i="1"/>
  <c r="AG39" i="1"/>
  <c r="AJ39" i="1" s="1"/>
  <c r="AB39" i="1"/>
  <c r="M20" i="1"/>
  <c r="AD68" i="1"/>
  <c r="AE68" i="1" s="1"/>
  <c r="AD67" i="1"/>
  <c r="AI67" i="1" s="1"/>
  <c r="AL67" i="1" s="1"/>
  <c r="AD64" i="1"/>
  <c r="AD56" i="1"/>
  <c r="Z56" i="1"/>
  <c r="AD52" i="1"/>
  <c r="Z52" i="1"/>
  <c r="AD51" i="1"/>
  <c r="Z51" i="1"/>
  <c r="AD50" i="1"/>
  <c r="Z50" i="1"/>
  <c r="AD49" i="1"/>
  <c r="AE49" i="1" s="1"/>
  <c r="AD48" i="1"/>
  <c r="Z48" i="1"/>
  <c r="AD47" i="1"/>
  <c r="Z47" i="1"/>
  <c r="AD46" i="1"/>
  <c r="Z46" i="1"/>
  <c r="AD45" i="1"/>
  <c r="Z45" i="1"/>
  <c r="AG45" i="1" s="1"/>
  <c r="AD44" i="1"/>
  <c r="Z44" i="1"/>
  <c r="AD42" i="1"/>
  <c r="Z42" i="1"/>
  <c r="AD38" i="1"/>
  <c r="Z38" i="1"/>
  <c r="AD34" i="1"/>
  <c r="AD29" i="1"/>
  <c r="Z29" i="1"/>
  <c r="AD28" i="1"/>
  <c r="Z28" i="1"/>
  <c r="AD27" i="1"/>
  <c r="Z27" i="1"/>
  <c r="AD26" i="1"/>
  <c r="Z26" i="1"/>
  <c r="AD25" i="1"/>
  <c r="Z25" i="1"/>
  <c r="AP24" i="1"/>
  <c r="AD24" i="1"/>
  <c r="Z24" i="1"/>
  <c r="AP23" i="1"/>
  <c r="AP22" i="1"/>
  <c r="AD22" i="1"/>
  <c r="Z22" i="1"/>
  <c r="AP21" i="1"/>
  <c r="AD21" i="1"/>
  <c r="Z21" i="1"/>
  <c r="AD20" i="1"/>
  <c r="Z20" i="1"/>
  <c r="AD18" i="1"/>
  <c r="Z18" i="1"/>
  <c r="AD19" i="1"/>
  <c r="Z19" i="1"/>
  <c r="AP16" i="1"/>
  <c r="AD16" i="1"/>
  <c r="Z16" i="1"/>
  <c r="AI69" i="1" l="1"/>
  <c r="AL69" i="1" s="1"/>
  <c r="AE69" i="1"/>
  <c r="AI64" i="1"/>
  <c r="AL64" i="1" s="1"/>
  <c r="AE64" i="1"/>
  <c r="AE72" i="1" s="1"/>
  <c r="AI68" i="1"/>
  <c r="AL68" i="1" s="1"/>
  <c r="AI52" i="1"/>
  <c r="AL52" i="1" s="1"/>
  <c r="AE52" i="1"/>
  <c r="AI57" i="1"/>
  <c r="AL57" i="1" s="1"/>
  <c r="AI56" i="1"/>
  <c r="AL56" i="1" s="1"/>
  <c r="AE56" i="1"/>
  <c r="AI50" i="1"/>
  <c r="AL50" i="1" s="1"/>
  <c r="AI49" i="1"/>
  <c r="AL49" i="1" s="1"/>
  <c r="AI51" i="1"/>
  <c r="AL51" i="1" s="1"/>
  <c r="AE51" i="1"/>
  <c r="AI46" i="1"/>
  <c r="AL46" i="1" s="1"/>
  <c r="AE46" i="1"/>
  <c r="AI48" i="1"/>
  <c r="AL48" i="1" s="1"/>
  <c r="AE48" i="1"/>
  <c r="AI47" i="1"/>
  <c r="AL47" i="1" s="1"/>
  <c r="AE47" i="1"/>
  <c r="AI44" i="1"/>
  <c r="AL44" i="1" s="1"/>
  <c r="AE44" i="1"/>
  <c r="AI42" i="1"/>
  <c r="AL42" i="1" s="1"/>
  <c r="AE42" i="1"/>
  <c r="AI45" i="1"/>
  <c r="AL45" i="1" s="1"/>
  <c r="AE45" i="1"/>
  <c r="AI38" i="1"/>
  <c r="AL38" i="1" s="1"/>
  <c r="AE38" i="1"/>
  <c r="AI34" i="1"/>
  <c r="AL34" i="1" s="1"/>
  <c r="AE34" i="1"/>
  <c r="AI29" i="1"/>
  <c r="AL29" i="1" s="1"/>
  <c r="AE29" i="1"/>
  <c r="AI27" i="1"/>
  <c r="AL27" i="1" s="1"/>
  <c r="AE27" i="1"/>
  <c r="AI28" i="1"/>
  <c r="AL28" i="1" s="1"/>
  <c r="AE28" i="1"/>
  <c r="AI22" i="1"/>
  <c r="AL22" i="1" s="1"/>
  <c r="AE22" i="1"/>
  <c r="AI21" i="1"/>
  <c r="AL21" i="1" s="1"/>
  <c r="AE21" i="1"/>
  <c r="AI25" i="1"/>
  <c r="AL25" i="1" s="1"/>
  <c r="AE25" i="1"/>
  <c r="AI24" i="1"/>
  <c r="AL24" i="1" s="1"/>
  <c r="AE24" i="1"/>
  <c r="AI20" i="1"/>
  <c r="AL20" i="1" s="1"/>
  <c r="AE20" i="1"/>
  <c r="AI23" i="1"/>
  <c r="AL23" i="1" s="1"/>
  <c r="AI26" i="1"/>
  <c r="AL26" i="1" s="1"/>
  <c r="AE26" i="1"/>
  <c r="AI19" i="1"/>
  <c r="AL19" i="1" s="1"/>
  <c r="AE19" i="1"/>
  <c r="AI16" i="1"/>
  <c r="AL16" i="1" s="1"/>
  <c r="AE16" i="1"/>
  <c r="AI18" i="1"/>
  <c r="AL18" i="1" s="1"/>
  <c r="AE18" i="1"/>
  <c r="AG25" i="1"/>
  <c r="AJ25" i="1" s="1"/>
  <c r="AB25" i="1"/>
  <c r="AG38" i="1"/>
  <c r="AJ38" i="1" s="1"/>
  <c r="AG44" i="1"/>
  <c r="AJ44" i="1" s="1"/>
  <c r="AB44" i="1"/>
  <c r="AJ50" i="1"/>
  <c r="AG67" i="1"/>
  <c r="AJ67" i="1" s="1"/>
  <c r="AG24" i="1"/>
  <c r="AJ24" i="1" s="1"/>
  <c r="AB24" i="1"/>
  <c r="AG18" i="1"/>
  <c r="AJ18" i="1" s="1"/>
  <c r="AB18" i="1"/>
  <c r="AG27" i="1"/>
  <c r="AJ27" i="1" s="1"/>
  <c r="AB27" i="1"/>
  <c r="AG48" i="1"/>
  <c r="AJ48" i="1" s="1"/>
  <c r="AB48" i="1"/>
  <c r="AG69" i="1"/>
  <c r="AJ69" i="1" s="1"/>
  <c r="AB69" i="1"/>
  <c r="AG19" i="1"/>
  <c r="AJ19" i="1" s="1"/>
  <c r="AB19" i="1"/>
  <c r="AG20" i="1"/>
  <c r="AJ20" i="1" s="1"/>
  <c r="AB20" i="1"/>
  <c r="AG23" i="1"/>
  <c r="AJ23" i="1" s="1"/>
  <c r="AG26" i="1"/>
  <c r="AJ26" i="1" s="1"/>
  <c r="AB26" i="1"/>
  <c r="AG28" i="1"/>
  <c r="AJ28" i="1" s="1"/>
  <c r="AB28" i="1"/>
  <c r="AJ34" i="1"/>
  <c r="AG42" i="1"/>
  <c r="AJ42" i="1" s="1"/>
  <c r="AB42" i="1"/>
  <c r="AJ45" i="1"/>
  <c r="AB45" i="1"/>
  <c r="AG47" i="1"/>
  <c r="AJ47" i="1" s="1"/>
  <c r="AB47" i="1"/>
  <c r="AJ49" i="1"/>
  <c r="AG51" i="1"/>
  <c r="AJ51" i="1" s="1"/>
  <c r="AB51" i="1"/>
  <c r="AG56" i="1"/>
  <c r="AJ56" i="1" s="1"/>
  <c r="AG64" i="1"/>
  <c r="AJ64" i="1" s="1"/>
  <c r="AB64" i="1"/>
  <c r="AG68" i="1"/>
  <c r="AJ68" i="1" s="1"/>
  <c r="AB68" i="1"/>
  <c r="AG21" i="1"/>
  <c r="AJ21" i="1" s="1"/>
  <c r="AB21" i="1"/>
  <c r="AG29" i="1"/>
  <c r="AJ29" i="1" s="1"/>
  <c r="AB29" i="1"/>
  <c r="AG46" i="1"/>
  <c r="AJ46" i="1" s="1"/>
  <c r="AB46" i="1"/>
  <c r="AG52" i="1"/>
  <c r="AJ52" i="1" s="1"/>
  <c r="AB52" i="1"/>
  <c r="AG57" i="1"/>
  <c r="AJ57" i="1" s="1"/>
  <c r="AG22" i="1"/>
  <c r="AJ22" i="1" s="1"/>
  <c r="AB22" i="1"/>
  <c r="AG16" i="1"/>
  <c r="AE73" i="1" l="1"/>
  <c r="AJ16" i="1"/>
  <c r="AB16" i="1"/>
  <c r="AB72" i="1" l="1"/>
  <c r="AB73" i="1" s="1"/>
</calcChain>
</file>

<file path=xl/comments1.xml><?xml version="1.0" encoding="utf-8"?>
<comments xmlns="http://schemas.openxmlformats.org/spreadsheetml/2006/main">
  <authors>
    <author>W10 PRO</author>
  </authors>
  <commentList>
    <comment ref="J29" authorId="0" shapeId="0">
      <text>
        <r>
          <rPr>
            <b/>
            <sz val="11"/>
            <color indexed="81"/>
            <rFont val="Tahoma"/>
            <family val="2"/>
          </rPr>
          <t>perawatan berkala perlengkapan kantor</t>
        </r>
      </text>
    </comment>
    <comment ref="D34" authorId="0" shapeId="0">
      <text>
        <r>
          <rPr>
            <b/>
            <sz val="11"/>
            <color indexed="81"/>
            <rFont val="Tahoma"/>
            <family val="2"/>
          </rPr>
          <t>akumulasi prog lingkungan perumahan, penerangan jalan umum, penataan tanah</t>
        </r>
      </text>
    </comment>
    <comment ref="H35" authorId="0" shapeId="0">
      <text>
        <r>
          <rPr>
            <b/>
            <sz val="11"/>
            <color indexed="81"/>
            <rFont val="Tahoma"/>
            <family val="2"/>
          </rPr>
          <t>Jumlah peningkatan kualitas RTLH yg terlayani/jumlah RTLH di kab.hss dikali 100</t>
        </r>
      </text>
    </comment>
    <comment ref="T35" authorId="0" shapeId="0">
      <text>
        <r>
          <rPr>
            <b/>
            <sz val="11"/>
            <color indexed="81"/>
            <rFont val="Tahoma"/>
            <family val="2"/>
          </rPr>
          <t>Jumlah peningkatan kualitas RTLH yg terlayani/jumlah RTLH di kab.hss dikali 100</t>
        </r>
      </text>
    </comment>
    <comment ref="W35" authorId="0" shapeId="0">
      <text>
        <r>
          <rPr>
            <b/>
            <sz val="11"/>
            <color indexed="81"/>
            <rFont val="Tahoma"/>
            <family val="2"/>
          </rPr>
          <t>Jumlah peningkatan kualitas RTLH yg terlayani/jumlah RTLH di kab.hss dikali 100</t>
        </r>
      </text>
    </comment>
    <comment ref="H36" authorId="0" shapeId="0">
      <text>
        <r>
          <rPr>
            <b/>
            <sz val="11"/>
            <color indexed="81"/>
            <rFont val="Tahoma"/>
            <family val="2"/>
          </rPr>
          <t>Jumlah PSU perumahan yg terlayani/jumlah perumahan di kab hss dikali 100</t>
        </r>
      </text>
    </comment>
    <comment ref="T36" authorId="0" shapeId="0">
      <text>
        <r>
          <rPr>
            <b/>
            <sz val="11"/>
            <color indexed="81"/>
            <rFont val="Tahoma"/>
            <family val="2"/>
          </rPr>
          <t>Jumlah PSU perumahan yg terlayani/jumlah perumahan di kab hss dikali 100</t>
        </r>
      </text>
    </comment>
    <comment ref="W36" authorId="0" shapeId="0">
      <text>
        <r>
          <rPr>
            <b/>
            <sz val="11"/>
            <color indexed="81"/>
            <rFont val="Tahoma"/>
            <family val="2"/>
          </rPr>
          <t>Jumlah PSU perumahan yg terlayani/jumlah perumahan di kab hss dikali 100</t>
        </r>
      </text>
    </comment>
    <comment ref="H37" authorId="0" shapeId="0">
      <text>
        <r>
          <rPr>
            <b/>
            <sz val="12"/>
            <color indexed="81"/>
            <rFont val="Tahoma"/>
            <family val="2"/>
          </rPr>
          <t>Jumlah jalan permukiman terlayani/jumlah jalan permukiman dikali 100</t>
        </r>
      </text>
    </comment>
    <comment ref="T37" authorId="0" shapeId="0">
      <text>
        <r>
          <rPr>
            <b/>
            <sz val="12"/>
            <color indexed="81"/>
            <rFont val="Tahoma"/>
            <family val="2"/>
          </rPr>
          <t>Jumlah jalan permukiman terlayani/jumlah jalan permukiman dikali 100</t>
        </r>
      </text>
    </comment>
    <comment ref="W37" authorId="0" shapeId="0">
      <text>
        <r>
          <rPr>
            <b/>
            <sz val="12"/>
            <color indexed="81"/>
            <rFont val="Tahoma"/>
            <family val="2"/>
          </rPr>
          <t>Jumlah jalan permukiman terlayani/jumlah jalan permukiman dikali 100</t>
        </r>
      </text>
    </comment>
    <comment ref="H42" authorId="0" shapeId="0">
      <text>
        <r>
          <rPr>
            <b/>
            <sz val="11"/>
            <color indexed="81"/>
            <rFont val="Tahoma"/>
            <family val="2"/>
          </rPr>
          <t>Luas RTH publik yg dibangun/luas RTH yg dibutuhkan dikali 100</t>
        </r>
      </text>
    </comment>
    <comment ref="T42" authorId="0" shapeId="0">
      <text>
        <r>
          <rPr>
            <b/>
            <sz val="11"/>
            <color indexed="81"/>
            <rFont val="Tahoma"/>
            <family val="2"/>
          </rPr>
          <t>Luas RTH publik yg dibangun/luas RTH yg dibutuhkan dikali 100</t>
        </r>
      </text>
    </comment>
    <comment ref="W42" authorId="0" shapeId="0">
      <text>
        <r>
          <rPr>
            <b/>
            <sz val="11"/>
            <color indexed="81"/>
            <rFont val="Tahoma"/>
            <family val="2"/>
          </rPr>
          <t>Luas RTH publik yg dibangun/luas RTH yg dibutuhkan dikali 100</t>
        </r>
      </text>
    </comment>
    <comment ref="H43" authorId="0" shapeId="0">
      <text>
        <r>
          <rPr>
            <b/>
            <sz val="11"/>
            <color indexed="81"/>
            <rFont val="Tahoma"/>
            <family val="2"/>
          </rPr>
          <t>Jumlah RTH taman % kondisi baik/jumlah RTH taman dikali 100</t>
        </r>
      </text>
    </comment>
    <comment ref="T43" authorId="0" shapeId="0">
      <text>
        <r>
          <rPr>
            <b/>
            <sz val="11"/>
            <color indexed="81"/>
            <rFont val="Tahoma"/>
            <family val="2"/>
          </rPr>
          <t>Jumlah RTH taman % kondisi baik/jumlah RTH taman dikali 100</t>
        </r>
      </text>
    </comment>
    <comment ref="W43" authorId="0" shapeId="0">
      <text>
        <r>
          <rPr>
            <b/>
            <sz val="11"/>
            <color indexed="81"/>
            <rFont val="Tahoma"/>
            <family val="2"/>
          </rPr>
          <t>Jumlah RTH taman % kondisi baik/jumlah RTH taman dikali 100</t>
        </r>
      </text>
    </comment>
    <comment ref="H45" authorId="0" shapeId="0">
      <text>
        <r>
          <rPr>
            <b/>
            <sz val="12"/>
            <color indexed="81"/>
            <rFont val="Tahoma"/>
            <family val="2"/>
          </rPr>
          <t>Rata-rata persentase kondisi seluruh taman (RTH)</t>
        </r>
      </text>
    </comment>
    <comment ref="H46" authorId="0" shapeId="0">
      <text>
        <r>
          <rPr>
            <b/>
            <sz val="11"/>
            <color indexed="81"/>
            <rFont val="Tahoma"/>
            <family val="2"/>
          </rPr>
          <t>jumlah bid tanah yg teradministrasi/jumlah bid tanah (Jmlah total aset tanah s/d 2018) dikali 100</t>
        </r>
      </text>
    </comment>
    <comment ref="T46" authorId="0" shapeId="0">
      <text>
        <r>
          <rPr>
            <b/>
            <sz val="11"/>
            <color indexed="81"/>
            <rFont val="Tahoma"/>
            <family val="2"/>
          </rPr>
          <t>jumlah bid tanah yg teradministrasi/jumlah bid tanah (Jmlah total aset tanah s/d 2018) dikali 100</t>
        </r>
      </text>
    </comment>
    <comment ref="W46" authorId="0" shapeId="0">
      <text>
        <r>
          <rPr>
            <b/>
            <sz val="11"/>
            <color indexed="81"/>
            <rFont val="Tahoma"/>
            <family val="2"/>
          </rPr>
          <t>jumlah bid tanah yg teradministrasi/jumlah bid tanah (Jmlah total aset tanah s/d 2018) dikali 100</t>
        </r>
      </text>
    </comment>
    <comment ref="H47" authorId="0" shapeId="0">
      <text>
        <r>
          <rPr>
            <b/>
            <sz val="11"/>
            <color indexed="81"/>
            <rFont val="Tahoma"/>
            <family val="2"/>
          </rPr>
          <t>Jumlah rencana pengadaan yg terlaksana/jumlah rencana pelayanan pengadaan tanah dikali 100</t>
        </r>
      </text>
    </comment>
    <comment ref="H49" authorId="0" shapeId="0">
      <text>
        <r>
          <rPr>
            <b/>
            <sz val="11"/>
            <color indexed="81"/>
            <rFont val="Tahoma"/>
            <family val="2"/>
          </rPr>
          <t>Jumlah total PJU terpasang/Jumlah standar rasio PJU dikali 100</t>
        </r>
      </text>
    </comment>
    <comment ref="Q49" authorId="0" shapeId="0">
      <text>
        <r>
          <rPr>
            <b/>
            <sz val="11"/>
            <color indexed="81"/>
            <rFont val="Tahoma"/>
            <family val="2"/>
          </rPr>
          <t>Jumlah total PJU terpasang/Jumlah standar rasio PJU dikali 100</t>
        </r>
      </text>
    </comment>
    <comment ref="T49" authorId="0" shapeId="0">
      <text>
        <r>
          <rPr>
            <b/>
            <sz val="11"/>
            <color indexed="81"/>
            <rFont val="Tahoma"/>
            <family val="2"/>
          </rPr>
          <t>Jumlah total PJU terpasang/Jumlah standar rasio PJU dikali 100</t>
        </r>
      </text>
    </comment>
    <comment ref="W49" authorId="0" shapeId="0">
      <text>
        <r>
          <rPr>
            <b/>
            <sz val="11"/>
            <color indexed="81"/>
            <rFont val="Tahoma"/>
            <family val="2"/>
          </rPr>
          <t>Jumlah total PJU terpasang/Jumlah standar rasio PJU dikali 100</t>
        </r>
      </text>
    </comment>
    <comment ref="H51" authorId="0" shapeId="0">
      <text>
        <r>
          <rPr>
            <b/>
            <sz val="11"/>
            <color indexed="81"/>
            <rFont val="Tahoma"/>
            <family val="2"/>
          </rPr>
          <t>Jumlah PJU dalam kondisi baik/Jumlah seluruh PJU dikali 100</t>
        </r>
      </text>
    </comment>
    <comment ref="E52" authorId="0" shapeId="0">
      <text>
        <r>
          <rPr>
            <b/>
            <sz val="11"/>
            <color indexed="81"/>
            <rFont val="Tahoma"/>
            <family val="2"/>
          </rPr>
          <t>IKLH = (IKAx0,376)+(IKUx0,405)+(IKTLx0,219)</t>
        </r>
      </text>
    </comment>
    <comment ref="H52" authorId="0" shapeId="0">
      <text>
        <r>
          <rPr>
            <b/>
            <sz val="11"/>
            <color indexed="81"/>
            <rFont val="Tahoma"/>
            <family val="2"/>
          </rPr>
          <t>IKLH = (IKAx30%)+(IKUx30%)+(IKTLx40%)</t>
        </r>
      </text>
    </comment>
    <comment ref="K52" authorId="0" shapeId="0">
      <text>
        <r>
          <rPr>
            <b/>
            <sz val="11"/>
            <color indexed="81"/>
            <rFont val="Tahoma"/>
            <family val="2"/>
          </rPr>
          <t>IKLH = (IKAx0,376)+(IKUx0,405)+(IKTLx0,219)</t>
        </r>
      </text>
    </comment>
    <comment ref="W52" authorId="0" shapeId="0">
      <text>
        <r>
          <rPr>
            <b/>
            <sz val="11"/>
            <color indexed="81"/>
            <rFont val="Tahoma"/>
            <family val="2"/>
          </rPr>
          <t>IKLH = (IKAx0,376)+(IKUx0,405)+(IKTLx0,219)</t>
        </r>
      </text>
    </comment>
    <comment ref="H53" authorId="0" shapeId="0">
      <text>
        <r>
          <rPr>
            <b/>
            <sz val="11"/>
            <color indexed="81"/>
            <rFont val="Tahoma"/>
            <family val="2"/>
          </rPr>
          <t>perhitungan sesuai dengan kepmen LH 115/2003</t>
        </r>
      </text>
    </comment>
    <comment ref="H54" authorId="0" shapeId="0">
      <text>
        <r>
          <rPr>
            <b/>
            <sz val="11"/>
            <color indexed="81"/>
            <rFont val="Tahoma"/>
            <family val="2"/>
          </rPr>
          <t>perhitungan sesuai dengan kepmen LH 115/2003</t>
        </r>
      </text>
    </comment>
    <comment ref="H55" authorId="0" shapeId="0">
      <text>
        <r>
          <rPr>
            <b/>
            <sz val="11"/>
            <color indexed="81"/>
            <rFont val="Tahoma"/>
            <family val="2"/>
          </rPr>
          <t>Luas tutupan lahan/hutan dibagi luas wilayah kab.hss dikali 100</t>
        </r>
      </text>
    </comment>
    <comment ref="H56" authorId="0" shapeId="0">
      <text>
        <r>
          <rPr>
            <b/>
            <sz val="11"/>
            <color indexed="81"/>
            <rFont val="Tahoma"/>
            <family val="2"/>
          </rPr>
          <t>Jumlah Parameter yg dapat diuji s/d th 2019/Jumlah Rencana Jumlah s/d 2023</t>
        </r>
      </text>
    </comment>
    <comment ref="H64" authorId="0" shapeId="0">
      <text>
        <r>
          <rPr>
            <b/>
            <sz val="12"/>
            <color indexed="81"/>
            <rFont val="Tahoma"/>
            <family val="2"/>
          </rPr>
          <t>Jumlah tonase sampah TPA yg dikelola secara control landfill/potensi timbunan sampah per tahun dikali 100</t>
        </r>
      </text>
    </comment>
    <comment ref="N64" authorId="0" shapeId="0">
      <text>
        <r>
          <rPr>
            <b/>
            <sz val="12"/>
            <color indexed="81"/>
            <rFont val="Tahoma"/>
            <family val="2"/>
          </rPr>
          <t>Jumlah tonase sampah TPA yg dikelola secara control landfill/potensi timbunan sampah per tahun dikali 100</t>
        </r>
      </text>
    </comment>
    <comment ref="H65" authorId="0" shapeId="0">
      <text>
        <r>
          <rPr>
            <b/>
            <sz val="12"/>
            <color indexed="81"/>
            <rFont val="Tahoma"/>
            <family val="2"/>
          </rPr>
          <t>Jumlah tonase sampah yang diolah secara 3R/potensi timbunan sampah per tahun dikali 100</t>
        </r>
      </text>
    </comment>
    <comment ref="H66" authorId="0" shapeId="0">
      <text>
        <r>
          <rPr>
            <b/>
            <sz val="12"/>
            <color indexed="81"/>
            <rFont val="Tahoma"/>
            <family val="2"/>
          </rPr>
          <t>Jumlah luas layanan persampahan sd tahun 2019/Jumlah luas layanan persampahan sd tahun 2023</t>
        </r>
      </text>
    </comment>
  </commentList>
</comments>
</file>

<file path=xl/sharedStrings.xml><?xml version="1.0" encoding="utf-8"?>
<sst xmlns="http://schemas.openxmlformats.org/spreadsheetml/2006/main" count="792" uniqueCount="191">
  <si>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</si>
  <si>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</si>
  <si>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</si>
  <si>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</si>
  <si>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</si>
  <si>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</si>
  <si>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</si>
  <si>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</si>
  <si>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</si>
  <si>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</si>
  <si>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</si>
  <si>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</si>
  <si>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</si>
  <si>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</si>
  <si>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</si>
  <si>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</si>
  <si>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</si>
  <si>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</si>
  <si>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</si>
  <si>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</si>
  <si>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</si>
  <si>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</si>
  <si>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</si>
  <si>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</si>
  <si>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</si>
  <si>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</si>
  <si>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</si>
  <si>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</si>
  <si>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</si>
  <si>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</si>
  <si>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</si>
  <si>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</si>
  <si>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</si>
  <si>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</si>
  <si>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</si>
  <si>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</si>
  <si>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</si>
  <si>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</si>
  <si>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</si>
  <si>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</si>
  <si>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</si>
  <si>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</si>
  <si>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</si>
  <si>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</si>
  <si>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</si>
  <si>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</si>
  <si>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</si>
  <si>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</si>
  <si>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Pemeliharaan peralatan dan perlengkapan kantor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</si>
  <si>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</si>
  <si>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</si>
  <si>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</si>
  <si>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</si>
  <si>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</si>
  <si>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</si>
  <si>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</si>
  <si>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</si>
  <si>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</si>
  <si>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</si>
  <si>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</si>
  <si>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</si>
  <si>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</si>
  <si>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</si>
  <si>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</si>
  <si>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</si>
  <si>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</si>
  <si>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</si>
  <si>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</si>
  <si>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</si>
  <si>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</si>
  <si>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</si>
  <si>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</si>
  <si>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</si>
  <si>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</si>
  <si>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</si>
  <si>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</si>
  <si>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Buah</t>
  </si>
  <si>
    <t>%</t>
  </si>
  <si>
    <t>Pelayanan administrasi sesuai standar</t>
  </si>
  <si>
    <t>Penyediaan peralatan dan perlengkapan kantor</t>
  </si>
  <si>
    <t>Pemeliharaan rutin/berkala gedung kantor</t>
  </si>
  <si>
    <t>Peralatan dan perlengkapan gedung kantor kondisi baik</t>
  </si>
  <si>
    <t>gedung kantor kondisi baik</t>
  </si>
  <si>
    <t>Mobil dan kendaraan operasional kondisi baik</t>
  </si>
  <si>
    <t>Peralatan dan perlengkapan kantor kondisi baik</t>
  </si>
  <si>
    <t>Meningkatnya Infrastruktur Ekonomi dan Sosial Yang Berkualitas</t>
  </si>
  <si>
    <t>M</t>
  </si>
  <si>
    <t>DINAS PERUMAHAN RAKYAT, KAWASAN PERMUKIMAN DAN LINGKUNGAN HIDUP</t>
  </si>
  <si>
    <t>Dinas Perumahan Rakyat, Kawasan Permukiman dan Lingkungan Hidup</t>
  </si>
  <si>
    <t>Dokumen Keuangan yang memenuhi aspek kualitas</t>
  </si>
  <si>
    <t>Dokumen AKIP memenuhi aspek kualitas</t>
  </si>
  <si>
    <t>Kegiatan Penyediaan Jasa Tenaga Pendukung Administrasi/Teknis Perkantoran</t>
  </si>
  <si>
    <t>Meningkatnya Kualitas Lingkungan Hidup</t>
  </si>
  <si>
    <t>Program Lingkungan Perumahan dan Pemukiman Sehat</t>
  </si>
  <si>
    <t>Peningkatan Kualitas Rumah tidak Layak Huni (DAK)</t>
  </si>
  <si>
    <t>Peningkatan jalan perumahan</t>
  </si>
  <si>
    <t>Peningkatan jalan permukiman</t>
  </si>
  <si>
    <t>Penataaan bangunan dan lingkungan perumahan</t>
  </si>
  <si>
    <t>Jumlah perumahan sehat</t>
  </si>
  <si>
    <t>Jumlah Jalan Kawasan Permukiman</t>
  </si>
  <si>
    <t>Pelayanan penataan perumahan sesuai standar</t>
  </si>
  <si>
    <t>Unit</t>
  </si>
  <si>
    <t>Program Pengelolaan Ruang Terbuka Hijau (RTH) dan Areal Pemakaman</t>
  </si>
  <si>
    <t>Pembangunan RTH</t>
  </si>
  <si>
    <t>Pemeliharaan RTH</t>
  </si>
  <si>
    <t>Luasan RTH publik</t>
  </si>
  <si>
    <t>Ha</t>
  </si>
  <si>
    <t>Program Penataan dan Penguasaan Tanah</t>
  </si>
  <si>
    <t>Pengadaan Tanah Aset Daerah</t>
  </si>
  <si>
    <t>Inventarisasi Tanah Jalan Lingkungan</t>
  </si>
  <si>
    <t>Persentase Pelayanan Pengadaan Tanah</t>
  </si>
  <si>
    <t>Jumlah dokumen tanah pemerintah daerah yang teradminstrasi</t>
  </si>
  <si>
    <t>Program Pengelolaan Penerangan Jalan Umum</t>
  </si>
  <si>
    <t>Pembangunan Penerangan Jalan Umum</t>
  </si>
  <si>
    <t>Pemeliharaan Penerangan Jalan Umum</t>
  </si>
  <si>
    <t>Jumlah titik PJU dalam kondisi baik</t>
  </si>
  <si>
    <t>Titik</t>
  </si>
  <si>
    <t>Program Pengendalian Pencemaran dan Pengrusakan Lingkungan Hidup</t>
  </si>
  <si>
    <t>Pengadaan Alat dan Bahan Laboratorium Untuk Pengujian Kualitas Air dan Kualitas Udara</t>
  </si>
  <si>
    <t>Penyusunan Dokumen Informasi Kinerja Pengelolaan Lingkungan Hidup</t>
  </si>
  <si>
    <t>Penyusunan Dokumen Daya Dukung dan Daya Tampung untuk RPPLH</t>
  </si>
  <si>
    <t>Pelaksanaan Pemenuhan Kriteria Sekolah Adiwiyata</t>
  </si>
  <si>
    <t>Pelaksanaan Pembentukan dan Pengembangan Kampung Iklim (Proklim)</t>
  </si>
  <si>
    <t>Pemberdayaan Masyarakat Melalui Aksi Kebersihan Aksi Susur Sungai Amandit</t>
  </si>
  <si>
    <t>Aspek Kualitas Lingkungan Hidup</t>
  </si>
  <si>
    <t>Pemenuhan Sarana dan Prasarana Laboratoriun Lingkungan</t>
  </si>
  <si>
    <t>Jumlah dokumen Lingkungan Hidup</t>
  </si>
  <si>
    <t>Jumlah Dokumen Lingkungan Hidup</t>
  </si>
  <si>
    <t>Pemberdayaan terhadap perlindungan dan konservasi lingkungan</t>
  </si>
  <si>
    <t>Pemberdayaan dan pengembangan kesadaran masyarakat terhadap lingkungan hidup</t>
  </si>
  <si>
    <t>Persentase Indeks Kualitas Air Titik Pantau yang Memenuhi Standar</t>
  </si>
  <si>
    <t>Persentase Tutupan Lahan pada Areal Bekas Pertambangan</t>
  </si>
  <si>
    <t>Sekolah</t>
  </si>
  <si>
    <t>Locus</t>
  </si>
  <si>
    <t>Kelompok</t>
  </si>
  <si>
    <t>Kelompok Masyarakat</t>
  </si>
  <si>
    <t>Program Pengembangan Kinerja Pengelolaan Persampahan</t>
  </si>
  <si>
    <t>Penyediaan Prasarana dan Sarana Pengelolaan Persampahan</t>
  </si>
  <si>
    <t>Peningkatan Operasi dan Pemeliharaan Prasarana dan Sarana Persampahan</t>
  </si>
  <si>
    <t>Pengembangan Teknologi Persampahan</t>
  </si>
  <si>
    <t>Peningkatan Peran Serta Masyarakat dalam Pengelolaan Persampahan</t>
  </si>
  <si>
    <t>Persentase Luasan Layanan Persampahan</t>
  </si>
  <si>
    <t>Persentase Cakupan Sampah yang Dikelola dengan Pola 3R</t>
  </si>
  <si>
    <t>Jumlah luas layanan persampahan</t>
  </si>
  <si>
    <t>Jumlah tonase sampah di TPA yang dikelola secara controlled landfill</t>
  </si>
  <si>
    <t>Jumlah tonase sampah yang diolah secara 3R</t>
  </si>
  <si>
    <t>Persentase cakupan sampah yang dikelola dengan pola 3R</t>
  </si>
  <si>
    <r>
      <t>KM</t>
    </r>
    <r>
      <rPr>
        <vertAlign val="superscript"/>
        <sz val="12"/>
        <color theme="1"/>
        <rFont val="Arial"/>
        <family val="2"/>
      </rPr>
      <t>2</t>
    </r>
  </si>
  <si>
    <t>Ton/Th</t>
  </si>
  <si>
    <t xml:space="preserve"> Tingkat pemenuhan aspek kualitas dokumen AKIP</t>
  </si>
  <si>
    <t>Tingkat pemenuhan aspek kualitas dokumen keuangan daerah</t>
  </si>
  <si>
    <t>Tingkat Kepuasan Pelayanan</t>
  </si>
  <si>
    <t>Persentase Kawasan Perumahan dan Permukiman Sehat</t>
  </si>
  <si>
    <t>Persentase Kecukupan RTH Publik</t>
  </si>
  <si>
    <t>Persentase Penguasaan Fisik Tanah yang Teradministrasi</t>
  </si>
  <si>
    <t>Persentase Indeks Kualitas Udara Titik Pantau yang Memenuhi Standar</t>
  </si>
  <si>
    <t>Persentase Cakupan Sampah yang Dikelola Secara Control Landfill</t>
  </si>
  <si>
    <t>Keg</t>
  </si>
  <si>
    <t>Paket</t>
  </si>
  <si>
    <t>Program Peningkatan Pelayanan Kinerja Perangkat Daerah</t>
  </si>
  <si>
    <t>Jumlah jaringan sarana distribusi yang memenuhi standar</t>
  </si>
  <si>
    <t>Pelayanan Kinerja Perangkat Daerah</t>
  </si>
  <si>
    <t>Peningkatan Kualitas Lahan Keanekaragaman Hayati</t>
  </si>
  <si>
    <t>Lahan Kehati yang memenuhi aspek kualitas</t>
  </si>
  <si>
    <t>Aspek</t>
  </si>
  <si>
    <t>Penyediaan Prasarana dan Sarana Pengelolaan Persampahan (DAK)</t>
  </si>
  <si>
    <t>Persentase taman dalam kondisi baik</t>
  </si>
  <si>
    <t>rata-rata persentase kondisi taman</t>
  </si>
  <si>
    <t>Persentase Jumlah Rumah Layak Huni</t>
  </si>
  <si>
    <t>Persentase jumlah perumahan sehat</t>
  </si>
  <si>
    <t>Persentase panjang jalan lingkungan dalam kondisi baik</t>
  </si>
  <si>
    <t>Persentase Rasio Jumlah Titik PJU Terhadap Panjang Jalan</t>
  </si>
  <si>
    <t>Persentase PJU dalam kondisi baik</t>
  </si>
  <si>
    <t>Indeks Kualitas Lingkungan Hidup</t>
  </si>
  <si>
    <t>Jumlah bank sampah yang dikelola</t>
  </si>
  <si>
    <t>Indeks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</si>
  <si>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</si>
  <si>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</si>
  <si>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</si>
  <si>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</si>
  <si>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</si>
  <si>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</si>
  <si>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</si>
  <si>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</si>
  <si>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</si>
  <si>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Perumahan Rakyat, KPLH</t>
  </si>
  <si>
    <t>RONALDY PRANA PUTRA, S.STP, M.Si</t>
  </si>
  <si>
    <t>NIP. 19850416 200312 1 001</t>
  </si>
  <si>
    <t>PERIODE PELAKSANAAN TRIWULAN IV TAHUN 2020</t>
  </si>
  <si>
    <t>Kandangan, 4 Januari 2021</t>
  </si>
  <si>
    <t>Jumlah rumah layak huni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</si>
</sst>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0.000"/>
    <numFmt numFmtId="168" formatCode="_(* #,##0.000_);_(* \(#,##0.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vertAlign val="superscript"/>
      <sz val="12"/>
      <color theme="1"/>
      <name val="Arial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7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9" fontId="6" fillId="0" borderId="15" xfId="0" applyNumberFormat="1" applyFont="1" applyFill="1" applyBorder="1" applyAlignment="1">
      <alignment horizontal="center" vertical="top"/>
    </xf>
    <xf numFmtId="9" fontId="8" fillId="0" borderId="2" xfId="0" quotePrefix="1" applyNumberFormat="1" applyFont="1" applyFill="1" applyBorder="1" applyAlignment="1">
      <alignment horizontal="center" vertical="top" wrapText="1"/>
    </xf>
    <xf numFmtId="166" fontId="8" fillId="0" borderId="2" xfId="2" applyFont="1" applyFill="1" applyBorder="1" applyAlignment="1">
      <alignment vertical="top"/>
    </xf>
    <xf numFmtId="0" fontId="6" fillId="0" borderId="15" xfId="0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5" fontId="8" fillId="0" borderId="2" xfId="1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6" fontId="8" fillId="0" borderId="2" xfId="2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horizontal="center" vertical="top" wrapText="1"/>
    </xf>
    <xf numFmtId="165" fontId="6" fillId="0" borderId="6" xfId="1" quotePrefix="1" applyNumberFormat="1" applyFont="1" applyFill="1" applyBorder="1" applyAlignment="1">
      <alignment vertical="top"/>
    </xf>
    <xf numFmtId="165" fontId="6" fillId="0" borderId="11" xfId="1" quotePrefix="1" applyNumberFormat="1" applyFont="1" applyFill="1" applyBorder="1" applyAlignment="1">
      <alignment vertical="top"/>
    </xf>
    <xf numFmtId="0" fontId="6" fillId="6" borderId="15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166" fontId="6" fillId="0" borderId="6" xfId="0" applyNumberFormat="1" applyFont="1" applyFill="1" applyBorder="1" applyAlignment="1">
      <alignment vertical="top"/>
    </xf>
    <xf numFmtId="166" fontId="6" fillId="0" borderId="15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166" fontId="6" fillId="0" borderId="11" xfId="0" applyNumberFormat="1" applyFont="1" applyFill="1" applyBorder="1" applyAlignment="1">
      <alignment vertical="top"/>
    </xf>
    <xf numFmtId="2" fontId="6" fillId="0" borderId="11" xfId="0" applyNumberFormat="1" applyFont="1" applyFill="1" applyBorder="1" applyAlignment="1">
      <alignment horizontal="center" vertical="top"/>
    </xf>
    <xf numFmtId="166" fontId="8" fillId="0" borderId="11" xfId="0" applyNumberFormat="1" applyFont="1" applyFill="1" applyBorder="1" applyAlignment="1">
      <alignment vertical="top"/>
    </xf>
    <xf numFmtId="166" fontId="8" fillId="0" borderId="15" xfId="0" applyNumberFormat="1" applyFont="1" applyFill="1" applyBorder="1" applyAlignment="1">
      <alignment vertical="top"/>
    </xf>
    <xf numFmtId="2" fontId="8" fillId="0" borderId="11" xfId="0" applyNumberFormat="1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168" fontId="8" fillId="0" borderId="2" xfId="2" applyNumberFormat="1" applyFont="1" applyFill="1" applyBorder="1" applyAlignment="1">
      <alignment horizontal="center" vertical="top"/>
    </xf>
    <xf numFmtId="167" fontId="8" fillId="0" borderId="2" xfId="0" applyNumberFormat="1" applyFont="1" applyFill="1" applyBorder="1" applyAlignment="1">
      <alignment horizontal="center" vertical="top"/>
    </xf>
    <xf numFmtId="9" fontId="6" fillId="0" borderId="2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4" fillId="3" borderId="15" xfId="0" applyFont="1" applyFill="1" applyBorder="1"/>
    <xf numFmtId="0" fontId="6" fillId="0" borderId="15" xfId="0" applyFont="1" applyFill="1" applyBorder="1" applyAlignment="1">
      <alignment horizontal="center" vertical="top"/>
    </xf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88"/>
  <sheetViews>
    <sheetView tabSelected="1" showRuler="0" view="pageBreakPreview" topLeftCell="A65" zoomScale="70" zoomScaleNormal="40" zoomScaleSheetLayoutView="70" zoomScalePageLayoutView="55" workbookViewId="0">
      <selection activeCell="AE70" sqref="AE70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9.140625" style="2" customWidth="1"/>
    <col min="6" max="6" width="7.7109375" style="2" customWidth="1"/>
    <col min="7" max="7" width="19.42578125" style="2" customWidth="1"/>
    <col min="8" max="8" width="10.5703125" style="2" customWidth="1"/>
    <col min="9" max="9" width="7.7109375" style="2" customWidth="1"/>
    <col min="10" max="10" width="21.42578125" style="2" customWidth="1"/>
    <col min="11" max="11" width="10.85546875" style="2" customWidth="1"/>
    <col min="12" max="12" width="7.5703125" style="2" customWidth="1"/>
    <col min="13" max="13" width="19.28515625" style="2" customWidth="1"/>
    <col min="14" max="14" width="9.5703125" style="2" customWidth="1"/>
    <col min="15" max="15" width="8" style="2" customWidth="1"/>
    <col min="16" max="16" width="18.28515625" style="2" customWidth="1"/>
    <col min="17" max="17" width="10.140625" style="2" customWidth="1"/>
    <col min="18" max="18" width="7.7109375" style="2" customWidth="1"/>
    <col min="19" max="19" width="18.7109375" style="2" customWidth="1"/>
    <col min="20" max="20" width="9.5703125" style="2" customWidth="1"/>
    <col min="21" max="21" width="8" style="2" customWidth="1"/>
    <col min="22" max="22" width="18.28515625" style="2" customWidth="1"/>
    <col min="23" max="23" width="9.5703125" style="2" customWidth="1"/>
    <col min="24" max="24" width="7.5703125" style="2" customWidth="1"/>
    <col min="25" max="25" width="17.85546875" style="2" customWidth="1"/>
    <col min="26" max="26" width="9.28515625" style="2" customWidth="1"/>
    <col min="27" max="27" width="5.5703125" style="4" customWidth="1"/>
    <col min="28" max="28" width="8" style="2" customWidth="1"/>
    <col min="29" max="29" width="5.5703125" style="4" customWidth="1"/>
    <col min="30" max="30" width="17.85546875" style="2" customWidth="1"/>
    <col min="31" max="31" width="8" style="2" customWidth="1"/>
    <col min="32" max="32" width="5.5703125" style="4" customWidth="1"/>
    <col min="33" max="33" width="9.5703125" style="2" customWidth="1"/>
    <col min="34" max="34" width="5.5703125" style="4" customWidth="1"/>
    <col min="35" max="35" width="18.5703125" style="2" customWidth="1"/>
    <col min="36" max="36" width="8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"/>
    </row>
    <row r="2" spans="1:45" ht="23.25" x14ac:dyDescent="0.3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3"/>
    </row>
    <row r="3" spans="1:45" ht="23.25" x14ac:dyDescent="0.35">
      <c r="A3" s="162" t="s">
        <v>87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3"/>
    </row>
    <row r="4" spans="1:45" ht="23.25" x14ac:dyDescent="0.35">
      <c r="A4" s="163" t="s">
        <v>188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"/>
    </row>
    <row r="5" spans="1:45" ht="18" x14ac:dyDescent="0.2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</row>
    <row r="6" spans="1:45" ht="18" x14ac:dyDescent="0.25">
      <c r="A6" s="161" t="s">
        <v>87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1:45" ht="81" customHeight="1" x14ac:dyDescent="0.2">
      <c r="A7" s="165" t="s">
        <v>3</v>
      </c>
      <c r="B7" s="165" t="s">
        <v>4</v>
      </c>
      <c r="C7" s="166" t="s">
        <v>5</v>
      </c>
      <c r="D7" s="166" t="s">
        <v>6</v>
      </c>
      <c r="E7" s="152" t="s">
        <v>7</v>
      </c>
      <c r="F7" s="153"/>
      <c r="G7" s="156"/>
      <c r="H7" s="152" t="s">
        <v>8</v>
      </c>
      <c r="I7" s="153"/>
      <c r="J7" s="156"/>
      <c r="K7" s="152" t="s">
        <v>9</v>
      </c>
      <c r="L7" s="153"/>
      <c r="M7" s="153"/>
      <c r="N7" s="152" t="s">
        <v>10</v>
      </c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6"/>
      <c r="Z7" s="152" t="s">
        <v>178</v>
      </c>
      <c r="AA7" s="153"/>
      <c r="AB7" s="153"/>
      <c r="AC7" s="153"/>
      <c r="AD7" s="153"/>
      <c r="AE7" s="153"/>
      <c r="AF7" s="156"/>
      <c r="AG7" s="152" t="s">
        <v>11</v>
      </c>
      <c r="AH7" s="153"/>
      <c r="AI7" s="156"/>
      <c r="AJ7" s="152" t="s">
        <v>12</v>
      </c>
      <c r="AK7" s="153"/>
      <c r="AL7" s="153"/>
      <c r="AM7" s="144" t="s">
        <v>13</v>
      </c>
      <c r="AO7" s="4"/>
      <c r="AP7" s="4"/>
      <c r="AQ7" s="4"/>
      <c r="AR7" s="4"/>
      <c r="AS7" s="4"/>
    </row>
    <row r="8" spans="1:45" ht="18" customHeight="1" x14ac:dyDescent="0.2">
      <c r="A8" s="165"/>
      <c r="B8" s="165"/>
      <c r="C8" s="166"/>
      <c r="D8" s="166"/>
      <c r="E8" s="158"/>
      <c r="F8" s="159"/>
      <c r="G8" s="160"/>
      <c r="H8" s="158"/>
      <c r="I8" s="159"/>
      <c r="J8" s="160"/>
      <c r="K8" s="154"/>
      <c r="L8" s="155"/>
      <c r="M8" s="155"/>
      <c r="N8" s="154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7"/>
      <c r="Z8" s="154"/>
      <c r="AA8" s="155"/>
      <c r="AB8" s="155"/>
      <c r="AC8" s="155"/>
      <c r="AD8" s="155"/>
      <c r="AE8" s="155"/>
      <c r="AF8" s="157"/>
      <c r="AG8" s="154"/>
      <c r="AH8" s="155"/>
      <c r="AI8" s="157"/>
      <c r="AJ8" s="154"/>
      <c r="AK8" s="155"/>
      <c r="AL8" s="155"/>
      <c r="AM8" s="145"/>
    </row>
    <row r="9" spans="1:45" ht="15.75" customHeight="1" x14ac:dyDescent="0.2">
      <c r="A9" s="165"/>
      <c r="B9" s="165"/>
      <c r="C9" s="166"/>
      <c r="D9" s="166"/>
      <c r="E9" s="154"/>
      <c r="F9" s="155"/>
      <c r="G9" s="157"/>
      <c r="H9" s="154"/>
      <c r="I9" s="155"/>
      <c r="J9" s="157"/>
      <c r="K9" s="146">
        <v>2020</v>
      </c>
      <c r="L9" s="147"/>
      <c r="M9" s="148"/>
      <c r="N9" s="149" t="s">
        <v>14</v>
      </c>
      <c r="O9" s="150"/>
      <c r="P9" s="151"/>
      <c r="Q9" s="149" t="s">
        <v>15</v>
      </c>
      <c r="R9" s="150"/>
      <c r="S9" s="151"/>
      <c r="T9" s="149" t="s">
        <v>16</v>
      </c>
      <c r="U9" s="150"/>
      <c r="V9" s="151"/>
      <c r="W9" s="149" t="s">
        <v>17</v>
      </c>
      <c r="X9" s="150"/>
      <c r="Y9" s="151"/>
      <c r="Z9" s="149">
        <v>2020</v>
      </c>
      <c r="AA9" s="150"/>
      <c r="AB9" s="150"/>
      <c r="AC9" s="150"/>
      <c r="AD9" s="150"/>
      <c r="AE9" s="150"/>
      <c r="AF9" s="151"/>
      <c r="AG9" s="149">
        <v>2020</v>
      </c>
      <c r="AH9" s="150"/>
      <c r="AI9" s="151"/>
      <c r="AJ9" s="149">
        <v>2020</v>
      </c>
      <c r="AK9" s="150"/>
      <c r="AL9" s="151"/>
      <c r="AM9" s="5"/>
    </row>
    <row r="10" spans="1:45" s="7" customFormat="1" ht="15.75" x14ac:dyDescent="0.25">
      <c r="A10" s="113">
        <v>1</v>
      </c>
      <c r="B10" s="113">
        <v>2</v>
      </c>
      <c r="C10" s="113">
        <v>3</v>
      </c>
      <c r="D10" s="113">
        <v>4</v>
      </c>
      <c r="E10" s="116">
        <v>5</v>
      </c>
      <c r="F10" s="143"/>
      <c r="G10" s="117"/>
      <c r="H10" s="116">
        <v>6</v>
      </c>
      <c r="I10" s="143"/>
      <c r="J10" s="117"/>
      <c r="K10" s="140">
        <v>7</v>
      </c>
      <c r="L10" s="141"/>
      <c r="M10" s="142"/>
      <c r="N10" s="140">
        <v>8</v>
      </c>
      <c r="O10" s="141"/>
      <c r="P10" s="142"/>
      <c r="Q10" s="140">
        <v>9</v>
      </c>
      <c r="R10" s="141"/>
      <c r="S10" s="142"/>
      <c r="T10" s="140">
        <v>10</v>
      </c>
      <c r="U10" s="141"/>
      <c r="V10" s="142"/>
      <c r="W10" s="140">
        <v>11</v>
      </c>
      <c r="X10" s="141"/>
      <c r="Y10" s="142"/>
      <c r="Z10" s="102">
        <v>12</v>
      </c>
      <c r="AA10" s="103"/>
      <c r="AB10" s="103"/>
      <c r="AC10" s="103"/>
      <c r="AD10" s="103"/>
      <c r="AE10" s="103"/>
      <c r="AF10" s="104"/>
      <c r="AG10" s="102">
        <v>13</v>
      </c>
      <c r="AH10" s="103"/>
      <c r="AI10" s="104"/>
      <c r="AJ10" s="102">
        <v>14</v>
      </c>
      <c r="AK10" s="103"/>
      <c r="AL10" s="104"/>
      <c r="AM10" s="6">
        <v>15</v>
      </c>
    </row>
    <row r="11" spans="1:45" s="7" customFormat="1" ht="87" customHeight="1" x14ac:dyDescent="0.2">
      <c r="A11" s="115"/>
      <c r="B11" s="115"/>
      <c r="C11" s="115"/>
      <c r="D11" s="115"/>
      <c r="E11" s="109" t="s">
        <v>18</v>
      </c>
      <c r="F11" s="110"/>
      <c r="G11" s="114" t="s">
        <v>19</v>
      </c>
      <c r="H11" s="109" t="s">
        <v>18</v>
      </c>
      <c r="I11" s="110"/>
      <c r="J11" s="114" t="s">
        <v>19</v>
      </c>
      <c r="K11" s="109" t="s">
        <v>18</v>
      </c>
      <c r="L11" s="110"/>
      <c r="M11" s="113" t="s">
        <v>19</v>
      </c>
      <c r="N11" s="109" t="s">
        <v>18</v>
      </c>
      <c r="O11" s="110"/>
      <c r="P11" s="113" t="s">
        <v>19</v>
      </c>
      <c r="Q11" s="109" t="s">
        <v>18</v>
      </c>
      <c r="R11" s="110"/>
      <c r="S11" s="113" t="s">
        <v>19</v>
      </c>
      <c r="T11" s="109" t="s">
        <v>18</v>
      </c>
      <c r="U11" s="110"/>
      <c r="V11" s="113" t="s">
        <v>19</v>
      </c>
      <c r="W11" s="109" t="s">
        <v>18</v>
      </c>
      <c r="X11" s="110"/>
      <c r="Y11" s="113" t="s">
        <v>19</v>
      </c>
      <c r="Z11" s="116" t="s">
        <v>20</v>
      </c>
      <c r="AA11" s="117"/>
      <c r="AB11" s="116" t="s">
        <v>176</v>
      </c>
      <c r="AC11" s="117"/>
      <c r="AD11" s="8" t="s">
        <v>21</v>
      </c>
      <c r="AE11" s="116" t="s">
        <v>177</v>
      </c>
      <c r="AF11" s="117"/>
      <c r="AG11" s="116" t="s">
        <v>22</v>
      </c>
      <c r="AH11" s="117"/>
      <c r="AI11" s="8" t="s">
        <v>23</v>
      </c>
      <c r="AJ11" s="116" t="s">
        <v>24</v>
      </c>
      <c r="AK11" s="117"/>
      <c r="AL11" s="8" t="s">
        <v>25</v>
      </c>
      <c r="AM11" s="9"/>
    </row>
    <row r="12" spans="1:45" s="7" customFormat="1" ht="15.75" x14ac:dyDescent="0.2">
      <c r="A12" s="114"/>
      <c r="B12" s="114"/>
      <c r="C12" s="114"/>
      <c r="D12" s="114"/>
      <c r="E12" s="111"/>
      <c r="F12" s="112"/>
      <c r="G12" s="139"/>
      <c r="H12" s="111"/>
      <c r="I12" s="112"/>
      <c r="J12" s="139"/>
      <c r="K12" s="111"/>
      <c r="L12" s="112"/>
      <c r="M12" s="114"/>
      <c r="N12" s="111"/>
      <c r="O12" s="112"/>
      <c r="P12" s="114"/>
      <c r="Q12" s="111"/>
      <c r="R12" s="112"/>
      <c r="S12" s="114"/>
      <c r="T12" s="111"/>
      <c r="U12" s="112"/>
      <c r="V12" s="114"/>
      <c r="W12" s="111"/>
      <c r="X12" s="112"/>
      <c r="Y12" s="114"/>
      <c r="Z12" s="111" t="s">
        <v>18</v>
      </c>
      <c r="AA12" s="112"/>
      <c r="AB12" s="111" t="s">
        <v>18</v>
      </c>
      <c r="AC12" s="112"/>
      <c r="AD12" s="10" t="s">
        <v>19</v>
      </c>
      <c r="AE12" s="111" t="s">
        <v>19</v>
      </c>
      <c r="AF12" s="112"/>
      <c r="AG12" s="111" t="s">
        <v>18</v>
      </c>
      <c r="AH12" s="112"/>
      <c r="AI12" s="10" t="s">
        <v>19</v>
      </c>
      <c r="AJ12" s="111" t="s">
        <v>18</v>
      </c>
      <c r="AK12" s="112"/>
      <c r="AL12" s="10" t="s">
        <v>19</v>
      </c>
      <c r="AM12" s="97"/>
    </row>
    <row r="13" spans="1:45" ht="15" hidden="1" customHeight="1" x14ac:dyDescent="0.2">
      <c r="A13" s="127"/>
      <c r="B13" s="130" t="s">
        <v>26</v>
      </c>
      <c r="C13" s="118" t="s">
        <v>27</v>
      </c>
      <c r="D13" s="130" t="s">
        <v>28</v>
      </c>
      <c r="E13" s="133" t="s">
        <v>29</v>
      </c>
      <c r="F13" s="134"/>
      <c r="G13" s="127"/>
      <c r="H13" s="133" t="s">
        <v>30</v>
      </c>
      <c r="I13" s="134"/>
      <c r="J13" s="118" t="s">
        <v>31</v>
      </c>
      <c r="K13" s="121" t="s">
        <v>32</v>
      </c>
      <c r="L13" s="122"/>
      <c r="M13" s="118" t="s">
        <v>33</v>
      </c>
      <c r="N13" s="121" t="s">
        <v>34</v>
      </c>
      <c r="O13" s="122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  <c r="AB13" s="11"/>
      <c r="AC13" s="94"/>
      <c r="AD13" s="11"/>
      <c r="AE13" s="11"/>
      <c r="AF13" s="94"/>
      <c r="AG13" s="11"/>
      <c r="AH13" s="12"/>
      <c r="AI13" s="11"/>
      <c r="AJ13" s="11"/>
      <c r="AK13" s="12"/>
      <c r="AL13" s="11"/>
      <c r="AM13" s="13"/>
    </row>
    <row r="14" spans="1:45" ht="15" hidden="1" customHeight="1" x14ac:dyDescent="0.2">
      <c r="A14" s="128"/>
      <c r="B14" s="131"/>
      <c r="C14" s="119"/>
      <c r="D14" s="131"/>
      <c r="E14" s="135"/>
      <c r="F14" s="136"/>
      <c r="G14" s="128"/>
      <c r="H14" s="135"/>
      <c r="I14" s="136"/>
      <c r="J14" s="119"/>
      <c r="K14" s="123"/>
      <c r="L14" s="124"/>
      <c r="M14" s="119"/>
      <c r="N14" s="123"/>
      <c r="O14" s="12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4"/>
      <c r="AC14" s="95"/>
      <c r="AD14" s="14"/>
      <c r="AE14" s="14"/>
      <c r="AF14" s="95"/>
      <c r="AG14" s="14"/>
      <c r="AH14" s="15"/>
      <c r="AI14" s="14"/>
      <c r="AJ14" s="14"/>
      <c r="AK14" s="15"/>
      <c r="AL14" s="14"/>
      <c r="AM14" s="13"/>
    </row>
    <row r="15" spans="1:45" ht="15" hidden="1" customHeight="1" x14ac:dyDescent="0.2">
      <c r="A15" s="129"/>
      <c r="B15" s="132"/>
      <c r="C15" s="120"/>
      <c r="D15" s="132"/>
      <c r="E15" s="137"/>
      <c r="F15" s="138"/>
      <c r="G15" s="129"/>
      <c r="H15" s="137"/>
      <c r="I15" s="138"/>
      <c r="J15" s="120"/>
      <c r="K15" s="125"/>
      <c r="L15" s="126"/>
      <c r="M15" s="120"/>
      <c r="N15" s="125"/>
      <c r="O15" s="12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6"/>
      <c r="AC15" s="96"/>
      <c r="AD15" s="16"/>
      <c r="AE15" s="16"/>
      <c r="AF15" s="96"/>
      <c r="AG15" s="16"/>
      <c r="AH15" s="17"/>
      <c r="AI15" s="16"/>
      <c r="AJ15" s="16"/>
      <c r="AK15" s="17"/>
      <c r="AL15" s="16"/>
      <c r="AM15" s="13"/>
    </row>
    <row r="16" spans="1:45" ht="141.75" x14ac:dyDescent="0.2">
      <c r="A16" s="53">
        <v>1</v>
      </c>
      <c r="B16" s="19" t="s">
        <v>35</v>
      </c>
      <c r="C16" s="54" t="s">
        <v>36</v>
      </c>
      <c r="D16" s="21" t="s">
        <v>149</v>
      </c>
      <c r="E16" s="48">
        <v>86.09</v>
      </c>
      <c r="F16" s="49" t="s">
        <v>73</v>
      </c>
      <c r="G16" s="76">
        <f>SUM(G18:G19)</f>
        <v>48500000</v>
      </c>
      <c r="H16" s="48">
        <v>80.459999999999994</v>
      </c>
      <c r="I16" s="49" t="s">
        <v>73</v>
      </c>
      <c r="J16" s="76">
        <f>SUM(J18:J19)</f>
        <v>6405000</v>
      </c>
      <c r="K16" s="48">
        <v>82.55</v>
      </c>
      <c r="L16" s="49" t="s">
        <v>73</v>
      </c>
      <c r="M16" s="76">
        <f>SUM(M18:M19)</f>
        <v>4450000</v>
      </c>
      <c r="N16" s="48">
        <v>7.0000000000000007E-2</v>
      </c>
      <c r="O16" s="49" t="s">
        <v>73</v>
      </c>
      <c r="P16" s="76">
        <f>SUM(P18:P19)</f>
        <v>1089000</v>
      </c>
      <c r="Q16" s="50">
        <v>0</v>
      </c>
      <c r="R16" s="49" t="s">
        <v>73</v>
      </c>
      <c r="S16" s="76">
        <f>SUM(S18:S19)</f>
        <v>1467500</v>
      </c>
      <c r="T16" s="50">
        <v>0</v>
      </c>
      <c r="U16" s="49" t="s">
        <v>73</v>
      </c>
      <c r="V16" s="76">
        <f>SUM(V18:V19)</f>
        <v>1788500</v>
      </c>
      <c r="W16" s="50">
        <v>0</v>
      </c>
      <c r="X16" s="49" t="s">
        <v>73</v>
      </c>
      <c r="Y16" s="76">
        <f>SUM(Y18:Y19)</f>
        <v>105000</v>
      </c>
      <c r="Z16" s="62">
        <f>N16+Q16+T16+W16</f>
        <v>7.0000000000000007E-2</v>
      </c>
      <c r="AA16" s="49" t="s">
        <v>73</v>
      </c>
      <c r="AB16" s="62">
        <f>AG16/K16*100</f>
        <v>97.552998182919424</v>
      </c>
      <c r="AC16" s="61" t="s">
        <v>77</v>
      </c>
      <c r="AD16" s="81">
        <f>P16+S16+V16+Y16</f>
        <v>4450000</v>
      </c>
      <c r="AE16" s="83">
        <f>AD16/M16*100</f>
        <v>100</v>
      </c>
      <c r="AF16" s="53" t="s">
        <v>77</v>
      </c>
      <c r="AG16" s="62">
        <f>H16+Z16</f>
        <v>80.529999999999987</v>
      </c>
      <c r="AH16" s="49" t="s">
        <v>73</v>
      </c>
      <c r="AI16" s="81">
        <f>J16+AD16</f>
        <v>10855000</v>
      </c>
      <c r="AJ16" s="62">
        <f>AG16/E16*100</f>
        <v>93.541642467185483</v>
      </c>
      <c r="AK16" s="61" t="s">
        <v>77</v>
      </c>
      <c r="AL16" s="83">
        <f>AI16/G16*100</f>
        <v>22.381443298969074</v>
      </c>
      <c r="AM16" s="26" t="s">
        <v>88</v>
      </c>
      <c r="AP16" s="27">
        <f t="shared" ref="AP16:AP24" si="0">P16+S16+V16+Y16</f>
        <v>4450000</v>
      </c>
    </row>
    <row r="17" spans="1:42" ht="110.25" x14ac:dyDescent="0.2">
      <c r="A17" s="18"/>
      <c r="B17" s="19"/>
      <c r="C17" s="20"/>
      <c r="D17" s="21" t="s">
        <v>150</v>
      </c>
      <c r="E17" s="48">
        <v>100</v>
      </c>
      <c r="F17" s="49" t="s">
        <v>77</v>
      </c>
      <c r="G17" s="44"/>
      <c r="H17" s="48">
        <v>100</v>
      </c>
      <c r="I17" s="49" t="s">
        <v>77</v>
      </c>
      <c r="J17" s="44"/>
      <c r="K17" s="48">
        <v>100</v>
      </c>
      <c r="L17" s="49" t="s">
        <v>77</v>
      </c>
      <c r="M17" s="44"/>
      <c r="N17" s="50">
        <f>N19/K19*100</f>
        <v>33.333333333333329</v>
      </c>
      <c r="O17" s="49" t="s">
        <v>77</v>
      </c>
      <c r="P17" s="44"/>
      <c r="Q17" s="50">
        <f>Q19/K19*100</f>
        <v>25</v>
      </c>
      <c r="R17" s="49" t="s">
        <v>77</v>
      </c>
      <c r="S17" s="44"/>
      <c r="T17" s="50">
        <f>T19/K19*100</f>
        <v>33.333333333333329</v>
      </c>
      <c r="U17" s="49" t="s">
        <v>77</v>
      </c>
      <c r="V17" s="44"/>
      <c r="W17" s="50">
        <f>W19/K19*100</f>
        <v>8.3333333333333321</v>
      </c>
      <c r="X17" s="49" t="s">
        <v>77</v>
      </c>
      <c r="Y17" s="44"/>
      <c r="Z17" s="62">
        <f>N17+Q17+T17+W17</f>
        <v>99.999999999999986</v>
      </c>
      <c r="AA17" s="49" t="s">
        <v>77</v>
      </c>
      <c r="AB17" s="62">
        <f>Z17/K17*100</f>
        <v>99.999999999999986</v>
      </c>
      <c r="AC17" s="61" t="s">
        <v>77</v>
      </c>
      <c r="AD17" s="82"/>
      <c r="AE17" s="84"/>
      <c r="AF17" s="98"/>
      <c r="AG17" s="62">
        <f>H17+Z17</f>
        <v>200</v>
      </c>
      <c r="AH17" s="49" t="s">
        <v>77</v>
      </c>
      <c r="AI17" s="82"/>
      <c r="AJ17" s="62">
        <f>AG17/E17*100</f>
        <v>200</v>
      </c>
      <c r="AK17" s="61" t="s">
        <v>77</v>
      </c>
      <c r="AL17" s="84"/>
      <c r="AM17" s="26"/>
      <c r="AP17" s="27"/>
    </row>
    <row r="18" spans="1:42" ht="66.75" customHeight="1" x14ac:dyDescent="0.2">
      <c r="A18" s="18"/>
      <c r="B18" s="19"/>
      <c r="C18" s="28" t="s">
        <v>38</v>
      </c>
      <c r="D18" s="31" t="s">
        <v>90</v>
      </c>
      <c r="E18" s="22">
        <f>15*5</f>
        <v>75</v>
      </c>
      <c r="F18" s="23" t="s">
        <v>74</v>
      </c>
      <c r="G18" s="25">
        <f>4700000*5</f>
        <v>23500000</v>
      </c>
      <c r="H18" s="22">
        <v>15</v>
      </c>
      <c r="I18" s="23" t="s">
        <v>74</v>
      </c>
      <c r="J18" s="25">
        <v>3755000</v>
      </c>
      <c r="K18" s="22">
        <v>15</v>
      </c>
      <c r="L18" s="23" t="s">
        <v>74</v>
      </c>
      <c r="M18" s="25">
        <v>2500000</v>
      </c>
      <c r="N18" s="22">
        <v>6</v>
      </c>
      <c r="O18" s="23" t="s">
        <v>74</v>
      </c>
      <c r="P18" s="25">
        <v>1044000</v>
      </c>
      <c r="Q18" s="22">
        <v>3</v>
      </c>
      <c r="R18" s="23" t="s">
        <v>74</v>
      </c>
      <c r="S18" s="25">
        <v>442500</v>
      </c>
      <c r="T18" s="22">
        <v>3</v>
      </c>
      <c r="U18" s="23" t="s">
        <v>74</v>
      </c>
      <c r="V18" s="25">
        <v>938500</v>
      </c>
      <c r="W18" s="22">
        <v>3</v>
      </c>
      <c r="X18" s="23" t="s">
        <v>74</v>
      </c>
      <c r="Y18" s="25">
        <v>75000</v>
      </c>
      <c r="Z18" s="64">
        <f>N18+Q18+T18+W18</f>
        <v>15</v>
      </c>
      <c r="AA18" s="23" t="s">
        <v>74</v>
      </c>
      <c r="AB18" s="65">
        <f>Z18/K18*100</f>
        <v>100</v>
      </c>
      <c r="AC18" s="37" t="s">
        <v>77</v>
      </c>
      <c r="AD18" s="43">
        <f>P18+S18+V18+Y18</f>
        <v>2500000</v>
      </c>
      <c r="AE18" s="65">
        <f>AD18/M18*100</f>
        <v>100</v>
      </c>
      <c r="AF18" s="37" t="s">
        <v>77</v>
      </c>
      <c r="AG18" s="64">
        <f>H18+Z18</f>
        <v>30</v>
      </c>
      <c r="AH18" s="23" t="s">
        <v>74</v>
      </c>
      <c r="AI18" s="43">
        <f>J18+AD18</f>
        <v>6255000</v>
      </c>
      <c r="AJ18" s="65">
        <f>AG18/E18*100</f>
        <v>40</v>
      </c>
      <c r="AK18" s="37" t="s">
        <v>77</v>
      </c>
      <c r="AL18" s="65">
        <f>AI18/G18*100</f>
        <v>26.617021276595743</v>
      </c>
      <c r="AM18" s="13"/>
      <c r="AP18" s="27"/>
    </row>
    <row r="19" spans="1:42" ht="81.75" customHeight="1" x14ac:dyDescent="0.2">
      <c r="A19" s="18"/>
      <c r="B19" s="19"/>
      <c r="C19" s="28" t="s">
        <v>37</v>
      </c>
      <c r="D19" s="31" t="s">
        <v>89</v>
      </c>
      <c r="E19" s="22">
        <f>12*5</f>
        <v>60</v>
      </c>
      <c r="F19" s="23" t="s">
        <v>74</v>
      </c>
      <c r="G19" s="25">
        <f>5000000*5</f>
        <v>25000000</v>
      </c>
      <c r="H19" s="22">
        <v>12</v>
      </c>
      <c r="I19" s="23" t="s">
        <v>74</v>
      </c>
      <c r="J19" s="25">
        <v>2650000</v>
      </c>
      <c r="K19" s="22">
        <v>12</v>
      </c>
      <c r="L19" s="23" t="s">
        <v>74</v>
      </c>
      <c r="M19" s="25">
        <v>1950000</v>
      </c>
      <c r="N19" s="22">
        <v>4</v>
      </c>
      <c r="O19" s="23" t="s">
        <v>74</v>
      </c>
      <c r="P19" s="25">
        <v>45000</v>
      </c>
      <c r="Q19" s="22">
        <v>3</v>
      </c>
      <c r="R19" s="23" t="s">
        <v>74</v>
      </c>
      <c r="S19" s="25">
        <v>1025000</v>
      </c>
      <c r="T19" s="22">
        <v>4</v>
      </c>
      <c r="U19" s="23" t="s">
        <v>74</v>
      </c>
      <c r="V19" s="25">
        <v>850000</v>
      </c>
      <c r="W19" s="22">
        <v>1</v>
      </c>
      <c r="X19" s="23" t="s">
        <v>74</v>
      </c>
      <c r="Y19" s="25">
        <v>30000</v>
      </c>
      <c r="Z19" s="64">
        <f t="shared" ref="Z19:Z65" si="1">N19+Q19+T19+W19</f>
        <v>12</v>
      </c>
      <c r="AA19" s="23" t="s">
        <v>74</v>
      </c>
      <c r="AB19" s="65">
        <f>Z19/K19*100</f>
        <v>100</v>
      </c>
      <c r="AC19" s="37" t="s">
        <v>77</v>
      </c>
      <c r="AD19" s="43">
        <f>P19+S19+V19+Y19</f>
        <v>1950000</v>
      </c>
      <c r="AE19" s="65">
        <f>AD19/M19*100</f>
        <v>100</v>
      </c>
      <c r="AF19" s="37" t="s">
        <v>77</v>
      </c>
      <c r="AG19" s="64">
        <f t="shared" ref="AG19:AG69" si="2">H19+Z19</f>
        <v>24</v>
      </c>
      <c r="AH19" s="23" t="s">
        <v>74</v>
      </c>
      <c r="AI19" s="43">
        <f t="shared" ref="AI19:AI69" si="3">J19+AD19</f>
        <v>4600000</v>
      </c>
      <c r="AJ19" s="65">
        <f>AG19/E19*100</f>
        <v>40</v>
      </c>
      <c r="AK19" s="37" t="s">
        <v>77</v>
      </c>
      <c r="AL19" s="65">
        <f t="shared" ref="AL19:AL69" si="4">AI19/G19*100</f>
        <v>18.399999999999999</v>
      </c>
      <c r="AM19" s="13"/>
      <c r="AP19" s="27"/>
    </row>
    <row r="20" spans="1:42" ht="85.5" customHeight="1" x14ac:dyDescent="0.2">
      <c r="A20" s="53">
        <v>2</v>
      </c>
      <c r="B20" s="54" t="s">
        <v>39</v>
      </c>
      <c r="C20" s="19" t="s">
        <v>40</v>
      </c>
      <c r="D20" s="20" t="s">
        <v>151</v>
      </c>
      <c r="E20" s="48">
        <v>100</v>
      </c>
      <c r="F20" s="49" t="s">
        <v>77</v>
      </c>
      <c r="G20" s="44">
        <f>SUM(G21:G26)</f>
        <v>51790010875</v>
      </c>
      <c r="H20" s="48">
        <v>100</v>
      </c>
      <c r="I20" s="49" t="s">
        <v>77</v>
      </c>
      <c r="J20" s="44">
        <f>SUM(J21:J26)</f>
        <v>8911559069</v>
      </c>
      <c r="K20" s="48">
        <v>100</v>
      </c>
      <c r="L20" s="49" t="s">
        <v>77</v>
      </c>
      <c r="M20" s="44">
        <f>SUM(M21:M26)</f>
        <v>9443736550</v>
      </c>
      <c r="N20" s="48">
        <v>25</v>
      </c>
      <c r="O20" s="49" t="s">
        <v>77</v>
      </c>
      <c r="P20" s="44">
        <f>SUM(P21:P26)</f>
        <v>2273268379</v>
      </c>
      <c r="Q20" s="48">
        <v>25</v>
      </c>
      <c r="R20" s="49" t="s">
        <v>77</v>
      </c>
      <c r="S20" s="44">
        <f>SUM(S21:S26)</f>
        <v>2308011269</v>
      </c>
      <c r="T20" s="48">
        <v>25</v>
      </c>
      <c r="U20" s="49" t="s">
        <v>77</v>
      </c>
      <c r="V20" s="44">
        <f>SUM(V21:V26)</f>
        <v>2212763150</v>
      </c>
      <c r="W20" s="48">
        <v>25</v>
      </c>
      <c r="X20" s="49" t="s">
        <v>77</v>
      </c>
      <c r="Y20" s="44">
        <f>SUM(Y21:Y26)</f>
        <v>2155659324</v>
      </c>
      <c r="Z20" s="59">
        <f t="shared" si="1"/>
        <v>100</v>
      </c>
      <c r="AA20" s="49" t="s">
        <v>77</v>
      </c>
      <c r="AB20" s="62">
        <f>Z20/K20*100</f>
        <v>100</v>
      </c>
      <c r="AC20" s="61" t="s">
        <v>77</v>
      </c>
      <c r="AD20" s="60">
        <f t="shared" ref="AD20:AD68" si="5">P20+S20+V20+Y20</f>
        <v>8949702122</v>
      </c>
      <c r="AE20" s="62">
        <f>AD20/M20*100</f>
        <v>94.768655125179237</v>
      </c>
      <c r="AF20" s="61" t="s">
        <v>77</v>
      </c>
      <c r="AG20" s="59">
        <f t="shared" si="2"/>
        <v>200</v>
      </c>
      <c r="AH20" s="49" t="s">
        <v>77</v>
      </c>
      <c r="AI20" s="60">
        <f t="shared" si="3"/>
        <v>17861261191</v>
      </c>
      <c r="AJ20" s="62">
        <f t="shared" ref="AJ20:AJ69" si="6">AG20/E20*100</f>
        <v>200</v>
      </c>
      <c r="AK20" s="61" t="s">
        <v>77</v>
      </c>
      <c r="AL20" s="62">
        <f t="shared" si="4"/>
        <v>34.487849856046203</v>
      </c>
      <c r="AM20" s="13"/>
      <c r="AP20" s="27"/>
    </row>
    <row r="21" spans="1:42" ht="67.5" customHeight="1" x14ac:dyDescent="0.2">
      <c r="A21" s="18"/>
      <c r="B21" s="19"/>
      <c r="C21" s="31" t="s">
        <v>41</v>
      </c>
      <c r="D21" s="28" t="s">
        <v>78</v>
      </c>
      <c r="E21" s="46">
        <v>60</v>
      </c>
      <c r="F21" s="29" t="s">
        <v>75</v>
      </c>
      <c r="G21" s="30">
        <v>505782750</v>
      </c>
      <c r="H21" s="46">
        <v>12</v>
      </c>
      <c r="I21" s="29" t="s">
        <v>75</v>
      </c>
      <c r="J21" s="30">
        <v>61797400</v>
      </c>
      <c r="K21" s="46">
        <v>12</v>
      </c>
      <c r="L21" s="29" t="s">
        <v>75</v>
      </c>
      <c r="M21" s="30">
        <v>68796550</v>
      </c>
      <c r="N21" s="46">
        <v>3</v>
      </c>
      <c r="O21" s="29" t="s">
        <v>75</v>
      </c>
      <c r="P21" s="30">
        <v>16216300</v>
      </c>
      <c r="Q21" s="46">
        <v>3</v>
      </c>
      <c r="R21" s="29" t="s">
        <v>75</v>
      </c>
      <c r="S21" s="30">
        <v>13916100</v>
      </c>
      <c r="T21" s="46">
        <v>3</v>
      </c>
      <c r="U21" s="29" t="s">
        <v>75</v>
      </c>
      <c r="V21" s="30">
        <v>4241800</v>
      </c>
      <c r="W21" s="46">
        <v>3</v>
      </c>
      <c r="X21" s="29" t="s">
        <v>75</v>
      </c>
      <c r="Y21" s="30">
        <v>20190000</v>
      </c>
      <c r="Z21" s="64">
        <f t="shared" si="1"/>
        <v>12</v>
      </c>
      <c r="AA21" s="29" t="s">
        <v>75</v>
      </c>
      <c r="AB21" s="65">
        <f>Z21/K21*100</f>
        <v>100</v>
      </c>
      <c r="AC21" s="37" t="s">
        <v>77</v>
      </c>
      <c r="AD21" s="43">
        <f t="shared" si="5"/>
        <v>54564200</v>
      </c>
      <c r="AE21" s="65">
        <f>AD21/M21*100</f>
        <v>79.312407380893362</v>
      </c>
      <c r="AF21" s="37" t="s">
        <v>77</v>
      </c>
      <c r="AG21" s="64">
        <f t="shared" si="2"/>
        <v>24</v>
      </c>
      <c r="AH21" s="29" t="s">
        <v>75</v>
      </c>
      <c r="AI21" s="43">
        <f t="shared" si="3"/>
        <v>116361600</v>
      </c>
      <c r="AJ21" s="65">
        <f t="shared" si="6"/>
        <v>40</v>
      </c>
      <c r="AK21" s="37" t="s">
        <v>77</v>
      </c>
      <c r="AL21" s="65">
        <f t="shared" si="4"/>
        <v>23.006241316059118</v>
      </c>
      <c r="AM21" s="32"/>
      <c r="AP21" s="27">
        <f t="shared" si="0"/>
        <v>54564200</v>
      </c>
    </row>
    <row r="22" spans="1:42" ht="95.25" customHeight="1" x14ac:dyDescent="0.2">
      <c r="A22" s="18"/>
      <c r="B22" s="19"/>
      <c r="C22" s="31" t="s">
        <v>42</v>
      </c>
      <c r="D22" s="31" t="s">
        <v>78</v>
      </c>
      <c r="E22" s="46">
        <v>60</v>
      </c>
      <c r="F22" s="23" t="s">
        <v>75</v>
      </c>
      <c r="G22" s="25">
        <v>23106000000</v>
      </c>
      <c r="H22" s="47">
        <v>12</v>
      </c>
      <c r="I22" s="23" t="s">
        <v>75</v>
      </c>
      <c r="J22" s="25">
        <v>4132870154</v>
      </c>
      <c r="K22" s="47">
        <v>12</v>
      </c>
      <c r="L22" s="23" t="s">
        <v>75</v>
      </c>
      <c r="M22" s="25">
        <v>5026240000</v>
      </c>
      <c r="N22" s="47">
        <v>3</v>
      </c>
      <c r="O22" s="23" t="s">
        <v>75</v>
      </c>
      <c r="P22" s="25">
        <v>1127628267</v>
      </c>
      <c r="Q22" s="47">
        <v>3</v>
      </c>
      <c r="R22" s="23" t="s">
        <v>75</v>
      </c>
      <c r="S22" s="25">
        <v>1310175169</v>
      </c>
      <c r="T22" s="47">
        <v>3</v>
      </c>
      <c r="U22" s="23" t="s">
        <v>75</v>
      </c>
      <c r="V22" s="25">
        <v>1224261350</v>
      </c>
      <c r="W22" s="47">
        <v>3</v>
      </c>
      <c r="X22" s="23" t="s">
        <v>75</v>
      </c>
      <c r="Y22" s="25">
        <v>1116451904</v>
      </c>
      <c r="Z22" s="64">
        <f t="shared" si="1"/>
        <v>12</v>
      </c>
      <c r="AA22" s="23" t="s">
        <v>75</v>
      </c>
      <c r="AB22" s="65">
        <f t="shared" ref="AB22:AB70" si="7">Z22/K22*100</f>
        <v>100</v>
      </c>
      <c r="AC22" s="37" t="s">
        <v>77</v>
      </c>
      <c r="AD22" s="43">
        <f t="shared" si="5"/>
        <v>4778516690</v>
      </c>
      <c r="AE22" s="65">
        <f t="shared" ref="AE22:AE31" si="8">AD22/M22*100</f>
        <v>95.07139909753613</v>
      </c>
      <c r="AF22" s="37" t="s">
        <v>77</v>
      </c>
      <c r="AG22" s="64">
        <f t="shared" si="2"/>
        <v>24</v>
      </c>
      <c r="AH22" s="23" t="s">
        <v>75</v>
      </c>
      <c r="AI22" s="43">
        <f t="shared" si="3"/>
        <v>8911386844</v>
      </c>
      <c r="AJ22" s="65">
        <f t="shared" si="6"/>
        <v>40</v>
      </c>
      <c r="AK22" s="37" t="s">
        <v>77</v>
      </c>
      <c r="AL22" s="65">
        <f t="shared" si="4"/>
        <v>38.567414714792697</v>
      </c>
      <c r="AM22" s="13"/>
      <c r="AP22" s="27">
        <f t="shared" si="0"/>
        <v>4778516690</v>
      </c>
    </row>
    <row r="23" spans="1:42" ht="76.5" customHeight="1" x14ac:dyDescent="0.2">
      <c r="A23" s="18"/>
      <c r="B23" s="19"/>
      <c r="C23" s="99" t="s">
        <v>43</v>
      </c>
      <c r="D23" s="100" t="s">
        <v>78</v>
      </c>
      <c r="E23" s="46">
        <v>15</v>
      </c>
      <c r="F23" s="29" t="s">
        <v>157</v>
      </c>
      <c r="G23" s="25">
        <v>70000000</v>
      </c>
      <c r="H23" s="46">
        <v>3</v>
      </c>
      <c r="I23" s="29" t="s">
        <v>157</v>
      </c>
      <c r="J23" s="25">
        <v>13820000</v>
      </c>
      <c r="K23" s="46"/>
      <c r="L23" s="29"/>
      <c r="M23" s="25"/>
      <c r="N23" s="46"/>
      <c r="O23" s="29"/>
      <c r="P23" s="25"/>
      <c r="Q23" s="46"/>
      <c r="R23" s="29"/>
      <c r="S23" s="25"/>
      <c r="T23" s="46"/>
      <c r="U23" s="29"/>
      <c r="V23" s="25"/>
      <c r="W23" s="46"/>
      <c r="X23" s="29"/>
      <c r="Y23" s="25"/>
      <c r="Z23" s="64"/>
      <c r="AA23" s="29"/>
      <c r="AB23" s="65"/>
      <c r="AC23" s="37"/>
      <c r="AD23" s="43"/>
      <c r="AE23" s="65"/>
      <c r="AF23" s="37"/>
      <c r="AG23" s="64">
        <f t="shared" si="2"/>
        <v>3</v>
      </c>
      <c r="AH23" s="29" t="s">
        <v>157</v>
      </c>
      <c r="AI23" s="43">
        <f t="shared" si="3"/>
        <v>13820000</v>
      </c>
      <c r="AJ23" s="65">
        <f t="shared" si="6"/>
        <v>20</v>
      </c>
      <c r="AK23" s="37" t="s">
        <v>77</v>
      </c>
      <c r="AL23" s="65">
        <f t="shared" si="4"/>
        <v>19.742857142857144</v>
      </c>
      <c r="AM23" s="13"/>
      <c r="AP23" s="27">
        <f t="shared" si="0"/>
        <v>0</v>
      </c>
    </row>
    <row r="24" spans="1:42" ht="60" x14ac:dyDescent="0.2">
      <c r="A24" s="18"/>
      <c r="B24" s="19"/>
      <c r="C24" s="31" t="s">
        <v>44</v>
      </c>
      <c r="D24" s="31" t="s">
        <v>78</v>
      </c>
      <c r="E24" s="46">
        <v>60</v>
      </c>
      <c r="F24" s="23" t="s">
        <v>75</v>
      </c>
      <c r="G24" s="25">
        <v>175500000</v>
      </c>
      <c r="H24" s="47">
        <v>12</v>
      </c>
      <c r="I24" s="23" t="s">
        <v>75</v>
      </c>
      <c r="J24" s="25">
        <v>32400000</v>
      </c>
      <c r="K24" s="47">
        <v>12</v>
      </c>
      <c r="L24" s="23" t="s">
        <v>75</v>
      </c>
      <c r="M24" s="25">
        <v>11100000</v>
      </c>
      <c r="N24" s="47">
        <v>3</v>
      </c>
      <c r="O24" s="23" t="s">
        <v>75</v>
      </c>
      <c r="P24" s="25">
        <v>5700000</v>
      </c>
      <c r="Q24" s="47">
        <v>3</v>
      </c>
      <c r="R24" s="23" t="s">
        <v>75</v>
      </c>
      <c r="S24" s="25">
        <v>300000</v>
      </c>
      <c r="T24" s="47">
        <v>3</v>
      </c>
      <c r="U24" s="23" t="s">
        <v>75</v>
      </c>
      <c r="V24" s="25">
        <v>1890000</v>
      </c>
      <c r="W24" s="47">
        <v>3</v>
      </c>
      <c r="X24" s="23" t="s">
        <v>75</v>
      </c>
      <c r="Y24" s="25">
        <v>600000</v>
      </c>
      <c r="Z24" s="64">
        <f t="shared" si="1"/>
        <v>12</v>
      </c>
      <c r="AA24" s="23" t="s">
        <v>75</v>
      </c>
      <c r="AB24" s="65">
        <f t="shared" si="7"/>
        <v>100</v>
      </c>
      <c r="AC24" s="37" t="s">
        <v>77</v>
      </c>
      <c r="AD24" s="43">
        <f t="shared" si="5"/>
        <v>8490000</v>
      </c>
      <c r="AE24" s="65">
        <f t="shared" si="8"/>
        <v>76.486486486486484</v>
      </c>
      <c r="AF24" s="37" t="s">
        <v>77</v>
      </c>
      <c r="AG24" s="64">
        <f t="shared" si="2"/>
        <v>24</v>
      </c>
      <c r="AH24" s="23" t="s">
        <v>75</v>
      </c>
      <c r="AI24" s="43">
        <f t="shared" si="3"/>
        <v>40890000</v>
      </c>
      <c r="AJ24" s="65">
        <f t="shared" si="6"/>
        <v>40</v>
      </c>
      <c r="AK24" s="37" t="s">
        <v>77</v>
      </c>
      <c r="AL24" s="65">
        <f t="shared" si="4"/>
        <v>23.299145299145298</v>
      </c>
      <c r="AM24" s="13"/>
      <c r="AP24" s="27">
        <f t="shared" si="0"/>
        <v>8490000</v>
      </c>
    </row>
    <row r="25" spans="1:42" ht="110.25" customHeight="1" x14ac:dyDescent="0.2">
      <c r="A25" s="18"/>
      <c r="B25" s="19"/>
      <c r="C25" s="28" t="s">
        <v>91</v>
      </c>
      <c r="D25" s="31" t="s">
        <v>78</v>
      </c>
      <c r="E25" s="46">
        <v>60</v>
      </c>
      <c r="F25" s="29" t="s">
        <v>75</v>
      </c>
      <c r="G25" s="25">
        <v>23945750000</v>
      </c>
      <c r="H25" s="46">
        <v>12</v>
      </c>
      <c r="I25" s="29" t="s">
        <v>75</v>
      </c>
      <c r="J25" s="25">
        <v>4044250000</v>
      </c>
      <c r="K25" s="46">
        <v>12</v>
      </c>
      <c r="L25" s="29" t="s">
        <v>75</v>
      </c>
      <c r="M25" s="25">
        <v>4137600000</v>
      </c>
      <c r="N25" s="46">
        <v>3</v>
      </c>
      <c r="O25" s="29" t="s">
        <v>75</v>
      </c>
      <c r="P25" s="25">
        <v>981550000</v>
      </c>
      <c r="Q25" s="46">
        <v>3</v>
      </c>
      <c r="R25" s="29" t="s">
        <v>75</v>
      </c>
      <c r="S25" s="25">
        <v>974000000</v>
      </c>
      <c r="T25" s="46">
        <v>3</v>
      </c>
      <c r="U25" s="29" t="s">
        <v>75</v>
      </c>
      <c r="V25" s="25">
        <v>972500000</v>
      </c>
      <c r="W25" s="46">
        <v>3</v>
      </c>
      <c r="X25" s="29" t="s">
        <v>75</v>
      </c>
      <c r="Y25" s="25">
        <v>987947420</v>
      </c>
      <c r="Z25" s="64">
        <f t="shared" si="1"/>
        <v>12</v>
      </c>
      <c r="AA25" s="29" t="s">
        <v>75</v>
      </c>
      <c r="AB25" s="65">
        <f t="shared" si="7"/>
        <v>100</v>
      </c>
      <c r="AC25" s="37" t="s">
        <v>77</v>
      </c>
      <c r="AD25" s="43">
        <f t="shared" si="5"/>
        <v>3915997420</v>
      </c>
      <c r="AE25" s="65">
        <f t="shared" si="8"/>
        <v>94.644175850734726</v>
      </c>
      <c r="AF25" s="37" t="s">
        <v>77</v>
      </c>
      <c r="AG25" s="64">
        <f t="shared" si="2"/>
        <v>24</v>
      </c>
      <c r="AH25" s="29" t="s">
        <v>75</v>
      </c>
      <c r="AI25" s="43">
        <f t="shared" si="3"/>
        <v>7960247420</v>
      </c>
      <c r="AJ25" s="65">
        <f t="shared" si="6"/>
        <v>40</v>
      </c>
      <c r="AK25" s="37" t="s">
        <v>77</v>
      </c>
      <c r="AL25" s="65">
        <f t="shared" si="4"/>
        <v>33.242840253489661</v>
      </c>
      <c r="AM25" s="13"/>
      <c r="AP25" s="27"/>
    </row>
    <row r="26" spans="1:42" ht="81" customHeight="1" x14ac:dyDescent="0.2">
      <c r="A26" s="18"/>
      <c r="B26" s="19"/>
      <c r="C26" s="28" t="s">
        <v>45</v>
      </c>
      <c r="D26" s="31" t="s">
        <v>78</v>
      </c>
      <c r="E26" s="46">
        <v>60</v>
      </c>
      <c r="F26" s="23" t="s">
        <v>75</v>
      </c>
      <c r="G26" s="25">
        <v>3986978125</v>
      </c>
      <c r="H26" s="47">
        <v>12</v>
      </c>
      <c r="I26" s="23" t="s">
        <v>75</v>
      </c>
      <c r="J26" s="25">
        <v>626421515</v>
      </c>
      <c r="K26" s="47">
        <v>12</v>
      </c>
      <c r="L26" s="23" t="s">
        <v>75</v>
      </c>
      <c r="M26" s="25">
        <v>200000000</v>
      </c>
      <c r="N26" s="47">
        <v>3</v>
      </c>
      <c r="O26" s="23" t="s">
        <v>75</v>
      </c>
      <c r="P26" s="25">
        <v>142173812</v>
      </c>
      <c r="Q26" s="47">
        <v>3</v>
      </c>
      <c r="R26" s="23" t="s">
        <v>75</v>
      </c>
      <c r="S26" s="25">
        <v>9620000</v>
      </c>
      <c r="T26" s="47">
        <v>3</v>
      </c>
      <c r="U26" s="23" t="s">
        <v>75</v>
      </c>
      <c r="V26" s="25">
        <v>9870000</v>
      </c>
      <c r="W26" s="47">
        <v>3</v>
      </c>
      <c r="X26" s="23" t="s">
        <v>75</v>
      </c>
      <c r="Y26" s="25">
        <v>30470000</v>
      </c>
      <c r="Z26" s="64">
        <f t="shared" si="1"/>
        <v>12</v>
      </c>
      <c r="AA26" s="23" t="s">
        <v>75</v>
      </c>
      <c r="AB26" s="65">
        <f t="shared" si="7"/>
        <v>100</v>
      </c>
      <c r="AC26" s="37" t="s">
        <v>77</v>
      </c>
      <c r="AD26" s="43">
        <f t="shared" si="5"/>
        <v>192133812</v>
      </c>
      <c r="AE26" s="65">
        <f t="shared" si="8"/>
        <v>96.066906000000003</v>
      </c>
      <c r="AF26" s="37" t="s">
        <v>77</v>
      </c>
      <c r="AG26" s="64">
        <f t="shared" si="2"/>
        <v>24</v>
      </c>
      <c r="AH26" s="23" t="s">
        <v>75</v>
      </c>
      <c r="AI26" s="43">
        <f t="shared" si="3"/>
        <v>818555327</v>
      </c>
      <c r="AJ26" s="65">
        <f t="shared" si="6"/>
        <v>40</v>
      </c>
      <c r="AK26" s="37" t="s">
        <v>77</v>
      </c>
      <c r="AL26" s="65">
        <f t="shared" si="4"/>
        <v>20.530720293329928</v>
      </c>
      <c r="AM26" s="13"/>
      <c r="AP26" s="27"/>
    </row>
    <row r="27" spans="1:42" ht="97.5" customHeight="1" x14ac:dyDescent="0.2">
      <c r="A27" s="18"/>
      <c r="B27" s="19"/>
      <c r="C27" s="20" t="s">
        <v>46</v>
      </c>
      <c r="D27" s="20" t="s">
        <v>151</v>
      </c>
      <c r="E27" s="48">
        <v>100</v>
      </c>
      <c r="F27" s="49" t="s">
        <v>77</v>
      </c>
      <c r="G27" s="45">
        <f>SUM(G28:G31)</f>
        <v>2660569500</v>
      </c>
      <c r="H27" s="48">
        <v>100</v>
      </c>
      <c r="I27" s="49" t="s">
        <v>77</v>
      </c>
      <c r="J27" s="45">
        <f>SUM(J28:J31)</f>
        <v>352575650</v>
      </c>
      <c r="K27" s="48">
        <v>100</v>
      </c>
      <c r="L27" s="49" t="s">
        <v>77</v>
      </c>
      <c r="M27" s="45">
        <f>SUM(M28:M31)</f>
        <v>227887900</v>
      </c>
      <c r="N27" s="48">
        <v>25</v>
      </c>
      <c r="O27" s="49" t="s">
        <v>77</v>
      </c>
      <c r="P27" s="45">
        <f>SUM(P28:P31)</f>
        <v>102951750</v>
      </c>
      <c r="Q27" s="48">
        <v>25</v>
      </c>
      <c r="R27" s="49" t="s">
        <v>77</v>
      </c>
      <c r="S27" s="45">
        <f>SUM(S28:S31)</f>
        <v>24513250</v>
      </c>
      <c r="T27" s="48">
        <v>25</v>
      </c>
      <c r="U27" s="49" t="s">
        <v>77</v>
      </c>
      <c r="V27" s="45">
        <f>SUM(V28:V31)</f>
        <v>21710375</v>
      </c>
      <c r="W27" s="48">
        <v>25</v>
      </c>
      <c r="X27" s="49" t="s">
        <v>77</v>
      </c>
      <c r="Y27" s="45">
        <f>SUM(Y28:Y31)</f>
        <v>30807150</v>
      </c>
      <c r="Z27" s="59">
        <f t="shared" si="1"/>
        <v>100</v>
      </c>
      <c r="AA27" s="49" t="s">
        <v>77</v>
      </c>
      <c r="AB27" s="62">
        <f t="shared" si="7"/>
        <v>100</v>
      </c>
      <c r="AC27" s="61" t="s">
        <v>77</v>
      </c>
      <c r="AD27" s="60">
        <f t="shared" si="5"/>
        <v>179982525</v>
      </c>
      <c r="AE27" s="62">
        <f t="shared" si="8"/>
        <v>78.978535060439796</v>
      </c>
      <c r="AF27" s="61" t="s">
        <v>77</v>
      </c>
      <c r="AG27" s="59">
        <f t="shared" si="2"/>
        <v>200</v>
      </c>
      <c r="AH27" s="49" t="s">
        <v>77</v>
      </c>
      <c r="AI27" s="60">
        <f t="shared" si="3"/>
        <v>532558175</v>
      </c>
      <c r="AJ27" s="62">
        <f t="shared" si="6"/>
        <v>200</v>
      </c>
      <c r="AK27" s="61" t="s">
        <v>77</v>
      </c>
      <c r="AL27" s="62">
        <f t="shared" si="4"/>
        <v>20.016698492559581</v>
      </c>
      <c r="AM27" s="13"/>
      <c r="AP27" s="27"/>
    </row>
    <row r="28" spans="1:42" ht="66" customHeight="1" x14ac:dyDescent="0.2">
      <c r="A28" s="18"/>
      <c r="B28" s="19"/>
      <c r="C28" s="28" t="s">
        <v>79</v>
      </c>
      <c r="D28" s="31" t="s">
        <v>81</v>
      </c>
      <c r="E28" s="46">
        <v>60</v>
      </c>
      <c r="F28" s="23" t="s">
        <v>75</v>
      </c>
      <c r="G28" s="25">
        <v>385319500</v>
      </c>
      <c r="H28" s="47">
        <v>12</v>
      </c>
      <c r="I28" s="23" t="s">
        <v>75</v>
      </c>
      <c r="J28" s="25">
        <v>128805000</v>
      </c>
      <c r="K28" s="47">
        <v>12</v>
      </c>
      <c r="L28" s="23" t="s">
        <v>75</v>
      </c>
      <c r="M28" s="25">
        <v>99887900</v>
      </c>
      <c r="N28" s="47">
        <v>3</v>
      </c>
      <c r="O28" s="23" t="s">
        <v>75</v>
      </c>
      <c r="P28" s="25">
        <v>84844000</v>
      </c>
      <c r="Q28" s="47">
        <v>3</v>
      </c>
      <c r="R28" s="23" t="s">
        <v>75</v>
      </c>
      <c r="S28" s="25">
        <v>5393000</v>
      </c>
      <c r="T28" s="47">
        <v>3</v>
      </c>
      <c r="U28" s="23" t="s">
        <v>75</v>
      </c>
      <c r="V28" s="25">
        <v>0</v>
      </c>
      <c r="W28" s="47">
        <v>3</v>
      </c>
      <c r="X28" s="23" t="s">
        <v>75</v>
      </c>
      <c r="Y28" s="25">
        <v>2000500</v>
      </c>
      <c r="Z28" s="64">
        <f t="shared" si="1"/>
        <v>12</v>
      </c>
      <c r="AA28" s="23" t="s">
        <v>75</v>
      </c>
      <c r="AB28" s="65">
        <f t="shared" si="7"/>
        <v>100</v>
      </c>
      <c r="AC28" s="37" t="s">
        <v>77</v>
      </c>
      <c r="AD28" s="43">
        <f t="shared" si="5"/>
        <v>92237500</v>
      </c>
      <c r="AE28" s="65">
        <f t="shared" si="8"/>
        <v>92.341014277004518</v>
      </c>
      <c r="AF28" s="37" t="s">
        <v>77</v>
      </c>
      <c r="AG28" s="64">
        <f t="shared" si="2"/>
        <v>24</v>
      </c>
      <c r="AH28" s="23" t="s">
        <v>75</v>
      </c>
      <c r="AI28" s="43">
        <f t="shared" si="3"/>
        <v>221042500</v>
      </c>
      <c r="AJ28" s="65">
        <f t="shared" si="6"/>
        <v>40</v>
      </c>
      <c r="AK28" s="37" t="s">
        <v>77</v>
      </c>
      <c r="AL28" s="65">
        <f t="shared" si="4"/>
        <v>57.366030008862779</v>
      </c>
      <c r="AM28" s="13"/>
      <c r="AP28" s="27"/>
    </row>
    <row r="29" spans="1:42" ht="62.25" customHeight="1" x14ac:dyDescent="0.2">
      <c r="A29" s="18"/>
      <c r="B29" s="19"/>
      <c r="C29" s="28" t="s">
        <v>80</v>
      </c>
      <c r="D29" s="31" t="s">
        <v>82</v>
      </c>
      <c r="E29" s="47">
        <v>5</v>
      </c>
      <c r="F29" s="23" t="s">
        <v>158</v>
      </c>
      <c r="G29" s="25">
        <v>165500000</v>
      </c>
      <c r="H29" s="47">
        <v>1</v>
      </c>
      <c r="I29" s="23" t="s">
        <v>158</v>
      </c>
      <c r="J29" s="25">
        <v>18237500</v>
      </c>
      <c r="K29" s="47">
        <v>2</v>
      </c>
      <c r="L29" s="23" t="s">
        <v>158</v>
      </c>
      <c r="M29" s="25">
        <v>19000000</v>
      </c>
      <c r="N29" s="47">
        <v>0</v>
      </c>
      <c r="O29" s="23" t="s">
        <v>158</v>
      </c>
      <c r="P29" s="25">
        <v>0</v>
      </c>
      <c r="Q29" s="47">
        <v>0</v>
      </c>
      <c r="R29" s="23" t="s">
        <v>158</v>
      </c>
      <c r="S29" s="25">
        <v>0</v>
      </c>
      <c r="T29" s="47">
        <v>0</v>
      </c>
      <c r="U29" s="23" t="s">
        <v>158</v>
      </c>
      <c r="V29" s="25">
        <v>18360375</v>
      </c>
      <c r="W29" s="47">
        <v>0</v>
      </c>
      <c r="X29" s="23" t="s">
        <v>158</v>
      </c>
      <c r="Y29" s="25">
        <v>0</v>
      </c>
      <c r="Z29" s="64">
        <f t="shared" si="1"/>
        <v>0</v>
      </c>
      <c r="AA29" s="23" t="s">
        <v>158</v>
      </c>
      <c r="AB29" s="65">
        <f t="shared" si="7"/>
        <v>0</v>
      </c>
      <c r="AC29" s="37" t="s">
        <v>77</v>
      </c>
      <c r="AD29" s="43">
        <f t="shared" si="5"/>
        <v>18360375</v>
      </c>
      <c r="AE29" s="65">
        <f t="shared" si="8"/>
        <v>96.633552631578951</v>
      </c>
      <c r="AF29" s="37" t="s">
        <v>77</v>
      </c>
      <c r="AG29" s="64">
        <f t="shared" si="2"/>
        <v>1</v>
      </c>
      <c r="AH29" s="23" t="s">
        <v>158</v>
      </c>
      <c r="AI29" s="43">
        <f t="shared" si="3"/>
        <v>36597875</v>
      </c>
      <c r="AJ29" s="65">
        <f t="shared" si="6"/>
        <v>20</v>
      </c>
      <c r="AK29" s="37" t="s">
        <v>77</v>
      </c>
      <c r="AL29" s="65">
        <f t="shared" si="4"/>
        <v>22.113519637462236</v>
      </c>
      <c r="AM29" s="13"/>
      <c r="AP29" s="27"/>
    </row>
    <row r="30" spans="1:42" ht="76.5" customHeight="1" x14ac:dyDescent="0.2">
      <c r="A30" s="18"/>
      <c r="B30" s="19"/>
      <c r="C30" s="28" t="s">
        <v>47</v>
      </c>
      <c r="D30" s="31" t="s">
        <v>83</v>
      </c>
      <c r="E30" s="46">
        <v>60</v>
      </c>
      <c r="F30" s="23" t="s">
        <v>75</v>
      </c>
      <c r="G30" s="25">
        <v>1918150000</v>
      </c>
      <c r="H30" s="47">
        <v>12</v>
      </c>
      <c r="I30" s="23" t="s">
        <v>75</v>
      </c>
      <c r="J30" s="25">
        <v>205533150</v>
      </c>
      <c r="K30" s="47">
        <v>12</v>
      </c>
      <c r="L30" s="23" t="s">
        <v>75</v>
      </c>
      <c r="M30" s="25">
        <v>90000000</v>
      </c>
      <c r="N30" s="47">
        <v>3</v>
      </c>
      <c r="O30" s="23" t="s">
        <v>75</v>
      </c>
      <c r="P30" s="25">
        <v>16836750</v>
      </c>
      <c r="Q30" s="47">
        <v>3</v>
      </c>
      <c r="R30" s="23" t="s">
        <v>75</v>
      </c>
      <c r="S30" s="25">
        <v>18269250</v>
      </c>
      <c r="T30" s="47">
        <v>3</v>
      </c>
      <c r="U30" s="23" t="s">
        <v>75</v>
      </c>
      <c r="V30" s="25">
        <v>2910000</v>
      </c>
      <c r="W30" s="47">
        <v>3</v>
      </c>
      <c r="X30" s="23" t="s">
        <v>75</v>
      </c>
      <c r="Y30" s="25">
        <v>16434650</v>
      </c>
      <c r="Z30" s="64">
        <f t="shared" ref="Z30:Z31" si="9">N30+Q30+T30+W30</f>
        <v>12</v>
      </c>
      <c r="AA30" s="23" t="s">
        <v>75</v>
      </c>
      <c r="AB30" s="65">
        <f t="shared" si="7"/>
        <v>100</v>
      </c>
      <c r="AC30" s="37" t="s">
        <v>77</v>
      </c>
      <c r="AD30" s="43">
        <f t="shared" ref="AD30:AD31" si="10">P30+S30+V30+Y30</f>
        <v>54450650</v>
      </c>
      <c r="AE30" s="65">
        <f t="shared" si="8"/>
        <v>60.500722222222223</v>
      </c>
      <c r="AF30" s="37" t="s">
        <v>77</v>
      </c>
      <c r="AG30" s="64">
        <f t="shared" ref="AG30:AG33" si="11">H30+Z30</f>
        <v>24</v>
      </c>
      <c r="AH30" s="23" t="s">
        <v>75</v>
      </c>
      <c r="AI30" s="43">
        <f t="shared" ref="AI30:AI33" si="12">J30+AD30</f>
        <v>259983800</v>
      </c>
      <c r="AJ30" s="65">
        <f t="shared" ref="AJ30:AJ33" si="13">AG30/E30*100</f>
        <v>40</v>
      </c>
      <c r="AK30" s="37" t="s">
        <v>77</v>
      </c>
      <c r="AL30" s="65">
        <f t="shared" ref="AL30:AL33" si="14">AI30/G30*100</f>
        <v>13.55388264734249</v>
      </c>
      <c r="AM30" s="13"/>
      <c r="AP30" s="27"/>
    </row>
    <row r="31" spans="1:42" ht="66.75" customHeight="1" x14ac:dyDescent="0.2">
      <c r="A31" s="18"/>
      <c r="B31" s="19"/>
      <c r="C31" s="28" t="s">
        <v>48</v>
      </c>
      <c r="D31" s="31" t="s">
        <v>84</v>
      </c>
      <c r="E31" s="46">
        <f>12*4</f>
        <v>48</v>
      </c>
      <c r="F31" s="23" t="s">
        <v>75</v>
      </c>
      <c r="G31" s="25">
        <v>191600000</v>
      </c>
      <c r="H31" s="47"/>
      <c r="I31" s="23"/>
      <c r="J31" s="25"/>
      <c r="K31" s="47">
        <v>12</v>
      </c>
      <c r="L31" s="23" t="s">
        <v>75</v>
      </c>
      <c r="M31" s="25">
        <v>19000000</v>
      </c>
      <c r="N31" s="47">
        <v>3</v>
      </c>
      <c r="O31" s="23" t="s">
        <v>75</v>
      </c>
      <c r="P31" s="25">
        <v>1271000</v>
      </c>
      <c r="Q31" s="47">
        <v>3</v>
      </c>
      <c r="R31" s="23" t="s">
        <v>75</v>
      </c>
      <c r="S31" s="25">
        <v>851000</v>
      </c>
      <c r="T31" s="47">
        <v>3</v>
      </c>
      <c r="U31" s="23" t="s">
        <v>75</v>
      </c>
      <c r="V31" s="25">
        <v>440000</v>
      </c>
      <c r="W31" s="47">
        <v>3</v>
      </c>
      <c r="X31" s="23" t="s">
        <v>75</v>
      </c>
      <c r="Y31" s="25">
        <v>12372000</v>
      </c>
      <c r="Z31" s="64">
        <f t="shared" si="9"/>
        <v>12</v>
      </c>
      <c r="AA31" s="23" t="s">
        <v>75</v>
      </c>
      <c r="AB31" s="65">
        <f t="shared" si="7"/>
        <v>100</v>
      </c>
      <c r="AC31" s="37" t="s">
        <v>77</v>
      </c>
      <c r="AD31" s="43">
        <f t="shared" si="10"/>
        <v>14934000</v>
      </c>
      <c r="AE31" s="65">
        <f t="shared" si="8"/>
        <v>78.600000000000009</v>
      </c>
      <c r="AF31" s="37" t="s">
        <v>77</v>
      </c>
      <c r="AG31" s="64">
        <f t="shared" si="11"/>
        <v>12</v>
      </c>
      <c r="AH31" s="23" t="s">
        <v>75</v>
      </c>
      <c r="AI31" s="43">
        <f t="shared" si="12"/>
        <v>14934000</v>
      </c>
      <c r="AJ31" s="65">
        <f t="shared" si="13"/>
        <v>25</v>
      </c>
      <c r="AK31" s="37" t="s">
        <v>77</v>
      </c>
      <c r="AL31" s="65">
        <f t="shared" si="14"/>
        <v>7.7943632567849681</v>
      </c>
      <c r="AM31" s="13"/>
      <c r="AP31" s="27"/>
    </row>
    <row r="32" spans="1:42" ht="102" customHeight="1" x14ac:dyDescent="0.2">
      <c r="A32" s="18"/>
      <c r="B32" s="19"/>
      <c r="C32" s="78" t="s">
        <v>159</v>
      </c>
      <c r="D32" s="78" t="s">
        <v>151</v>
      </c>
      <c r="E32" s="58">
        <v>100</v>
      </c>
      <c r="F32" s="55" t="s">
        <v>77</v>
      </c>
      <c r="G32" s="45">
        <f>SUM(G33)</f>
        <v>808531250</v>
      </c>
      <c r="H32" s="58">
        <v>100</v>
      </c>
      <c r="I32" s="55" t="s">
        <v>77</v>
      </c>
      <c r="J32" s="45">
        <f>SUM(J33)</f>
        <v>603944750</v>
      </c>
      <c r="K32" s="58"/>
      <c r="L32" s="55"/>
      <c r="M32" s="45"/>
      <c r="N32" s="58"/>
      <c r="O32" s="55"/>
      <c r="P32" s="45"/>
      <c r="Q32" s="58"/>
      <c r="R32" s="55"/>
      <c r="S32" s="45"/>
      <c r="T32" s="58"/>
      <c r="U32" s="55"/>
      <c r="V32" s="45"/>
      <c r="W32" s="58"/>
      <c r="X32" s="55"/>
      <c r="Y32" s="45"/>
      <c r="Z32" s="59"/>
      <c r="AA32" s="55"/>
      <c r="AB32" s="62"/>
      <c r="AC32" s="61"/>
      <c r="AD32" s="60"/>
      <c r="AE32" s="62"/>
      <c r="AF32" s="61"/>
      <c r="AG32" s="59">
        <f t="shared" si="11"/>
        <v>100</v>
      </c>
      <c r="AH32" s="55" t="s">
        <v>77</v>
      </c>
      <c r="AI32" s="60">
        <f t="shared" si="12"/>
        <v>603944750</v>
      </c>
      <c r="AJ32" s="62">
        <f t="shared" si="13"/>
        <v>100</v>
      </c>
      <c r="AK32" s="61" t="s">
        <v>77</v>
      </c>
      <c r="AL32" s="62">
        <f t="shared" si="14"/>
        <v>74.696525335291625</v>
      </c>
      <c r="AM32" s="13"/>
      <c r="AP32" s="27"/>
    </row>
    <row r="33" spans="1:42" ht="105" x14ac:dyDescent="0.2">
      <c r="A33" s="18"/>
      <c r="B33" s="19"/>
      <c r="C33" s="79" t="s">
        <v>161</v>
      </c>
      <c r="D33" s="80" t="s">
        <v>160</v>
      </c>
      <c r="E33" s="22">
        <v>12</v>
      </c>
      <c r="F33" s="23" t="s">
        <v>75</v>
      </c>
      <c r="G33" s="57">
        <v>808531250</v>
      </c>
      <c r="H33" s="47">
        <v>12</v>
      </c>
      <c r="I33" s="23" t="s">
        <v>75</v>
      </c>
      <c r="J33" s="63">
        <v>603944750</v>
      </c>
      <c r="K33" s="47"/>
      <c r="L33" s="23"/>
      <c r="M33" s="25"/>
      <c r="N33" s="47"/>
      <c r="O33" s="23"/>
      <c r="P33" s="25"/>
      <c r="Q33" s="47"/>
      <c r="R33" s="23"/>
      <c r="S33" s="25"/>
      <c r="T33" s="47"/>
      <c r="U33" s="23"/>
      <c r="V33" s="25"/>
      <c r="W33" s="47"/>
      <c r="X33" s="23"/>
      <c r="Y33" s="25"/>
      <c r="Z33" s="64"/>
      <c r="AA33" s="23"/>
      <c r="AB33" s="65"/>
      <c r="AC33" s="37"/>
      <c r="AD33" s="43"/>
      <c r="AE33" s="65"/>
      <c r="AF33" s="37"/>
      <c r="AG33" s="64">
        <f t="shared" si="11"/>
        <v>12</v>
      </c>
      <c r="AH33" s="23" t="s">
        <v>75</v>
      </c>
      <c r="AI33" s="43">
        <f t="shared" si="12"/>
        <v>603944750</v>
      </c>
      <c r="AJ33" s="65">
        <f t="shared" si="13"/>
        <v>100</v>
      </c>
      <c r="AK33" s="37" t="s">
        <v>77</v>
      </c>
      <c r="AL33" s="65">
        <f t="shared" si="14"/>
        <v>74.696525335291625</v>
      </c>
      <c r="AM33" s="13"/>
      <c r="AP33" s="27"/>
    </row>
    <row r="34" spans="1:42" ht="94.5" x14ac:dyDescent="0.2">
      <c r="A34" s="53">
        <v>6</v>
      </c>
      <c r="B34" s="54" t="s">
        <v>92</v>
      </c>
      <c r="C34" s="54" t="s">
        <v>93</v>
      </c>
      <c r="D34" s="21" t="s">
        <v>152</v>
      </c>
      <c r="E34" s="50">
        <v>82.32</v>
      </c>
      <c r="F34" s="49" t="s">
        <v>77</v>
      </c>
      <c r="G34" s="45">
        <f>G35+G46+G49</f>
        <v>164184532500</v>
      </c>
      <c r="H34" s="50">
        <f>(H35*40%)+(H36*20%)+(H37*40%)</f>
        <v>50.835283377602906</v>
      </c>
      <c r="I34" s="49" t="s">
        <v>77</v>
      </c>
      <c r="J34" s="45">
        <f>J35+J46+J49</f>
        <v>30441346246</v>
      </c>
      <c r="K34" s="50">
        <f>(K35*40%)+(K36*20%)+(K37*40%)</f>
        <v>59.98</v>
      </c>
      <c r="L34" s="49" t="s">
        <v>77</v>
      </c>
      <c r="M34" s="45">
        <f>M35+M46+M49</f>
        <v>16268155000</v>
      </c>
      <c r="N34" s="50">
        <v>0</v>
      </c>
      <c r="O34" s="49" t="s">
        <v>77</v>
      </c>
      <c r="P34" s="45">
        <f>P35+P46+P49</f>
        <v>127682370</v>
      </c>
      <c r="Q34" s="50">
        <v>0</v>
      </c>
      <c r="R34" s="49" t="s">
        <v>77</v>
      </c>
      <c r="S34" s="45">
        <f>S35+S46+S49</f>
        <v>5011823867</v>
      </c>
      <c r="T34" s="50">
        <f>(T35*40%)+(T36*20%)+(T37*40%)</f>
        <v>0.35236794429515378</v>
      </c>
      <c r="U34" s="49" t="s">
        <v>77</v>
      </c>
      <c r="V34" s="45">
        <f>V35+V46+V49</f>
        <v>2485367910</v>
      </c>
      <c r="W34" s="50">
        <f>(W35*40%)+(W36*20%)+(W37*40%)</f>
        <v>2.0503328957708087</v>
      </c>
      <c r="X34" s="49" t="s">
        <v>77</v>
      </c>
      <c r="Y34" s="45">
        <f>Y35+Y46+Y49</f>
        <v>8194202299</v>
      </c>
      <c r="Z34" s="62">
        <f>N34+Q34+T34+W34</f>
        <v>2.4027008400659624</v>
      </c>
      <c r="AA34" s="49" t="s">
        <v>77</v>
      </c>
      <c r="AB34" s="62">
        <f>AG34/K34*100</f>
        <v>88.759560216186856</v>
      </c>
      <c r="AC34" s="61" t="s">
        <v>77</v>
      </c>
      <c r="AD34" s="60">
        <f t="shared" si="5"/>
        <v>15819076446</v>
      </c>
      <c r="AE34" s="62">
        <f t="shared" ref="AE34:AE35" si="15">AD34/M34*100</f>
        <v>97.239523756689067</v>
      </c>
      <c r="AF34" s="61" t="s">
        <v>77</v>
      </c>
      <c r="AG34" s="62">
        <f>H34+Z34</f>
        <v>53.237984217668867</v>
      </c>
      <c r="AH34" s="49" t="s">
        <v>77</v>
      </c>
      <c r="AI34" s="60">
        <f t="shared" si="3"/>
        <v>46260422692</v>
      </c>
      <c r="AJ34" s="62">
        <f t="shared" si="6"/>
        <v>64.671992489879585</v>
      </c>
      <c r="AK34" s="61" t="s">
        <v>77</v>
      </c>
      <c r="AL34" s="62">
        <f t="shared" si="4"/>
        <v>28.175871373267146</v>
      </c>
      <c r="AM34" s="13"/>
      <c r="AP34" s="27"/>
    </row>
    <row r="35" spans="1:42" ht="63" x14ac:dyDescent="0.2">
      <c r="A35" s="18"/>
      <c r="B35" s="19"/>
      <c r="C35" s="19"/>
      <c r="D35" s="21" t="s">
        <v>168</v>
      </c>
      <c r="E35" s="50">
        <v>55.81</v>
      </c>
      <c r="F35" s="49" t="s">
        <v>77</v>
      </c>
      <c r="G35" s="76">
        <f>SUM(G38:G41)</f>
        <v>75333630000</v>
      </c>
      <c r="H35" s="50">
        <f>9386/21249*100</f>
        <v>44.171490423078737</v>
      </c>
      <c r="I35" s="49" t="s">
        <v>77</v>
      </c>
      <c r="J35" s="76">
        <f>SUM(J38:J41)</f>
        <v>9342807596</v>
      </c>
      <c r="K35" s="50">
        <v>47.37</v>
      </c>
      <c r="L35" s="49" t="s">
        <v>77</v>
      </c>
      <c r="M35" s="76">
        <f>SUM(M38:M41)</f>
        <v>6481625000</v>
      </c>
      <c r="N35" s="50">
        <v>0</v>
      </c>
      <c r="O35" s="49" t="s">
        <v>77</v>
      </c>
      <c r="P35" s="76">
        <f>SUM(P38:P41)</f>
        <v>0</v>
      </c>
      <c r="Q35" s="50">
        <v>0</v>
      </c>
      <c r="R35" s="49" t="s">
        <v>77</v>
      </c>
      <c r="S35" s="76">
        <f>SUM(S38:S41)</f>
        <v>79697500</v>
      </c>
      <c r="T35" s="50">
        <f>T38/21249*100</f>
        <v>0.42354934349851753</v>
      </c>
      <c r="U35" s="49" t="s">
        <v>77</v>
      </c>
      <c r="V35" s="76">
        <f>SUM(V38:V41)</f>
        <v>1743996751</v>
      </c>
      <c r="W35" s="50">
        <f>W38/21249*100</f>
        <v>0.42354934349851753</v>
      </c>
      <c r="X35" s="49" t="s">
        <v>77</v>
      </c>
      <c r="Y35" s="76">
        <f>SUM(Y38:Y41)</f>
        <v>4531081521</v>
      </c>
      <c r="Z35" s="62">
        <f>N35+Q35+T35+W35</f>
        <v>0.84709868699703506</v>
      </c>
      <c r="AA35" s="49" t="s">
        <v>77</v>
      </c>
      <c r="AB35" s="62">
        <f>AG35/K35*100</f>
        <v>95.03607580763304</v>
      </c>
      <c r="AC35" s="61" t="s">
        <v>77</v>
      </c>
      <c r="AD35" s="81">
        <f>P35+S35+V35+Y35</f>
        <v>6354775772</v>
      </c>
      <c r="AE35" s="83">
        <f t="shared" si="15"/>
        <v>98.042940960021596</v>
      </c>
      <c r="AF35" s="53" t="s">
        <v>77</v>
      </c>
      <c r="AG35" s="62">
        <f t="shared" ref="AG35" si="16">H35+Z35</f>
        <v>45.018589110075773</v>
      </c>
      <c r="AH35" s="49" t="s">
        <v>77</v>
      </c>
      <c r="AI35" s="81">
        <f t="shared" ref="AI35" si="17">J35+AD35</f>
        <v>15697583368</v>
      </c>
      <c r="AJ35" s="62">
        <f t="shared" ref="AJ35:AJ36" si="18">AG35/E35*100</f>
        <v>80.664019190245057</v>
      </c>
      <c r="AK35" s="61" t="s">
        <v>77</v>
      </c>
      <c r="AL35" s="83">
        <f t="shared" ref="AL35" si="19">AI35/G35*100</f>
        <v>20.837417987159252</v>
      </c>
      <c r="AM35" s="13"/>
      <c r="AP35" s="27"/>
    </row>
    <row r="36" spans="1:42" ht="63" x14ac:dyDescent="0.2">
      <c r="A36" s="18"/>
      <c r="B36" s="19"/>
      <c r="C36" s="19"/>
      <c r="D36" s="21" t="s">
        <v>169</v>
      </c>
      <c r="E36" s="50">
        <v>100</v>
      </c>
      <c r="F36" s="49" t="s">
        <v>77</v>
      </c>
      <c r="G36" s="77"/>
      <c r="H36" s="50">
        <f>11/38*100</f>
        <v>28.947368421052634</v>
      </c>
      <c r="I36" s="49" t="s">
        <v>77</v>
      </c>
      <c r="J36" s="77"/>
      <c r="K36" s="50">
        <v>44.74</v>
      </c>
      <c r="L36" s="49" t="s">
        <v>77</v>
      </c>
      <c r="M36" s="77"/>
      <c r="N36" s="50">
        <v>0</v>
      </c>
      <c r="O36" s="49" t="s">
        <v>77</v>
      </c>
      <c r="P36" s="77"/>
      <c r="Q36" s="50">
        <v>0</v>
      </c>
      <c r="R36" s="49" t="s">
        <v>77</v>
      </c>
      <c r="S36" s="77"/>
      <c r="T36" s="50">
        <f>0/38*100</f>
        <v>0</v>
      </c>
      <c r="U36" s="49" t="s">
        <v>77</v>
      </c>
      <c r="V36" s="77"/>
      <c r="W36" s="50">
        <f>2/38*100</f>
        <v>5.2631578947368416</v>
      </c>
      <c r="X36" s="49" t="s">
        <v>77</v>
      </c>
      <c r="Y36" s="77"/>
      <c r="Z36" s="62">
        <f t="shared" ref="Z36" si="20">N36+Q36+T36+W36</f>
        <v>5.2631578947368416</v>
      </c>
      <c r="AA36" s="49" t="s">
        <v>77</v>
      </c>
      <c r="AB36" s="62">
        <f>AG36/K36*100</f>
        <v>76.4651906924217</v>
      </c>
      <c r="AC36" s="61" t="s">
        <v>77</v>
      </c>
      <c r="AD36" s="85"/>
      <c r="AE36" s="86"/>
      <c r="AF36" s="18"/>
      <c r="AG36" s="62">
        <f>H36+Z36</f>
        <v>34.210526315789473</v>
      </c>
      <c r="AH36" s="49" t="s">
        <v>77</v>
      </c>
      <c r="AI36" s="85"/>
      <c r="AJ36" s="62">
        <f t="shared" si="18"/>
        <v>34.210526315789473</v>
      </c>
      <c r="AK36" s="61" t="s">
        <v>77</v>
      </c>
      <c r="AL36" s="86"/>
      <c r="AM36" s="13"/>
      <c r="AP36" s="27"/>
    </row>
    <row r="37" spans="1:42" ht="94.5" x14ac:dyDescent="0.2">
      <c r="A37" s="18"/>
      <c r="B37" s="19"/>
      <c r="C37" s="20"/>
      <c r="D37" s="21" t="s">
        <v>170</v>
      </c>
      <c r="E37" s="50">
        <v>100</v>
      </c>
      <c r="F37" s="49" t="s">
        <v>77</v>
      </c>
      <c r="G37" s="44"/>
      <c r="H37" s="50">
        <f>79162/115661.15*100</f>
        <v>68.443033810402198</v>
      </c>
      <c r="I37" s="49" t="s">
        <v>77</v>
      </c>
      <c r="J37" s="44"/>
      <c r="K37" s="50">
        <v>80.209999999999994</v>
      </c>
      <c r="L37" s="49" t="s">
        <v>77</v>
      </c>
      <c r="M37" s="44"/>
      <c r="N37" s="50">
        <v>0</v>
      </c>
      <c r="O37" s="49" t="s">
        <v>77</v>
      </c>
      <c r="P37" s="44"/>
      <c r="Q37" s="50">
        <v>0</v>
      </c>
      <c r="R37" s="49" t="s">
        <v>77</v>
      </c>
      <c r="S37" s="44"/>
      <c r="T37" s="50">
        <f>T40/115661.15*100</f>
        <v>0.45737051723936689</v>
      </c>
      <c r="U37" s="49" t="s">
        <v>77</v>
      </c>
      <c r="V37" s="44"/>
      <c r="W37" s="50">
        <f>W40/115661.15*100</f>
        <v>2.0707039485600829</v>
      </c>
      <c r="X37" s="49" t="s">
        <v>77</v>
      </c>
      <c r="Y37" s="44"/>
      <c r="Z37" s="62">
        <f t="shared" ref="Z37" si="21">N37+Q37+T37+W37</f>
        <v>2.5280744657994498</v>
      </c>
      <c r="AA37" s="49" t="s">
        <v>77</v>
      </c>
      <c r="AB37" s="62">
        <f>AG37/K37*100</f>
        <v>88.481621089891107</v>
      </c>
      <c r="AC37" s="61" t="s">
        <v>77</v>
      </c>
      <c r="AD37" s="82"/>
      <c r="AE37" s="84"/>
      <c r="AF37" s="98"/>
      <c r="AG37" s="62">
        <f t="shared" ref="AG37" si="22">H37+Z37</f>
        <v>70.971108276201647</v>
      </c>
      <c r="AH37" s="49" t="s">
        <v>77</v>
      </c>
      <c r="AI37" s="82"/>
      <c r="AJ37" s="62">
        <f t="shared" ref="AJ37" si="23">AG37/E37*100</f>
        <v>70.971108276201647</v>
      </c>
      <c r="AK37" s="61" t="s">
        <v>77</v>
      </c>
      <c r="AL37" s="84"/>
      <c r="AM37" s="13"/>
      <c r="AP37" s="27"/>
    </row>
    <row r="38" spans="1:42" ht="75" x14ac:dyDescent="0.2">
      <c r="A38" s="18"/>
      <c r="B38" s="19"/>
      <c r="C38" s="28" t="s">
        <v>94</v>
      </c>
      <c r="D38" s="31" t="s">
        <v>190</v>
      </c>
      <c r="E38" s="51">
        <f>600*5</f>
        <v>3000</v>
      </c>
      <c r="F38" s="23" t="s">
        <v>101</v>
      </c>
      <c r="G38" s="25">
        <v>43122430000</v>
      </c>
      <c r="H38" s="51">
        <v>520</v>
      </c>
      <c r="I38" s="23" t="s">
        <v>101</v>
      </c>
      <c r="J38" s="25">
        <v>3110428000</v>
      </c>
      <c r="K38" s="51">
        <v>600</v>
      </c>
      <c r="L38" s="23" t="s">
        <v>101</v>
      </c>
      <c r="M38" s="25">
        <v>3307500000</v>
      </c>
      <c r="N38" s="51">
        <v>0</v>
      </c>
      <c r="O38" s="23" t="s">
        <v>101</v>
      </c>
      <c r="P38" s="25">
        <v>0</v>
      </c>
      <c r="Q38" s="51">
        <v>0</v>
      </c>
      <c r="R38" s="23" t="s">
        <v>101</v>
      </c>
      <c r="S38" s="25">
        <v>0</v>
      </c>
      <c r="T38" s="51">
        <v>90</v>
      </c>
      <c r="U38" s="23" t="s">
        <v>101</v>
      </c>
      <c r="V38" s="25">
        <v>1607850000</v>
      </c>
      <c r="W38" s="51">
        <v>90</v>
      </c>
      <c r="X38" s="23" t="s">
        <v>101</v>
      </c>
      <c r="Y38" s="25">
        <v>1657270000</v>
      </c>
      <c r="Z38" s="64">
        <f t="shared" si="1"/>
        <v>180</v>
      </c>
      <c r="AA38" s="23" t="s">
        <v>101</v>
      </c>
      <c r="AB38" s="65">
        <f>AG38/K38*100</f>
        <v>116.66666666666667</v>
      </c>
      <c r="AC38" s="37" t="s">
        <v>77</v>
      </c>
      <c r="AD38" s="43">
        <f t="shared" si="5"/>
        <v>3265120000</v>
      </c>
      <c r="AE38" s="65">
        <f t="shared" ref="AE38:AE53" si="24">AD38/M38*100</f>
        <v>98.718669690098267</v>
      </c>
      <c r="AF38" s="37" t="s">
        <v>77</v>
      </c>
      <c r="AG38" s="64">
        <f t="shared" si="2"/>
        <v>700</v>
      </c>
      <c r="AH38" s="23" t="s">
        <v>101</v>
      </c>
      <c r="AI38" s="43">
        <f t="shared" si="3"/>
        <v>6375548000</v>
      </c>
      <c r="AJ38" s="65">
        <f t="shared" si="6"/>
        <v>23.333333333333332</v>
      </c>
      <c r="AK38" s="37" t="s">
        <v>77</v>
      </c>
      <c r="AL38" s="65">
        <f t="shared" si="4"/>
        <v>14.784760506307274</v>
      </c>
      <c r="AM38" s="13"/>
      <c r="AP38" s="27"/>
    </row>
    <row r="39" spans="1:42" ht="45" x14ac:dyDescent="0.2">
      <c r="A39" s="18"/>
      <c r="B39" s="19"/>
      <c r="C39" s="28" t="s">
        <v>95</v>
      </c>
      <c r="D39" s="31" t="s">
        <v>98</v>
      </c>
      <c r="E39" s="22">
        <v>32</v>
      </c>
      <c r="F39" s="23" t="s">
        <v>133</v>
      </c>
      <c r="G39" s="25">
        <v>20795875000</v>
      </c>
      <c r="H39" s="22">
        <v>5</v>
      </c>
      <c r="I39" s="23" t="s">
        <v>133</v>
      </c>
      <c r="J39" s="25">
        <v>4333066024</v>
      </c>
      <c r="K39" s="22">
        <v>6</v>
      </c>
      <c r="L39" s="23" t="s">
        <v>133</v>
      </c>
      <c r="M39" s="25">
        <v>1256800000</v>
      </c>
      <c r="N39" s="22">
        <v>0</v>
      </c>
      <c r="O39" s="23" t="s">
        <v>133</v>
      </c>
      <c r="P39" s="25">
        <v>0</v>
      </c>
      <c r="Q39" s="22">
        <v>0</v>
      </c>
      <c r="R39" s="23" t="s">
        <v>133</v>
      </c>
      <c r="S39" s="25">
        <v>0</v>
      </c>
      <c r="T39" s="22">
        <v>0</v>
      </c>
      <c r="U39" s="23" t="s">
        <v>133</v>
      </c>
      <c r="V39" s="25">
        <v>0</v>
      </c>
      <c r="W39" s="22">
        <v>2</v>
      </c>
      <c r="X39" s="23" t="s">
        <v>133</v>
      </c>
      <c r="Y39" s="25">
        <v>1227908000</v>
      </c>
      <c r="Z39" s="64">
        <f t="shared" ref="Z39" si="25">N39+Q39+T39+W39</f>
        <v>2</v>
      </c>
      <c r="AA39" s="23" t="s">
        <v>133</v>
      </c>
      <c r="AB39" s="65">
        <f t="shared" si="7"/>
        <v>33.333333333333329</v>
      </c>
      <c r="AC39" s="37" t="s">
        <v>77</v>
      </c>
      <c r="AD39" s="43">
        <f t="shared" ref="AD39" si="26">P39+S39+V39+Y39</f>
        <v>1227908000</v>
      </c>
      <c r="AE39" s="65">
        <f t="shared" si="24"/>
        <v>97.70114576702737</v>
      </c>
      <c r="AF39" s="37" t="s">
        <v>77</v>
      </c>
      <c r="AG39" s="64">
        <f t="shared" ref="AG39" si="27">H39+Z39</f>
        <v>7</v>
      </c>
      <c r="AH39" s="23" t="s">
        <v>133</v>
      </c>
      <c r="AI39" s="43">
        <f t="shared" ref="AI39" si="28">J39+AD39</f>
        <v>5560974024</v>
      </c>
      <c r="AJ39" s="65">
        <f t="shared" ref="AJ39" si="29">AG39/E39*100</f>
        <v>21.875</v>
      </c>
      <c r="AK39" s="37" t="s">
        <v>77</v>
      </c>
      <c r="AL39" s="65">
        <f t="shared" ref="AL39" si="30">AI39/G39*100</f>
        <v>26.740755193037081</v>
      </c>
      <c r="AM39" s="13"/>
      <c r="AP39" s="27"/>
    </row>
    <row r="40" spans="1:42" ht="45" x14ac:dyDescent="0.2">
      <c r="A40" s="18"/>
      <c r="B40" s="19"/>
      <c r="C40" s="28" t="s">
        <v>96</v>
      </c>
      <c r="D40" s="31" t="s">
        <v>99</v>
      </c>
      <c r="E40" s="51">
        <f>8935*5</f>
        <v>44675</v>
      </c>
      <c r="F40" s="23" t="s">
        <v>86</v>
      </c>
      <c r="G40" s="25">
        <v>9801625000</v>
      </c>
      <c r="H40" s="51">
        <v>2959</v>
      </c>
      <c r="I40" s="23" t="s">
        <v>86</v>
      </c>
      <c r="J40" s="25">
        <v>1899313572</v>
      </c>
      <c r="K40" s="51">
        <v>8935</v>
      </c>
      <c r="L40" s="23" t="s">
        <v>86</v>
      </c>
      <c r="M40" s="25">
        <v>1917325000</v>
      </c>
      <c r="N40" s="51">
        <v>0</v>
      </c>
      <c r="O40" s="23" t="s">
        <v>86</v>
      </c>
      <c r="P40" s="25">
        <v>0</v>
      </c>
      <c r="Q40" s="51">
        <v>0</v>
      </c>
      <c r="R40" s="23" t="s">
        <v>86</v>
      </c>
      <c r="S40" s="25">
        <v>79697500</v>
      </c>
      <c r="T40" s="51">
        <v>529</v>
      </c>
      <c r="U40" s="23" t="s">
        <v>86</v>
      </c>
      <c r="V40" s="25">
        <v>136146751</v>
      </c>
      <c r="W40" s="51">
        <v>2395</v>
      </c>
      <c r="X40" s="23" t="s">
        <v>86</v>
      </c>
      <c r="Y40" s="25">
        <v>1645903521</v>
      </c>
      <c r="Z40" s="74">
        <f t="shared" ref="Z40" si="31">N40+Q40+T40+W40</f>
        <v>2924</v>
      </c>
      <c r="AA40" s="23" t="s">
        <v>86</v>
      </c>
      <c r="AB40" s="65">
        <f>AG40/K40*100</f>
        <v>65.842193620593164</v>
      </c>
      <c r="AC40" s="37" t="s">
        <v>77</v>
      </c>
      <c r="AD40" s="43">
        <f t="shared" ref="AD40" si="32">P40+S40+V40+Y40</f>
        <v>1861747772</v>
      </c>
      <c r="AE40" s="65">
        <f t="shared" si="24"/>
        <v>97.101314174696512</v>
      </c>
      <c r="AF40" s="37" t="s">
        <v>77</v>
      </c>
      <c r="AG40" s="74">
        <f t="shared" ref="AG40:AG41" si="33">H40+Z40</f>
        <v>5883</v>
      </c>
      <c r="AH40" s="23" t="s">
        <v>86</v>
      </c>
      <c r="AI40" s="43">
        <f t="shared" ref="AI40" si="34">J40+AD40</f>
        <v>3761061344</v>
      </c>
      <c r="AJ40" s="65">
        <f t="shared" ref="AJ40" si="35">AG40/E40*100</f>
        <v>13.168438724118634</v>
      </c>
      <c r="AK40" s="37" t="s">
        <v>77</v>
      </c>
      <c r="AL40" s="65">
        <f t="shared" ref="AL40" si="36">AI40/G40*100</f>
        <v>38.371814306301246</v>
      </c>
      <c r="AM40" s="13"/>
      <c r="AP40" s="27"/>
    </row>
    <row r="41" spans="1:42" ht="75" x14ac:dyDescent="0.2">
      <c r="A41" s="18"/>
      <c r="B41" s="19"/>
      <c r="C41" s="100" t="s">
        <v>97</v>
      </c>
      <c r="D41" s="99" t="s">
        <v>100</v>
      </c>
      <c r="E41" s="51">
        <v>100</v>
      </c>
      <c r="F41" s="23" t="s">
        <v>77</v>
      </c>
      <c r="G41" s="25">
        <v>1613700000</v>
      </c>
      <c r="H41" s="51"/>
      <c r="I41" s="23"/>
      <c r="J41" s="25"/>
      <c r="K41" s="51"/>
      <c r="L41" s="23"/>
      <c r="M41" s="25"/>
      <c r="N41" s="51"/>
      <c r="O41" s="23"/>
      <c r="P41" s="25"/>
      <c r="Q41" s="51"/>
      <c r="R41" s="23"/>
      <c r="S41" s="25"/>
      <c r="T41" s="51"/>
      <c r="U41" s="23"/>
      <c r="V41" s="25"/>
      <c r="W41" s="51"/>
      <c r="X41" s="23"/>
      <c r="Y41" s="25"/>
      <c r="Z41" s="64"/>
      <c r="AA41" s="23"/>
      <c r="AB41" s="65"/>
      <c r="AC41" s="37"/>
      <c r="AD41" s="43"/>
      <c r="AE41" s="65"/>
      <c r="AF41" s="37"/>
      <c r="AG41" s="74">
        <f t="shared" si="33"/>
        <v>0</v>
      </c>
      <c r="AH41" s="23" t="s">
        <v>77</v>
      </c>
      <c r="AI41" s="43"/>
      <c r="AJ41" s="65">
        <f t="shared" ref="AJ41" si="37">AG41/E41*100</f>
        <v>0</v>
      </c>
      <c r="AK41" s="37" t="s">
        <v>77</v>
      </c>
      <c r="AL41" s="65"/>
      <c r="AM41" s="13"/>
      <c r="AP41" s="27"/>
    </row>
    <row r="42" spans="1:42" ht="117" customHeight="1" x14ac:dyDescent="0.2">
      <c r="A42" s="18"/>
      <c r="B42" s="19"/>
      <c r="C42" s="54" t="s">
        <v>102</v>
      </c>
      <c r="D42" s="21" t="s">
        <v>153</v>
      </c>
      <c r="E42" s="50">
        <v>24.87</v>
      </c>
      <c r="F42" s="49" t="s">
        <v>77</v>
      </c>
      <c r="G42" s="76">
        <f>SUM(G44:G45)</f>
        <v>17619755000</v>
      </c>
      <c r="H42" s="50">
        <f>106.202/427.62*100</f>
        <v>24.835601702446098</v>
      </c>
      <c r="I42" s="49" t="s">
        <v>77</v>
      </c>
      <c r="J42" s="76">
        <f>SUM(J44:J45)</f>
        <v>4548259000</v>
      </c>
      <c r="K42" s="50">
        <v>24.85</v>
      </c>
      <c r="L42" s="49" t="s">
        <v>77</v>
      </c>
      <c r="M42" s="76">
        <f>SUM(M44:M45)</f>
        <v>2545330000</v>
      </c>
      <c r="N42" s="50">
        <v>0</v>
      </c>
      <c r="O42" s="49" t="s">
        <v>77</v>
      </c>
      <c r="P42" s="76">
        <f>SUM(P44:P45)</f>
        <v>149189216</v>
      </c>
      <c r="Q42" s="50">
        <v>0</v>
      </c>
      <c r="R42" s="49" t="s">
        <v>77</v>
      </c>
      <c r="S42" s="76">
        <f>SUM(S44:S45)</f>
        <v>636963025</v>
      </c>
      <c r="T42" s="50">
        <f>0/427.62*100</f>
        <v>0</v>
      </c>
      <c r="U42" s="49" t="s">
        <v>77</v>
      </c>
      <c r="V42" s="76">
        <f>SUM(V44:V45)</f>
        <v>359754671</v>
      </c>
      <c r="W42" s="50">
        <f>W44/427.62*100</f>
        <v>24.877929002385294</v>
      </c>
      <c r="X42" s="49" t="s">
        <v>77</v>
      </c>
      <c r="Y42" s="76">
        <f>SUM(Y44:Y45)</f>
        <v>1261005077</v>
      </c>
      <c r="Z42" s="62">
        <f t="shared" si="1"/>
        <v>24.877929002385294</v>
      </c>
      <c r="AA42" s="49" t="s">
        <v>77</v>
      </c>
      <c r="AB42" s="62">
        <f t="shared" si="7"/>
        <v>100.11239035165107</v>
      </c>
      <c r="AC42" s="61" t="s">
        <v>77</v>
      </c>
      <c r="AD42" s="81">
        <f t="shared" si="5"/>
        <v>2406911989</v>
      </c>
      <c r="AE42" s="83">
        <f t="shared" si="24"/>
        <v>94.561883488584968</v>
      </c>
      <c r="AF42" s="53" t="s">
        <v>77</v>
      </c>
      <c r="AG42" s="62">
        <f t="shared" si="2"/>
        <v>49.713530704831392</v>
      </c>
      <c r="AH42" s="49" t="s">
        <v>77</v>
      </c>
      <c r="AI42" s="81">
        <f t="shared" si="3"/>
        <v>6955170989</v>
      </c>
      <c r="AJ42" s="62">
        <f t="shared" si="6"/>
        <v>199.89356938010209</v>
      </c>
      <c r="AK42" s="61" t="s">
        <v>77</v>
      </c>
      <c r="AL42" s="83">
        <f t="shared" si="4"/>
        <v>39.473709986319335</v>
      </c>
      <c r="AM42" s="13"/>
      <c r="AP42" s="27"/>
    </row>
    <row r="43" spans="1:42" ht="82.5" customHeight="1" x14ac:dyDescent="0.2">
      <c r="A43" s="18"/>
      <c r="B43" s="19"/>
      <c r="C43" s="20"/>
      <c r="D43" s="21" t="s">
        <v>166</v>
      </c>
      <c r="E43" s="50">
        <v>100</v>
      </c>
      <c r="F43" s="49" t="s">
        <v>77</v>
      </c>
      <c r="G43" s="44"/>
      <c r="H43" s="50">
        <f>18/29*100</f>
        <v>62.068965517241381</v>
      </c>
      <c r="I43" s="49" t="s">
        <v>77</v>
      </c>
      <c r="J43" s="44"/>
      <c r="K43" s="50">
        <v>53</v>
      </c>
      <c r="L43" s="49" t="s">
        <v>77</v>
      </c>
      <c r="M43" s="44"/>
      <c r="N43" s="50">
        <v>0</v>
      </c>
      <c r="O43" s="49" t="s">
        <v>77</v>
      </c>
      <c r="P43" s="44"/>
      <c r="Q43" s="50">
        <v>0</v>
      </c>
      <c r="R43" s="49" t="s">
        <v>77</v>
      </c>
      <c r="S43" s="44"/>
      <c r="T43" s="50">
        <f>0/29*100</f>
        <v>0</v>
      </c>
      <c r="U43" s="49" t="s">
        <v>77</v>
      </c>
      <c r="V43" s="44"/>
      <c r="W43" s="50">
        <f>21/31*100</f>
        <v>67.741935483870961</v>
      </c>
      <c r="X43" s="49" t="s">
        <v>77</v>
      </c>
      <c r="Y43" s="44"/>
      <c r="Z43" s="62">
        <f t="shared" ref="Z43" si="38">N43+Q43+T43+W43</f>
        <v>67.741935483870961</v>
      </c>
      <c r="AA43" s="49" t="s">
        <v>77</v>
      </c>
      <c r="AB43" s="62">
        <f>Z43/K43*100</f>
        <v>127.81497261107728</v>
      </c>
      <c r="AC43" s="61" t="s">
        <v>77</v>
      </c>
      <c r="AD43" s="82"/>
      <c r="AE43" s="84"/>
      <c r="AF43" s="98"/>
      <c r="AG43" s="62">
        <f t="shared" ref="AG43" si="39">H43+Z43</f>
        <v>129.81090100111234</v>
      </c>
      <c r="AH43" s="49" t="s">
        <v>77</v>
      </c>
      <c r="AI43" s="82"/>
      <c r="AJ43" s="62">
        <f t="shared" ref="AJ43" si="40">AG43/E43*100</f>
        <v>129.81090100111234</v>
      </c>
      <c r="AK43" s="61" t="s">
        <v>77</v>
      </c>
      <c r="AL43" s="84"/>
      <c r="AM43" s="13"/>
      <c r="AP43" s="27"/>
    </row>
    <row r="44" spans="1:42" ht="30" x14ac:dyDescent="0.2">
      <c r="A44" s="18"/>
      <c r="B44" s="19"/>
      <c r="C44" s="28" t="s">
        <v>103</v>
      </c>
      <c r="D44" s="31" t="s">
        <v>105</v>
      </c>
      <c r="E44" s="92">
        <v>106.36</v>
      </c>
      <c r="F44" s="23" t="s">
        <v>106</v>
      </c>
      <c r="G44" s="25">
        <v>5418750000</v>
      </c>
      <c r="H44" s="91">
        <v>106.202</v>
      </c>
      <c r="I44" s="23" t="s">
        <v>106</v>
      </c>
      <c r="J44" s="25">
        <v>2535101900</v>
      </c>
      <c r="K44" s="91">
        <v>106.238</v>
      </c>
      <c r="L44" s="23" t="s">
        <v>106</v>
      </c>
      <c r="M44" s="25">
        <v>1320150000</v>
      </c>
      <c r="N44" s="22">
        <v>0</v>
      </c>
      <c r="O44" s="23" t="s">
        <v>106</v>
      </c>
      <c r="P44" s="25">
        <v>0</v>
      </c>
      <c r="Q44" s="22">
        <v>0</v>
      </c>
      <c r="R44" s="23" t="s">
        <v>106</v>
      </c>
      <c r="S44" s="25">
        <v>58481500</v>
      </c>
      <c r="T44" s="22">
        <v>0</v>
      </c>
      <c r="U44" s="23" t="s">
        <v>106</v>
      </c>
      <c r="V44" s="25">
        <v>297690000</v>
      </c>
      <c r="W44" s="22">
        <v>106.383</v>
      </c>
      <c r="X44" s="23" t="s">
        <v>106</v>
      </c>
      <c r="Y44" s="25">
        <v>950911000</v>
      </c>
      <c r="Z44" s="92">
        <f t="shared" si="1"/>
        <v>106.383</v>
      </c>
      <c r="AA44" s="23" t="s">
        <v>106</v>
      </c>
      <c r="AB44" s="65">
        <f t="shared" si="7"/>
        <v>100.13648600312506</v>
      </c>
      <c r="AC44" s="37" t="s">
        <v>77</v>
      </c>
      <c r="AD44" s="43">
        <f t="shared" si="5"/>
        <v>1307082500</v>
      </c>
      <c r="AE44" s="65">
        <f t="shared" si="24"/>
        <v>99.010150361701321</v>
      </c>
      <c r="AF44" s="37" t="s">
        <v>77</v>
      </c>
      <c r="AG44" s="64">
        <f t="shared" si="2"/>
        <v>212.58499999999998</v>
      </c>
      <c r="AH44" s="23" t="s">
        <v>106</v>
      </c>
      <c r="AI44" s="43">
        <f t="shared" si="3"/>
        <v>3842184400</v>
      </c>
      <c r="AJ44" s="65">
        <f t="shared" si="6"/>
        <v>199.87307258367807</v>
      </c>
      <c r="AK44" s="37" t="s">
        <v>77</v>
      </c>
      <c r="AL44" s="65">
        <f t="shared" si="4"/>
        <v>70.905363783160325</v>
      </c>
      <c r="AM44" s="13"/>
      <c r="AP44" s="27"/>
    </row>
    <row r="45" spans="1:42" ht="60" x14ac:dyDescent="0.2">
      <c r="A45" s="18"/>
      <c r="B45" s="19"/>
      <c r="C45" s="28" t="s">
        <v>104</v>
      </c>
      <c r="D45" s="31" t="s">
        <v>167</v>
      </c>
      <c r="E45" s="51">
        <v>80</v>
      </c>
      <c r="F45" s="23" t="s">
        <v>77</v>
      </c>
      <c r="G45" s="25">
        <v>12201005000</v>
      </c>
      <c r="H45" s="75">
        <v>79.31</v>
      </c>
      <c r="I45" s="23" t="s">
        <v>77</v>
      </c>
      <c r="J45" s="25">
        <v>2013157100</v>
      </c>
      <c r="K45" s="51">
        <v>80</v>
      </c>
      <c r="L45" s="23" t="s">
        <v>77</v>
      </c>
      <c r="M45" s="25">
        <v>1225180000</v>
      </c>
      <c r="N45" s="75">
        <v>0.69</v>
      </c>
      <c r="O45" s="23" t="s">
        <v>77</v>
      </c>
      <c r="P45" s="25">
        <v>149189216</v>
      </c>
      <c r="Q45" s="75">
        <v>0</v>
      </c>
      <c r="R45" s="23" t="s">
        <v>77</v>
      </c>
      <c r="S45" s="25">
        <v>578481525</v>
      </c>
      <c r="T45" s="75">
        <v>0</v>
      </c>
      <c r="U45" s="23" t="s">
        <v>77</v>
      </c>
      <c r="V45" s="25">
        <v>62064671</v>
      </c>
      <c r="W45" s="75">
        <v>79.84</v>
      </c>
      <c r="X45" s="23" t="s">
        <v>77</v>
      </c>
      <c r="Y45" s="25">
        <v>310094077</v>
      </c>
      <c r="Z45" s="65">
        <f t="shared" si="1"/>
        <v>80.53</v>
      </c>
      <c r="AA45" s="23" t="s">
        <v>77</v>
      </c>
      <c r="AB45" s="65">
        <f t="shared" si="7"/>
        <v>100.66250000000001</v>
      </c>
      <c r="AC45" s="37" t="s">
        <v>77</v>
      </c>
      <c r="AD45" s="43">
        <f t="shared" si="5"/>
        <v>1099829489</v>
      </c>
      <c r="AE45" s="65">
        <f t="shared" si="24"/>
        <v>89.768808583228591</v>
      </c>
      <c r="AF45" s="23" t="s">
        <v>77</v>
      </c>
      <c r="AG45" s="65">
        <f>H45+Z45</f>
        <v>159.84</v>
      </c>
      <c r="AH45" s="37" t="s">
        <v>77</v>
      </c>
      <c r="AI45" s="43">
        <f t="shared" si="3"/>
        <v>3112986589</v>
      </c>
      <c r="AJ45" s="65">
        <f t="shared" si="6"/>
        <v>199.8</v>
      </c>
      <c r="AK45" s="37" t="s">
        <v>77</v>
      </c>
      <c r="AL45" s="65">
        <f t="shared" si="4"/>
        <v>25.514181733389997</v>
      </c>
      <c r="AM45" s="13"/>
      <c r="AP45" s="27"/>
    </row>
    <row r="46" spans="1:42" ht="94.5" x14ac:dyDescent="0.2">
      <c r="A46" s="53">
        <v>7</v>
      </c>
      <c r="B46" s="54" t="s">
        <v>85</v>
      </c>
      <c r="C46" s="20" t="s">
        <v>107</v>
      </c>
      <c r="D46" s="21" t="s">
        <v>154</v>
      </c>
      <c r="E46" s="48">
        <v>60</v>
      </c>
      <c r="F46" s="49" t="s">
        <v>77</v>
      </c>
      <c r="G46" s="45">
        <f>SUM(G47:G48)</f>
        <v>54036500000</v>
      </c>
      <c r="H46" s="48">
        <f>239/2000*100</f>
        <v>11.95</v>
      </c>
      <c r="I46" s="49" t="s">
        <v>77</v>
      </c>
      <c r="J46" s="45">
        <f>SUM(J47:J48)</f>
        <v>13887018940</v>
      </c>
      <c r="K46" s="48">
        <v>24</v>
      </c>
      <c r="L46" s="49" t="s">
        <v>77</v>
      </c>
      <c r="M46" s="45">
        <f>SUM(M47:M48)</f>
        <v>3290500000</v>
      </c>
      <c r="N46" s="50">
        <v>0</v>
      </c>
      <c r="O46" s="49" t="s">
        <v>77</v>
      </c>
      <c r="P46" s="45">
        <f>SUM(P47:P48)</f>
        <v>0</v>
      </c>
      <c r="Q46" s="50">
        <v>0</v>
      </c>
      <c r="R46" s="49" t="s">
        <v>77</v>
      </c>
      <c r="S46" s="45">
        <f>SUM(S47:S48)</f>
        <v>85795400</v>
      </c>
      <c r="T46" s="48">
        <f>0/2000*100</f>
        <v>0</v>
      </c>
      <c r="U46" s="49" t="s">
        <v>77</v>
      </c>
      <c r="V46" s="45">
        <f>SUM(V47:V48)</f>
        <v>19910000</v>
      </c>
      <c r="W46" s="48">
        <f>480/2000*100</f>
        <v>24</v>
      </c>
      <c r="X46" s="49" t="s">
        <v>77</v>
      </c>
      <c r="Y46" s="45">
        <f>SUM(Y47:Y48)</f>
        <v>2949219275</v>
      </c>
      <c r="Z46" s="62">
        <f t="shared" si="1"/>
        <v>24</v>
      </c>
      <c r="AA46" s="49" t="s">
        <v>77</v>
      </c>
      <c r="AB46" s="62">
        <f t="shared" si="7"/>
        <v>100</v>
      </c>
      <c r="AC46" s="61" t="s">
        <v>77</v>
      </c>
      <c r="AD46" s="60">
        <f t="shared" si="5"/>
        <v>3054924675</v>
      </c>
      <c r="AE46" s="62">
        <f t="shared" si="24"/>
        <v>92.840743807931929</v>
      </c>
      <c r="AF46" s="61" t="s">
        <v>77</v>
      </c>
      <c r="AG46" s="62">
        <f t="shared" si="2"/>
        <v>35.950000000000003</v>
      </c>
      <c r="AH46" s="49" t="s">
        <v>77</v>
      </c>
      <c r="AI46" s="60">
        <f t="shared" si="3"/>
        <v>16941943615</v>
      </c>
      <c r="AJ46" s="62">
        <f t="shared" si="6"/>
        <v>59.916666666666671</v>
      </c>
      <c r="AK46" s="61" t="s">
        <v>77</v>
      </c>
      <c r="AL46" s="62">
        <f t="shared" si="4"/>
        <v>31.352777502243857</v>
      </c>
      <c r="AM46" s="13"/>
      <c r="AP46" s="27"/>
    </row>
    <row r="47" spans="1:42" ht="69.75" customHeight="1" x14ac:dyDescent="0.2">
      <c r="A47" s="18"/>
      <c r="B47" s="19"/>
      <c r="C47" s="28" t="s">
        <v>108</v>
      </c>
      <c r="D47" s="31" t="s">
        <v>110</v>
      </c>
      <c r="E47" s="22">
        <v>100</v>
      </c>
      <c r="F47" s="23" t="s">
        <v>77</v>
      </c>
      <c r="G47" s="25">
        <v>53446500000</v>
      </c>
      <c r="H47" s="22">
        <f>7/7*100</f>
        <v>100</v>
      </c>
      <c r="I47" s="23" t="s">
        <v>77</v>
      </c>
      <c r="J47" s="25">
        <v>13772037940</v>
      </c>
      <c r="K47" s="22">
        <v>100</v>
      </c>
      <c r="L47" s="23" t="s">
        <v>77</v>
      </c>
      <c r="M47" s="25">
        <v>3221500000</v>
      </c>
      <c r="N47" s="22">
        <v>0</v>
      </c>
      <c r="O47" s="23" t="s">
        <v>77</v>
      </c>
      <c r="P47" s="25">
        <v>0</v>
      </c>
      <c r="Q47" s="22">
        <v>0</v>
      </c>
      <c r="R47" s="23" t="s">
        <v>77</v>
      </c>
      <c r="S47" s="25">
        <v>85795400</v>
      </c>
      <c r="T47" s="24">
        <f>3/7*100</f>
        <v>42.857142857142854</v>
      </c>
      <c r="U47" s="23" t="s">
        <v>77</v>
      </c>
      <c r="V47" s="25">
        <v>19910000</v>
      </c>
      <c r="W47" s="24">
        <f>4/7*100</f>
        <v>57.142857142857139</v>
      </c>
      <c r="X47" s="23" t="s">
        <v>77</v>
      </c>
      <c r="Y47" s="25">
        <v>2882419275</v>
      </c>
      <c r="Z47" s="64">
        <f t="shared" si="1"/>
        <v>100</v>
      </c>
      <c r="AA47" s="23" t="s">
        <v>77</v>
      </c>
      <c r="AB47" s="65">
        <f t="shared" si="7"/>
        <v>100</v>
      </c>
      <c r="AC47" s="37" t="s">
        <v>77</v>
      </c>
      <c r="AD47" s="43">
        <f t="shared" si="5"/>
        <v>2988124675</v>
      </c>
      <c r="AE47" s="65">
        <f t="shared" si="24"/>
        <v>92.755693776191222</v>
      </c>
      <c r="AF47" s="37" t="s">
        <v>77</v>
      </c>
      <c r="AG47" s="64">
        <f t="shared" si="2"/>
        <v>200</v>
      </c>
      <c r="AH47" s="23" t="s">
        <v>77</v>
      </c>
      <c r="AI47" s="43">
        <f t="shared" si="3"/>
        <v>16760162615</v>
      </c>
      <c r="AJ47" s="65">
        <f t="shared" si="6"/>
        <v>200</v>
      </c>
      <c r="AK47" s="37" t="s">
        <v>77</v>
      </c>
      <c r="AL47" s="65">
        <f t="shared" si="4"/>
        <v>31.358765522531879</v>
      </c>
      <c r="AM47" s="13"/>
      <c r="AP47" s="27"/>
    </row>
    <row r="48" spans="1:42" ht="99.75" customHeight="1" x14ac:dyDescent="0.2">
      <c r="A48" s="18"/>
      <c r="B48" s="19"/>
      <c r="C48" s="28" t="s">
        <v>109</v>
      </c>
      <c r="D48" s="31" t="s">
        <v>111</v>
      </c>
      <c r="E48" s="22">
        <v>150</v>
      </c>
      <c r="F48" s="23" t="s">
        <v>74</v>
      </c>
      <c r="G48" s="25">
        <v>590000000</v>
      </c>
      <c r="H48" s="22">
        <v>50</v>
      </c>
      <c r="I48" s="23" t="s">
        <v>74</v>
      </c>
      <c r="J48" s="25">
        <v>114981000</v>
      </c>
      <c r="K48" s="22">
        <v>20</v>
      </c>
      <c r="L48" s="23" t="s">
        <v>74</v>
      </c>
      <c r="M48" s="25">
        <v>69000000</v>
      </c>
      <c r="N48" s="22">
        <v>0</v>
      </c>
      <c r="O48" s="23" t="s">
        <v>74</v>
      </c>
      <c r="P48" s="25">
        <v>0</v>
      </c>
      <c r="Q48" s="22">
        <v>0</v>
      </c>
      <c r="R48" s="23" t="s">
        <v>74</v>
      </c>
      <c r="S48" s="25">
        <v>0</v>
      </c>
      <c r="T48" s="22">
        <v>0</v>
      </c>
      <c r="U48" s="23" t="s">
        <v>74</v>
      </c>
      <c r="V48" s="25">
        <v>0</v>
      </c>
      <c r="W48" s="22">
        <v>20</v>
      </c>
      <c r="X48" s="23" t="s">
        <v>74</v>
      </c>
      <c r="Y48" s="25">
        <v>66800000</v>
      </c>
      <c r="Z48" s="64">
        <f t="shared" si="1"/>
        <v>20</v>
      </c>
      <c r="AA48" s="23" t="s">
        <v>74</v>
      </c>
      <c r="AB48" s="65">
        <f t="shared" si="7"/>
        <v>100</v>
      </c>
      <c r="AC48" s="37" t="s">
        <v>77</v>
      </c>
      <c r="AD48" s="43">
        <f t="shared" si="5"/>
        <v>66800000</v>
      </c>
      <c r="AE48" s="65">
        <f t="shared" si="24"/>
        <v>96.811594202898561</v>
      </c>
      <c r="AF48" s="37" t="s">
        <v>77</v>
      </c>
      <c r="AG48" s="64">
        <f t="shared" si="2"/>
        <v>70</v>
      </c>
      <c r="AH48" s="23" t="s">
        <v>74</v>
      </c>
      <c r="AI48" s="43">
        <f t="shared" si="3"/>
        <v>181781000</v>
      </c>
      <c r="AJ48" s="65">
        <f t="shared" si="6"/>
        <v>46.666666666666664</v>
      </c>
      <c r="AK48" s="37" t="s">
        <v>77</v>
      </c>
      <c r="AL48" s="65">
        <f t="shared" si="4"/>
        <v>30.810338983050851</v>
      </c>
      <c r="AM48" s="13"/>
      <c r="AP48" s="27"/>
    </row>
    <row r="49" spans="1:42" ht="111" customHeight="1" x14ac:dyDescent="0.2">
      <c r="A49" s="18"/>
      <c r="B49" s="19"/>
      <c r="C49" s="20" t="s">
        <v>112</v>
      </c>
      <c r="D49" s="21" t="s">
        <v>171</v>
      </c>
      <c r="E49" s="48">
        <v>44.01</v>
      </c>
      <c r="F49" s="49" t="s">
        <v>77</v>
      </c>
      <c r="G49" s="45">
        <f>SUM(G50:G51)</f>
        <v>34814402500</v>
      </c>
      <c r="H49" s="50">
        <f>6959/19975*100</f>
        <v>34.838548185231538</v>
      </c>
      <c r="I49" s="49" t="s">
        <v>77</v>
      </c>
      <c r="J49" s="45">
        <f>SUM(J50:J51)</f>
        <v>7211519710</v>
      </c>
      <c r="K49" s="48">
        <v>28.98</v>
      </c>
      <c r="L49" s="49" t="s">
        <v>77</v>
      </c>
      <c r="M49" s="45">
        <f>SUM(M50:M51)</f>
        <v>6496030000</v>
      </c>
      <c r="N49" s="50">
        <v>0</v>
      </c>
      <c r="O49" s="49" t="s">
        <v>77</v>
      </c>
      <c r="P49" s="45">
        <f>SUM(P50:P51)</f>
        <v>127682370</v>
      </c>
      <c r="Q49" s="50">
        <f>Q50/19975*100</f>
        <v>2.9436795994993741</v>
      </c>
      <c r="R49" s="49" t="s">
        <v>77</v>
      </c>
      <c r="S49" s="45">
        <f>SUM(S50:S51)</f>
        <v>4846330967</v>
      </c>
      <c r="T49" s="50">
        <f>T50/19975*100</f>
        <v>0</v>
      </c>
      <c r="U49" s="49" t="s">
        <v>77</v>
      </c>
      <c r="V49" s="45">
        <f>SUM(V50:V51)</f>
        <v>721461159</v>
      </c>
      <c r="W49" s="50">
        <f>W50/19975*100</f>
        <v>1.8172715894868585</v>
      </c>
      <c r="X49" s="49" t="s">
        <v>77</v>
      </c>
      <c r="Y49" s="45">
        <f>SUM(Y50:Y51)</f>
        <v>713901503</v>
      </c>
      <c r="Z49" s="62">
        <f>N49+Q49+T49+W49</f>
        <v>4.7609511889862324</v>
      </c>
      <c r="AA49" s="49" t="s">
        <v>77</v>
      </c>
      <c r="AB49" s="62">
        <f>AG49/K49*100</f>
        <v>136.64423524574801</v>
      </c>
      <c r="AC49" s="61" t="s">
        <v>77</v>
      </c>
      <c r="AD49" s="60">
        <f t="shared" si="5"/>
        <v>6409375999</v>
      </c>
      <c r="AE49" s="62">
        <f>AD49/M49*100</f>
        <v>98.666046785498224</v>
      </c>
      <c r="AF49" s="61" t="s">
        <v>77</v>
      </c>
      <c r="AG49" s="62">
        <f>H49+Z49</f>
        <v>39.599499374217771</v>
      </c>
      <c r="AH49" s="49" t="s">
        <v>77</v>
      </c>
      <c r="AI49" s="60">
        <f t="shared" si="3"/>
        <v>13620895709</v>
      </c>
      <c r="AJ49" s="62">
        <f t="shared" si="6"/>
        <v>89.978412574909726</v>
      </c>
      <c r="AK49" s="61" t="s">
        <v>77</v>
      </c>
      <c r="AL49" s="62">
        <f t="shared" si="4"/>
        <v>39.124312729480273</v>
      </c>
      <c r="AM49" s="13"/>
      <c r="AP49" s="27"/>
    </row>
    <row r="50" spans="1:42" ht="53.25" customHeight="1" x14ac:dyDescent="0.2">
      <c r="A50" s="18"/>
      <c r="B50" s="19"/>
      <c r="C50" s="28" t="s">
        <v>113</v>
      </c>
      <c r="D50" s="31" t="s">
        <v>115</v>
      </c>
      <c r="E50" s="51">
        <v>7487</v>
      </c>
      <c r="F50" s="52" t="s">
        <v>116</v>
      </c>
      <c r="G50" s="25">
        <v>18386375000</v>
      </c>
      <c r="H50" s="51">
        <v>6959</v>
      </c>
      <c r="I50" s="52" t="s">
        <v>116</v>
      </c>
      <c r="J50" s="25">
        <v>3991038050</v>
      </c>
      <c r="K50" s="51">
        <v>4930</v>
      </c>
      <c r="L50" s="52" t="s">
        <v>116</v>
      </c>
      <c r="M50" s="25">
        <v>3822750000</v>
      </c>
      <c r="N50" s="51">
        <v>0</v>
      </c>
      <c r="O50" s="52" t="s">
        <v>116</v>
      </c>
      <c r="P50" s="25">
        <v>72992700</v>
      </c>
      <c r="Q50" s="51">
        <v>588</v>
      </c>
      <c r="R50" s="52" t="s">
        <v>116</v>
      </c>
      <c r="S50" s="25">
        <v>3122858000</v>
      </c>
      <c r="T50" s="51">
        <v>0</v>
      </c>
      <c r="U50" s="52" t="s">
        <v>116</v>
      </c>
      <c r="V50" s="25">
        <v>148920000</v>
      </c>
      <c r="W50" s="51">
        <v>363</v>
      </c>
      <c r="X50" s="52" t="s">
        <v>116</v>
      </c>
      <c r="Y50" s="25">
        <v>462949000</v>
      </c>
      <c r="Z50" s="64">
        <f t="shared" si="1"/>
        <v>951</v>
      </c>
      <c r="AA50" s="52" t="s">
        <v>116</v>
      </c>
      <c r="AB50" s="65">
        <f>AG50/K50*100</f>
        <v>160.44624746450305</v>
      </c>
      <c r="AC50" s="37" t="s">
        <v>77</v>
      </c>
      <c r="AD50" s="43">
        <f t="shared" si="5"/>
        <v>3807719700</v>
      </c>
      <c r="AE50" s="65">
        <f>AD50/M50*100</f>
        <v>99.606819697861482</v>
      </c>
      <c r="AF50" s="37" t="s">
        <v>77</v>
      </c>
      <c r="AG50" s="74">
        <f>H50+Z50</f>
        <v>7910</v>
      </c>
      <c r="AH50" s="52" t="s">
        <v>116</v>
      </c>
      <c r="AI50" s="43">
        <f t="shared" si="3"/>
        <v>7798757750</v>
      </c>
      <c r="AJ50" s="65">
        <f t="shared" si="6"/>
        <v>105.64979297448912</v>
      </c>
      <c r="AK50" s="37" t="s">
        <v>77</v>
      </c>
      <c r="AL50" s="65">
        <f t="shared" si="4"/>
        <v>42.415961547613385</v>
      </c>
      <c r="AM50" s="13"/>
      <c r="AP50" s="27"/>
    </row>
    <row r="51" spans="1:42" ht="57" customHeight="1" x14ac:dyDescent="0.2">
      <c r="A51" s="18"/>
      <c r="B51" s="19"/>
      <c r="C51" s="28" t="s">
        <v>114</v>
      </c>
      <c r="D51" s="31" t="s">
        <v>172</v>
      </c>
      <c r="E51" s="51">
        <v>100</v>
      </c>
      <c r="F51" s="52" t="s">
        <v>77</v>
      </c>
      <c r="G51" s="25">
        <v>16428027500</v>
      </c>
      <c r="H51" s="51">
        <f>6959/6959*100</f>
        <v>100</v>
      </c>
      <c r="I51" s="52" t="s">
        <v>77</v>
      </c>
      <c r="J51" s="25">
        <v>3220481660</v>
      </c>
      <c r="K51" s="51">
        <v>100</v>
      </c>
      <c r="L51" s="52" t="s">
        <v>77</v>
      </c>
      <c r="M51" s="25">
        <v>2673280000</v>
      </c>
      <c r="N51" s="51">
        <v>100</v>
      </c>
      <c r="O51" s="52" t="s">
        <v>77</v>
      </c>
      <c r="P51" s="25">
        <v>54689670</v>
      </c>
      <c r="Q51" s="51">
        <v>0</v>
      </c>
      <c r="R51" s="52" t="s">
        <v>77</v>
      </c>
      <c r="S51" s="25">
        <v>1723472967</v>
      </c>
      <c r="T51" s="51">
        <v>0</v>
      </c>
      <c r="U51" s="52" t="s">
        <v>77</v>
      </c>
      <c r="V51" s="25">
        <v>572541159</v>
      </c>
      <c r="W51" s="51">
        <v>0</v>
      </c>
      <c r="X51" s="52" t="s">
        <v>77</v>
      </c>
      <c r="Y51" s="25">
        <v>250952503</v>
      </c>
      <c r="Z51" s="64">
        <f t="shared" si="1"/>
        <v>100</v>
      </c>
      <c r="AA51" s="52" t="s">
        <v>77</v>
      </c>
      <c r="AB51" s="65">
        <f t="shared" si="7"/>
        <v>100</v>
      </c>
      <c r="AC51" s="37" t="s">
        <v>77</v>
      </c>
      <c r="AD51" s="43">
        <f t="shared" si="5"/>
        <v>2601656299</v>
      </c>
      <c r="AE51" s="65">
        <f t="shared" si="24"/>
        <v>97.320755738269099</v>
      </c>
      <c r="AF51" s="37" t="s">
        <v>77</v>
      </c>
      <c r="AG51" s="74">
        <f t="shared" si="2"/>
        <v>200</v>
      </c>
      <c r="AH51" s="52" t="s">
        <v>77</v>
      </c>
      <c r="AI51" s="43">
        <f t="shared" si="3"/>
        <v>5822137959</v>
      </c>
      <c r="AJ51" s="65">
        <f t="shared" si="6"/>
        <v>200</v>
      </c>
      <c r="AK51" s="37" t="s">
        <v>77</v>
      </c>
      <c r="AL51" s="65">
        <f t="shared" si="4"/>
        <v>35.440274001245733</v>
      </c>
      <c r="AM51" s="13"/>
      <c r="AP51" s="27"/>
    </row>
    <row r="52" spans="1:42" ht="146.25" customHeight="1" x14ac:dyDescent="0.2">
      <c r="A52" s="53">
        <v>10</v>
      </c>
      <c r="B52" s="54" t="s">
        <v>92</v>
      </c>
      <c r="C52" s="54" t="s">
        <v>117</v>
      </c>
      <c r="D52" s="21" t="s">
        <v>173</v>
      </c>
      <c r="E52" s="50">
        <f>(E53*0.405)+(E54*0.376)+(E55*0.219)</f>
        <v>71.477940000000004</v>
      </c>
      <c r="F52" s="93" t="s">
        <v>175</v>
      </c>
      <c r="G52" s="45">
        <f>G53+G64</f>
        <v>44260866000</v>
      </c>
      <c r="H52" s="50">
        <f>(H53*30%)+(H54*30%)+(H55*40%)</f>
        <v>56.23</v>
      </c>
      <c r="I52" s="93" t="s">
        <v>175</v>
      </c>
      <c r="J52" s="45">
        <f>J53+J64</f>
        <v>6634378081</v>
      </c>
      <c r="K52" s="50">
        <f>(K53*0.405)+(K54*0.376)+(K55*0.219)</f>
        <v>67.209739999999996</v>
      </c>
      <c r="L52" s="93" t="s">
        <v>175</v>
      </c>
      <c r="M52" s="45">
        <f>M53+M64</f>
        <v>6527165200</v>
      </c>
      <c r="N52" s="50">
        <v>0</v>
      </c>
      <c r="O52" s="93" t="s">
        <v>175</v>
      </c>
      <c r="P52" s="45">
        <f>P53+P64</f>
        <v>665423406</v>
      </c>
      <c r="Q52" s="50">
        <v>0</v>
      </c>
      <c r="R52" s="93" t="s">
        <v>175</v>
      </c>
      <c r="S52" s="45">
        <f>S53+S64</f>
        <v>1247832997</v>
      </c>
      <c r="T52" s="50">
        <v>0</v>
      </c>
      <c r="U52" s="93" t="s">
        <v>175</v>
      </c>
      <c r="V52" s="45">
        <f>V53+V64</f>
        <v>1366265306</v>
      </c>
      <c r="W52" s="50">
        <f>(W53*0.405)+(W54*0.376)+(W55*0.219)</f>
        <v>67.036050000000003</v>
      </c>
      <c r="X52" s="93" t="s">
        <v>175</v>
      </c>
      <c r="Y52" s="45">
        <f>Y53+Y64</f>
        <v>1815894346</v>
      </c>
      <c r="Z52" s="62">
        <f t="shared" si="1"/>
        <v>67.036050000000003</v>
      </c>
      <c r="AA52" s="93" t="s">
        <v>175</v>
      </c>
      <c r="AB52" s="62">
        <f t="shared" si="7"/>
        <v>99.741570195034242</v>
      </c>
      <c r="AC52" s="61" t="s">
        <v>77</v>
      </c>
      <c r="AD52" s="60">
        <f t="shared" si="5"/>
        <v>5095416055</v>
      </c>
      <c r="AE52" s="62">
        <f t="shared" si="24"/>
        <v>78.064763168549803</v>
      </c>
      <c r="AF52" s="61" t="s">
        <v>77</v>
      </c>
      <c r="AG52" s="62">
        <f t="shared" si="2"/>
        <v>123.26605000000001</v>
      </c>
      <c r="AH52" s="93" t="s">
        <v>175</v>
      </c>
      <c r="AI52" s="60">
        <f t="shared" si="3"/>
        <v>11729794136</v>
      </c>
      <c r="AJ52" s="62">
        <f t="shared" si="6"/>
        <v>172.45327719293533</v>
      </c>
      <c r="AK52" s="61" t="s">
        <v>77</v>
      </c>
      <c r="AL52" s="62">
        <f t="shared" si="4"/>
        <v>26.501501656113103</v>
      </c>
      <c r="AM52" s="13"/>
      <c r="AP52" s="27"/>
    </row>
    <row r="53" spans="1:42" ht="146.25" customHeight="1" x14ac:dyDescent="0.2">
      <c r="A53" s="18"/>
      <c r="B53" s="19"/>
      <c r="C53" s="19"/>
      <c r="D53" s="21" t="s">
        <v>155</v>
      </c>
      <c r="E53" s="50">
        <v>94</v>
      </c>
      <c r="F53" s="49" t="s">
        <v>77</v>
      </c>
      <c r="G53" s="76">
        <f>SUM(G56:G63)</f>
        <v>10136936000</v>
      </c>
      <c r="H53" s="48">
        <v>88.03</v>
      </c>
      <c r="I53" s="49" t="s">
        <v>77</v>
      </c>
      <c r="J53" s="76">
        <f>SUM(J56:J63)</f>
        <v>659740000</v>
      </c>
      <c r="K53" s="50">
        <v>90</v>
      </c>
      <c r="L53" s="49" t="s">
        <v>77</v>
      </c>
      <c r="M53" s="76">
        <f>SUM(M56:M63)</f>
        <v>687140200</v>
      </c>
      <c r="N53" s="50">
        <v>0</v>
      </c>
      <c r="O53" s="49" t="s">
        <v>77</v>
      </c>
      <c r="P53" s="76">
        <f>SUM(P56:P63)</f>
        <v>120000</v>
      </c>
      <c r="Q53" s="50">
        <v>0</v>
      </c>
      <c r="R53" s="49" t="s">
        <v>77</v>
      </c>
      <c r="S53" s="76">
        <f>SUM(S56:S63)</f>
        <v>52265000</v>
      </c>
      <c r="T53" s="50">
        <v>0</v>
      </c>
      <c r="U53" s="49" t="s">
        <v>77</v>
      </c>
      <c r="V53" s="76">
        <f>SUM(V56:V63)</f>
        <v>30815364</v>
      </c>
      <c r="W53" s="50">
        <v>90.96</v>
      </c>
      <c r="X53" s="49" t="s">
        <v>77</v>
      </c>
      <c r="Y53" s="76">
        <f>SUM(Y56:Y63)</f>
        <v>210110000</v>
      </c>
      <c r="Z53" s="62">
        <f t="shared" ref="Z53" si="41">N53+Q53+T53+W53</f>
        <v>90.96</v>
      </c>
      <c r="AA53" s="49" t="s">
        <v>77</v>
      </c>
      <c r="AB53" s="62">
        <f t="shared" si="7"/>
        <v>101.06666666666666</v>
      </c>
      <c r="AC53" s="61" t="s">
        <v>77</v>
      </c>
      <c r="AD53" s="81">
        <f t="shared" ref="AD53" si="42">P53+S53+V53+Y53</f>
        <v>293310364</v>
      </c>
      <c r="AE53" s="83">
        <f t="shared" si="24"/>
        <v>42.685665021490522</v>
      </c>
      <c r="AF53" s="53" t="s">
        <v>77</v>
      </c>
      <c r="AG53" s="62">
        <f>H53+Z53</f>
        <v>178.99</v>
      </c>
      <c r="AH53" s="49" t="s">
        <v>77</v>
      </c>
      <c r="AI53" s="81">
        <f t="shared" ref="AI53" si="43">J53+AD53</f>
        <v>953050364</v>
      </c>
      <c r="AJ53" s="62">
        <f t="shared" ref="AJ53" si="44">AG53/E53*100</f>
        <v>190.41489361702128</v>
      </c>
      <c r="AK53" s="61" t="s">
        <v>77</v>
      </c>
      <c r="AL53" s="83">
        <f t="shared" ref="AL53" si="45">AI53/G53*100</f>
        <v>9.4017597033265279</v>
      </c>
      <c r="AM53" s="13"/>
      <c r="AP53" s="27"/>
    </row>
    <row r="54" spans="1:42" ht="110.25" x14ac:dyDescent="0.2">
      <c r="A54" s="18"/>
      <c r="B54" s="19"/>
      <c r="C54" s="19"/>
      <c r="D54" s="21" t="s">
        <v>130</v>
      </c>
      <c r="E54" s="50">
        <v>57.69</v>
      </c>
      <c r="F54" s="49" t="s">
        <v>77</v>
      </c>
      <c r="G54" s="77"/>
      <c r="H54" s="50">
        <v>51.67</v>
      </c>
      <c r="I54" s="49" t="s">
        <v>77</v>
      </c>
      <c r="J54" s="77"/>
      <c r="K54" s="50">
        <v>53</v>
      </c>
      <c r="L54" s="49" t="s">
        <v>77</v>
      </c>
      <c r="M54" s="77"/>
      <c r="N54" s="50">
        <v>0</v>
      </c>
      <c r="O54" s="49" t="s">
        <v>77</v>
      </c>
      <c r="P54" s="77"/>
      <c r="Q54" s="50">
        <v>0</v>
      </c>
      <c r="R54" s="49" t="s">
        <v>77</v>
      </c>
      <c r="S54" s="77"/>
      <c r="T54" s="50">
        <v>0</v>
      </c>
      <c r="U54" s="49" t="s">
        <v>77</v>
      </c>
      <c r="V54" s="77"/>
      <c r="W54" s="50">
        <v>52.5</v>
      </c>
      <c r="X54" s="49" t="s">
        <v>77</v>
      </c>
      <c r="Y54" s="77"/>
      <c r="Z54" s="62">
        <f t="shared" ref="Z54" si="46">N54+Q54+T54+W54</f>
        <v>52.5</v>
      </c>
      <c r="AA54" s="49" t="s">
        <v>77</v>
      </c>
      <c r="AB54" s="62">
        <f t="shared" si="7"/>
        <v>99.056603773584911</v>
      </c>
      <c r="AC54" s="61" t="s">
        <v>77</v>
      </c>
      <c r="AD54" s="85"/>
      <c r="AE54" s="86"/>
      <c r="AF54" s="18"/>
      <c r="AG54" s="62">
        <f t="shared" ref="AG54" si="47">H54+Z54</f>
        <v>104.17</v>
      </c>
      <c r="AH54" s="49" t="s">
        <v>77</v>
      </c>
      <c r="AI54" s="85"/>
      <c r="AJ54" s="62">
        <f t="shared" ref="AJ54" si="48">AG54/E54*100</f>
        <v>180.56855607557637</v>
      </c>
      <c r="AK54" s="61" t="s">
        <v>77</v>
      </c>
      <c r="AL54" s="86"/>
      <c r="AM54" s="13"/>
      <c r="AP54" s="27"/>
    </row>
    <row r="55" spans="1:42" ht="94.5" x14ac:dyDescent="0.2">
      <c r="A55" s="18"/>
      <c r="B55" s="19"/>
      <c r="C55" s="20"/>
      <c r="D55" s="21" t="s">
        <v>131</v>
      </c>
      <c r="E55" s="50">
        <v>53.5</v>
      </c>
      <c r="F55" s="49" t="s">
        <v>77</v>
      </c>
      <c r="G55" s="44"/>
      <c r="H55" s="50">
        <v>35.799999999999997</v>
      </c>
      <c r="I55" s="49" t="s">
        <v>77</v>
      </c>
      <c r="J55" s="44"/>
      <c r="K55" s="48">
        <v>49.46</v>
      </c>
      <c r="L55" s="49" t="s">
        <v>77</v>
      </c>
      <c r="M55" s="44"/>
      <c r="N55" s="50">
        <v>0</v>
      </c>
      <c r="O55" s="49" t="s">
        <v>77</v>
      </c>
      <c r="P55" s="44"/>
      <c r="Q55" s="50">
        <v>0</v>
      </c>
      <c r="R55" s="49" t="s">
        <v>77</v>
      </c>
      <c r="S55" s="44"/>
      <c r="T55" s="50">
        <v>0</v>
      </c>
      <c r="U55" s="49" t="s">
        <v>77</v>
      </c>
      <c r="V55" s="44"/>
      <c r="W55" s="50">
        <v>47.75</v>
      </c>
      <c r="X55" s="49" t="s">
        <v>77</v>
      </c>
      <c r="Y55" s="44"/>
      <c r="Z55" s="62">
        <f t="shared" ref="Z55" si="49">N55+Q55+T55+W55</f>
        <v>47.75</v>
      </c>
      <c r="AA55" s="49" t="s">
        <v>77</v>
      </c>
      <c r="AB55" s="62">
        <f t="shared" si="7"/>
        <v>96.542660735948232</v>
      </c>
      <c r="AC55" s="61" t="s">
        <v>77</v>
      </c>
      <c r="AD55" s="82"/>
      <c r="AE55" s="84"/>
      <c r="AF55" s="98"/>
      <c r="AG55" s="62">
        <f t="shared" ref="AG55" si="50">H55+Z55</f>
        <v>83.55</v>
      </c>
      <c r="AH55" s="49" t="s">
        <v>77</v>
      </c>
      <c r="AI55" s="82"/>
      <c r="AJ55" s="62">
        <f t="shared" ref="AJ55" si="51">AG55/E55*100</f>
        <v>156.1682242990654</v>
      </c>
      <c r="AK55" s="61" t="s">
        <v>77</v>
      </c>
      <c r="AL55" s="84"/>
      <c r="AM55" s="13"/>
      <c r="AP55" s="27"/>
    </row>
    <row r="56" spans="1:42" ht="135" x14ac:dyDescent="0.2">
      <c r="A56" s="18"/>
      <c r="B56" s="19"/>
      <c r="C56" s="28" t="s">
        <v>118</v>
      </c>
      <c r="D56" s="31" t="s">
        <v>125</v>
      </c>
      <c r="E56" s="22">
        <v>100</v>
      </c>
      <c r="F56" s="23" t="s">
        <v>77</v>
      </c>
      <c r="G56" s="25">
        <v>825571000</v>
      </c>
      <c r="H56" s="22">
        <f>7/14*100</f>
        <v>50</v>
      </c>
      <c r="I56" s="23" t="s">
        <v>77</v>
      </c>
      <c r="J56" s="25">
        <v>124795000</v>
      </c>
      <c r="K56" s="22">
        <v>60</v>
      </c>
      <c r="L56" s="23" t="s">
        <v>77</v>
      </c>
      <c r="M56" s="25">
        <v>107185200</v>
      </c>
      <c r="N56" s="22">
        <v>0</v>
      </c>
      <c r="O56" s="23" t="s">
        <v>77</v>
      </c>
      <c r="P56" s="25">
        <v>0</v>
      </c>
      <c r="Q56" s="22">
        <v>0</v>
      </c>
      <c r="R56" s="23" t="s">
        <v>77</v>
      </c>
      <c r="S56" s="25">
        <v>0</v>
      </c>
      <c r="T56" s="24">
        <f>1/14*100</f>
        <v>7.1428571428571423</v>
      </c>
      <c r="U56" s="23" t="s">
        <v>77</v>
      </c>
      <c r="V56" s="25">
        <v>0</v>
      </c>
      <c r="W56" s="24">
        <v>0</v>
      </c>
      <c r="X56" s="23" t="s">
        <v>77</v>
      </c>
      <c r="Y56" s="25">
        <v>106845000</v>
      </c>
      <c r="Z56" s="65">
        <f t="shared" si="1"/>
        <v>7.1428571428571423</v>
      </c>
      <c r="AA56" s="23" t="s">
        <v>77</v>
      </c>
      <c r="AB56" s="65">
        <f>AG56/K56*100</f>
        <v>95.238095238095227</v>
      </c>
      <c r="AC56" s="37" t="s">
        <v>77</v>
      </c>
      <c r="AD56" s="43">
        <f t="shared" si="5"/>
        <v>106845000</v>
      </c>
      <c r="AE56" s="65">
        <f t="shared" ref="AE56:AE64" si="52">AD56/M56*100</f>
        <v>99.682605434332345</v>
      </c>
      <c r="AF56" s="37" t="s">
        <v>77</v>
      </c>
      <c r="AG56" s="65">
        <f t="shared" si="2"/>
        <v>57.142857142857139</v>
      </c>
      <c r="AH56" s="23" t="s">
        <v>77</v>
      </c>
      <c r="AI56" s="43">
        <f t="shared" si="3"/>
        <v>231640000</v>
      </c>
      <c r="AJ56" s="65">
        <f t="shared" si="6"/>
        <v>57.142857142857139</v>
      </c>
      <c r="AK56" s="37" t="s">
        <v>77</v>
      </c>
      <c r="AL56" s="65">
        <f t="shared" si="4"/>
        <v>28.058156112557249</v>
      </c>
      <c r="AM56" s="13"/>
      <c r="AP56" s="27"/>
    </row>
    <row r="57" spans="1:42" ht="105" x14ac:dyDescent="0.2">
      <c r="A57" s="18"/>
      <c r="B57" s="19"/>
      <c r="C57" s="100" t="s">
        <v>119</v>
      </c>
      <c r="D57" s="99" t="s">
        <v>126</v>
      </c>
      <c r="E57" s="22">
        <v>10</v>
      </c>
      <c r="F57" s="23" t="s">
        <v>74</v>
      </c>
      <c r="G57" s="25">
        <v>2949375000</v>
      </c>
      <c r="H57" s="22">
        <v>1</v>
      </c>
      <c r="I57" s="23" t="s">
        <v>74</v>
      </c>
      <c r="J57" s="25">
        <v>166600000</v>
      </c>
      <c r="K57" s="22"/>
      <c r="L57" s="23"/>
      <c r="M57" s="25"/>
      <c r="N57" s="22"/>
      <c r="O57" s="23"/>
      <c r="P57" s="25"/>
      <c r="Q57" s="22"/>
      <c r="R57" s="23"/>
      <c r="S57" s="25"/>
      <c r="T57" s="22"/>
      <c r="U57" s="23"/>
      <c r="V57" s="25"/>
      <c r="W57" s="22"/>
      <c r="X57" s="23"/>
      <c r="Y57" s="25"/>
      <c r="Z57" s="64"/>
      <c r="AA57" s="23"/>
      <c r="AB57" s="65"/>
      <c r="AC57" s="37"/>
      <c r="AD57" s="43"/>
      <c r="AE57" s="65"/>
      <c r="AF57" s="37"/>
      <c r="AG57" s="64">
        <f t="shared" si="2"/>
        <v>1</v>
      </c>
      <c r="AH57" s="23" t="s">
        <v>74</v>
      </c>
      <c r="AI57" s="43">
        <f t="shared" si="3"/>
        <v>166600000</v>
      </c>
      <c r="AJ57" s="65">
        <f t="shared" si="6"/>
        <v>10</v>
      </c>
      <c r="AK57" s="37" t="s">
        <v>77</v>
      </c>
      <c r="AL57" s="65">
        <f t="shared" si="4"/>
        <v>5.6486543759271033</v>
      </c>
      <c r="AM57" s="13"/>
      <c r="AP57" s="27"/>
    </row>
    <row r="58" spans="1:42" ht="90" x14ac:dyDescent="0.2">
      <c r="A58" s="18"/>
      <c r="B58" s="19"/>
      <c r="C58" s="100" t="s">
        <v>120</v>
      </c>
      <c r="D58" s="99" t="s">
        <v>127</v>
      </c>
      <c r="E58" s="22">
        <v>1</v>
      </c>
      <c r="F58" s="23" t="s">
        <v>74</v>
      </c>
      <c r="G58" s="25"/>
      <c r="H58" s="22"/>
      <c r="I58" s="23"/>
      <c r="J58" s="25"/>
      <c r="K58" s="22"/>
      <c r="L58" s="23"/>
      <c r="M58" s="25"/>
      <c r="N58" s="22"/>
      <c r="O58" s="23"/>
      <c r="P58" s="25"/>
      <c r="Q58" s="22"/>
      <c r="R58" s="23"/>
      <c r="S58" s="25"/>
      <c r="T58" s="22"/>
      <c r="U58" s="23"/>
      <c r="V58" s="25"/>
      <c r="W58" s="22"/>
      <c r="X58" s="23"/>
      <c r="Y58" s="25"/>
      <c r="Z58" s="64"/>
      <c r="AA58" s="23"/>
      <c r="AB58" s="65"/>
      <c r="AC58" s="37"/>
      <c r="AD58" s="43"/>
      <c r="AE58" s="65"/>
      <c r="AF58" s="37"/>
      <c r="AG58" s="64">
        <f t="shared" ref="AG58:AG60" si="53">H58+Z58</f>
        <v>0</v>
      </c>
      <c r="AH58" s="23" t="s">
        <v>74</v>
      </c>
      <c r="AI58" s="43">
        <f t="shared" ref="AI58:AI60" si="54">J58+AD58</f>
        <v>0</v>
      </c>
      <c r="AJ58" s="65">
        <f t="shared" ref="AJ58:AJ60" si="55">AG58/E58*100</f>
        <v>0</v>
      </c>
      <c r="AK58" s="37" t="s">
        <v>77</v>
      </c>
      <c r="AL58" s="65" t="e">
        <f t="shared" ref="AL58:AL60" si="56">AI58/G58*100</f>
        <v>#DIV/0!</v>
      </c>
      <c r="AM58" s="13"/>
      <c r="AP58" s="27"/>
    </row>
    <row r="59" spans="1:42" ht="90" x14ac:dyDescent="0.2">
      <c r="A59" s="18"/>
      <c r="B59" s="19"/>
      <c r="C59" s="28" t="s">
        <v>121</v>
      </c>
      <c r="D59" s="31" t="s">
        <v>128</v>
      </c>
      <c r="E59" s="22">
        <v>67</v>
      </c>
      <c r="F59" s="52" t="s">
        <v>132</v>
      </c>
      <c r="G59" s="25">
        <v>1793550000</v>
      </c>
      <c r="H59" s="22">
        <v>21</v>
      </c>
      <c r="I59" s="52" t="s">
        <v>132</v>
      </c>
      <c r="J59" s="25">
        <v>80205000</v>
      </c>
      <c r="K59" s="22">
        <v>12</v>
      </c>
      <c r="L59" s="52" t="s">
        <v>132</v>
      </c>
      <c r="M59" s="25">
        <v>86255000</v>
      </c>
      <c r="N59" s="22">
        <v>0</v>
      </c>
      <c r="O59" s="52" t="s">
        <v>132</v>
      </c>
      <c r="P59" s="25">
        <v>0</v>
      </c>
      <c r="Q59" s="22">
        <v>0</v>
      </c>
      <c r="R59" s="52" t="s">
        <v>132</v>
      </c>
      <c r="S59" s="25">
        <v>0</v>
      </c>
      <c r="T59" s="22">
        <v>0</v>
      </c>
      <c r="U59" s="52" t="s">
        <v>132</v>
      </c>
      <c r="V59" s="25">
        <v>0</v>
      </c>
      <c r="W59" s="22">
        <v>12</v>
      </c>
      <c r="X59" s="52" t="s">
        <v>132</v>
      </c>
      <c r="Y59" s="25">
        <v>38600000</v>
      </c>
      <c r="Z59" s="64">
        <f t="shared" ref="Z59:Z60" si="57">N59+Q59+T59+W59</f>
        <v>12</v>
      </c>
      <c r="AA59" s="52" t="s">
        <v>132</v>
      </c>
      <c r="AB59" s="65">
        <f t="shared" si="7"/>
        <v>100</v>
      </c>
      <c r="AC59" s="37" t="s">
        <v>77</v>
      </c>
      <c r="AD59" s="43">
        <f t="shared" ref="AD59:AD60" si="58">P59+S59+V59+Y59</f>
        <v>38600000</v>
      </c>
      <c r="AE59" s="65">
        <f t="shared" si="52"/>
        <v>44.751028925859373</v>
      </c>
      <c r="AF59" s="37" t="s">
        <v>77</v>
      </c>
      <c r="AG59" s="64">
        <f t="shared" si="53"/>
        <v>33</v>
      </c>
      <c r="AH59" s="52" t="s">
        <v>132</v>
      </c>
      <c r="AI59" s="43">
        <f t="shared" si="54"/>
        <v>118805000</v>
      </c>
      <c r="AJ59" s="65">
        <f t="shared" si="55"/>
        <v>49.253731343283583</v>
      </c>
      <c r="AK59" s="37" t="s">
        <v>77</v>
      </c>
      <c r="AL59" s="65">
        <f t="shared" si="56"/>
        <v>6.6240138273256948</v>
      </c>
      <c r="AM59" s="13"/>
      <c r="AP59" s="27"/>
    </row>
    <row r="60" spans="1:42" ht="105" x14ac:dyDescent="0.2">
      <c r="A60" s="18"/>
      <c r="B60" s="19"/>
      <c r="C60" s="28" t="s">
        <v>122</v>
      </c>
      <c r="D60" s="31" t="s">
        <v>128</v>
      </c>
      <c r="E60" s="22">
        <f>4*5</f>
        <v>20</v>
      </c>
      <c r="F60" s="23" t="s">
        <v>133</v>
      </c>
      <c r="G60" s="25">
        <v>1909700000</v>
      </c>
      <c r="H60" s="22">
        <v>4</v>
      </c>
      <c r="I60" s="23" t="s">
        <v>133</v>
      </c>
      <c r="J60" s="25">
        <v>178850000</v>
      </c>
      <c r="K60" s="22">
        <v>4</v>
      </c>
      <c r="L60" s="23" t="s">
        <v>133</v>
      </c>
      <c r="M60" s="25">
        <v>202575000</v>
      </c>
      <c r="N60" s="22">
        <v>0</v>
      </c>
      <c r="O60" s="23" t="s">
        <v>133</v>
      </c>
      <c r="P60" s="25">
        <v>120000</v>
      </c>
      <c r="Q60" s="22">
        <v>0</v>
      </c>
      <c r="R60" s="23" t="s">
        <v>133</v>
      </c>
      <c r="S60" s="25">
        <v>16958000</v>
      </c>
      <c r="T60" s="22">
        <v>0</v>
      </c>
      <c r="U60" s="23" t="s">
        <v>133</v>
      </c>
      <c r="V60" s="25">
        <v>9975000</v>
      </c>
      <c r="W60" s="22">
        <v>4</v>
      </c>
      <c r="X60" s="23" t="s">
        <v>133</v>
      </c>
      <c r="Y60" s="25">
        <v>56520000</v>
      </c>
      <c r="Z60" s="64">
        <f t="shared" si="57"/>
        <v>4</v>
      </c>
      <c r="AA60" s="52" t="s">
        <v>133</v>
      </c>
      <c r="AB60" s="65">
        <f t="shared" si="7"/>
        <v>100</v>
      </c>
      <c r="AC60" s="37" t="s">
        <v>77</v>
      </c>
      <c r="AD60" s="43">
        <f t="shared" si="58"/>
        <v>83573000</v>
      </c>
      <c r="AE60" s="65">
        <f t="shared" si="52"/>
        <v>41.255337529310133</v>
      </c>
      <c r="AF60" s="37" t="s">
        <v>77</v>
      </c>
      <c r="AG60" s="64">
        <f t="shared" si="53"/>
        <v>8</v>
      </c>
      <c r="AH60" s="52" t="s">
        <v>133</v>
      </c>
      <c r="AI60" s="43">
        <f t="shared" si="54"/>
        <v>262423000</v>
      </c>
      <c r="AJ60" s="65">
        <f t="shared" si="55"/>
        <v>40</v>
      </c>
      <c r="AK60" s="37" t="s">
        <v>77</v>
      </c>
      <c r="AL60" s="65">
        <f t="shared" si="56"/>
        <v>13.741582447504843</v>
      </c>
      <c r="AM60" s="13"/>
      <c r="AP60" s="27"/>
    </row>
    <row r="61" spans="1:42" ht="110.25" customHeight="1" x14ac:dyDescent="0.2">
      <c r="A61" s="18"/>
      <c r="B61" s="19"/>
      <c r="C61" s="100" t="s">
        <v>123</v>
      </c>
      <c r="D61" s="99" t="s">
        <v>128</v>
      </c>
      <c r="E61" s="22">
        <f>2*5</f>
        <v>10</v>
      </c>
      <c r="F61" s="52" t="s">
        <v>134</v>
      </c>
      <c r="G61" s="25">
        <v>670795000</v>
      </c>
      <c r="H61" s="22">
        <v>2</v>
      </c>
      <c r="I61" s="52" t="s">
        <v>134</v>
      </c>
      <c r="J61" s="25">
        <v>58075000</v>
      </c>
      <c r="K61" s="22"/>
      <c r="L61" s="52"/>
      <c r="M61" s="25"/>
      <c r="N61" s="22"/>
      <c r="O61" s="52"/>
      <c r="P61" s="25"/>
      <c r="Q61" s="22"/>
      <c r="R61" s="52"/>
      <c r="S61" s="25"/>
      <c r="T61" s="22"/>
      <c r="U61" s="52"/>
      <c r="V61" s="25"/>
      <c r="W61" s="22"/>
      <c r="X61" s="52"/>
      <c r="Y61" s="25"/>
      <c r="Z61" s="64"/>
      <c r="AA61" s="52"/>
      <c r="AB61" s="65"/>
      <c r="AC61" s="37"/>
      <c r="AD61" s="43"/>
      <c r="AE61" s="65"/>
      <c r="AF61" s="37"/>
      <c r="AG61" s="64">
        <f t="shared" ref="AG61:AG62" si="59">H61+Z61</f>
        <v>2</v>
      </c>
      <c r="AH61" s="52" t="s">
        <v>134</v>
      </c>
      <c r="AI61" s="43">
        <f t="shared" ref="AI61:AI62" si="60">J61+AD61</f>
        <v>58075000</v>
      </c>
      <c r="AJ61" s="65">
        <f t="shared" ref="AJ61:AJ62" si="61">AG61/E61*100</f>
        <v>20</v>
      </c>
      <c r="AK61" s="37" t="s">
        <v>77</v>
      </c>
      <c r="AL61" s="65">
        <f t="shared" ref="AL61:AL62" si="62">AI61/G61*100</f>
        <v>8.6576375792902454</v>
      </c>
      <c r="AM61" s="13"/>
      <c r="AP61" s="27"/>
    </row>
    <row r="62" spans="1:42" ht="120" x14ac:dyDescent="0.2">
      <c r="A62" s="18"/>
      <c r="B62" s="19"/>
      <c r="C62" s="28" t="s">
        <v>124</v>
      </c>
      <c r="D62" s="31" t="s">
        <v>129</v>
      </c>
      <c r="E62" s="22">
        <f>3*4</f>
        <v>12</v>
      </c>
      <c r="F62" s="56" t="s">
        <v>135</v>
      </c>
      <c r="G62" s="25">
        <v>1930720000</v>
      </c>
      <c r="H62" s="22"/>
      <c r="I62" s="56"/>
      <c r="J62" s="25"/>
      <c r="K62" s="22">
        <v>3</v>
      </c>
      <c r="L62" s="56" t="s">
        <v>135</v>
      </c>
      <c r="M62" s="25">
        <v>291125000</v>
      </c>
      <c r="N62" s="22">
        <v>0</v>
      </c>
      <c r="O62" s="56" t="s">
        <v>135</v>
      </c>
      <c r="P62" s="25">
        <v>0</v>
      </c>
      <c r="Q62" s="22">
        <v>0</v>
      </c>
      <c r="R62" s="56" t="s">
        <v>135</v>
      </c>
      <c r="S62" s="25">
        <v>35307000</v>
      </c>
      <c r="T62" s="22">
        <v>0</v>
      </c>
      <c r="U62" s="56" t="s">
        <v>135</v>
      </c>
      <c r="V62" s="25">
        <v>20840364</v>
      </c>
      <c r="W62" s="22">
        <v>3</v>
      </c>
      <c r="X62" s="56" t="s">
        <v>135</v>
      </c>
      <c r="Y62" s="25">
        <v>8145000</v>
      </c>
      <c r="Z62" s="64">
        <f t="shared" ref="Z62" si="63">N62+Q62+T62+W62</f>
        <v>3</v>
      </c>
      <c r="AA62" s="56" t="s">
        <v>135</v>
      </c>
      <c r="AB62" s="65">
        <f t="shared" si="7"/>
        <v>100</v>
      </c>
      <c r="AC62" s="37" t="s">
        <v>77</v>
      </c>
      <c r="AD62" s="43">
        <f t="shared" ref="AD62" si="64">P62+S62+V62+Y62</f>
        <v>64292364</v>
      </c>
      <c r="AE62" s="65">
        <f t="shared" si="52"/>
        <v>22.084109574924859</v>
      </c>
      <c r="AF62" s="37" t="s">
        <v>77</v>
      </c>
      <c r="AG62" s="64">
        <f t="shared" si="59"/>
        <v>3</v>
      </c>
      <c r="AH62" s="56" t="s">
        <v>135</v>
      </c>
      <c r="AI62" s="43">
        <f t="shared" si="60"/>
        <v>64292364</v>
      </c>
      <c r="AJ62" s="65">
        <f t="shared" si="61"/>
        <v>25</v>
      </c>
      <c r="AK62" s="37" t="s">
        <v>77</v>
      </c>
      <c r="AL62" s="65">
        <f t="shared" si="62"/>
        <v>3.3299683019806086</v>
      </c>
      <c r="AM62" s="13"/>
      <c r="AP62" s="27"/>
    </row>
    <row r="63" spans="1:42" ht="75" x14ac:dyDescent="0.2">
      <c r="A63" s="18"/>
      <c r="B63" s="19"/>
      <c r="C63" s="79" t="s">
        <v>162</v>
      </c>
      <c r="D63" s="80" t="s">
        <v>163</v>
      </c>
      <c r="E63" s="22">
        <v>2</v>
      </c>
      <c r="F63" s="56" t="s">
        <v>164</v>
      </c>
      <c r="G63" s="25">
        <v>57225000</v>
      </c>
      <c r="H63" s="22">
        <v>2</v>
      </c>
      <c r="I63" s="56" t="s">
        <v>164</v>
      </c>
      <c r="J63" s="25">
        <v>51215000</v>
      </c>
      <c r="K63" s="22"/>
      <c r="L63" s="56"/>
      <c r="M63" s="25"/>
      <c r="N63" s="22"/>
      <c r="O63" s="56"/>
      <c r="P63" s="25"/>
      <c r="Q63" s="22"/>
      <c r="R63" s="56"/>
      <c r="S63" s="25"/>
      <c r="T63" s="22"/>
      <c r="U63" s="56"/>
      <c r="V63" s="25"/>
      <c r="W63" s="22"/>
      <c r="X63" s="56"/>
      <c r="Y63" s="25"/>
      <c r="Z63" s="64"/>
      <c r="AA63" s="56"/>
      <c r="AB63" s="65"/>
      <c r="AC63" s="37"/>
      <c r="AD63" s="43"/>
      <c r="AE63" s="65"/>
      <c r="AF63" s="37"/>
      <c r="AG63" s="64">
        <f t="shared" ref="AG63" si="65">H63+Z63</f>
        <v>2</v>
      </c>
      <c r="AH63" s="56"/>
      <c r="AI63" s="43">
        <f t="shared" ref="AI63" si="66">J63+AD63</f>
        <v>51215000</v>
      </c>
      <c r="AJ63" s="65">
        <f t="shared" ref="AJ63" si="67">AG63/E63*100</f>
        <v>100</v>
      </c>
      <c r="AK63" s="37" t="s">
        <v>77</v>
      </c>
      <c r="AL63" s="65">
        <f t="shared" ref="AL63" si="68">AI63/G63*100</f>
        <v>89.497597204019215</v>
      </c>
      <c r="AM63" s="13"/>
      <c r="AP63" s="27"/>
    </row>
    <row r="64" spans="1:42" ht="126" x14ac:dyDescent="0.2">
      <c r="A64" s="18"/>
      <c r="B64" s="19"/>
      <c r="C64" s="54" t="s">
        <v>136</v>
      </c>
      <c r="D64" s="21" t="s">
        <v>156</v>
      </c>
      <c r="E64" s="48">
        <v>44.06</v>
      </c>
      <c r="F64" s="49" t="s">
        <v>77</v>
      </c>
      <c r="G64" s="76">
        <f>SUM(G67:G70)</f>
        <v>34123930000</v>
      </c>
      <c r="H64" s="50">
        <f>H68/24893.3*100</f>
        <v>55.717803585703784</v>
      </c>
      <c r="I64" s="49" t="s">
        <v>77</v>
      </c>
      <c r="J64" s="76">
        <f>SUM(J67:J71)</f>
        <v>5974638081</v>
      </c>
      <c r="K64" s="48">
        <v>48.38</v>
      </c>
      <c r="L64" s="49" t="s">
        <v>77</v>
      </c>
      <c r="M64" s="76">
        <f>SUM(M67:M70)</f>
        <v>5840025000</v>
      </c>
      <c r="N64" s="50">
        <f>N68/27452.42*100</f>
        <v>15.143655823421035</v>
      </c>
      <c r="O64" s="49" t="s">
        <v>77</v>
      </c>
      <c r="P64" s="76">
        <f>SUM(P67:P70)</f>
        <v>665303406</v>
      </c>
      <c r="Q64" s="50">
        <f>Q68/27452.42*100</f>
        <v>15.143655823421035</v>
      </c>
      <c r="R64" s="49" t="s">
        <v>77</v>
      </c>
      <c r="S64" s="76">
        <f>SUM(S67:S70)</f>
        <v>1195567997</v>
      </c>
      <c r="T64" s="50">
        <f>T68/27452.42*100</f>
        <v>15.143655823421035</v>
      </c>
      <c r="U64" s="49" t="s">
        <v>77</v>
      </c>
      <c r="V64" s="76">
        <f>SUM(V67:V70)</f>
        <v>1335449942</v>
      </c>
      <c r="W64" s="50">
        <f>W68/27452.42*100</f>
        <v>7.087171185636822</v>
      </c>
      <c r="X64" s="49" t="s">
        <v>77</v>
      </c>
      <c r="Y64" s="76">
        <f>SUM(Y67:Y70)</f>
        <v>1605784346</v>
      </c>
      <c r="Z64" s="62">
        <f>N64+Q64+T64+W64</f>
        <v>52.518138655899925</v>
      </c>
      <c r="AA64" s="49" t="s">
        <v>77</v>
      </c>
      <c r="AB64" s="62">
        <f t="shared" si="7"/>
        <v>108.5534077219924</v>
      </c>
      <c r="AC64" s="61" t="s">
        <v>77</v>
      </c>
      <c r="AD64" s="81">
        <f t="shared" si="5"/>
        <v>4802105691</v>
      </c>
      <c r="AE64" s="83">
        <f t="shared" si="52"/>
        <v>82.227485173436747</v>
      </c>
      <c r="AF64" s="53" t="s">
        <v>77</v>
      </c>
      <c r="AG64" s="62">
        <f t="shared" si="2"/>
        <v>108.23594224160371</v>
      </c>
      <c r="AH64" s="49" t="s">
        <v>77</v>
      </c>
      <c r="AI64" s="81">
        <f t="shared" si="3"/>
        <v>10776743772</v>
      </c>
      <c r="AJ64" s="62">
        <f t="shared" si="6"/>
        <v>245.65579265003112</v>
      </c>
      <c r="AK64" s="61" t="s">
        <v>77</v>
      </c>
      <c r="AL64" s="83">
        <f t="shared" si="4"/>
        <v>31.581191767771177</v>
      </c>
      <c r="AM64" s="13"/>
      <c r="AP64" s="27"/>
    </row>
    <row r="65" spans="1:42" ht="110.25" x14ac:dyDescent="0.2">
      <c r="A65" s="18"/>
      <c r="B65" s="19"/>
      <c r="C65" s="19"/>
      <c r="D65" s="21" t="s">
        <v>142</v>
      </c>
      <c r="E65" s="50">
        <v>27.94</v>
      </c>
      <c r="F65" s="49" t="s">
        <v>77</v>
      </c>
      <c r="G65" s="77"/>
      <c r="H65" s="50">
        <f>H69/24893.3*100</f>
        <v>35.257639605837724</v>
      </c>
      <c r="I65" s="49" t="s">
        <v>77</v>
      </c>
      <c r="J65" s="77"/>
      <c r="K65" s="48">
        <v>26.63</v>
      </c>
      <c r="L65" s="49" t="s">
        <v>77</v>
      </c>
      <c r="M65" s="77"/>
      <c r="N65" s="50">
        <f>N69/27452.42*100</f>
        <v>8.334420062056461</v>
      </c>
      <c r="O65" s="49" t="s">
        <v>77</v>
      </c>
      <c r="P65" s="77"/>
      <c r="Q65" s="50">
        <f>Q69/27452.42*100</f>
        <v>8.334420062056461</v>
      </c>
      <c r="R65" s="49" t="s">
        <v>77</v>
      </c>
      <c r="S65" s="77"/>
      <c r="T65" s="50">
        <f>T69/27452.42*100</f>
        <v>8.334420062056461</v>
      </c>
      <c r="U65" s="49" t="s">
        <v>77</v>
      </c>
      <c r="V65" s="77"/>
      <c r="W65" s="50">
        <f>W69/27452.42*100</f>
        <v>3.7956580877022867</v>
      </c>
      <c r="X65" s="49" t="s">
        <v>77</v>
      </c>
      <c r="Y65" s="77"/>
      <c r="Z65" s="62">
        <f t="shared" si="1"/>
        <v>28.798918273871671</v>
      </c>
      <c r="AA65" s="49" t="s">
        <v>77</v>
      </c>
      <c r="AB65" s="62">
        <f t="shared" si="7"/>
        <v>108.14464241033296</v>
      </c>
      <c r="AC65" s="61" t="s">
        <v>77</v>
      </c>
      <c r="AD65" s="87"/>
      <c r="AE65" s="86"/>
      <c r="AF65" s="18"/>
      <c r="AG65" s="62">
        <f t="shared" si="2"/>
        <v>64.056557879709402</v>
      </c>
      <c r="AH65" s="49" t="s">
        <v>77</v>
      </c>
      <c r="AI65" s="87"/>
      <c r="AJ65" s="62">
        <f t="shared" ref="AJ65:AJ66" si="69">AG65/E65*100</f>
        <v>229.26470250432857</v>
      </c>
      <c r="AK65" s="61" t="s">
        <v>77</v>
      </c>
      <c r="AL65" s="89"/>
      <c r="AM65" s="13"/>
      <c r="AP65" s="27"/>
    </row>
    <row r="66" spans="1:42" ht="78.75" x14ac:dyDescent="0.2">
      <c r="A66" s="18"/>
      <c r="B66" s="19"/>
      <c r="C66" s="20"/>
      <c r="D66" s="21" t="s">
        <v>141</v>
      </c>
      <c r="E66" s="48">
        <v>100</v>
      </c>
      <c r="F66" s="49" t="s">
        <v>77</v>
      </c>
      <c r="G66" s="44"/>
      <c r="H66" s="50">
        <f>H67/E67*100</f>
        <v>73.287671232876718</v>
      </c>
      <c r="I66" s="49" t="s">
        <v>77</v>
      </c>
      <c r="J66" s="44"/>
      <c r="K66" s="50">
        <f>K67/E67*100</f>
        <v>80.821917808219183</v>
      </c>
      <c r="L66" s="49" t="s">
        <v>77</v>
      </c>
      <c r="M66" s="44"/>
      <c r="N66" s="50">
        <f>N67/E67*100</f>
        <v>1.3698630136986301</v>
      </c>
      <c r="O66" s="49" t="s">
        <v>77</v>
      </c>
      <c r="P66" s="44"/>
      <c r="Q66" s="48">
        <f>Q67/H67*100</f>
        <v>0</v>
      </c>
      <c r="R66" s="49" t="s">
        <v>77</v>
      </c>
      <c r="S66" s="44"/>
      <c r="T66" s="48">
        <f>T67/K67*100</f>
        <v>0</v>
      </c>
      <c r="U66" s="49" t="s">
        <v>77</v>
      </c>
      <c r="V66" s="44"/>
      <c r="W66" s="50">
        <f>W67/E67*100</f>
        <v>6.1643835616438354</v>
      </c>
      <c r="X66" s="49" t="s">
        <v>77</v>
      </c>
      <c r="Y66" s="44"/>
      <c r="Z66" s="62">
        <f>N66+Q66+T66+W66</f>
        <v>7.5342465753424657</v>
      </c>
      <c r="AA66" s="49" t="s">
        <v>77</v>
      </c>
      <c r="AB66" s="62">
        <f>AG66/K66*100</f>
        <v>100</v>
      </c>
      <c r="AC66" s="61" t="s">
        <v>77</v>
      </c>
      <c r="AD66" s="88"/>
      <c r="AE66" s="86"/>
      <c r="AF66" s="18"/>
      <c r="AG66" s="62">
        <f t="shared" si="2"/>
        <v>80.821917808219183</v>
      </c>
      <c r="AH66" s="49" t="s">
        <v>77</v>
      </c>
      <c r="AI66" s="88"/>
      <c r="AJ66" s="62">
        <f t="shared" si="69"/>
        <v>80.821917808219183</v>
      </c>
      <c r="AK66" s="61" t="s">
        <v>77</v>
      </c>
      <c r="AL66" s="90"/>
      <c r="AM66" s="13"/>
      <c r="AP66" s="27"/>
    </row>
    <row r="67" spans="1:42" ht="81.75" customHeight="1" x14ac:dyDescent="0.2">
      <c r="A67" s="18"/>
      <c r="B67" s="19"/>
      <c r="C67" s="28" t="s">
        <v>137</v>
      </c>
      <c r="D67" s="31" t="s">
        <v>143</v>
      </c>
      <c r="E67" s="22">
        <v>146</v>
      </c>
      <c r="F67" s="23" t="s">
        <v>147</v>
      </c>
      <c r="G67" s="25">
        <v>6824550000</v>
      </c>
      <c r="H67" s="22">
        <v>107</v>
      </c>
      <c r="I67" s="23" t="s">
        <v>147</v>
      </c>
      <c r="J67" s="25">
        <v>479489750</v>
      </c>
      <c r="K67" s="22">
        <v>118</v>
      </c>
      <c r="L67" s="23" t="s">
        <v>147</v>
      </c>
      <c r="M67" s="25">
        <v>1212480000</v>
      </c>
      <c r="N67" s="22">
        <v>2</v>
      </c>
      <c r="O67" s="23" t="s">
        <v>147</v>
      </c>
      <c r="P67" s="25">
        <v>0</v>
      </c>
      <c r="Q67" s="22">
        <v>0</v>
      </c>
      <c r="R67" s="23" t="s">
        <v>147</v>
      </c>
      <c r="S67" s="25">
        <v>24656500</v>
      </c>
      <c r="T67" s="22">
        <v>0</v>
      </c>
      <c r="U67" s="23" t="s">
        <v>147</v>
      </c>
      <c r="V67" s="25">
        <v>538105000</v>
      </c>
      <c r="W67" s="22">
        <v>9</v>
      </c>
      <c r="X67" s="23" t="s">
        <v>147</v>
      </c>
      <c r="Y67" s="25">
        <v>552480000</v>
      </c>
      <c r="Z67" s="64">
        <f>N67+Q67+T67+W67</f>
        <v>11</v>
      </c>
      <c r="AA67" s="23" t="s">
        <v>147</v>
      </c>
      <c r="AB67" s="65">
        <f>AG67/K67*100</f>
        <v>100</v>
      </c>
      <c r="AC67" s="37" t="s">
        <v>77</v>
      </c>
      <c r="AD67" s="43">
        <f t="shared" si="5"/>
        <v>1115241500</v>
      </c>
      <c r="AE67" s="65">
        <f>AD67/M67*100</f>
        <v>91.980197611506995</v>
      </c>
      <c r="AF67" s="37" t="s">
        <v>77</v>
      </c>
      <c r="AG67" s="64">
        <f t="shared" si="2"/>
        <v>118</v>
      </c>
      <c r="AH67" s="23" t="s">
        <v>147</v>
      </c>
      <c r="AI67" s="43">
        <f t="shared" si="3"/>
        <v>1594731250</v>
      </c>
      <c r="AJ67" s="65">
        <f t="shared" si="6"/>
        <v>80.821917808219183</v>
      </c>
      <c r="AK67" s="37" t="s">
        <v>77</v>
      </c>
      <c r="AL67" s="65">
        <f t="shared" si="4"/>
        <v>23.36756635968672</v>
      </c>
      <c r="AM67" s="13"/>
      <c r="AP67" s="27"/>
    </row>
    <row r="68" spans="1:42" ht="111.75" customHeight="1" x14ac:dyDescent="0.2">
      <c r="A68" s="18"/>
      <c r="B68" s="19"/>
      <c r="C68" s="28" t="s">
        <v>138</v>
      </c>
      <c r="D68" s="31" t="s">
        <v>144</v>
      </c>
      <c r="E68" s="51">
        <v>15698</v>
      </c>
      <c r="F68" s="23" t="s">
        <v>148</v>
      </c>
      <c r="G68" s="25">
        <v>15487680000</v>
      </c>
      <c r="H68" s="51">
        <v>13870</v>
      </c>
      <c r="I68" s="23" t="s">
        <v>148</v>
      </c>
      <c r="J68" s="25">
        <v>2537456271</v>
      </c>
      <c r="K68" s="51">
        <v>16629</v>
      </c>
      <c r="L68" s="23" t="s">
        <v>148</v>
      </c>
      <c r="M68" s="25">
        <v>3686880000</v>
      </c>
      <c r="N68" s="75">
        <v>4157.3</v>
      </c>
      <c r="O68" s="23" t="s">
        <v>148</v>
      </c>
      <c r="P68" s="25">
        <v>591103600</v>
      </c>
      <c r="Q68" s="75">
        <v>4157.3</v>
      </c>
      <c r="R68" s="23" t="s">
        <v>148</v>
      </c>
      <c r="S68" s="25">
        <v>799163700</v>
      </c>
      <c r="T68" s="75">
        <v>4157.3</v>
      </c>
      <c r="U68" s="23" t="s">
        <v>148</v>
      </c>
      <c r="V68" s="25">
        <v>572663300</v>
      </c>
      <c r="W68" s="75">
        <v>1945.6</v>
      </c>
      <c r="X68" s="23" t="s">
        <v>148</v>
      </c>
      <c r="Y68" s="25">
        <v>843996797</v>
      </c>
      <c r="Z68" s="74">
        <f>N68+Q68+T68+W68</f>
        <v>14417.500000000002</v>
      </c>
      <c r="AA68" s="52" t="s">
        <v>148</v>
      </c>
      <c r="AB68" s="65">
        <f t="shared" si="7"/>
        <v>86.700944133742269</v>
      </c>
      <c r="AC68" s="37" t="s">
        <v>77</v>
      </c>
      <c r="AD68" s="43">
        <f t="shared" si="5"/>
        <v>2806927397</v>
      </c>
      <c r="AE68" s="65">
        <f>AD68/M68*100</f>
        <v>76.132865647919118</v>
      </c>
      <c r="AF68" s="37" t="s">
        <v>77</v>
      </c>
      <c r="AG68" s="74">
        <f t="shared" si="2"/>
        <v>28287.5</v>
      </c>
      <c r="AH68" s="52" t="s">
        <v>148</v>
      </c>
      <c r="AI68" s="43">
        <f t="shared" si="3"/>
        <v>5344383668</v>
      </c>
      <c r="AJ68" s="65">
        <f t="shared" si="6"/>
        <v>180.1981144094789</v>
      </c>
      <c r="AK68" s="37" t="s">
        <v>77</v>
      </c>
      <c r="AL68" s="65">
        <f t="shared" si="4"/>
        <v>34.507322387859254</v>
      </c>
      <c r="AM68" s="13"/>
      <c r="AP68" s="27"/>
    </row>
    <row r="69" spans="1:42" ht="65.25" customHeight="1" x14ac:dyDescent="0.2">
      <c r="A69" s="18"/>
      <c r="B69" s="19"/>
      <c r="C69" s="28" t="s">
        <v>139</v>
      </c>
      <c r="D69" s="31" t="s">
        <v>145</v>
      </c>
      <c r="E69" s="51">
        <v>9975</v>
      </c>
      <c r="F69" s="23" t="s">
        <v>148</v>
      </c>
      <c r="G69" s="25">
        <v>11365275000</v>
      </c>
      <c r="H69" s="75">
        <v>8776.7900000000009</v>
      </c>
      <c r="I69" s="23" t="s">
        <v>148</v>
      </c>
      <c r="J69" s="25">
        <v>2143911810</v>
      </c>
      <c r="K69" s="51">
        <v>9152</v>
      </c>
      <c r="L69" s="23" t="s">
        <v>148</v>
      </c>
      <c r="M69" s="25">
        <v>849365000</v>
      </c>
      <c r="N69" s="51">
        <v>2288</v>
      </c>
      <c r="O69" s="23" t="s">
        <v>148</v>
      </c>
      <c r="P69" s="25">
        <v>74199806</v>
      </c>
      <c r="Q69" s="51">
        <v>2288</v>
      </c>
      <c r="R69" s="23" t="s">
        <v>148</v>
      </c>
      <c r="S69" s="25">
        <v>280954697</v>
      </c>
      <c r="T69" s="51">
        <v>2288</v>
      </c>
      <c r="U69" s="23" t="s">
        <v>148</v>
      </c>
      <c r="V69" s="25">
        <v>224681642</v>
      </c>
      <c r="W69" s="51">
        <v>1042</v>
      </c>
      <c r="X69" s="23" t="s">
        <v>148</v>
      </c>
      <c r="Y69" s="25">
        <v>209307549</v>
      </c>
      <c r="Z69" s="74">
        <f>N69+Q69+T69+W69</f>
        <v>7906</v>
      </c>
      <c r="AA69" s="52" t="s">
        <v>148</v>
      </c>
      <c r="AB69" s="65">
        <f t="shared" si="7"/>
        <v>86.385489510489506</v>
      </c>
      <c r="AC69" s="37" t="s">
        <v>77</v>
      </c>
      <c r="AD69" s="43">
        <f>P69+S69+V69+Y69</f>
        <v>789143694</v>
      </c>
      <c r="AE69" s="65">
        <f t="shared" ref="AE69:AE70" si="70">AD69/M69*100</f>
        <v>92.90984370676918</v>
      </c>
      <c r="AF69" s="37" t="s">
        <v>77</v>
      </c>
      <c r="AG69" s="74">
        <f t="shared" si="2"/>
        <v>16682.79</v>
      </c>
      <c r="AH69" s="52" t="s">
        <v>148</v>
      </c>
      <c r="AI69" s="43">
        <f t="shared" si="3"/>
        <v>2933055504</v>
      </c>
      <c r="AJ69" s="65">
        <f t="shared" si="6"/>
        <v>167.24601503759399</v>
      </c>
      <c r="AK69" s="37" t="s">
        <v>77</v>
      </c>
      <c r="AL69" s="65">
        <f t="shared" si="4"/>
        <v>25.807167041712585</v>
      </c>
      <c r="AM69" s="13"/>
      <c r="AP69" s="27"/>
    </row>
    <row r="70" spans="1:42" ht="97.5" customHeight="1" x14ac:dyDescent="0.2">
      <c r="A70" s="18"/>
      <c r="B70" s="19"/>
      <c r="C70" s="28" t="s">
        <v>140</v>
      </c>
      <c r="D70" s="31" t="s">
        <v>174</v>
      </c>
      <c r="E70" s="22">
        <v>5</v>
      </c>
      <c r="F70" s="23" t="s">
        <v>76</v>
      </c>
      <c r="G70" s="25">
        <v>446425000</v>
      </c>
      <c r="H70" s="22">
        <v>5</v>
      </c>
      <c r="I70" s="23" t="s">
        <v>76</v>
      </c>
      <c r="J70" s="25">
        <v>51964450</v>
      </c>
      <c r="K70" s="22">
        <v>1</v>
      </c>
      <c r="L70" s="23" t="s">
        <v>76</v>
      </c>
      <c r="M70" s="25">
        <v>91300000</v>
      </c>
      <c r="N70" s="22">
        <v>0</v>
      </c>
      <c r="O70" s="23" t="s">
        <v>76</v>
      </c>
      <c r="P70" s="25">
        <v>0</v>
      </c>
      <c r="Q70" s="22">
        <v>0</v>
      </c>
      <c r="R70" s="23" t="s">
        <v>76</v>
      </c>
      <c r="S70" s="25">
        <v>90793100</v>
      </c>
      <c r="T70" s="22">
        <v>0</v>
      </c>
      <c r="U70" s="23" t="s">
        <v>76</v>
      </c>
      <c r="V70" s="25">
        <v>0</v>
      </c>
      <c r="W70" s="22">
        <v>4</v>
      </c>
      <c r="X70" s="23" t="s">
        <v>76</v>
      </c>
      <c r="Y70" s="25">
        <v>0</v>
      </c>
      <c r="Z70" s="64">
        <f>N70+Q70+T70+W70</f>
        <v>4</v>
      </c>
      <c r="AA70" s="23" t="s">
        <v>76</v>
      </c>
      <c r="AB70" s="65">
        <f t="shared" si="7"/>
        <v>400</v>
      </c>
      <c r="AC70" s="37" t="s">
        <v>77</v>
      </c>
      <c r="AD70" s="43">
        <f t="shared" ref="AD70" si="71">P70+S70+V70+Y70</f>
        <v>90793100</v>
      </c>
      <c r="AE70" s="65">
        <f t="shared" si="70"/>
        <v>99.444797371303395</v>
      </c>
      <c r="AF70" s="37" t="s">
        <v>77</v>
      </c>
      <c r="AG70" s="64">
        <f t="shared" ref="AG70" si="72">H70+Z70</f>
        <v>9</v>
      </c>
      <c r="AH70" s="23" t="s">
        <v>76</v>
      </c>
      <c r="AI70" s="43">
        <f t="shared" ref="AI70" si="73">J70+AD70</f>
        <v>142757550</v>
      </c>
      <c r="AJ70" s="65">
        <f t="shared" ref="AJ70" si="74">AG70/E70*100</f>
        <v>180</v>
      </c>
      <c r="AK70" s="37" t="s">
        <v>77</v>
      </c>
      <c r="AL70" s="65">
        <f t="shared" ref="AL70" si="75">AI70/G70*100</f>
        <v>31.977947023576185</v>
      </c>
      <c r="AM70" s="13"/>
      <c r="AP70" s="27"/>
    </row>
    <row r="71" spans="1:42" ht="97.5" customHeight="1" x14ac:dyDescent="0.2">
      <c r="A71" s="18"/>
      <c r="B71" s="19"/>
      <c r="C71" s="79" t="s">
        <v>165</v>
      </c>
      <c r="D71" s="80" t="s">
        <v>146</v>
      </c>
      <c r="E71" s="74">
        <v>9152</v>
      </c>
      <c r="F71" s="23" t="s">
        <v>148</v>
      </c>
      <c r="G71" s="25">
        <v>808817000</v>
      </c>
      <c r="H71" s="51">
        <v>9152</v>
      </c>
      <c r="I71" s="23" t="s">
        <v>148</v>
      </c>
      <c r="J71" s="25">
        <v>761815800</v>
      </c>
      <c r="K71" s="22"/>
      <c r="L71" s="23"/>
      <c r="M71" s="25"/>
      <c r="N71" s="22"/>
      <c r="O71" s="23"/>
      <c r="P71" s="25"/>
      <c r="Q71" s="22"/>
      <c r="R71" s="23"/>
      <c r="S71" s="25"/>
      <c r="T71" s="22"/>
      <c r="U71" s="23"/>
      <c r="V71" s="25"/>
      <c r="W71" s="22"/>
      <c r="X71" s="23"/>
      <c r="Y71" s="25"/>
      <c r="Z71" s="64"/>
      <c r="AA71" s="52"/>
      <c r="AB71" s="65"/>
      <c r="AC71" s="37"/>
      <c r="AD71" s="43"/>
      <c r="AE71" s="65"/>
      <c r="AF71" s="37"/>
      <c r="AG71" s="74">
        <f t="shared" ref="AG71" si="76">H71+Z71</f>
        <v>9152</v>
      </c>
      <c r="AH71" s="52" t="s">
        <v>148</v>
      </c>
      <c r="AI71" s="43">
        <f t="shared" ref="AI71" si="77">J71+AD71</f>
        <v>761815800</v>
      </c>
      <c r="AJ71" s="65">
        <f t="shared" ref="AJ71" si="78">AG71/E71*100</f>
        <v>100</v>
      </c>
      <c r="AK71" s="37" t="s">
        <v>77</v>
      </c>
      <c r="AL71" s="65">
        <f t="shared" ref="AL71" si="79">AI71/G71*100</f>
        <v>94.188895633993837</v>
      </c>
      <c r="AM71" s="13"/>
      <c r="AP71" s="27"/>
    </row>
    <row r="72" spans="1:42" ht="15" x14ac:dyDescent="0.2">
      <c r="A72" s="105" t="s">
        <v>49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7"/>
      <c r="AB72" s="101">
        <f>AVERAGE(AB16:AB71)</f>
        <v>103.60392663131141</v>
      </c>
      <c r="AC72" s="68"/>
      <c r="AD72" s="66"/>
      <c r="AE72" s="101">
        <f>AVERAGE(AE16,AE20,AE27,AE35,AE42,AE46,AE49,AE53,AE64)</f>
        <v>86.97466171362035</v>
      </c>
      <c r="AF72" s="68"/>
      <c r="AG72" s="67"/>
      <c r="AH72" s="68"/>
      <c r="AI72" s="67"/>
      <c r="AJ72" s="67"/>
      <c r="AK72" s="68"/>
      <c r="AL72" s="69"/>
      <c r="AM72" s="13"/>
    </row>
    <row r="73" spans="1:42" ht="15" x14ac:dyDescent="0.2">
      <c r="A73" s="105" t="s">
        <v>50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7"/>
      <c r="AB73" s="33" t="str">
        <f>IF(AB72&gt;=91,"Sangat Tinggi",IF(AB72&gt;=76,"Tinggi",IF(AB72&gt;=66,"Sedang",IF(AB72&gt;=51,"Rendah",IF(AB72&lt;=50,"Sangat Rendah")))))</f>
        <v>Sangat Tinggi</v>
      </c>
      <c r="AC73" s="68"/>
      <c r="AD73" s="70"/>
      <c r="AE73" s="33" t="str">
        <f>IF(AE72&gt;=91,"Sangat Tinggi",IF(AE72&gt;=76,"Tinggi",IF(AE72&gt;=66,"Sedang",IF(AE72&gt;=51,"Rendah",IF(AE72&lt;=50,"Sangat Rendah")))))</f>
        <v>Tinggi</v>
      </c>
      <c r="AF73" s="68"/>
      <c r="AG73" s="71"/>
      <c r="AH73" s="68"/>
      <c r="AI73" s="72"/>
      <c r="AJ73" s="71"/>
      <c r="AK73" s="68"/>
      <c r="AL73" s="73"/>
      <c r="AM73" s="13"/>
    </row>
    <row r="74" spans="1:42" ht="15" x14ac:dyDescent="0.2">
      <c r="A74" s="108" t="s">
        <v>51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3"/>
    </row>
    <row r="75" spans="1:42" ht="15" x14ac:dyDescent="0.2">
      <c r="A75" s="108" t="s">
        <v>52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3"/>
    </row>
    <row r="76" spans="1:42" ht="15" x14ac:dyDescent="0.2">
      <c r="A76" s="108" t="s">
        <v>53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3"/>
    </row>
    <row r="77" spans="1:42" ht="15" x14ac:dyDescent="0.2">
      <c r="A77" s="108" t="s">
        <v>54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34"/>
    </row>
    <row r="78" spans="1:42" ht="15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6"/>
      <c r="AB78" s="35"/>
      <c r="AC78" s="36"/>
      <c r="AD78" s="35"/>
      <c r="AE78" s="35"/>
      <c r="AF78" s="36"/>
      <c r="AG78" s="35"/>
      <c r="AH78" s="36"/>
      <c r="AI78" s="35"/>
      <c r="AJ78" s="35"/>
      <c r="AK78" s="36"/>
      <c r="AL78" s="35"/>
    </row>
    <row r="79" spans="1:42" ht="15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167" t="s">
        <v>179</v>
      </c>
      <c r="AA79" s="167"/>
      <c r="AB79" s="167"/>
      <c r="AC79" s="167"/>
      <c r="AD79" s="167"/>
      <c r="AE79" s="167"/>
      <c r="AF79" s="36"/>
      <c r="AG79" s="35"/>
      <c r="AH79" s="167" t="s">
        <v>180</v>
      </c>
      <c r="AI79" s="167"/>
      <c r="AJ79" s="167"/>
      <c r="AK79" s="167"/>
      <c r="AL79" s="167"/>
      <c r="AM79" s="167"/>
    </row>
    <row r="80" spans="1:42" ht="15.75" x14ac:dyDescent="0.25">
      <c r="A80" s="41"/>
      <c r="B80" s="42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167" t="s">
        <v>189</v>
      </c>
      <c r="AA80" s="167"/>
      <c r="AB80" s="167"/>
      <c r="AC80" s="167"/>
      <c r="AD80" s="167"/>
      <c r="AE80" s="167"/>
      <c r="AF80" s="36"/>
      <c r="AG80" s="35"/>
      <c r="AH80" s="167" t="s">
        <v>189</v>
      </c>
      <c r="AI80" s="167"/>
      <c r="AJ80" s="167"/>
      <c r="AK80" s="167"/>
      <c r="AL80" s="167"/>
      <c r="AM80" s="167"/>
    </row>
    <row r="81" spans="1:39" ht="15" x14ac:dyDescent="0.2">
      <c r="Z81" s="167" t="s">
        <v>185</v>
      </c>
      <c r="AA81" s="167"/>
      <c r="AB81" s="167"/>
      <c r="AC81" s="167"/>
      <c r="AD81" s="167"/>
      <c r="AE81" s="167"/>
      <c r="AH81" s="167" t="s">
        <v>181</v>
      </c>
      <c r="AI81" s="167"/>
      <c r="AJ81" s="167"/>
      <c r="AK81" s="167"/>
      <c r="AL81" s="167"/>
      <c r="AM81" s="167"/>
    </row>
    <row r="82" spans="1:39" ht="15" x14ac:dyDescent="0.2">
      <c r="Z82" s="167" t="s">
        <v>182</v>
      </c>
      <c r="AA82" s="167"/>
      <c r="AB82" s="167"/>
      <c r="AC82" s="167"/>
      <c r="AD82" s="167"/>
      <c r="AE82" s="167"/>
      <c r="AH82" s="167" t="s">
        <v>182</v>
      </c>
      <c r="AI82" s="167"/>
      <c r="AJ82" s="167"/>
      <c r="AK82" s="167"/>
      <c r="AL82" s="167"/>
      <c r="AM82" s="167"/>
    </row>
    <row r="83" spans="1:39" ht="51" x14ac:dyDescent="0.2">
      <c r="A83" s="38" t="s">
        <v>55</v>
      </c>
      <c r="B83" s="38" t="s">
        <v>56</v>
      </c>
      <c r="C83" s="38" t="s">
        <v>57</v>
      </c>
      <c r="Z83" s="35"/>
      <c r="AA83" s="36"/>
      <c r="AB83" s="35"/>
      <c r="AC83" s="36"/>
      <c r="AD83" s="35"/>
      <c r="AH83" s="35"/>
      <c r="AI83" s="36"/>
      <c r="AJ83" s="35"/>
      <c r="AK83" s="36"/>
      <c r="AL83" s="35"/>
    </row>
    <row r="84" spans="1:39" ht="25.5" x14ac:dyDescent="0.25">
      <c r="A84" s="39" t="s">
        <v>58</v>
      </c>
      <c r="B84" s="39" t="s">
        <v>59</v>
      </c>
      <c r="C84" s="39" t="s">
        <v>60</v>
      </c>
      <c r="Z84" s="168" t="s">
        <v>186</v>
      </c>
      <c r="AA84" s="168"/>
      <c r="AB84" s="168"/>
      <c r="AC84" s="168"/>
      <c r="AD84" s="168"/>
      <c r="AE84" s="168"/>
      <c r="AH84" s="168" t="s">
        <v>183</v>
      </c>
      <c r="AI84" s="168"/>
      <c r="AJ84" s="168"/>
      <c r="AK84" s="168"/>
      <c r="AL84" s="168"/>
      <c r="AM84" s="168"/>
    </row>
    <row r="85" spans="1:39" ht="25.5" x14ac:dyDescent="0.2">
      <c r="A85" s="39" t="s">
        <v>61</v>
      </c>
      <c r="B85" s="39" t="s">
        <v>62</v>
      </c>
      <c r="C85" s="39" t="s">
        <v>63</v>
      </c>
      <c r="Z85" s="169" t="s">
        <v>187</v>
      </c>
      <c r="AA85" s="169"/>
      <c r="AB85" s="169"/>
      <c r="AC85" s="169"/>
      <c r="AD85" s="169"/>
      <c r="AE85" s="169"/>
      <c r="AH85" s="169" t="s">
        <v>184</v>
      </c>
      <c r="AI85" s="169"/>
      <c r="AJ85" s="169"/>
      <c r="AK85" s="169"/>
      <c r="AL85" s="169"/>
      <c r="AM85" s="169"/>
    </row>
    <row r="86" spans="1:39" ht="25.5" x14ac:dyDescent="0.2">
      <c r="A86" s="39" t="s">
        <v>64</v>
      </c>
      <c r="B86" s="39" t="s">
        <v>65</v>
      </c>
      <c r="C86" s="39" t="s">
        <v>66</v>
      </c>
    </row>
    <row r="87" spans="1:39" ht="25.5" x14ac:dyDescent="0.2">
      <c r="A87" s="39" t="s">
        <v>67</v>
      </c>
      <c r="B87" s="39" t="s">
        <v>68</v>
      </c>
      <c r="C87" s="39" t="s">
        <v>69</v>
      </c>
    </row>
    <row r="88" spans="1:39" ht="25.5" x14ac:dyDescent="0.2">
      <c r="A88" s="39" t="s">
        <v>70</v>
      </c>
      <c r="B88" s="40" t="s">
        <v>71</v>
      </c>
      <c r="C88" s="39" t="s">
        <v>72</v>
      </c>
    </row>
  </sheetData>
  <mergeCells count="93">
    <mergeCell ref="Z82:AE82"/>
    <mergeCell ref="AH82:AM82"/>
    <mergeCell ref="Z84:AE84"/>
    <mergeCell ref="AH84:AM84"/>
    <mergeCell ref="Z85:AE85"/>
    <mergeCell ref="AH85:AM85"/>
    <mergeCell ref="Z79:AE79"/>
    <mergeCell ref="AH79:AM79"/>
    <mergeCell ref="Z80:AE80"/>
    <mergeCell ref="AH80:AM80"/>
    <mergeCell ref="Z81:AE81"/>
    <mergeCell ref="AH81:AM81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W10:Y10"/>
    <mergeCell ref="AG12:AH12"/>
    <mergeCell ref="AJ12:AK12"/>
    <mergeCell ref="Z11:AA11"/>
    <mergeCell ref="AG11:AH11"/>
    <mergeCell ref="AJ11:AK11"/>
    <mergeCell ref="AB11:AC11"/>
    <mergeCell ref="E11:F12"/>
    <mergeCell ref="G11:G12"/>
    <mergeCell ref="H11:I12"/>
    <mergeCell ref="J11:J12"/>
    <mergeCell ref="K11:L12"/>
    <mergeCell ref="AB12:AC12"/>
    <mergeCell ref="AE11:AF11"/>
    <mergeCell ref="AE12:AF12"/>
    <mergeCell ref="A77:AL77"/>
    <mergeCell ref="J13:J15"/>
    <mergeCell ref="K13:L15"/>
    <mergeCell ref="M13:M15"/>
    <mergeCell ref="N13:O15"/>
    <mergeCell ref="A74:AL74"/>
    <mergeCell ref="A13:A15"/>
    <mergeCell ref="B13:B15"/>
    <mergeCell ref="C13:C15"/>
    <mergeCell ref="D13:D15"/>
    <mergeCell ref="E13:F15"/>
    <mergeCell ref="G13:G15"/>
    <mergeCell ref="H13:I15"/>
    <mergeCell ref="Z10:AF10"/>
    <mergeCell ref="A72:AA72"/>
    <mergeCell ref="A73:AA73"/>
    <mergeCell ref="A75:AL75"/>
    <mergeCell ref="A76:AL76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</mergeCells>
  <printOptions horizontalCentered="1"/>
  <pageMargins left="0.23622047244094491" right="0.23622047244094491" top="3.937007874015748E-2" bottom="3.937007874015748E-2" header="0" footer="0"/>
  <pageSetup paperSize="14" scale="32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Dispera,KPLH</vt:lpstr>
      <vt:lpstr>'Dispera,KPLH'!Print_Area</vt:lpstr>
      <vt:lpstr>'Dispera,KPLH'!Print_Titles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2021-10-25T02:32:50Z</dcterms:modified>
</cp:coreProperties>
</file>