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BAIHAKI\SATU DATA\PE\"/>
    </mc:Choice>
  </mc:AlternateContent>
  <xr:revisionPtr revIDLastSave="0" documentId="13_ncr:1_{9235AFA8-24DD-453C-9121-5FA01E937F33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Dinas Pendidikan" sheetId="1" r:id="rId1"/>
  </sheets>
  <externalReferences>
    <externalReference r:id="rId2"/>
  </externalReferences>
  <definedNames>
    <definedName name="_xlnm.Print_Area" localSheetId="0">'Dinas Pendidikan'!$A$1:$AM$103</definedName>
    <definedName name="_xlnm.Print_Titles" localSheetId="0">'Dinas Pendidikan'!$1:$1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2" i="1" l="1"/>
  <c r="W52" i="1"/>
  <c r="T52" i="1"/>
  <c r="Q52" i="1"/>
  <c r="N52" i="1"/>
  <c r="Y18" i="1"/>
  <c r="Y11" i="1"/>
  <c r="Y99" i="1"/>
  <c r="Y98" i="1" s="1"/>
  <c r="W98" i="1"/>
  <c r="Y94" i="1"/>
  <c r="Y92" i="1"/>
  <c r="Y89" i="1"/>
  <c r="Y88" i="1" s="1"/>
  <c r="Y86" i="1"/>
  <c r="Y84" i="1"/>
  <c r="W84" i="1"/>
  <c r="Y82" i="1"/>
  <c r="Y76" i="1"/>
  <c r="Y66" i="1"/>
  <c r="W49" i="1"/>
  <c r="Y41" i="1"/>
  <c r="Y23" i="1"/>
  <c r="Y16" i="1"/>
  <c r="Y6" i="1"/>
  <c r="Y3" i="1"/>
  <c r="W3" i="1"/>
  <c r="Y91" i="1" l="1"/>
  <c r="Y81" i="1"/>
  <c r="Y28" i="1"/>
  <c r="Y2" i="1"/>
  <c r="J86" i="1"/>
  <c r="J76" i="1"/>
  <c r="J66" i="1"/>
  <c r="J52" i="1"/>
  <c r="E27" i="1"/>
  <c r="E26" i="1"/>
  <c r="E25" i="1"/>
  <c r="E24" i="1"/>
  <c r="E17" i="1"/>
  <c r="E22" i="1"/>
  <c r="E21" i="1"/>
  <c r="E20" i="1"/>
  <c r="E19" i="1"/>
  <c r="E15" i="1"/>
  <c r="E14" i="1"/>
  <c r="E13" i="1"/>
  <c r="E12" i="1"/>
  <c r="E10" i="1"/>
  <c r="E9" i="1"/>
  <c r="E8" i="1"/>
  <c r="E7" i="1"/>
  <c r="E5" i="1"/>
  <c r="E4" i="1"/>
  <c r="E3" i="1" s="1"/>
  <c r="E6" i="1"/>
  <c r="H6" i="1"/>
  <c r="H3" i="1"/>
  <c r="V15" i="1"/>
  <c r="K6" i="1"/>
  <c r="Q81" i="1" l="1"/>
  <c r="K81" i="1"/>
  <c r="T84" i="1"/>
  <c r="G87" i="1"/>
  <c r="G86" i="1" s="1"/>
  <c r="E87" i="1"/>
  <c r="G85" i="1"/>
  <c r="E85" i="1"/>
  <c r="H84" i="1"/>
  <c r="E84" i="1"/>
  <c r="K84" i="1"/>
  <c r="J82" i="1"/>
  <c r="J81" i="1" s="1"/>
  <c r="E81" i="1"/>
  <c r="H81" i="1"/>
  <c r="H82" i="1"/>
  <c r="E82" i="1"/>
  <c r="Q82" i="1"/>
  <c r="K82" i="1"/>
  <c r="G83" i="1"/>
  <c r="G82" i="1" s="1"/>
  <c r="H98" i="1"/>
  <c r="E98" i="1"/>
  <c r="J99" i="1"/>
  <c r="J98" i="1" s="1"/>
  <c r="G101" i="1"/>
  <c r="G100" i="1"/>
  <c r="G97" i="1"/>
  <c r="G96" i="1"/>
  <c r="G95" i="1"/>
  <c r="G92" i="1"/>
  <c r="G91" i="1" s="1"/>
  <c r="J92" i="1"/>
  <c r="J91" i="1" s="1"/>
  <c r="G93" i="1"/>
  <c r="J89" i="1"/>
  <c r="J88" i="1" s="1"/>
  <c r="G90" i="1"/>
  <c r="G89" i="1" s="1"/>
  <c r="G88" i="1" s="1"/>
  <c r="G103" i="1"/>
  <c r="G102" i="1"/>
  <c r="E102" i="1"/>
  <c r="E101" i="1"/>
  <c r="K94" i="1"/>
  <c r="E90" i="1"/>
  <c r="E89" i="1"/>
  <c r="O66" i="1"/>
  <c r="G80" i="1"/>
  <c r="E80" i="1"/>
  <c r="E79" i="1"/>
  <c r="E78" i="1"/>
  <c r="G75" i="1"/>
  <c r="E75" i="1"/>
  <c r="Z72" i="1"/>
  <c r="E72" i="1"/>
  <c r="K72" i="1"/>
  <c r="N66" i="1" s="1"/>
  <c r="E71" i="1"/>
  <c r="E62" i="1"/>
  <c r="Z62" i="1"/>
  <c r="E65" i="1"/>
  <c r="Z65" i="1"/>
  <c r="E77" i="1"/>
  <c r="E68" i="1"/>
  <c r="G68" i="1"/>
  <c r="G67" i="1"/>
  <c r="E67" i="1"/>
  <c r="V67" i="1"/>
  <c r="G99" i="1" l="1"/>
  <c r="G98" i="1" s="1"/>
  <c r="G81" i="1"/>
  <c r="E60" i="1"/>
  <c r="G60" i="1"/>
  <c r="E59" i="1"/>
  <c r="G58" i="1"/>
  <c r="E58" i="1"/>
  <c r="G57" i="1"/>
  <c r="E57" i="1"/>
  <c r="E56" i="1"/>
  <c r="E54" i="1"/>
  <c r="Q41" i="1"/>
  <c r="G51" i="1"/>
  <c r="Z51" i="1"/>
  <c r="N41" i="1"/>
  <c r="E51" i="1"/>
  <c r="G50" i="1"/>
  <c r="E50" i="1"/>
  <c r="G49" i="1"/>
  <c r="E49" i="1"/>
  <c r="T49" i="1"/>
  <c r="Z49" i="1" s="1"/>
  <c r="E48" i="1"/>
  <c r="G47" i="1"/>
  <c r="E47" i="1"/>
  <c r="G46" i="1"/>
  <c r="E45" i="1"/>
  <c r="J44" i="1"/>
  <c r="J41" i="1" s="1"/>
  <c r="E44" i="1" l="1"/>
  <c r="E43" i="1"/>
  <c r="E42" i="1"/>
  <c r="AD74" i="1" l="1"/>
  <c r="AI74" i="1" s="1"/>
  <c r="AA74" i="1"/>
  <c r="Z74" i="1"/>
  <c r="AG74" i="1" s="1"/>
  <c r="R74" i="1"/>
  <c r="X74" i="1" s="1"/>
  <c r="O74" i="1"/>
  <c r="U74" i="1" s="1"/>
  <c r="G74" i="1"/>
  <c r="E74" i="1"/>
  <c r="AD80" i="1"/>
  <c r="AI80" i="1" s="1"/>
  <c r="AA80" i="1"/>
  <c r="Z80" i="1"/>
  <c r="AB80" i="1" s="1"/>
  <c r="R80" i="1"/>
  <c r="X80" i="1" s="1"/>
  <c r="O80" i="1"/>
  <c r="U80" i="1" s="1"/>
  <c r="T98" i="1"/>
  <c r="V94" i="1"/>
  <c r="V92" i="1"/>
  <c r="V86" i="1"/>
  <c r="V84" i="1"/>
  <c r="V82" i="1"/>
  <c r="V76" i="1"/>
  <c r="U27" i="1"/>
  <c r="U26" i="1"/>
  <c r="U25" i="1"/>
  <c r="U23" i="1"/>
  <c r="U22" i="1"/>
  <c r="U21" i="1"/>
  <c r="U20" i="1"/>
  <c r="U19" i="1"/>
  <c r="U18" i="1"/>
  <c r="U17" i="1"/>
  <c r="V16" i="1"/>
  <c r="U16" i="1"/>
  <c r="U15" i="1"/>
  <c r="U14" i="1"/>
  <c r="U13" i="1"/>
  <c r="U12" i="1"/>
  <c r="V11" i="1"/>
  <c r="U11" i="1"/>
  <c r="V6" i="1"/>
  <c r="U7" i="1"/>
  <c r="U6" i="1"/>
  <c r="T6" i="1"/>
  <c r="V3" i="1"/>
  <c r="T3" i="1"/>
  <c r="G42" i="1"/>
  <c r="G64" i="1"/>
  <c r="E64" i="1"/>
  <c r="G63" i="1"/>
  <c r="E63" i="1"/>
  <c r="G62" i="1"/>
  <c r="E61" i="1"/>
  <c r="E53" i="1"/>
  <c r="G52" i="1" l="1"/>
  <c r="V91" i="1"/>
  <c r="AE74" i="1"/>
  <c r="AB74" i="1"/>
  <c r="AH74" i="1"/>
  <c r="AE80" i="1"/>
  <c r="V81" i="1"/>
  <c r="AG80" i="1"/>
  <c r="AH80" i="1"/>
  <c r="S49" i="1"/>
  <c r="G41" i="1" l="1"/>
  <c r="G76" i="1"/>
  <c r="G73" i="1"/>
  <c r="E73" i="1"/>
  <c r="G71" i="1" l="1"/>
  <c r="G66" i="1" s="1"/>
  <c r="M6" i="1" l="1"/>
  <c r="N92" i="1" l="1"/>
  <c r="K92" i="1"/>
  <c r="Q98" i="1"/>
  <c r="N98" i="1"/>
  <c r="K98" i="1"/>
  <c r="S103" i="1"/>
  <c r="AH28" i="1"/>
  <c r="S102" i="1" l="1"/>
  <c r="S94" i="1"/>
  <c r="S92" i="1"/>
  <c r="S90" i="1"/>
  <c r="S86" i="1"/>
  <c r="S84" i="1"/>
  <c r="S82" i="1"/>
  <c r="S76" i="1"/>
  <c r="S72" i="1"/>
  <c r="S62" i="1"/>
  <c r="V52" i="1" s="1"/>
  <c r="S52" i="1"/>
  <c r="S43" i="1"/>
  <c r="S48" i="1"/>
  <c r="S41" i="1" l="1"/>
  <c r="V41" i="1"/>
  <c r="S89" i="1"/>
  <c r="S88" i="1" s="1"/>
  <c r="V89" i="1"/>
  <c r="V88" i="1" s="1"/>
  <c r="S66" i="1"/>
  <c r="V66" i="1"/>
  <c r="S99" i="1"/>
  <c r="S98" i="1" s="1"/>
  <c r="V99" i="1"/>
  <c r="V98" i="1" s="1"/>
  <c r="S91" i="1"/>
  <c r="S81" i="1"/>
  <c r="S27" i="1"/>
  <c r="S26" i="1"/>
  <c r="S25" i="1"/>
  <c r="S22" i="1"/>
  <c r="V18" i="1" s="1"/>
  <c r="S16" i="1"/>
  <c r="S14" i="1"/>
  <c r="S11" i="1" s="1"/>
  <c r="AP10" i="1"/>
  <c r="S7" i="1"/>
  <c r="S6" i="1" s="1"/>
  <c r="S3" i="1"/>
  <c r="V28" i="1" l="1"/>
  <c r="S28" i="1"/>
  <c r="V23" i="1"/>
  <c r="V2" i="1" s="1"/>
  <c r="S23" i="1"/>
  <c r="S18" i="1"/>
  <c r="O24" i="1"/>
  <c r="U24" i="1" s="1"/>
  <c r="O9" i="1"/>
  <c r="U9" i="1" s="1"/>
  <c r="O10" i="1"/>
  <c r="U10" i="1" s="1"/>
  <c r="O8" i="1"/>
  <c r="U8" i="1" s="1"/>
  <c r="Q6" i="1"/>
  <c r="O3" i="1"/>
  <c r="U3" i="1" s="1"/>
  <c r="O4" i="1"/>
  <c r="U4" i="1" s="1"/>
  <c r="O5" i="1"/>
  <c r="U5" i="1" s="1"/>
  <c r="O2" i="1"/>
  <c r="U2" i="1" s="1"/>
  <c r="Q3" i="1"/>
  <c r="R3" i="1"/>
  <c r="X3" i="1" s="1"/>
  <c r="R4" i="1"/>
  <c r="X4" i="1" s="1"/>
  <c r="R5" i="1"/>
  <c r="X5" i="1" s="1"/>
  <c r="R6" i="1"/>
  <c r="X6" i="1" s="1"/>
  <c r="R7" i="1"/>
  <c r="X7" i="1" s="1"/>
  <c r="R8" i="1"/>
  <c r="X8" i="1" s="1"/>
  <c r="R9" i="1"/>
  <c r="X9" i="1" s="1"/>
  <c r="R10" i="1"/>
  <c r="X10" i="1" s="1"/>
  <c r="R11" i="1"/>
  <c r="X11" i="1" s="1"/>
  <c r="R12" i="1"/>
  <c r="X12" i="1" s="1"/>
  <c r="R13" i="1"/>
  <c r="X13" i="1" s="1"/>
  <c r="R14" i="1"/>
  <c r="X14" i="1" s="1"/>
  <c r="R15" i="1"/>
  <c r="X15" i="1" s="1"/>
  <c r="R16" i="1"/>
  <c r="X16" i="1" s="1"/>
  <c r="R17" i="1"/>
  <c r="X17" i="1" s="1"/>
  <c r="R18" i="1"/>
  <c r="X18" i="1" s="1"/>
  <c r="R19" i="1"/>
  <c r="X19" i="1" s="1"/>
  <c r="R20" i="1"/>
  <c r="X20" i="1" s="1"/>
  <c r="R21" i="1"/>
  <c r="X21" i="1" s="1"/>
  <c r="R22" i="1"/>
  <c r="X22" i="1" s="1"/>
  <c r="R23" i="1"/>
  <c r="X23" i="1" s="1"/>
  <c r="R24" i="1"/>
  <c r="X24" i="1" s="1"/>
  <c r="R25" i="1"/>
  <c r="X25" i="1" s="1"/>
  <c r="R26" i="1"/>
  <c r="X26" i="1" s="1"/>
  <c r="R27" i="1"/>
  <c r="X27" i="1" s="1"/>
  <c r="R2" i="1"/>
  <c r="X2" i="1" s="1"/>
  <c r="S2" i="1" l="1"/>
  <c r="R30" i="1"/>
  <c r="X30" i="1" s="1"/>
  <c r="R31" i="1"/>
  <c r="X31" i="1" s="1"/>
  <c r="R32" i="1"/>
  <c r="X32" i="1" s="1"/>
  <c r="R33" i="1"/>
  <c r="X33" i="1" s="1"/>
  <c r="R34" i="1"/>
  <c r="X34" i="1" s="1"/>
  <c r="R35" i="1"/>
  <c r="X35" i="1" s="1"/>
  <c r="R36" i="1"/>
  <c r="X36" i="1" s="1"/>
  <c r="R37" i="1"/>
  <c r="X37" i="1" s="1"/>
  <c r="R38" i="1"/>
  <c r="X38" i="1" s="1"/>
  <c r="R39" i="1"/>
  <c r="X39" i="1" s="1"/>
  <c r="R40" i="1"/>
  <c r="X40" i="1" s="1"/>
  <c r="O30" i="1"/>
  <c r="U30" i="1" s="1"/>
  <c r="O31" i="1"/>
  <c r="U31" i="1" s="1"/>
  <c r="O32" i="1"/>
  <c r="U32" i="1" s="1"/>
  <c r="O33" i="1"/>
  <c r="U33" i="1" s="1"/>
  <c r="O34" i="1"/>
  <c r="U34" i="1" s="1"/>
  <c r="O35" i="1"/>
  <c r="U35" i="1" s="1"/>
  <c r="O36" i="1"/>
  <c r="U36" i="1" s="1"/>
  <c r="O37" i="1"/>
  <c r="U37" i="1" s="1"/>
  <c r="O38" i="1"/>
  <c r="U38" i="1" s="1"/>
  <c r="O39" i="1"/>
  <c r="U39" i="1" s="1"/>
  <c r="O40" i="1"/>
  <c r="U40" i="1" s="1"/>
  <c r="R29" i="1"/>
  <c r="X29" i="1" s="1"/>
  <c r="O29" i="1"/>
  <c r="U29" i="1" s="1"/>
  <c r="R96" i="1" l="1"/>
  <c r="X96" i="1" s="1"/>
  <c r="R97" i="1"/>
  <c r="X97" i="1" s="1"/>
  <c r="O96" i="1"/>
  <c r="U96" i="1" s="1"/>
  <c r="O97" i="1"/>
  <c r="U97" i="1" s="1"/>
  <c r="R42" i="1" l="1"/>
  <c r="X42" i="1" s="1"/>
  <c r="R43" i="1"/>
  <c r="X43" i="1" s="1"/>
  <c r="R44" i="1"/>
  <c r="X44" i="1" s="1"/>
  <c r="R45" i="1"/>
  <c r="X45" i="1" s="1"/>
  <c r="R46" i="1"/>
  <c r="X46" i="1" s="1"/>
  <c r="R47" i="1"/>
  <c r="X47" i="1" s="1"/>
  <c r="R48" i="1"/>
  <c r="X48" i="1" s="1"/>
  <c r="R49" i="1"/>
  <c r="X49" i="1" s="1"/>
  <c r="R50" i="1"/>
  <c r="X50" i="1" s="1"/>
  <c r="R51" i="1"/>
  <c r="X51" i="1" s="1"/>
  <c r="R52" i="1"/>
  <c r="X52" i="1" s="1"/>
  <c r="R53" i="1"/>
  <c r="X53" i="1" s="1"/>
  <c r="R54" i="1"/>
  <c r="X54" i="1" s="1"/>
  <c r="R55" i="1"/>
  <c r="X55" i="1" s="1"/>
  <c r="R56" i="1"/>
  <c r="X56" i="1" s="1"/>
  <c r="R57" i="1"/>
  <c r="X57" i="1" s="1"/>
  <c r="R58" i="1"/>
  <c r="X58" i="1" s="1"/>
  <c r="R59" i="1"/>
  <c r="X59" i="1" s="1"/>
  <c r="R60" i="1"/>
  <c r="X60" i="1" s="1"/>
  <c r="R61" i="1"/>
  <c r="X61" i="1" s="1"/>
  <c r="R62" i="1"/>
  <c r="X62" i="1" s="1"/>
  <c r="R63" i="1"/>
  <c r="X63" i="1" s="1"/>
  <c r="R64" i="1"/>
  <c r="X64" i="1" s="1"/>
  <c r="R65" i="1"/>
  <c r="X65" i="1" s="1"/>
  <c r="R66" i="1"/>
  <c r="X66" i="1" s="1"/>
  <c r="R67" i="1"/>
  <c r="X67" i="1" s="1"/>
  <c r="R68" i="1"/>
  <c r="X68" i="1" s="1"/>
  <c r="R69" i="1"/>
  <c r="X69" i="1" s="1"/>
  <c r="R70" i="1"/>
  <c r="X70" i="1" s="1"/>
  <c r="R71" i="1"/>
  <c r="X71" i="1" s="1"/>
  <c r="R72" i="1"/>
  <c r="X72" i="1" s="1"/>
  <c r="R73" i="1"/>
  <c r="X73" i="1" s="1"/>
  <c r="R75" i="1"/>
  <c r="X75" i="1" s="1"/>
  <c r="R76" i="1"/>
  <c r="X76" i="1" s="1"/>
  <c r="R77" i="1"/>
  <c r="X77" i="1" s="1"/>
  <c r="R78" i="1"/>
  <c r="X78" i="1" s="1"/>
  <c r="R79" i="1"/>
  <c r="X79" i="1" s="1"/>
  <c r="R81" i="1"/>
  <c r="X81" i="1" s="1"/>
  <c r="R82" i="1"/>
  <c r="X82" i="1" s="1"/>
  <c r="R83" i="1"/>
  <c r="X83" i="1" s="1"/>
  <c r="R84" i="1"/>
  <c r="X84" i="1" s="1"/>
  <c r="R85" i="1"/>
  <c r="X85" i="1" s="1"/>
  <c r="R86" i="1"/>
  <c r="X86" i="1" s="1"/>
  <c r="R87" i="1"/>
  <c r="X87" i="1" s="1"/>
  <c r="R88" i="1"/>
  <c r="X88" i="1" s="1"/>
  <c r="R89" i="1"/>
  <c r="X89" i="1" s="1"/>
  <c r="R90" i="1"/>
  <c r="X90" i="1" s="1"/>
  <c r="R91" i="1"/>
  <c r="X91" i="1" s="1"/>
  <c r="R92" i="1"/>
  <c r="X92" i="1" s="1"/>
  <c r="R93" i="1"/>
  <c r="X93" i="1" s="1"/>
  <c r="R94" i="1"/>
  <c r="X94" i="1" s="1"/>
  <c r="R95" i="1"/>
  <c r="X95" i="1" s="1"/>
  <c r="R98" i="1"/>
  <c r="X98" i="1" s="1"/>
  <c r="R99" i="1"/>
  <c r="X99" i="1" s="1"/>
  <c r="R100" i="1"/>
  <c r="X100" i="1" s="1"/>
  <c r="R101" i="1"/>
  <c r="X101" i="1" s="1"/>
  <c r="R102" i="1"/>
  <c r="X102" i="1" s="1"/>
  <c r="R103" i="1"/>
  <c r="X103" i="1" s="1"/>
  <c r="R41" i="1"/>
  <c r="X41" i="1" s="1"/>
  <c r="O55" i="1"/>
  <c r="U55" i="1" s="1"/>
  <c r="O56" i="1"/>
  <c r="U56" i="1" s="1"/>
  <c r="O57" i="1"/>
  <c r="U57" i="1" s="1"/>
  <c r="O58" i="1"/>
  <c r="U58" i="1" s="1"/>
  <c r="O59" i="1"/>
  <c r="U59" i="1" s="1"/>
  <c r="O60" i="1"/>
  <c r="U60" i="1" s="1"/>
  <c r="O61" i="1"/>
  <c r="U61" i="1" s="1"/>
  <c r="O62" i="1"/>
  <c r="U62" i="1" s="1"/>
  <c r="O63" i="1"/>
  <c r="U63" i="1" s="1"/>
  <c r="O64" i="1"/>
  <c r="U64" i="1" s="1"/>
  <c r="O65" i="1"/>
  <c r="U65" i="1" s="1"/>
  <c r="U66" i="1"/>
  <c r="O67" i="1"/>
  <c r="U67" i="1" s="1"/>
  <c r="O68" i="1"/>
  <c r="U68" i="1" s="1"/>
  <c r="O69" i="1"/>
  <c r="U69" i="1" s="1"/>
  <c r="O70" i="1"/>
  <c r="U70" i="1" s="1"/>
  <c r="O71" i="1"/>
  <c r="U71" i="1" s="1"/>
  <c r="O72" i="1"/>
  <c r="U72" i="1" s="1"/>
  <c r="O73" i="1"/>
  <c r="U73" i="1" s="1"/>
  <c r="O75" i="1"/>
  <c r="U75" i="1" s="1"/>
  <c r="O76" i="1"/>
  <c r="U76" i="1" s="1"/>
  <c r="O77" i="1"/>
  <c r="U77" i="1" s="1"/>
  <c r="O78" i="1"/>
  <c r="U78" i="1" s="1"/>
  <c r="O79" i="1"/>
  <c r="U79" i="1" s="1"/>
  <c r="O81" i="1"/>
  <c r="U81" i="1" s="1"/>
  <c r="O82" i="1"/>
  <c r="U82" i="1" s="1"/>
  <c r="O83" i="1"/>
  <c r="U83" i="1" s="1"/>
  <c r="O84" i="1"/>
  <c r="U84" i="1" s="1"/>
  <c r="O85" i="1"/>
  <c r="U85" i="1" s="1"/>
  <c r="O86" i="1"/>
  <c r="U86" i="1" s="1"/>
  <c r="O87" i="1"/>
  <c r="U87" i="1" s="1"/>
  <c r="O88" i="1"/>
  <c r="U88" i="1" s="1"/>
  <c r="O89" i="1"/>
  <c r="U89" i="1" s="1"/>
  <c r="O90" i="1"/>
  <c r="U90" i="1" s="1"/>
  <c r="O91" i="1"/>
  <c r="U91" i="1" s="1"/>
  <c r="O92" i="1"/>
  <c r="U92" i="1" s="1"/>
  <c r="O93" i="1"/>
  <c r="U93" i="1" s="1"/>
  <c r="O94" i="1"/>
  <c r="U94" i="1" s="1"/>
  <c r="O95" i="1"/>
  <c r="U95" i="1" s="1"/>
  <c r="O98" i="1"/>
  <c r="U98" i="1" s="1"/>
  <c r="O99" i="1"/>
  <c r="U99" i="1" s="1"/>
  <c r="O100" i="1"/>
  <c r="U100" i="1" s="1"/>
  <c r="O101" i="1"/>
  <c r="U101" i="1" s="1"/>
  <c r="O102" i="1"/>
  <c r="U102" i="1" s="1"/>
  <c r="O103" i="1"/>
  <c r="U103" i="1" s="1"/>
  <c r="O49" i="1"/>
  <c r="U49" i="1" s="1"/>
  <c r="O50" i="1"/>
  <c r="U50" i="1" s="1"/>
  <c r="O51" i="1"/>
  <c r="U51" i="1" s="1"/>
  <c r="O52" i="1"/>
  <c r="U52" i="1" s="1"/>
  <c r="O53" i="1"/>
  <c r="U53" i="1" s="1"/>
  <c r="O54" i="1"/>
  <c r="U54" i="1" s="1"/>
  <c r="O42" i="1"/>
  <c r="U42" i="1" s="1"/>
  <c r="O43" i="1"/>
  <c r="U43" i="1" s="1"/>
  <c r="O44" i="1"/>
  <c r="U44" i="1" s="1"/>
  <c r="O45" i="1"/>
  <c r="U45" i="1" s="1"/>
  <c r="O46" i="1"/>
  <c r="U46" i="1" s="1"/>
  <c r="O47" i="1"/>
  <c r="U47" i="1" s="1"/>
  <c r="O48" i="1"/>
  <c r="U48" i="1" s="1"/>
  <c r="O41" i="1"/>
  <c r="U41" i="1" s="1"/>
  <c r="AH103" i="1" l="1"/>
  <c r="AD103" i="1"/>
  <c r="AI103" i="1" s="1"/>
  <c r="AA103" i="1"/>
  <c r="Z103" i="1"/>
  <c r="AB103" i="1" s="1"/>
  <c r="AH102" i="1"/>
  <c r="AD102" i="1"/>
  <c r="AI102" i="1" s="1"/>
  <c r="AA102" i="1"/>
  <c r="Z102" i="1"/>
  <c r="AB102" i="1" s="1"/>
  <c r="AH101" i="1"/>
  <c r="AD101" i="1"/>
  <c r="AI101" i="1" s="1"/>
  <c r="AA101" i="1"/>
  <c r="Z101" i="1"/>
  <c r="AB101" i="1" s="1"/>
  <c r="AH100" i="1"/>
  <c r="AD100" i="1"/>
  <c r="AI100" i="1" s="1"/>
  <c r="AA100" i="1"/>
  <c r="Z100" i="1"/>
  <c r="AB100" i="1" s="1"/>
  <c r="AH99" i="1"/>
  <c r="AA99" i="1"/>
  <c r="Z99" i="1"/>
  <c r="AB99" i="1" s="1"/>
  <c r="AH98" i="1"/>
  <c r="AA98" i="1"/>
  <c r="Z98" i="1"/>
  <c r="AB98" i="1" s="1"/>
  <c r="AH97" i="1"/>
  <c r="AD97" i="1"/>
  <c r="AI97" i="1" s="1"/>
  <c r="AA97" i="1"/>
  <c r="Z97" i="1"/>
  <c r="AB97" i="1" s="1"/>
  <c r="AH96" i="1"/>
  <c r="AD96" i="1"/>
  <c r="AI96" i="1" s="1"/>
  <c r="AA96" i="1"/>
  <c r="Z96" i="1"/>
  <c r="AB96" i="1" s="1"/>
  <c r="AH95" i="1"/>
  <c r="AD95" i="1"/>
  <c r="AI95" i="1" s="1"/>
  <c r="AA95" i="1"/>
  <c r="Z95" i="1"/>
  <c r="AB95" i="1" s="1"/>
  <c r="AH94" i="1"/>
  <c r="AA94" i="1"/>
  <c r="Z94" i="1"/>
  <c r="AB94" i="1" s="1"/>
  <c r="AH93" i="1"/>
  <c r="AD93" i="1"/>
  <c r="AI93" i="1" s="1"/>
  <c r="AA93" i="1"/>
  <c r="Z93" i="1"/>
  <c r="AB93" i="1" s="1"/>
  <c r="AH92" i="1"/>
  <c r="AA92" i="1"/>
  <c r="Z92" i="1"/>
  <c r="AB92" i="1" s="1"/>
  <c r="AH91" i="1"/>
  <c r="AA91" i="1"/>
  <c r="Z91" i="1"/>
  <c r="AB91" i="1" s="1"/>
  <c r="AH90" i="1"/>
  <c r="AD90" i="1"/>
  <c r="AI90" i="1" s="1"/>
  <c r="AA90" i="1"/>
  <c r="Z90" i="1"/>
  <c r="AB90" i="1" s="1"/>
  <c r="AH89" i="1"/>
  <c r="AA89" i="1"/>
  <c r="Z89" i="1"/>
  <c r="AB89" i="1" s="1"/>
  <c r="AH88" i="1"/>
  <c r="AA88" i="1"/>
  <c r="Z88" i="1"/>
  <c r="AB88" i="1" s="1"/>
  <c r="AH87" i="1"/>
  <c r="AD87" i="1"/>
  <c r="AI87" i="1" s="1"/>
  <c r="AA87" i="1"/>
  <c r="Z87" i="1"/>
  <c r="AB87" i="1" s="1"/>
  <c r="AH86" i="1"/>
  <c r="AA86" i="1"/>
  <c r="Z86" i="1"/>
  <c r="AB86" i="1" s="1"/>
  <c r="AH85" i="1"/>
  <c r="AD85" i="1"/>
  <c r="AI85" i="1" s="1"/>
  <c r="AA85" i="1"/>
  <c r="Z85" i="1"/>
  <c r="AB85" i="1" s="1"/>
  <c r="AH84" i="1"/>
  <c r="AA84" i="1"/>
  <c r="Z84" i="1"/>
  <c r="AB84" i="1" s="1"/>
  <c r="AH83" i="1"/>
  <c r="AD83" i="1"/>
  <c r="AI83" i="1" s="1"/>
  <c r="AA83" i="1"/>
  <c r="Z83" i="1"/>
  <c r="AB83" i="1" s="1"/>
  <c r="AH82" i="1"/>
  <c r="AA82" i="1"/>
  <c r="Z82" i="1"/>
  <c r="AB82" i="1" s="1"/>
  <c r="AH81" i="1"/>
  <c r="AA81" i="1"/>
  <c r="Z81" i="1"/>
  <c r="AB81" i="1" s="1"/>
  <c r="AH79" i="1"/>
  <c r="AD79" i="1"/>
  <c r="AI79" i="1" s="1"/>
  <c r="AA79" i="1"/>
  <c r="Z79" i="1"/>
  <c r="AB79" i="1" s="1"/>
  <c r="AH78" i="1"/>
  <c r="AD78" i="1"/>
  <c r="AI78" i="1" s="1"/>
  <c r="AA78" i="1"/>
  <c r="Z78" i="1"/>
  <c r="AB78" i="1" s="1"/>
  <c r="AH77" i="1"/>
  <c r="AD77" i="1"/>
  <c r="AE77" i="1" s="1"/>
  <c r="AA77" i="1"/>
  <c r="Z77" i="1"/>
  <c r="AB77" i="1" s="1"/>
  <c r="AH76" i="1"/>
  <c r="AA76" i="1"/>
  <c r="Z76" i="1"/>
  <c r="AB76" i="1" s="1"/>
  <c r="AH75" i="1"/>
  <c r="AD75" i="1"/>
  <c r="AE75" i="1" s="1"/>
  <c r="AA75" i="1"/>
  <c r="Z75" i="1"/>
  <c r="AB75" i="1" s="1"/>
  <c r="AH73" i="1"/>
  <c r="AD73" i="1"/>
  <c r="AE73" i="1" s="1"/>
  <c r="AA73" i="1"/>
  <c r="Z73" i="1"/>
  <c r="AB73" i="1" s="1"/>
  <c r="AH72" i="1"/>
  <c r="AD72" i="1"/>
  <c r="AE72" i="1" s="1"/>
  <c r="AA72" i="1"/>
  <c r="AB72" i="1"/>
  <c r="AH71" i="1"/>
  <c r="AD71" i="1"/>
  <c r="AE71" i="1" s="1"/>
  <c r="AA71" i="1"/>
  <c r="Z71" i="1"/>
  <c r="AB71" i="1" s="1"/>
  <c r="AH70" i="1"/>
  <c r="AD70" i="1"/>
  <c r="AE70" i="1" s="1"/>
  <c r="AA70" i="1"/>
  <c r="Z70" i="1"/>
  <c r="AB70" i="1" s="1"/>
  <c r="AH69" i="1"/>
  <c r="AD69" i="1"/>
  <c r="AE69" i="1" s="1"/>
  <c r="AA69" i="1"/>
  <c r="Z69" i="1"/>
  <c r="AB69" i="1" s="1"/>
  <c r="AH68" i="1"/>
  <c r="AD68" i="1"/>
  <c r="AE68" i="1" s="1"/>
  <c r="AA68" i="1"/>
  <c r="Z68" i="1"/>
  <c r="AB68" i="1" s="1"/>
  <c r="AH67" i="1"/>
  <c r="AD67" i="1"/>
  <c r="AE67" i="1" s="1"/>
  <c r="AA67" i="1"/>
  <c r="Z67" i="1"/>
  <c r="AB67" i="1" s="1"/>
  <c r="AH66" i="1"/>
  <c r="AA66" i="1"/>
  <c r="Z66" i="1"/>
  <c r="AB66" i="1" s="1"/>
  <c r="AH65" i="1"/>
  <c r="AD65" i="1"/>
  <c r="AE65" i="1" s="1"/>
  <c r="AA65" i="1"/>
  <c r="AB65" i="1"/>
  <c r="AH64" i="1"/>
  <c r="AD64" i="1"/>
  <c r="AE64" i="1" s="1"/>
  <c r="AA64" i="1"/>
  <c r="Z64" i="1"/>
  <c r="AB64" i="1" s="1"/>
  <c r="AH63" i="1"/>
  <c r="AD63" i="1"/>
  <c r="AE63" i="1" s="1"/>
  <c r="AA63" i="1"/>
  <c r="Z63" i="1"/>
  <c r="AB63" i="1" s="1"/>
  <c r="AH62" i="1"/>
  <c r="AD62" i="1"/>
  <c r="AE62" i="1" s="1"/>
  <c r="AA62" i="1"/>
  <c r="AB62" i="1"/>
  <c r="AH61" i="1"/>
  <c r="AD61" i="1"/>
  <c r="AE61" i="1" s="1"/>
  <c r="AA61" i="1"/>
  <c r="Z61" i="1"/>
  <c r="AG61" i="1" s="1"/>
  <c r="AH60" i="1"/>
  <c r="AD60" i="1"/>
  <c r="AI60" i="1" s="1"/>
  <c r="AA60" i="1"/>
  <c r="Z60" i="1"/>
  <c r="AB60" i="1" s="1"/>
  <c r="AH59" i="1"/>
  <c r="AD59" i="1"/>
  <c r="AI59" i="1" s="1"/>
  <c r="AA59" i="1"/>
  <c r="Z59" i="1"/>
  <c r="AB59" i="1" s="1"/>
  <c r="AH58" i="1"/>
  <c r="AD58" i="1"/>
  <c r="AI58" i="1" s="1"/>
  <c r="AA58" i="1"/>
  <c r="Z58" i="1"/>
  <c r="AB58" i="1" s="1"/>
  <c r="AH57" i="1"/>
  <c r="AD57" i="1"/>
  <c r="AI57" i="1" s="1"/>
  <c r="AA57" i="1"/>
  <c r="Z57" i="1"/>
  <c r="AB57" i="1" s="1"/>
  <c r="AH56" i="1"/>
  <c r="AD56" i="1"/>
  <c r="AI56" i="1" s="1"/>
  <c r="AA56" i="1"/>
  <c r="Z56" i="1"/>
  <c r="AB56" i="1" s="1"/>
  <c r="AH55" i="1"/>
  <c r="AD55" i="1"/>
  <c r="AI55" i="1" s="1"/>
  <c r="AA55" i="1"/>
  <c r="Z55" i="1"/>
  <c r="AB55" i="1" s="1"/>
  <c r="AH54" i="1"/>
  <c r="AD54" i="1"/>
  <c r="AI54" i="1" s="1"/>
  <c r="AA54" i="1"/>
  <c r="Z54" i="1"/>
  <c r="AB54" i="1" s="1"/>
  <c r="AH53" i="1"/>
  <c r="AD53" i="1"/>
  <c r="AI53" i="1" s="1"/>
  <c r="AA53" i="1"/>
  <c r="Z53" i="1"/>
  <c r="AB53" i="1" s="1"/>
  <c r="AH52" i="1"/>
  <c r="AA52" i="1"/>
  <c r="Z52" i="1"/>
  <c r="AB52" i="1" s="1"/>
  <c r="AH51" i="1"/>
  <c r="AD51" i="1"/>
  <c r="AI51" i="1" s="1"/>
  <c r="AA51" i="1"/>
  <c r="AB51" i="1"/>
  <c r="AH50" i="1"/>
  <c r="AD50" i="1"/>
  <c r="AI50" i="1" s="1"/>
  <c r="AA50" i="1"/>
  <c r="Z50" i="1"/>
  <c r="AB50" i="1" s="1"/>
  <c r="AH49" i="1"/>
  <c r="AD49" i="1"/>
  <c r="AI49" i="1" s="1"/>
  <c r="AA49" i="1"/>
  <c r="AB49" i="1"/>
  <c r="AH48" i="1"/>
  <c r="AD48" i="1"/>
  <c r="AI48" i="1" s="1"/>
  <c r="AA48" i="1"/>
  <c r="Z48" i="1"/>
  <c r="AB48" i="1" s="1"/>
  <c r="AH47" i="1"/>
  <c r="AD47" i="1"/>
  <c r="AI47" i="1" s="1"/>
  <c r="AA47" i="1"/>
  <c r="Z47" i="1"/>
  <c r="AB47" i="1" s="1"/>
  <c r="AH46" i="1"/>
  <c r="AD46" i="1"/>
  <c r="AI46" i="1" s="1"/>
  <c r="AA46" i="1"/>
  <c r="Z46" i="1"/>
  <c r="AB46" i="1" s="1"/>
  <c r="AH45" i="1"/>
  <c r="AD45" i="1"/>
  <c r="AI45" i="1" s="1"/>
  <c r="AA45" i="1"/>
  <c r="Z45" i="1"/>
  <c r="AB45" i="1" s="1"/>
  <c r="AH44" i="1"/>
  <c r="AD44" i="1"/>
  <c r="AI44" i="1" s="1"/>
  <c r="AA44" i="1"/>
  <c r="Z44" i="1"/>
  <c r="AB44" i="1" s="1"/>
  <c r="AH43" i="1"/>
  <c r="AD43" i="1"/>
  <c r="AI43" i="1" s="1"/>
  <c r="AA43" i="1"/>
  <c r="Z43" i="1"/>
  <c r="AB43" i="1" s="1"/>
  <c r="AH42" i="1"/>
  <c r="AD42" i="1"/>
  <c r="AI42" i="1" s="1"/>
  <c r="AA42" i="1"/>
  <c r="Z42" i="1"/>
  <c r="AB42" i="1" s="1"/>
  <c r="AH41" i="1"/>
  <c r="AA41" i="1"/>
  <c r="Z41" i="1"/>
  <c r="AB41" i="1" s="1"/>
  <c r="AA28" i="1"/>
  <c r="Z28" i="1"/>
  <c r="AH27" i="1"/>
  <c r="AD27" i="1"/>
  <c r="AI27" i="1" s="1"/>
  <c r="AA27" i="1"/>
  <c r="Z27" i="1"/>
  <c r="AB27" i="1" s="1"/>
  <c r="AH26" i="1"/>
  <c r="AD26" i="1"/>
  <c r="AI26" i="1" s="1"/>
  <c r="AA26" i="1"/>
  <c r="Z26" i="1"/>
  <c r="AB26" i="1" s="1"/>
  <c r="AH25" i="1"/>
  <c r="AD25" i="1"/>
  <c r="AI25" i="1" s="1"/>
  <c r="AA25" i="1"/>
  <c r="Z25" i="1"/>
  <c r="AB25" i="1" s="1"/>
  <c r="AH24" i="1"/>
  <c r="AD24" i="1"/>
  <c r="AE24" i="1" s="1"/>
  <c r="AA24" i="1"/>
  <c r="Z24" i="1"/>
  <c r="AB24" i="1" s="1"/>
  <c r="AH23" i="1"/>
  <c r="AA23" i="1"/>
  <c r="Z23" i="1"/>
  <c r="AB23" i="1" s="1"/>
  <c r="AH22" i="1"/>
  <c r="AD22" i="1"/>
  <c r="AE22" i="1" s="1"/>
  <c r="AA22" i="1"/>
  <c r="Z22" i="1"/>
  <c r="AB22" i="1" s="1"/>
  <c r="AH21" i="1"/>
  <c r="AD21" i="1"/>
  <c r="AE21" i="1" s="1"/>
  <c r="AA21" i="1"/>
  <c r="Z21" i="1"/>
  <c r="AB21" i="1" s="1"/>
  <c r="AH20" i="1"/>
  <c r="AD20" i="1"/>
  <c r="AI20" i="1" s="1"/>
  <c r="AA20" i="1"/>
  <c r="Z20" i="1"/>
  <c r="AB20" i="1" s="1"/>
  <c r="AH19" i="1"/>
  <c r="AD19" i="1"/>
  <c r="AI19" i="1" s="1"/>
  <c r="AA19" i="1"/>
  <c r="Z19" i="1"/>
  <c r="AB19" i="1" s="1"/>
  <c r="AH18" i="1"/>
  <c r="AA18" i="1"/>
  <c r="Z18" i="1"/>
  <c r="AB18" i="1" s="1"/>
  <c r="AH17" i="1"/>
  <c r="AD17" i="1"/>
  <c r="AE17" i="1" s="1"/>
  <c r="AA17" i="1"/>
  <c r="Z17" i="1"/>
  <c r="AB17" i="1" s="1"/>
  <c r="AH16" i="1"/>
  <c r="AA16" i="1"/>
  <c r="Z16" i="1"/>
  <c r="AB16" i="1" s="1"/>
  <c r="AH15" i="1"/>
  <c r="AD15" i="1"/>
  <c r="AI15" i="1" s="1"/>
  <c r="AA15" i="1"/>
  <c r="Z15" i="1"/>
  <c r="AB15" i="1" s="1"/>
  <c r="AH14" i="1"/>
  <c r="AD14" i="1"/>
  <c r="AI14" i="1" s="1"/>
  <c r="AA14" i="1"/>
  <c r="Z14" i="1"/>
  <c r="AB14" i="1" s="1"/>
  <c r="AH13" i="1"/>
  <c r="AD13" i="1"/>
  <c r="AI13" i="1" s="1"/>
  <c r="AA13" i="1"/>
  <c r="Z13" i="1"/>
  <c r="AB13" i="1" s="1"/>
  <c r="AH12" i="1"/>
  <c r="AD12" i="1"/>
  <c r="AE12" i="1" s="1"/>
  <c r="AA12" i="1"/>
  <c r="Z12" i="1"/>
  <c r="AB12" i="1" s="1"/>
  <c r="AH11" i="1"/>
  <c r="AA11" i="1"/>
  <c r="Z11" i="1"/>
  <c r="AB11" i="1" s="1"/>
  <c r="AH10" i="1"/>
  <c r="AD10" i="1"/>
  <c r="AI10" i="1" s="1"/>
  <c r="AA10" i="1"/>
  <c r="Z10" i="1"/>
  <c r="AB10" i="1" s="1"/>
  <c r="AH9" i="1"/>
  <c r="AD9" i="1"/>
  <c r="AI9" i="1" s="1"/>
  <c r="AA9" i="1"/>
  <c r="Z9" i="1"/>
  <c r="AB9" i="1" s="1"/>
  <c r="AH8" i="1"/>
  <c r="AD8" i="1"/>
  <c r="AE8" i="1" s="1"/>
  <c r="AA8" i="1"/>
  <c r="Z8" i="1"/>
  <c r="AB8" i="1" s="1"/>
  <c r="AH7" i="1"/>
  <c r="AD7" i="1"/>
  <c r="AI7" i="1" s="1"/>
  <c r="AA7" i="1"/>
  <c r="Z7" i="1"/>
  <c r="AB7" i="1" s="1"/>
  <c r="AH6" i="1"/>
  <c r="AA6" i="1"/>
  <c r="AH5" i="1"/>
  <c r="AD5" i="1"/>
  <c r="AI5" i="1" s="1"/>
  <c r="AA5" i="1"/>
  <c r="Z5" i="1"/>
  <c r="AB5" i="1" s="1"/>
  <c r="AH4" i="1"/>
  <c r="AD4" i="1"/>
  <c r="AE4" i="1" s="1"/>
  <c r="AA4" i="1"/>
  <c r="Z4" i="1"/>
  <c r="AB4" i="1" s="1"/>
  <c r="AH3" i="1"/>
  <c r="AA3" i="1"/>
  <c r="AH2" i="1"/>
  <c r="AA2" i="1"/>
  <c r="Z2" i="1"/>
  <c r="AG2" i="1" s="1"/>
  <c r="AB28" i="1" l="1"/>
  <c r="AG28" i="1"/>
  <c r="AG21" i="1"/>
  <c r="AG24" i="1"/>
  <c r="AG60" i="1"/>
  <c r="AG102" i="1"/>
  <c r="AG87" i="1"/>
  <c r="AG83" i="1"/>
  <c r="AG84" i="1"/>
  <c r="AG88" i="1"/>
  <c r="AG65" i="1"/>
  <c r="AG75" i="1"/>
  <c r="AG78" i="1"/>
  <c r="AG100" i="1"/>
  <c r="AG45" i="1"/>
  <c r="AG25" i="1"/>
  <c r="AG48" i="1"/>
  <c r="AG66" i="1"/>
  <c r="AG79" i="1"/>
  <c r="AG96" i="1"/>
  <c r="AG4" i="1"/>
  <c r="AG8" i="1"/>
  <c r="AG49" i="1"/>
  <c r="AG56" i="1"/>
  <c r="AG69" i="1"/>
  <c r="AG103" i="1"/>
  <c r="AG5" i="1"/>
  <c r="AG9" i="1"/>
  <c r="AG12" i="1"/>
  <c r="AG17" i="1"/>
  <c r="AG20" i="1"/>
  <c r="AG57" i="1"/>
  <c r="AG70" i="1"/>
  <c r="AG41" i="1"/>
  <c r="AG52" i="1"/>
  <c r="AG13" i="1"/>
  <c r="AG16" i="1"/>
  <c r="AG44" i="1"/>
  <c r="AG53" i="1"/>
  <c r="AG62" i="1"/>
  <c r="AG73" i="1"/>
  <c r="AG91" i="1"/>
  <c r="AG92" i="1"/>
  <c r="AG95" i="1"/>
  <c r="AG99" i="1"/>
  <c r="AG10" i="1"/>
  <c r="AG14" i="1"/>
  <c r="AG18" i="1"/>
  <c r="AG22" i="1"/>
  <c r="AG26" i="1"/>
  <c r="AG42" i="1"/>
  <c r="AG46" i="1"/>
  <c r="AG50" i="1"/>
  <c r="AG54" i="1"/>
  <c r="AG58" i="1"/>
  <c r="AG63" i="1"/>
  <c r="AG67" i="1"/>
  <c r="AG71" i="1"/>
  <c r="AG76" i="1"/>
  <c r="AG81" i="1"/>
  <c r="AG85" i="1"/>
  <c r="AG89" i="1"/>
  <c r="AG93" i="1"/>
  <c r="AG97" i="1"/>
  <c r="AG7" i="1"/>
  <c r="AG11" i="1"/>
  <c r="AG15" i="1"/>
  <c r="AG19" i="1"/>
  <c r="AG23" i="1"/>
  <c r="AG27" i="1"/>
  <c r="AG43" i="1"/>
  <c r="AG47" i="1"/>
  <c r="AG51" i="1"/>
  <c r="AG55" i="1"/>
  <c r="AG59" i="1"/>
  <c r="AG64" i="1"/>
  <c r="AG68" i="1"/>
  <c r="AG72" i="1"/>
  <c r="AG77" i="1"/>
  <c r="AG82" i="1"/>
  <c r="AG86" i="1"/>
  <c r="AG90" i="1"/>
  <c r="AG94" i="1"/>
  <c r="AG98" i="1"/>
  <c r="AG101" i="1"/>
  <c r="AI4" i="1"/>
  <c r="AI8" i="1"/>
  <c r="AI12" i="1"/>
  <c r="AI17" i="1"/>
  <c r="AI21" i="1"/>
  <c r="AI22" i="1"/>
  <c r="AI24" i="1"/>
  <c r="AE5" i="1"/>
  <c r="AE7" i="1"/>
  <c r="AE9" i="1"/>
  <c r="AE10" i="1"/>
  <c r="AE13" i="1"/>
  <c r="AE14" i="1"/>
  <c r="AE15" i="1"/>
  <c r="AE19" i="1"/>
  <c r="AE20" i="1"/>
  <c r="AE25" i="1"/>
  <c r="AE26" i="1"/>
  <c r="AE27" i="1"/>
  <c r="AE42" i="1"/>
  <c r="AE43" i="1"/>
  <c r="AE44" i="1"/>
  <c r="AE45" i="1"/>
  <c r="AE46" i="1"/>
  <c r="AE47" i="1"/>
  <c r="AE48" i="1"/>
  <c r="AE49" i="1"/>
  <c r="AE50" i="1"/>
  <c r="AE51" i="1"/>
  <c r="AE53" i="1"/>
  <c r="AE54" i="1"/>
  <c r="AE55" i="1"/>
  <c r="AE56" i="1"/>
  <c r="AE57" i="1"/>
  <c r="AE58" i="1"/>
  <c r="AE59" i="1"/>
  <c r="AE60" i="1"/>
  <c r="AB61" i="1"/>
  <c r="AI61" i="1"/>
  <c r="AI62" i="1"/>
  <c r="AI63" i="1"/>
  <c r="AI64" i="1"/>
  <c r="AI65" i="1"/>
  <c r="AI67" i="1"/>
  <c r="AI68" i="1"/>
  <c r="AI69" i="1"/>
  <c r="AI70" i="1"/>
  <c r="AI71" i="1"/>
  <c r="AI72" i="1"/>
  <c r="AI73" i="1"/>
  <c r="AI75" i="1"/>
  <c r="AI77" i="1"/>
  <c r="AE78" i="1"/>
  <c r="AE79" i="1"/>
  <c r="AE83" i="1"/>
  <c r="AE85" i="1"/>
  <c r="AE87" i="1"/>
  <c r="AE90" i="1"/>
  <c r="AE93" i="1"/>
  <c r="AE95" i="1"/>
  <c r="AE96" i="1"/>
  <c r="AE97" i="1"/>
  <c r="AE100" i="1"/>
  <c r="AE101" i="1"/>
  <c r="AE102" i="1"/>
  <c r="AE103" i="1"/>
  <c r="AB2" i="1"/>
  <c r="N6" i="1"/>
  <c r="Z6" i="1" s="1"/>
  <c r="N3" i="1"/>
  <c r="Z3" i="1" s="1"/>
  <c r="AG3" i="1" s="1"/>
  <c r="K3" i="1"/>
  <c r="AB3" i="1" l="1"/>
  <c r="AB6" i="1"/>
  <c r="AG6" i="1"/>
  <c r="P99" i="1" l="1"/>
  <c r="P94" i="1"/>
  <c r="AD94" i="1" s="1"/>
  <c r="P92" i="1"/>
  <c r="P89" i="1"/>
  <c r="P86" i="1"/>
  <c r="AD86" i="1" s="1"/>
  <c r="P84" i="1"/>
  <c r="AD84" i="1" s="1"/>
  <c r="P82" i="1"/>
  <c r="P76" i="1"/>
  <c r="AD76" i="1" s="1"/>
  <c r="P66" i="1"/>
  <c r="AD66" i="1" s="1"/>
  <c r="P52" i="1"/>
  <c r="AD52" i="1" s="1"/>
  <c r="P41" i="1"/>
  <c r="P23" i="1"/>
  <c r="AD23" i="1" s="1"/>
  <c r="P18" i="1"/>
  <c r="AD18" i="1" s="1"/>
  <c r="P16" i="1"/>
  <c r="AD16" i="1" s="1"/>
  <c r="P11" i="1"/>
  <c r="AD11" i="1" s="1"/>
  <c r="P6" i="1"/>
  <c r="AD6" i="1" s="1"/>
  <c r="P3" i="1"/>
  <c r="P81" i="1" l="1"/>
  <c r="AD81" i="1" s="1"/>
  <c r="AI23" i="1"/>
  <c r="AI6" i="1"/>
  <c r="AI11" i="1"/>
  <c r="AD41" i="1"/>
  <c r="P28" i="1"/>
  <c r="AD28" i="1" s="1"/>
  <c r="AI28" i="1" s="1"/>
  <c r="AD82" i="1"/>
  <c r="AD92" i="1"/>
  <c r="P91" i="1"/>
  <c r="AD91" i="1" s="1"/>
  <c r="AD3" i="1"/>
  <c r="P2" i="1"/>
  <c r="AD2" i="1" s="1"/>
  <c r="AI76" i="1"/>
  <c r="AD89" i="1"/>
  <c r="P88" i="1"/>
  <c r="AD88" i="1" s="1"/>
  <c r="AI16" i="1"/>
  <c r="AI52" i="1"/>
  <c r="AI84" i="1"/>
  <c r="AI94" i="1"/>
  <c r="AI18" i="1"/>
  <c r="AI66" i="1"/>
  <c r="AI86" i="1"/>
  <c r="AD99" i="1"/>
  <c r="P98" i="1"/>
  <c r="AD98" i="1" s="1"/>
  <c r="M99" i="1"/>
  <c r="M98" i="1" s="1"/>
  <c r="M94" i="1"/>
  <c r="AE94" i="1" s="1"/>
  <c r="M92" i="1"/>
  <c r="M89" i="1"/>
  <c r="M88" i="1" s="1"/>
  <c r="M86" i="1"/>
  <c r="AE86" i="1" s="1"/>
  <c r="M84" i="1"/>
  <c r="AE84" i="1" s="1"/>
  <c r="M82" i="1"/>
  <c r="M76" i="1"/>
  <c r="AE76" i="1" s="1"/>
  <c r="M66" i="1"/>
  <c r="AE66" i="1" s="1"/>
  <c r="M52" i="1"/>
  <c r="AE52" i="1" s="1"/>
  <c r="M41" i="1"/>
  <c r="M23" i="1"/>
  <c r="AE23" i="1" s="1"/>
  <c r="M18" i="1"/>
  <c r="AE18" i="1" s="1"/>
  <c r="M11" i="1"/>
  <c r="AE11" i="1" s="1"/>
  <c r="M16" i="1"/>
  <c r="AE16" i="1" s="1"/>
  <c r="AE6" i="1"/>
  <c r="M3" i="1"/>
  <c r="M2" i="1" l="1"/>
  <c r="AE2" i="1" s="1"/>
  <c r="AI91" i="1"/>
  <c r="AI92" i="1"/>
  <c r="AE92" i="1"/>
  <c r="AI41" i="1"/>
  <c r="AE41" i="1"/>
  <c r="AI98" i="1"/>
  <c r="AE98" i="1"/>
  <c r="AI88" i="1"/>
  <c r="AE88" i="1"/>
  <c r="AI2" i="1"/>
  <c r="AI81" i="1"/>
  <c r="M28" i="1"/>
  <c r="AE28" i="1" s="1"/>
  <c r="M81" i="1"/>
  <c r="AE81" i="1" s="1"/>
  <c r="M91" i="1"/>
  <c r="AE91" i="1" s="1"/>
  <c r="AI99" i="1"/>
  <c r="AE99" i="1"/>
  <c r="AI89" i="1"/>
  <c r="AE89" i="1"/>
  <c r="AI3" i="1"/>
  <c r="AE3" i="1"/>
  <c r="AI82" i="1"/>
  <c r="AE82" i="1"/>
  <c r="AP9" i="1"/>
  <c r="AP8" i="1"/>
  <c r="AP7" i="1"/>
  <c r="AP6" i="1"/>
  <c r="AP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W10 PRO</author>
  </authors>
  <commentList>
    <comment ref="H41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jumlah capaian seluruh sub kegiatan/jumlah target seluruh sub kegiatanX100</t>
        </r>
      </text>
    </comment>
    <comment ref="K41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jumlah capaian seluruh sub kegiatan/jumlah target seluruh sub kegiatanX100</t>
        </r>
      </text>
    </comment>
    <comment ref="K42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SDN kaliring dan haratai</t>
        </r>
      </text>
    </comment>
    <comment ref="T42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Haratai</t>
        </r>
      </text>
    </comment>
    <comment ref="K43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halaman 2 daha utara, 1 kalumpang, 1 jambu hulu, WC kalumpang,padang batung, telaga langsat, sei raya</t>
        </r>
      </text>
    </comment>
    <comment ref="N4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WC kalumpang, pdg batung, sei raya</t>
        </r>
      </text>
    </comment>
    <comment ref="Q4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halaman kalumpang, pdg btg</t>
        </r>
      </text>
    </comment>
    <comment ref="T4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2 halaman dahut, wc tegal</t>
        </r>
      </text>
    </comment>
    <comment ref="K4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angkinang,dasel, kdg, sei raya, pdg btg, loksado 2, dabar 2</t>
        </r>
      </text>
    </comment>
    <comment ref="T4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angkinang, dasel</t>
        </r>
      </text>
    </comment>
    <comment ref="K4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WC kdg, sei raya, simpur</t>
        </r>
      </text>
    </comment>
    <comment ref="K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4 alat peraga 1 pengadaan laptop</t>
        </r>
      </text>
    </comment>
    <comment ref="K52" authorId="0" shapeId="0" xr:uid="{00000000-0006-0000-0000-00000D000000}">
      <text>
        <r>
          <rPr>
            <b/>
            <sz val="12"/>
            <color indexed="81"/>
            <rFont val="Tahoma"/>
            <family val="2"/>
          </rPr>
          <t>jumlah capaian seluruh sub kegiatan/jumlah target seluruh sub kegiatanX100</t>
        </r>
      </text>
    </comment>
    <comment ref="K53" authorId="1" shapeId="0" xr:uid="{00000000-0006-0000-0000-00000E000000}">
      <text>
        <r>
          <rPr>
            <sz val="12"/>
            <color indexed="81"/>
            <rFont val="Tahoma"/>
            <family val="2"/>
          </rPr>
          <t>Penyediaan Lahan Perpus SMP 2 Kdg</t>
        </r>
      </text>
    </comment>
    <comment ref="K5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Darul Amin Dahut</t>
        </r>
      </text>
    </comment>
    <comment ref="K5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Halaman smp 2 loksado, pagar smp 2 angkinang, halaman smp 1 dahut, halaman smp 1 tegal</t>
        </r>
      </text>
    </comment>
    <comment ref="K5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SMP 2 Sei raya 2, SMP 3 Dasel 3, SMP 1 kdg 3, SMP 1 pdg btg 2, SMP 2 Dahut 2, SMP 4 Dasel 2</t>
        </r>
      </text>
    </comment>
    <comment ref="Q5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smp 3 dasel</t>
        </r>
      </text>
    </comment>
    <comment ref="T5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smp  2 sei raya</t>
        </r>
      </text>
    </comment>
    <comment ref="H57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SMP 1 angkinang</t>
        </r>
      </text>
    </comment>
    <comment ref="K5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SMP 3 pdg btg</t>
        </r>
      </text>
    </comment>
    <comment ref="K5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SMP 2 Kdg</t>
        </r>
      </text>
    </comment>
    <comment ref="K5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wc smp 4 dahut, ruang guru smp 1 kdg</t>
        </r>
      </text>
    </comment>
    <comment ref="Q61" authorId="1" shapeId="0" xr:uid="{00000000-0006-0000-0000-000018000000}">
      <text>
        <r>
          <rPr>
            <b/>
            <sz val="12"/>
            <color indexed="81"/>
            <rFont val="Tahoma"/>
            <family val="2"/>
          </rPr>
          <t>Karate</t>
        </r>
      </text>
    </comment>
    <comment ref="T61" authorId="1" shapeId="0" xr:uid="{00000000-0006-0000-0000-000019000000}">
      <text>
        <r>
          <rPr>
            <b/>
            <sz val="12"/>
            <color indexed="81"/>
            <rFont val="Tahoma"/>
            <family val="2"/>
          </rPr>
          <t>pencak silat, gitar, menyanyi, tari, musik tradisional</t>
        </r>
      </text>
    </comment>
    <comment ref="K67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TK Azzahra kdg</t>
        </r>
      </text>
    </comment>
    <comment ref="K68" authorId="1" shapeId="0" xr:uid="{00000000-0006-0000-0000-00001B000000}">
      <text>
        <r>
          <rPr>
            <sz val="12"/>
            <color indexed="81"/>
            <rFont val="Tahoma"/>
            <family val="2"/>
          </rPr>
          <t>TK mekar subur Dasel, TK undas pdg btg, TPA Ibnu Amin Sei Raya</t>
        </r>
      </text>
    </comment>
    <comment ref="K69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pengurukan tanah TPA ibnu amin kec.sei raya</t>
        </r>
      </text>
    </comment>
    <comment ref="J7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Negeri</t>
        </r>
      </text>
    </comment>
    <comment ref="K77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PKBM serumpun pdg btg</t>
        </r>
      </text>
    </comment>
    <comment ref="D88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Jumlah penduduk yg mengunjungi peninggalan sejarah/target jumlah penduduk yang mengunjungi peninggalan sejarahX100</t>
        </r>
      </text>
    </comment>
    <comment ref="O93" authorId="1" shapeId="0" xr:uid="{00000000-0006-0000-0000-000020000000}">
      <text>
        <r>
          <rPr>
            <sz val="12"/>
            <color indexed="81"/>
            <rFont val="Tahoma"/>
            <family val="2"/>
          </rPr>
          <t>Keg/BCB?</t>
        </r>
      </text>
    </comment>
  </commentList>
</comments>
</file>

<file path=xl/sharedStrings.xml><?xml version="1.0" encoding="utf-8"?>
<sst xmlns="http://schemas.openxmlformats.org/spreadsheetml/2006/main" count="801" uniqueCount="219">
  <si>
    <t>No</t>
  </si>
  <si>
    <t>Sasaran</t>
  </si>
  <si>
    <t>Program/Kegiatan</t>
  </si>
  <si>
    <t>Target Renstra Perangkat Daerah Pada Tahun 2023</t>
  </si>
  <si>
    <t>SKPD Penanggung Jawab</t>
  </si>
  <si>
    <t>Meningkatnya akuntabilitas Instansi Pemerintah dan Kualitas Pelayanan Publik</t>
  </si>
  <si>
    <t>Meningkatnya Kinerja Keuangan dan Kinerja Birokrasi</t>
  </si>
  <si>
    <t>Dok</t>
  </si>
  <si>
    <t>Bln</t>
  </si>
  <si>
    <t>Keg</t>
  </si>
  <si>
    <t>Org</t>
  </si>
  <si>
    <t>%</t>
  </si>
  <si>
    <t>Paket</t>
  </si>
  <si>
    <t>Lomba</t>
  </si>
  <si>
    <t>Meningkatnya Pemanfaatan Potensi Pariwisata dan Kebudayaan Bagi Masyarakat</t>
  </si>
  <si>
    <t>Dokumen AKIP yang Memenuhi Aspek Kualitas</t>
  </si>
  <si>
    <t>Laporan Keuangan yang Memenuhi Aspek Kualitas</t>
  </si>
  <si>
    <t>Pelayanan administrasi sesuai standar</t>
  </si>
  <si>
    <t>Pembangunan Perpustakaan Sekolah</t>
  </si>
  <si>
    <t>Realisasi dan Tingkat Capaian Kinerja dan Anggaran Renja Perangkat Daerah yang Dievaluasi</t>
  </si>
  <si>
    <t>Dinas Pendidikan dan Kebudayaan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</si>
  <si>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</si>
  <si>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</si>
  <si>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</si>
  <si>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</si>
  <si>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</si>
  <si>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</si>
  <si>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</si>
  <si>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</si>
  <si>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</si>
  <si>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</si>
  <si>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</si>
  <si>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</si>
  <si>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</si>
  <si>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Peralatan dan perlengkapan kantor dalam kondisi baik</t>
  </si>
  <si>
    <t>Penyedian Peralatan dan Perlengkapan Kantor</t>
  </si>
  <si>
    <t>Penyedian Bahan Logistik Kantor</t>
  </si>
  <si>
    <t>Penyedian Barang Cetakan dan Penggandaan</t>
  </si>
  <si>
    <t>Penyelenggaraan Rapat Koordinasi dan Konsultasi SKPD</t>
  </si>
  <si>
    <t>Pengadaan Barang Milik Daerah Penunjang Urusan Pemerintah Daerah</t>
  </si>
  <si>
    <t>Penyediaan Jasa Penunjang Urusan Pemerintahan Daerah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</si>
  <si>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</si>
  <si>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</si>
  <si>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</si>
  <si>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Mobil dan Kendaraan Operasional dalam Kondisi Baik</t>
  </si>
  <si>
    <t>Pemeliharaan/Rehabilitasi Gedung Kantor dan Bangunan Lainnya</t>
  </si>
  <si>
    <t>Gedung Kantor dalam Kondisi Baik</t>
  </si>
  <si>
    <t>Pemeliharaan/Rehabilitasi Sarana dan Prasarana Gedung Kantor atau Bangunan Lainnya</t>
  </si>
  <si>
    <t>Peralatan dan Perlengkapan Kantor dalam Kondisi Baik</t>
  </si>
  <si>
    <t>Pengadaan Kendaraan Dinas Operasional atau Lapangan</t>
  </si>
  <si>
    <t>Penyediaan Jasa Surat Menyurat</t>
  </si>
  <si>
    <t>Penyediaan Jasa Komunikasi, Sumber Daya air dan Listrik</t>
  </si>
  <si>
    <t>Penyediaan Jasa Perlengkapan dan Peralatan Kantor</t>
  </si>
  <si>
    <t>Penyediaan Jasa Pemeliharaan, Biaya Pemeliharaan dan Pajak Kendaraan Perorangan Dinas atau Kendaraan Dinas Jabatan</t>
  </si>
  <si>
    <t>Pengelolaan Pendidikan Sekolah Dasar</t>
  </si>
  <si>
    <t>Program Pengelolaan Pendidikan</t>
  </si>
  <si>
    <t>Pembangunan Sarana dan Prasarana dan Utilitas Sekolah</t>
  </si>
  <si>
    <t>Rehabilitasi Sedang/ Berat Ruang Kelas</t>
  </si>
  <si>
    <t>Rehabilitasi Sedang/ Berat Sarana, Prasarana dan Utilitas Sekolah</t>
  </si>
  <si>
    <t>Pengadaan Alat Praktik dan Peraga Siswa</t>
  </si>
  <si>
    <t>Pembinaan Minat Bakat dan Kreativitas Siswa</t>
  </si>
  <si>
    <t>Penyediaan Pendidik dan Tenaga Kependidikan bagi satuan pendidikan Sekolah Dasar</t>
  </si>
  <si>
    <t>Pengembangan Karir Pendidik dan Tenaga Kependidikan pada Satuan Pendidikan Sekolah Dasar</t>
  </si>
  <si>
    <t>Pengelolaan Dana BOS Sekolah Dasar</t>
  </si>
  <si>
    <t>Pembangunan Asrama Sekolah</t>
  </si>
  <si>
    <t>Rehabilitasi Sedang/ Berat Ruang Kelas Sekolah</t>
  </si>
  <si>
    <t>Rehabilitasi Sedang/ Berat Perpustakaan Sekolah</t>
  </si>
  <si>
    <t>Rehabilitasi Sedang/ Berat Kantin Sekolah</t>
  </si>
  <si>
    <t>Rehabilitasi Sedang/ berat Sarana, Prasarana dan Utilitas Sekolah</t>
  </si>
  <si>
    <t>Penyediaan Pendidik dan Tenaga Kependidikan bagi satuan pendidikan Sekolah Menengah Pertama</t>
  </si>
  <si>
    <t>Pembinaan Kelembagaan dan Manajemen Sekolah</t>
  </si>
  <si>
    <t>Pengelolaan Dana BOS Sekolah Menengah Pertama</t>
  </si>
  <si>
    <t>Pengelolaan Pendidikan Sekolah Menengeah Pertama</t>
  </si>
  <si>
    <t>Pengelolaan Pendidikan  Anak Usia Dini (PAUD)</t>
  </si>
  <si>
    <t>Rehabilitasi Sedang/ Berat Gedung/ Ruang Kelas/ Ruang Guru PAUD</t>
  </si>
  <si>
    <t>Pemeliharaan Rutin Sarana, Prasarana dan Utilitas PAUD</t>
  </si>
  <si>
    <t>Penyelenggaraan Proses Belajar PAUD</t>
  </si>
  <si>
    <t>Penyediaan Pendidik dan Tenaga Kependidikan bagi satuan PAUD</t>
  </si>
  <si>
    <t>Pengembangan Karir Pendidik dan Tenaga kependidikan pada Satuan Pendidikan PAUD</t>
  </si>
  <si>
    <t>Pembinaan Kelembagaan dan Menejemen PAUD</t>
  </si>
  <si>
    <t>Pengelolaan Pendidikan  Nonformal/ Kesetaraan</t>
  </si>
  <si>
    <t>Pembangunan Gedung/ Ruang Kelas/ Ruang Guru Nonformal/ Kesetaraan</t>
  </si>
  <si>
    <t>Penyelenggaraan Proses Belajar Nonformal/ Kesetaraan</t>
  </si>
  <si>
    <t>Pengembangan Karir Pendidik dan Tenaga Kependidikan pada Satuan Pendidikan Norformal/ Kesetaraan</t>
  </si>
  <si>
    <t>Program Pengembangan Kebudayaan</t>
  </si>
  <si>
    <t>Pengelolaan Kebudayaan yang Masyarakat Pelakunya dalam Daerah Kabupaten/Kota</t>
  </si>
  <si>
    <t>Pelindungan, Pengembangan, Pemanfaatan Objek Pemajuan Kebudayaan</t>
  </si>
  <si>
    <t>Pelestarian Kesenian Tradisional yang Masyarakat Pelakunya dalam Daerah Kabupaten/Kota</t>
  </si>
  <si>
    <t>Pembinaan Sumber Daya Manusia, Lembaga, dan Pranata Tradisional</t>
  </si>
  <si>
    <t>Pembinaan Lembaga Adat yang Penganutnya dalam Daerah Kabupaten/ Kota</t>
  </si>
  <si>
    <t>Pembinaan Sumber Daya Manusia, Lembaga, dan Pranata Adat</t>
  </si>
  <si>
    <t>Program Pembinaan Sejarah</t>
  </si>
  <si>
    <t>Pembinaan Sejarah dalam 1 (satu) Daerah Kabupaten/ Kota</t>
  </si>
  <si>
    <t>Pemberdayaan Sumber Daya Manusia dan Lembaga Sejarah Lokal Kabupaten/ Kota</t>
  </si>
  <si>
    <t>Program Pelestarian dan Pengelolaan Cagar Budaya</t>
  </si>
  <si>
    <t>Pendaftaran Objek Diduga Cagar Budaya</t>
  </si>
  <si>
    <t>Pengelolaan Cagar Budaya Peringkat Kabupaten/ Kota</t>
  </si>
  <si>
    <t>Pengembangan Cagar Budaya</t>
  </si>
  <si>
    <t>Pemanfaatan Cagar Budaya</t>
  </si>
  <si>
    <t>Program Pengelolaan Permuseuman</t>
  </si>
  <si>
    <t>Pengelolaan Museum Kabupaten/Kota</t>
  </si>
  <si>
    <t>Pelindungan, Pengembangan dan Pemanfaatan Koleksi secara Terpadu</t>
  </si>
  <si>
    <t>Penyediaan dan Pemeliharaan Sarana dan Prasarana Museum</t>
  </si>
  <si>
    <t>Mobil dan Kendaraan Operasional Kondisi Baik</t>
  </si>
  <si>
    <t>Unit</t>
  </si>
  <si>
    <t>Jumlah Perpustakaan Sekolah yang Dibangun</t>
  </si>
  <si>
    <t>Jumlah Pengadaan Alat Praktik dan Peraga Siswa</t>
  </si>
  <si>
    <t>Jumlah Lomba-lomba yang Dilaksanakan</t>
  </si>
  <si>
    <t>Jumlah Sarana, Prasarana dan Utilitas Sekolah yang Dipelihara</t>
  </si>
  <si>
    <t>Jumlah Kegiatan Lomba-Lomba</t>
  </si>
  <si>
    <t>Jumlah Cagar Budaya yang teregistrasi</t>
  </si>
  <si>
    <t>Jumlah dokumen Perencanaan dan Evaluasi Kinerja yang berkualitas</t>
  </si>
  <si>
    <t>Jumlah dokumen administrasi Keuangan sesuai standar</t>
  </si>
  <si>
    <t>Jumlah dokumen administrasi umum sesuai standar</t>
  </si>
  <si>
    <t>Tingkat Pelayanan Adminstrasi Umum sesuai Standar</t>
  </si>
  <si>
    <t>Tingkat kepuasan pelayanan</t>
  </si>
  <si>
    <t>Persentase pemenuhan SPM pendidikan dasar</t>
  </si>
  <si>
    <t>Museum Terkelola Dengan Baik</t>
  </si>
  <si>
    <t>Museum</t>
  </si>
  <si>
    <t>Cagar Budaya</t>
  </si>
  <si>
    <t>Musem</t>
  </si>
  <si>
    <t>Ruang</t>
  </si>
  <si>
    <t>Pembangunan Sarana, Prasarana dan Utilitas Sekolah</t>
  </si>
  <si>
    <t>Lembaga</t>
  </si>
  <si>
    <t>Jumlah Peserta yang Mengikuti Kegiatan Pembinaan Sejarah Lokal Kab/ Kota</t>
  </si>
  <si>
    <t>Jumlah Perlindungan Cagar Budaya yang Terlaksana</t>
  </si>
  <si>
    <t>Jumlah Pengembangan Cagar Budaya yang Terlaksana</t>
  </si>
  <si>
    <t>Jumlah Pemanfaatan Cagar Budaya yang Terlaksana</t>
  </si>
  <si>
    <t>Peningkatan Mutu dan Kapasitas Sumber Daya Manusia Permuseuman</t>
  </si>
  <si>
    <t>Peningkatan Akses Masyarakat terhadap Museum</t>
  </si>
  <si>
    <t>APK PAUD Formal</t>
  </si>
  <si>
    <t>Persentase Pemenuhan SPM/SNP PAUD</t>
  </si>
  <si>
    <t>Angka Partisipasi Sekolah Dikmas</t>
  </si>
  <si>
    <t>Persentase Pemenuhan Aspek SPM Dikmas</t>
  </si>
  <si>
    <t>Angka Partisipasi Kasar (APK) SD</t>
  </si>
  <si>
    <t>Angka Partisipasi Murni (APM) SD</t>
  </si>
  <si>
    <t>Angka Putus Sekolah (APS) SD</t>
  </si>
  <si>
    <t>Persentase Pemenuhan SPM/SNP SD</t>
  </si>
  <si>
    <t>Angka Partisipasi Kasar (APK) SMP</t>
  </si>
  <si>
    <t>Angka Partisipasi Murni (APM) SMP</t>
  </si>
  <si>
    <t>Angka Putus Sekolah (APS) SMP</t>
  </si>
  <si>
    <t>Persentase Pemenuhan SPM/SNP SMP</t>
  </si>
  <si>
    <t>79,05</t>
  </si>
  <si>
    <t>2,50</t>
  </si>
  <si>
    <t>93,06</t>
  </si>
  <si>
    <t>29,92</t>
  </si>
  <si>
    <t>98,30</t>
  </si>
  <si>
    <t>6,64</t>
  </si>
  <si>
    <t>91,37</t>
  </si>
  <si>
    <t>80,25</t>
  </si>
  <si>
    <t>43,75</t>
  </si>
  <si>
    <t>Perencanaan, Penganggaran dan Evaluasi Kinerja Perangkat Daerah</t>
  </si>
  <si>
    <t>Lap</t>
  </si>
  <si>
    <t>Persentase Cagar Budaya Terlestarikan dan Terkelola dengan Baik</t>
  </si>
  <si>
    <t>Jumlah kategori koleksi Museum yang dilindungi, dikembangkan dan dimanfaatkan</t>
  </si>
  <si>
    <t>Jumlah Asrama Sekolah Yang Dibangun</t>
  </si>
  <si>
    <t>Jumlah Sarana, Prasarana dan Utilitas Sekolah yang dibangun</t>
  </si>
  <si>
    <t>Jumlah GTK berprestasi</t>
  </si>
  <si>
    <t>Pengelolaan Dana BOP Sekolah</t>
  </si>
  <si>
    <t>Pengelolaan Dana BOP PAUD</t>
  </si>
  <si>
    <t>Jumlah Sarana, Prasarana, dan Utilitas Sekolah Dasar yang dibangun</t>
  </si>
  <si>
    <t>Jumlah Ruang Kelas yang Direhabilitasi</t>
  </si>
  <si>
    <t>Jumlah Sarana, Prasarana dan Utilitas Sekolah yang direhabilitasi</t>
  </si>
  <si>
    <t>Jumlah Lomba Minat Bakat dan Kreativitas Siswa yang diselenggarakan</t>
  </si>
  <si>
    <t>Jumlah Penerima BOSDA</t>
  </si>
  <si>
    <t>Jumlah Pendidik dan Tenaga Kependidikan yang mengikuti Bimbingan Teknis</t>
  </si>
  <si>
    <t>Jumlah Peserta Didik SDN dan SD Swasta</t>
  </si>
  <si>
    <t>Siswa</t>
  </si>
  <si>
    <t>Persentase pengelolaan pendidikan sekolah dasar</t>
  </si>
  <si>
    <t>Jumlah Perpustakaan Sekolah yang Direhabilitasi</t>
  </si>
  <si>
    <t>Jumlah Kantin yang Direhabilitasi</t>
  </si>
  <si>
    <t>Pembangunan Gedung/ Ruang Kelas/ Ruang Guru PAUD</t>
  </si>
  <si>
    <t>Jumlah pembangunan ruang kelas</t>
  </si>
  <si>
    <t>Pengadaan Mebel PAUD</t>
  </si>
  <si>
    <t>Pengadaan Mebel Sekolah</t>
  </si>
  <si>
    <t>Jumlah Mebel yang Dibeli</t>
  </si>
  <si>
    <t>Pengembangan Karir Pendidik dan Tenaga Kependidikan pada Satuan Pendidikan Sekolah Menengah Pertama</t>
  </si>
  <si>
    <t>Jumlah Satuan Pendidikan yang dibina</t>
  </si>
  <si>
    <t>Sekolah</t>
  </si>
  <si>
    <t>Jumlah Peserta Didik SMPN dan SMP Swasta</t>
  </si>
  <si>
    <t>Terpenuhinya Jumlah PTK PAUD</t>
  </si>
  <si>
    <t>Jumlah Lembaga yang Terakreditasi</t>
  </si>
  <si>
    <t>Jumlah Peserta Didik PAUD Negeri dan PAUD Swasta</t>
  </si>
  <si>
    <t>Jumlah Lembaga Non Formal/Kesetaraan</t>
  </si>
  <si>
    <t>Jumlah Tutor yang diberikan pelatihan</t>
  </si>
  <si>
    <t>Jumlah Peserta Didik Non Formal/Kesetaraan</t>
  </si>
  <si>
    <t>Persentase pengelolaan pendidikan sekolah menengah pertama</t>
  </si>
  <si>
    <t>Persentase pengelolaan pendidikan anak usia dini (PAUD)</t>
  </si>
  <si>
    <t>Persentase pengelolaan pendidikan nonformal/kesetaraan</t>
  </si>
  <si>
    <t>Persentase Penduduk yang Mengunjungi Peninggalan Sejarah</t>
  </si>
  <si>
    <t>Jumlah Sejarah Lokal yang dibina</t>
  </si>
  <si>
    <t>Penetapan Cagar Budaya Peringkat Kabupaten/ Kota</t>
  </si>
  <si>
    <t>Jumlah Cagar Budaya yang ditetapkan</t>
  </si>
  <si>
    <t>Jumlah Cagar Budaya Peringkat Kabupaten yang terkelola</t>
  </si>
  <si>
    <t>Pelindungan Cagar Budaya</t>
  </si>
  <si>
    <t>Jumlah Museum yang Dikelola</t>
  </si>
  <si>
    <t>Kategori</t>
  </si>
  <si>
    <t>Jumlah Kegiatan Pembinaan dan Peningkatan Mutu dan Kapasitas SDM Permuseuman</t>
  </si>
  <si>
    <t>Jumlah Kunjungan Museum</t>
  </si>
  <si>
    <t>Tersedianya Pemeliharaan Sarana dan Prasarana Museum</t>
  </si>
  <si>
    <t>Jumlah Objek Pemajuan Kebudayaan</t>
  </si>
  <si>
    <t>OPK</t>
  </si>
  <si>
    <t>Persentase Cakupan Pengelolaan Kebudayaan yang Pelakunya Masyarakat dalam Daerah Kab</t>
  </si>
  <si>
    <t>Persentase OPK yang dikembangkan menjadi daya tarik wisata</t>
  </si>
  <si>
    <t>Persentase Cakupan Kesenian Tradisional yang Masyarakat Pelakunya dalam Daerah Kabupaten</t>
  </si>
  <si>
    <t>Jumlah Kegiatan Pembinaan Sumber Daya Manusia, Lembaga, dan Pranata Tradisional</t>
  </si>
  <si>
    <t>Jumlah Cakupan Pembinaan Lembaga Adat</t>
  </si>
  <si>
    <t>Balai Adat</t>
  </si>
  <si>
    <t>Jumlah Kegiatan Pembinaan Sumber Daya Manusia, Lembaga dan Pranata Adat</t>
  </si>
  <si>
    <t>Satuan</t>
  </si>
  <si>
    <t>Anggaran</t>
  </si>
  <si>
    <t>realisasi</t>
  </si>
  <si>
    <t>satuan</t>
  </si>
  <si>
    <t>anggaran</t>
  </si>
  <si>
    <t>Realisasi Kinerja Pada Triwulan I</t>
  </si>
  <si>
    <t>Realisasi Kinerja Pada Triwulan II</t>
  </si>
  <si>
    <t>Realisasi Kinerja Pada Triwulan III</t>
  </si>
  <si>
    <t>Realisasi Kinerja Pada Triwulan IV</t>
  </si>
  <si>
    <r>
      <t>Indikator Kinerja Program (</t>
    </r>
    <r>
      <rPr>
        <i/>
        <sz val="12"/>
        <color theme="1"/>
        <rFont val="Arial"/>
        <family val="2"/>
      </rPr>
      <t>Outcome</t>
    </r>
    <r>
      <rPr>
        <sz val="12"/>
        <color theme="1"/>
        <rFont val="Arial"/>
        <family val="2"/>
      </rPr>
      <t>)/Kegiatan (</t>
    </r>
    <r>
      <rPr>
        <i/>
        <sz val="12"/>
        <color theme="1"/>
        <rFont val="Arial"/>
        <family val="2"/>
      </rPr>
      <t>Output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</si>
</sst>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1"/>
      <color theme="1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 vertical="top"/>
    </xf>
    <xf numFmtId="166" fontId="4" fillId="0" borderId="1" xfId="1" applyNumberFormat="1" applyFont="1" applyFill="1" applyBorder="1" applyAlignment="1">
      <alignment vertical="top"/>
    </xf>
    <xf numFmtId="166" fontId="4" fillId="0" borderId="1" xfId="1" quotePrefix="1" applyNumberFormat="1" applyFont="1" applyFill="1" applyBorder="1" applyAlignment="1">
      <alignment vertical="top"/>
    </xf>
    <xf numFmtId="166" fontId="4" fillId="0" borderId="0" xfId="1" quotePrefix="1" applyNumberFormat="1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164" fontId="4" fillId="0" borderId="1" xfId="2" applyFont="1" applyFill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8" fillId="0" borderId="0" xfId="0" applyFont="1"/>
    <xf numFmtId="166" fontId="3" fillId="0" borderId="0" xfId="1" quotePrefix="1" applyNumberFormat="1" applyFont="1" applyFill="1" applyBorder="1" applyAlignment="1">
      <alignment vertical="top"/>
    </xf>
    <xf numFmtId="1" fontId="4" fillId="0" borderId="1" xfId="2" applyNumberFormat="1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3" fontId="4" fillId="0" borderId="1" xfId="2" applyNumberFormat="1" applyFont="1" applyFill="1" applyBorder="1" applyAlignment="1">
      <alignment horizontal="center" vertical="top"/>
    </xf>
    <xf numFmtId="0" fontId="2" fillId="0" borderId="1" xfId="0" applyFont="1" applyBorder="1" applyAlignment="1"/>
    <xf numFmtId="0" fontId="4" fillId="2" borderId="1" xfId="0" applyFont="1" applyFill="1" applyBorder="1" applyAlignment="1">
      <alignment vertical="center"/>
    </xf>
    <xf numFmtId="166" fontId="1" fillId="0" borderId="1" xfId="1" applyNumberFormat="1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PINDAHAN\2020\Evaluasi%20Renja%20PD%20dan%20RKPD\Pengendalian%20&amp;%20Evaluasi%20Renja%20PD\Triwulan%20IV\Evaluasi%20Renja%20Dinas%20Pendidikan%20dan%20Kebudayaa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s Pendidikan"/>
    </sheetNames>
    <sheetDataSet>
      <sheetData sheetId="0">
        <row r="75">
          <cell r="AD75">
            <v>2693437000</v>
          </cell>
        </row>
        <row r="77">
          <cell r="AD77">
            <v>766550000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AS103"/>
  <sheetViews>
    <sheetView tabSelected="1" showRuler="0" view="pageBreakPreview" topLeftCell="A93" zoomScale="66" zoomScaleNormal="40" zoomScaleSheetLayoutView="40" zoomScalePageLayoutView="55" workbookViewId="0">
      <selection activeCell="D94" sqref="D94"/>
    </sheetView>
  </sheetViews>
  <sheetFormatPr defaultColWidth="9.140625" defaultRowHeight="14.25" x14ac:dyDescent="0.2"/>
  <cols>
    <col min="1" max="1" width="6.42578125" style="1" customWidth="1"/>
    <col min="2" max="2" width="18" style="1" customWidth="1"/>
    <col min="3" max="3" width="14.85546875" style="1" customWidth="1"/>
    <col min="4" max="4" width="135.140625" style="1" bestFit="1" customWidth="1"/>
    <col min="5" max="5" width="8.5703125" style="1" bestFit="1" customWidth="1"/>
    <col min="6" max="6" width="7.7109375" style="1" customWidth="1"/>
    <col min="7" max="7" width="20.140625" style="1" customWidth="1"/>
    <col min="8" max="8" width="8.5703125" style="1" bestFit="1" customWidth="1"/>
    <col min="9" max="9" width="7.7109375" style="1" customWidth="1"/>
    <col min="10" max="10" width="21.42578125" style="1" customWidth="1"/>
    <col min="11" max="11" width="9" style="1" customWidth="1"/>
    <col min="12" max="12" width="7.5703125" style="1" customWidth="1"/>
    <col min="13" max="13" width="21.7109375" style="1" customWidth="1"/>
    <col min="14" max="14" width="8.5703125" style="1" bestFit="1" customWidth="1"/>
    <col min="15" max="15" width="8" style="1" customWidth="1"/>
    <col min="16" max="16" width="20.140625" style="1" customWidth="1"/>
    <col min="17" max="18" width="7.7109375" style="1" customWidth="1"/>
    <col min="19" max="19" width="21.5703125" style="1" customWidth="1"/>
    <col min="20" max="20" width="8.5703125" style="1" bestFit="1" customWidth="1"/>
    <col min="21" max="21" width="8" style="1" customWidth="1"/>
    <col min="22" max="22" width="18.28515625" style="1" customWidth="1"/>
    <col min="23" max="23" width="9" style="1" customWidth="1"/>
    <col min="24" max="24" width="7.5703125" style="1" customWidth="1"/>
    <col min="25" max="25" width="17.85546875" style="1" customWidth="1"/>
    <col min="26" max="26" width="8.5703125" style="1" bestFit="1" customWidth="1"/>
    <col min="27" max="27" width="5.5703125" style="13" customWidth="1"/>
    <col min="28" max="28" width="10" style="1" customWidth="1"/>
    <col min="29" max="29" width="5.5703125" style="2" customWidth="1"/>
    <col min="30" max="30" width="22.85546875" style="1" customWidth="1"/>
    <col min="31" max="31" width="9.85546875" style="1" customWidth="1"/>
    <col min="32" max="32" width="5.5703125" style="2" customWidth="1"/>
    <col min="33" max="33" width="8" style="1" customWidth="1"/>
    <col min="34" max="34" width="5.5703125" style="13" customWidth="1"/>
    <col min="35" max="35" width="21.42578125" style="1" customWidth="1"/>
    <col min="36" max="36" width="8" style="1" customWidth="1"/>
    <col min="37" max="37" width="5.5703125" style="2" customWidth="1"/>
    <col min="38" max="38" width="13.140625" style="1" customWidth="1"/>
    <col min="39" max="39" width="15" style="1" customWidth="1"/>
    <col min="40" max="40" width="9.140625" style="1"/>
    <col min="41" max="45" width="19.5703125" style="1" customWidth="1"/>
    <col min="46" max="16384" width="9.140625" style="1"/>
  </cols>
  <sheetData>
    <row r="1" spans="1:45" ht="142.5" customHeight="1" x14ac:dyDescent="0.2">
      <c r="A1" s="21" t="s">
        <v>0</v>
      </c>
      <c r="B1" s="21" t="s">
        <v>1</v>
      </c>
      <c r="C1" s="21" t="s">
        <v>2</v>
      </c>
      <c r="D1" s="21" t="s">
        <v>218</v>
      </c>
      <c r="E1" s="21" t="s">
        <v>3</v>
      </c>
      <c r="F1" s="21" t="s">
        <v>209</v>
      </c>
      <c r="G1" s="21" t="s">
        <v>210</v>
      </c>
      <c r="H1" s="21" t="s">
        <v>21</v>
      </c>
      <c r="I1" s="21" t="s">
        <v>209</v>
      </c>
      <c r="J1" s="21" t="s">
        <v>210</v>
      </c>
      <c r="K1" s="21" t="s">
        <v>22</v>
      </c>
      <c r="L1" s="21" t="s">
        <v>209</v>
      </c>
      <c r="M1" s="21" t="s">
        <v>210</v>
      </c>
      <c r="N1" s="21" t="s">
        <v>214</v>
      </c>
      <c r="O1" s="21" t="s">
        <v>209</v>
      </c>
      <c r="P1" s="21" t="s">
        <v>210</v>
      </c>
      <c r="Q1" s="21" t="s">
        <v>215</v>
      </c>
      <c r="R1" s="21" t="s">
        <v>209</v>
      </c>
      <c r="S1" s="21" t="s">
        <v>210</v>
      </c>
      <c r="T1" s="21" t="s">
        <v>216</v>
      </c>
      <c r="U1" s="21" t="s">
        <v>209</v>
      </c>
      <c r="V1" s="21" t="s">
        <v>210</v>
      </c>
      <c r="W1" s="21" t="s">
        <v>217</v>
      </c>
      <c r="X1" s="21" t="s">
        <v>209</v>
      </c>
      <c r="Y1" s="21" t="s">
        <v>210</v>
      </c>
      <c r="Z1" s="21" t="s">
        <v>19</v>
      </c>
      <c r="AA1" s="21" t="s">
        <v>209</v>
      </c>
      <c r="AB1" s="21" t="s">
        <v>211</v>
      </c>
      <c r="AC1" s="21" t="s">
        <v>212</v>
      </c>
      <c r="AD1" s="21" t="s">
        <v>210</v>
      </c>
      <c r="AE1" s="21" t="s">
        <v>211</v>
      </c>
      <c r="AF1" s="21" t="s">
        <v>209</v>
      </c>
      <c r="AG1" s="21" t="s">
        <v>23</v>
      </c>
      <c r="AH1" s="21" t="s">
        <v>212</v>
      </c>
      <c r="AI1" s="21" t="s">
        <v>213</v>
      </c>
      <c r="AJ1" s="21" t="s">
        <v>24</v>
      </c>
      <c r="AK1" s="21" t="s">
        <v>212</v>
      </c>
      <c r="AL1" s="21" t="s">
        <v>213</v>
      </c>
      <c r="AM1" s="21" t="s">
        <v>4</v>
      </c>
      <c r="AO1" s="2"/>
      <c r="AP1" s="2"/>
      <c r="AQ1" s="2"/>
      <c r="AR1" s="2"/>
      <c r="AS1" s="2"/>
    </row>
    <row r="2" spans="1:45" ht="116.25" customHeight="1" x14ac:dyDescent="0.2">
      <c r="A2" s="7">
        <v>1</v>
      </c>
      <c r="B2" s="18" t="s">
        <v>5</v>
      </c>
      <c r="C2" s="18" t="s">
        <v>25</v>
      </c>
      <c r="D2" s="18" t="s">
        <v>115</v>
      </c>
      <c r="E2" s="7">
        <v>100</v>
      </c>
      <c r="F2" s="3" t="s">
        <v>11</v>
      </c>
      <c r="G2" s="5"/>
      <c r="H2" s="7">
        <v>100</v>
      </c>
      <c r="I2" s="3" t="s">
        <v>11</v>
      </c>
      <c r="J2" s="5"/>
      <c r="K2" s="7">
        <v>100</v>
      </c>
      <c r="L2" s="3" t="s">
        <v>11</v>
      </c>
      <c r="M2" s="5">
        <f>M3+M6+M11+M16+M18+M23</f>
        <v>239055789515</v>
      </c>
      <c r="N2" s="7">
        <v>25</v>
      </c>
      <c r="O2" s="3" t="str">
        <f>L2</f>
        <v>%</v>
      </c>
      <c r="P2" s="5">
        <f>P3+P6+P11+P16+P18+P23</f>
        <v>33220340446</v>
      </c>
      <c r="Q2" s="12">
        <v>25</v>
      </c>
      <c r="R2" s="3" t="str">
        <f>L2</f>
        <v>%</v>
      </c>
      <c r="S2" s="5">
        <f>S3+S6+S11+S16+S18+S23</f>
        <v>82367072281</v>
      </c>
      <c r="T2" s="12">
        <v>25</v>
      </c>
      <c r="U2" s="3" t="str">
        <f>O2</f>
        <v>%</v>
      </c>
      <c r="V2" s="5">
        <f>V3+V6+V11+V16+V18+V23</f>
        <v>48897529826</v>
      </c>
      <c r="W2" s="12">
        <v>25</v>
      </c>
      <c r="X2" s="3" t="str">
        <f>R2</f>
        <v>%</v>
      </c>
      <c r="Y2" s="5">
        <f>Y3+Y6+Y11+Y16+Y18+Y23</f>
        <v>56557608703</v>
      </c>
      <c r="Z2" s="12">
        <f>SUM(N2,Q2,T2,W2)</f>
        <v>100</v>
      </c>
      <c r="AA2" s="7" t="str">
        <f>L2</f>
        <v>%</v>
      </c>
      <c r="AB2" s="12">
        <f>Z2/K2*100</f>
        <v>100</v>
      </c>
      <c r="AC2" s="7" t="s">
        <v>11</v>
      </c>
      <c r="AD2" s="8">
        <f>SUM(P2,S2,V2,Y2)</f>
        <v>221042551256</v>
      </c>
      <c r="AE2" s="11">
        <f>AD2/M2*100</f>
        <v>92.464839150917228</v>
      </c>
      <c r="AF2" s="7" t="s">
        <v>11</v>
      </c>
      <c r="AG2" s="11">
        <f>SUM(H2,Z2)</f>
        <v>200</v>
      </c>
      <c r="AH2" s="7" t="str">
        <f>O2</f>
        <v>%</v>
      </c>
      <c r="AI2" s="8">
        <f>SUM(J2,AD2)</f>
        <v>221042551256</v>
      </c>
      <c r="AJ2" s="11"/>
      <c r="AK2" s="7" t="s">
        <v>11</v>
      </c>
      <c r="AL2" s="11"/>
      <c r="AM2" s="7" t="s">
        <v>20</v>
      </c>
      <c r="AP2" s="6">
        <f t="shared" ref="AP2:AP10" si="0">P2+S2+V2+Y2</f>
        <v>221042551256</v>
      </c>
    </row>
    <row r="3" spans="1:45" s="14" customFormat="1" ht="156" customHeight="1" x14ac:dyDescent="0.25">
      <c r="A3" s="7">
        <v>2</v>
      </c>
      <c r="B3" s="18" t="s">
        <v>6</v>
      </c>
      <c r="C3" s="18" t="s">
        <v>151</v>
      </c>
      <c r="D3" s="18" t="s">
        <v>111</v>
      </c>
      <c r="E3" s="7">
        <f>SUM(E4:E5)</f>
        <v>45</v>
      </c>
      <c r="F3" s="3" t="s">
        <v>7</v>
      </c>
      <c r="G3" s="5"/>
      <c r="H3" s="7">
        <f>SUM(H4:H5)</f>
        <v>15</v>
      </c>
      <c r="I3" s="3" t="s">
        <v>7</v>
      </c>
      <c r="J3" s="5"/>
      <c r="K3" s="7">
        <f>SUM(K4:K5)</f>
        <v>15</v>
      </c>
      <c r="L3" s="3" t="s">
        <v>7</v>
      </c>
      <c r="M3" s="5">
        <f>SUM(M4:M5)</f>
        <v>9500000</v>
      </c>
      <c r="N3" s="7">
        <f>SUM(N4:N5)</f>
        <v>1</v>
      </c>
      <c r="O3" s="3" t="str">
        <f t="shared" ref="O3:O5" si="1">L3</f>
        <v>Dok</v>
      </c>
      <c r="P3" s="5">
        <f>SUM(P4:P5)</f>
        <v>5500000</v>
      </c>
      <c r="Q3" s="7">
        <f>SUM(Q4:Q5)</f>
        <v>3</v>
      </c>
      <c r="R3" s="3" t="str">
        <f t="shared" ref="R3:R27" si="2">L3</f>
        <v>Dok</v>
      </c>
      <c r="S3" s="5">
        <f>SUM(S4:S5)</f>
        <v>4000000</v>
      </c>
      <c r="T3" s="7">
        <f>SUM(T4:T5)</f>
        <v>3</v>
      </c>
      <c r="U3" s="3" t="str">
        <f t="shared" ref="U3:U27" si="3">O3</f>
        <v>Dok</v>
      </c>
      <c r="V3" s="5">
        <f>SUM(V4:V5)</f>
        <v>0</v>
      </c>
      <c r="W3" s="7">
        <f>SUM(W4:W5)</f>
        <v>8</v>
      </c>
      <c r="X3" s="3" t="str">
        <f t="shared" ref="X3:X27" si="4">R3</f>
        <v>Dok</v>
      </c>
      <c r="Y3" s="5">
        <f>SUM(Y4:Y5)</f>
        <v>0</v>
      </c>
      <c r="Z3" s="12">
        <f>SUM(N3,Q3,T3,W3)</f>
        <v>15</v>
      </c>
      <c r="AA3" s="7" t="str">
        <f>L3</f>
        <v>Dok</v>
      </c>
      <c r="AB3" s="12">
        <f>Z3/K3*100</f>
        <v>100</v>
      </c>
      <c r="AC3" s="7" t="s">
        <v>11</v>
      </c>
      <c r="AD3" s="8">
        <f>SUM(P3,S3,V3,Y3)</f>
        <v>9500000</v>
      </c>
      <c r="AE3" s="11">
        <f>AD3/M3*100</f>
        <v>100</v>
      </c>
      <c r="AF3" s="7" t="s">
        <v>11</v>
      </c>
      <c r="AG3" s="12">
        <f>SUM(H3,Z3)</f>
        <v>30</v>
      </c>
      <c r="AH3" s="7" t="str">
        <f>O3</f>
        <v>Dok</v>
      </c>
      <c r="AI3" s="8">
        <f>SUM(J3,AD3)</f>
        <v>9500000</v>
      </c>
      <c r="AJ3" s="11"/>
      <c r="AK3" s="7" t="s">
        <v>11</v>
      </c>
      <c r="AL3" s="11"/>
      <c r="AM3" s="20"/>
      <c r="AP3" s="15"/>
    </row>
    <row r="4" spans="1:45" ht="87" customHeight="1" x14ac:dyDescent="0.2">
      <c r="A4" s="7"/>
      <c r="B4" s="18"/>
      <c r="C4" s="18" t="s">
        <v>26</v>
      </c>
      <c r="D4" s="18" t="s">
        <v>15</v>
      </c>
      <c r="E4" s="7">
        <f>5*3</f>
        <v>15</v>
      </c>
      <c r="F4" s="3" t="s">
        <v>7</v>
      </c>
      <c r="G4" s="5"/>
      <c r="H4" s="7">
        <v>5</v>
      </c>
      <c r="I4" s="3" t="s">
        <v>7</v>
      </c>
      <c r="J4" s="5"/>
      <c r="K4" s="7">
        <v>5</v>
      </c>
      <c r="L4" s="3" t="s">
        <v>7</v>
      </c>
      <c r="M4" s="5">
        <v>5500000</v>
      </c>
      <c r="N4" s="7">
        <v>0</v>
      </c>
      <c r="O4" s="3" t="str">
        <f t="shared" si="1"/>
        <v>Dok</v>
      </c>
      <c r="P4" s="5">
        <v>5500000</v>
      </c>
      <c r="Q4" s="7">
        <v>1</v>
      </c>
      <c r="R4" s="3" t="str">
        <f t="shared" si="2"/>
        <v>Dok</v>
      </c>
      <c r="S4" s="5">
        <v>0</v>
      </c>
      <c r="T4" s="7">
        <v>1</v>
      </c>
      <c r="U4" s="3" t="str">
        <f t="shared" si="3"/>
        <v>Dok</v>
      </c>
      <c r="V4" s="5">
        <v>0</v>
      </c>
      <c r="W4" s="7">
        <v>3</v>
      </c>
      <c r="X4" s="3" t="str">
        <f t="shared" si="4"/>
        <v>Dok</v>
      </c>
      <c r="Y4" s="5">
        <v>0</v>
      </c>
      <c r="Z4" s="12">
        <f t="shared" ref="Z4:Z81" si="5">SUM(N4,Q4,T4,W4)</f>
        <v>5</v>
      </c>
      <c r="AA4" s="7" t="str">
        <f t="shared" ref="AA4:AA81" si="6">L4</f>
        <v>Dok</v>
      </c>
      <c r="AB4" s="12">
        <f t="shared" ref="AB4:AB81" si="7">Z4/K4*100</f>
        <v>100</v>
      </c>
      <c r="AC4" s="7" t="s">
        <v>11</v>
      </c>
      <c r="AD4" s="8">
        <f t="shared" ref="AD4:AD81" si="8">SUM(P4,S4,V4,Y4)</f>
        <v>5500000</v>
      </c>
      <c r="AE4" s="11">
        <f t="shared" ref="AE4:AE81" si="9">AD4/M4*100</f>
        <v>100</v>
      </c>
      <c r="AF4" s="7" t="s">
        <v>11</v>
      </c>
      <c r="AG4" s="12">
        <f t="shared" ref="AG4:AG81" si="10">SUM(H4,Z4)</f>
        <v>10</v>
      </c>
      <c r="AH4" s="7" t="str">
        <f t="shared" ref="AH4:AH81" si="11">O4</f>
        <v>Dok</v>
      </c>
      <c r="AI4" s="8">
        <f t="shared" ref="AI4:AI81" si="12">SUM(J4,AD4)</f>
        <v>5500000</v>
      </c>
      <c r="AJ4" s="11"/>
      <c r="AK4" s="7" t="s">
        <v>11</v>
      </c>
      <c r="AL4" s="11"/>
      <c r="AM4" s="20"/>
      <c r="AP4" s="6"/>
    </row>
    <row r="5" spans="1:45" ht="85.5" customHeight="1" x14ac:dyDescent="0.2">
      <c r="A5" s="7"/>
      <c r="B5" s="18"/>
      <c r="C5" s="18" t="s">
        <v>27</v>
      </c>
      <c r="D5" s="18" t="s">
        <v>15</v>
      </c>
      <c r="E5" s="7">
        <f>10*3</f>
        <v>30</v>
      </c>
      <c r="F5" s="3" t="s">
        <v>7</v>
      </c>
      <c r="G5" s="5"/>
      <c r="H5" s="7">
        <v>10</v>
      </c>
      <c r="I5" s="3" t="s">
        <v>7</v>
      </c>
      <c r="J5" s="5"/>
      <c r="K5" s="7">
        <v>10</v>
      </c>
      <c r="L5" s="3" t="s">
        <v>7</v>
      </c>
      <c r="M5" s="5">
        <v>4000000</v>
      </c>
      <c r="N5" s="7">
        <v>1</v>
      </c>
      <c r="O5" s="3" t="str">
        <f t="shared" si="1"/>
        <v>Dok</v>
      </c>
      <c r="P5" s="5">
        <v>0</v>
      </c>
      <c r="Q5" s="7">
        <v>2</v>
      </c>
      <c r="R5" s="3" t="str">
        <f t="shared" si="2"/>
        <v>Dok</v>
      </c>
      <c r="S5" s="5">
        <v>4000000</v>
      </c>
      <c r="T5" s="7">
        <v>2</v>
      </c>
      <c r="U5" s="3" t="str">
        <f t="shared" si="3"/>
        <v>Dok</v>
      </c>
      <c r="V5" s="5">
        <v>0</v>
      </c>
      <c r="W5" s="7">
        <v>5</v>
      </c>
      <c r="X5" s="3" t="str">
        <f t="shared" si="4"/>
        <v>Dok</v>
      </c>
      <c r="Y5" s="5">
        <v>0</v>
      </c>
      <c r="Z5" s="12">
        <f t="shared" si="5"/>
        <v>10</v>
      </c>
      <c r="AA5" s="7" t="str">
        <f t="shared" si="6"/>
        <v>Dok</v>
      </c>
      <c r="AB5" s="12">
        <f t="shared" si="7"/>
        <v>100</v>
      </c>
      <c r="AC5" s="7" t="s">
        <v>11</v>
      </c>
      <c r="AD5" s="8">
        <f t="shared" si="8"/>
        <v>4000000</v>
      </c>
      <c r="AE5" s="11">
        <f t="shared" si="9"/>
        <v>100</v>
      </c>
      <c r="AF5" s="7" t="s">
        <v>11</v>
      </c>
      <c r="AG5" s="12">
        <f t="shared" si="10"/>
        <v>20</v>
      </c>
      <c r="AH5" s="7" t="str">
        <f t="shared" si="11"/>
        <v>Dok</v>
      </c>
      <c r="AI5" s="8">
        <f t="shared" si="12"/>
        <v>4000000</v>
      </c>
      <c r="AJ5" s="11"/>
      <c r="AK5" s="7" t="s">
        <v>11</v>
      </c>
      <c r="AL5" s="11"/>
      <c r="AM5" s="20"/>
      <c r="AP5" s="6"/>
    </row>
    <row r="6" spans="1:45" ht="15" x14ac:dyDescent="0.2">
      <c r="A6" s="7"/>
      <c r="B6" s="18"/>
      <c r="C6" s="18" t="s">
        <v>28</v>
      </c>
      <c r="D6" s="18" t="s">
        <v>112</v>
      </c>
      <c r="E6" s="12">
        <f>SUM(E8:E10)</f>
        <v>42</v>
      </c>
      <c r="F6" s="3" t="s">
        <v>7</v>
      </c>
      <c r="G6" s="5"/>
      <c r="H6" s="12">
        <f>SUM(H8:H10)</f>
        <v>14</v>
      </c>
      <c r="I6" s="3" t="s">
        <v>7</v>
      </c>
      <c r="J6" s="5"/>
      <c r="K6" s="12">
        <f>SUM(K8:K10)</f>
        <v>14</v>
      </c>
      <c r="L6" s="3" t="s">
        <v>7</v>
      </c>
      <c r="M6" s="5">
        <f>SUM(M7:M10)</f>
        <v>236752075515</v>
      </c>
      <c r="N6" s="12">
        <f>SUM(N8:N10)</f>
        <v>3</v>
      </c>
      <c r="O6" s="3" t="s">
        <v>7</v>
      </c>
      <c r="P6" s="5">
        <f>SUM(P7:P10)</f>
        <v>33088904619</v>
      </c>
      <c r="Q6" s="12">
        <f>SUM(Q8:Q10)</f>
        <v>4</v>
      </c>
      <c r="R6" s="3" t="str">
        <f t="shared" si="2"/>
        <v>Dok</v>
      </c>
      <c r="S6" s="5">
        <f>SUM(S7:S10)</f>
        <v>82068575710</v>
      </c>
      <c r="T6" s="12">
        <f>SUM(T8:T10)</f>
        <v>3</v>
      </c>
      <c r="U6" s="3" t="str">
        <f t="shared" si="3"/>
        <v>Dok</v>
      </c>
      <c r="V6" s="5">
        <f>SUM(V7:V10)</f>
        <v>48375196880</v>
      </c>
      <c r="W6" s="12">
        <v>4</v>
      </c>
      <c r="X6" s="3" t="str">
        <f t="shared" si="4"/>
        <v>Dok</v>
      </c>
      <c r="Y6" s="5">
        <f>SUM(Y7:Y10)</f>
        <v>55808241151</v>
      </c>
      <c r="Z6" s="12">
        <f t="shared" si="5"/>
        <v>14</v>
      </c>
      <c r="AA6" s="7" t="str">
        <f t="shared" si="6"/>
        <v>Dok</v>
      </c>
      <c r="AB6" s="12">
        <f t="shared" si="7"/>
        <v>100</v>
      </c>
      <c r="AC6" s="7" t="s">
        <v>11</v>
      </c>
      <c r="AD6" s="8">
        <f t="shared" si="8"/>
        <v>219340918360</v>
      </c>
      <c r="AE6" s="11">
        <f t="shared" si="9"/>
        <v>92.645827025116461</v>
      </c>
      <c r="AF6" s="7" t="s">
        <v>11</v>
      </c>
      <c r="AG6" s="12">
        <f t="shared" si="10"/>
        <v>28</v>
      </c>
      <c r="AH6" s="7" t="str">
        <f t="shared" si="11"/>
        <v>Dok</v>
      </c>
      <c r="AI6" s="8">
        <f t="shared" si="12"/>
        <v>219340918360</v>
      </c>
      <c r="AJ6" s="11"/>
      <c r="AK6" s="7" t="s">
        <v>11</v>
      </c>
      <c r="AL6" s="11"/>
      <c r="AM6" s="7"/>
      <c r="AP6" s="6">
        <f t="shared" si="0"/>
        <v>219340918360</v>
      </c>
    </row>
    <row r="7" spans="1:45" ht="64.5" customHeight="1" x14ac:dyDescent="0.2">
      <c r="A7" s="7"/>
      <c r="B7" s="18"/>
      <c r="C7" s="18" t="s">
        <v>29</v>
      </c>
      <c r="D7" s="18" t="s">
        <v>17</v>
      </c>
      <c r="E7" s="7">
        <f>12*3</f>
        <v>36</v>
      </c>
      <c r="F7" s="3" t="s">
        <v>8</v>
      </c>
      <c r="G7" s="5"/>
      <c r="H7" s="7">
        <v>12</v>
      </c>
      <c r="I7" s="3" t="s">
        <v>8</v>
      </c>
      <c r="J7" s="5"/>
      <c r="K7" s="7">
        <v>12</v>
      </c>
      <c r="L7" s="3" t="s">
        <v>8</v>
      </c>
      <c r="M7" s="5">
        <v>236747075515</v>
      </c>
      <c r="N7" s="7">
        <v>3</v>
      </c>
      <c r="O7" s="3" t="s">
        <v>8</v>
      </c>
      <c r="P7" s="5">
        <v>33088904619</v>
      </c>
      <c r="Q7" s="7">
        <v>3</v>
      </c>
      <c r="R7" s="3" t="str">
        <f t="shared" si="2"/>
        <v>Bln</v>
      </c>
      <c r="S7" s="5">
        <f>115157480329-33088904619</f>
        <v>82068575710</v>
      </c>
      <c r="T7" s="7">
        <v>3</v>
      </c>
      <c r="U7" s="3" t="str">
        <f t="shared" si="3"/>
        <v>Bln</v>
      </c>
      <c r="V7" s="5">
        <v>48373196880</v>
      </c>
      <c r="W7" s="7">
        <v>3</v>
      </c>
      <c r="X7" s="3" t="str">
        <f t="shared" si="4"/>
        <v>Bln</v>
      </c>
      <c r="Y7" s="5">
        <v>55805241151</v>
      </c>
      <c r="Z7" s="12">
        <f t="shared" si="5"/>
        <v>12</v>
      </c>
      <c r="AA7" s="7" t="str">
        <f t="shared" si="6"/>
        <v>Bln</v>
      </c>
      <c r="AB7" s="12">
        <f t="shared" si="7"/>
        <v>100</v>
      </c>
      <c r="AC7" s="7" t="s">
        <v>11</v>
      </c>
      <c r="AD7" s="8">
        <f t="shared" si="8"/>
        <v>219335918360</v>
      </c>
      <c r="AE7" s="11">
        <f t="shared" si="9"/>
        <v>92.64567170803474</v>
      </c>
      <c r="AF7" s="7" t="s">
        <v>11</v>
      </c>
      <c r="AG7" s="12">
        <f t="shared" si="10"/>
        <v>24</v>
      </c>
      <c r="AH7" s="7" t="str">
        <f t="shared" si="11"/>
        <v>Bln</v>
      </c>
      <c r="AI7" s="8">
        <f t="shared" si="12"/>
        <v>219335918360</v>
      </c>
      <c r="AJ7" s="11"/>
      <c r="AK7" s="7" t="s">
        <v>11</v>
      </c>
      <c r="AL7" s="11"/>
      <c r="AM7" s="20"/>
      <c r="AP7" s="6">
        <f t="shared" si="0"/>
        <v>219335918360</v>
      </c>
    </row>
    <row r="8" spans="1:45" ht="107.25" customHeight="1" x14ac:dyDescent="0.2">
      <c r="A8" s="7"/>
      <c r="B8" s="18"/>
      <c r="C8" s="18" t="s">
        <v>30</v>
      </c>
      <c r="D8" s="18" t="s">
        <v>16</v>
      </c>
      <c r="E8" s="7">
        <f>1*3</f>
        <v>3</v>
      </c>
      <c r="F8" s="3" t="s">
        <v>152</v>
      </c>
      <c r="G8" s="5"/>
      <c r="H8" s="7">
        <v>1</v>
      </c>
      <c r="I8" s="3" t="s">
        <v>152</v>
      </c>
      <c r="J8" s="5"/>
      <c r="K8" s="7">
        <v>1</v>
      </c>
      <c r="L8" s="3" t="s">
        <v>152</v>
      </c>
      <c r="M8" s="5">
        <v>2000000</v>
      </c>
      <c r="N8" s="7">
        <v>0</v>
      </c>
      <c r="O8" s="3" t="str">
        <f>L8</f>
        <v>Lap</v>
      </c>
      <c r="P8" s="5">
        <v>0</v>
      </c>
      <c r="Q8" s="7">
        <v>0</v>
      </c>
      <c r="R8" s="3" t="str">
        <f t="shared" si="2"/>
        <v>Lap</v>
      </c>
      <c r="S8" s="5">
        <v>0</v>
      </c>
      <c r="T8" s="7">
        <v>0</v>
      </c>
      <c r="U8" s="3" t="str">
        <f t="shared" si="3"/>
        <v>Lap</v>
      </c>
      <c r="V8" s="5">
        <v>2000000</v>
      </c>
      <c r="W8" s="7">
        <v>1</v>
      </c>
      <c r="X8" s="3" t="str">
        <f t="shared" si="4"/>
        <v>Lap</v>
      </c>
      <c r="Y8" s="5">
        <v>0</v>
      </c>
      <c r="Z8" s="12">
        <f t="shared" si="5"/>
        <v>1</v>
      </c>
      <c r="AA8" s="7" t="str">
        <f t="shared" si="6"/>
        <v>Lap</v>
      </c>
      <c r="AB8" s="12">
        <f t="shared" si="7"/>
        <v>100</v>
      </c>
      <c r="AC8" s="7" t="s">
        <v>11</v>
      </c>
      <c r="AD8" s="8">
        <f t="shared" si="8"/>
        <v>2000000</v>
      </c>
      <c r="AE8" s="11">
        <f t="shared" si="9"/>
        <v>100</v>
      </c>
      <c r="AF8" s="7" t="s">
        <v>11</v>
      </c>
      <c r="AG8" s="12">
        <f t="shared" si="10"/>
        <v>2</v>
      </c>
      <c r="AH8" s="7" t="str">
        <f t="shared" si="11"/>
        <v>Lap</v>
      </c>
      <c r="AI8" s="8">
        <f t="shared" si="12"/>
        <v>2000000</v>
      </c>
      <c r="AJ8" s="11"/>
      <c r="AK8" s="7" t="s">
        <v>11</v>
      </c>
      <c r="AL8" s="11"/>
      <c r="AM8" s="20"/>
      <c r="AP8" s="6">
        <f t="shared" si="0"/>
        <v>2000000</v>
      </c>
    </row>
    <row r="9" spans="1:45" ht="120" customHeight="1" x14ac:dyDescent="0.2">
      <c r="A9" s="7"/>
      <c r="B9" s="18"/>
      <c r="C9" s="18" t="s">
        <v>31</v>
      </c>
      <c r="D9" s="18" t="s">
        <v>16</v>
      </c>
      <c r="E9" s="7">
        <f>12*3</f>
        <v>36</v>
      </c>
      <c r="F9" s="3" t="s">
        <v>152</v>
      </c>
      <c r="G9" s="5"/>
      <c r="H9" s="7">
        <v>12</v>
      </c>
      <c r="I9" s="3" t="s">
        <v>152</v>
      </c>
      <c r="J9" s="5"/>
      <c r="K9" s="7">
        <v>12</v>
      </c>
      <c r="L9" s="3" t="s">
        <v>152</v>
      </c>
      <c r="M9" s="5">
        <v>1500000</v>
      </c>
      <c r="N9" s="12">
        <v>3</v>
      </c>
      <c r="O9" s="3" t="str">
        <f t="shared" ref="O9:O10" si="13">L9</f>
        <v>Lap</v>
      </c>
      <c r="P9" s="5">
        <v>0</v>
      </c>
      <c r="Q9" s="12">
        <v>3</v>
      </c>
      <c r="R9" s="3" t="str">
        <f t="shared" si="2"/>
        <v>Lap</v>
      </c>
      <c r="S9" s="5">
        <v>0</v>
      </c>
      <c r="T9" s="12">
        <v>3</v>
      </c>
      <c r="U9" s="3" t="str">
        <f t="shared" si="3"/>
        <v>Lap</v>
      </c>
      <c r="V9" s="5">
        <v>0</v>
      </c>
      <c r="W9" s="12">
        <v>3</v>
      </c>
      <c r="X9" s="3" t="str">
        <f t="shared" si="4"/>
        <v>Lap</v>
      </c>
      <c r="Y9" s="5">
        <v>1500000</v>
      </c>
      <c r="Z9" s="12">
        <f t="shared" si="5"/>
        <v>12</v>
      </c>
      <c r="AA9" s="7" t="str">
        <f t="shared" si="6"/>
        <v>Lap</v>
      </c>
      <c r="AB9" s="12">
        <f t="shared" si="7"/>
        <v>100</v>
      </c>
      <c r="AC9" s="7" t="s">
        <v>11</v>
      </c>
      <c r="AD9" s="8">
        <f t="shared" si="8"/>
        <v>1500000</v>
      </c>
      <c r="AE9" s="11">
        <f t="shared" si="9"/>
        <v>100</v>
      </c>
      <c r="AF9" s="7" t="s">
        <v>11</v>
      </c>
      <c r="AG9" s="12">
        <f t="shared" si="10"/>
        <v>24</v>
      </c>
      <c r="AH9" s="7" t="str">
        <f t="shared" si="11"/>
        <v>Lap</v>
      </c>
      <c r="AI9" s="8">
        <f t="shared" si="12"/>
        <v>1500000</v>
      </c>
      <c r="AJ9" s="11"/>
      <c r="AK9" s="7" t="s">
        <v>11</v>
      </c>
      <c r="AL9" s="11"/>
      <c r="AM9" s="20"/>
      <c r="AP9" s="6">
        <f t="shared" si="0"/>
        <v>1500000</v>
      </c>
    </row>
    <row r="10" spans="1:45" ht="97.5" customHeight="1" x14ac:dyDescent="0.2">
      <c r="A10" s="7"/>
      <c r="B10" s="18"/>
      <c r="C10" s="18" t="s">
        <v>32</v>
      </c>
      <c r="D10" s="18" t="s">
        <v>16</v>
      </c>
      <c r="E10" s="7">
        <f>1*3</f>
        <v>3</v>
      </c>
      <c r="F10" s="3" t="s">
        <v>152</v>
      </c>
      <c r="G10" s="5"/>
      <c r="H10" s="7">
        <v>1</v>
      </c>
      <c r="I10" s="3" t="s">
        <v>152</v>
      </c>
      <c r="J10" s="5"/>
      <c r="K10" s="7">
        <v>1</v>
      </c>
      <c r="L10" s="3" t="s">
        <v>152</v>
      </c>
      <c r="M10" s="5">
        <v>1500000</v>
      </c>
      <c r="N10" s="7">
        <v>0</v>
      </c>
      <c r="O10" s="3" t="str">
        <f t="shared" si="13"/>
        <v>Lap</v>
      </c>
      <c r="P10" s="5">
        <v>0</v>
      </c>
      <c r="Q10" s="7">
        <v>1</v>
      </c>
      <c r="R10" s="3" t="str">
        <f t="shared" si="2"/>
        <v>Lap</v>
      </c>
      <c r="S10" s="5">
        <v>0</v>
      </c>
      <c r="T10" s="7">
        <v>0</v>
      </c>
      <c r="U10" s="3" t="str">
        <f t="shared" si="3"/>
        <v>Lap</v>
      </c>
      <c r="V10" s="5">
        <v>0</v>
      </c>
      <c r="W10" s="7">
        <v>0</v>
      </c>
      <c r="X10" s="3" t="str">
        <f t="shared" si="4"/>
        <v>Lap</v>
      </c>
      <c r="Y10" s="5">
        <v>1500000</v>
      </c>
      <c r="Z10" s="12">
        <f t="shared" si="5"/>
        <v>1</v>
      </c>
      <c r="AA10" s="7" t="str">
        <f t="shared" si="6"/>
        <v>Lap</v>
      </c>
      <c r="AB10" s="12">
        <f t="shared" si="7"/>
        <v>100</v>
      </c>
      <c r="AC10" s="7" t="s">
        <v>11</v>
      </c>
      <c r="AD10" s="8">
        <f t="shared" si="8"/>
        <v>1500000</v>
      </c>
      <c r="AE10" s="11">
        <f t="shared" si="9"/>
        <v>100</v>
      </c>
      <c r="AF10" s="7" t="s">
        <v>11</v>
      </c>
      <c r="AG10" s="12">
        <f t="shared" si="10"/>
        <v>2</v>
      </c>
      <c r="AH10" s="7" t="str">
        <f t="shared" si="11"/>
        <v>Lap</v>
      </c>
      <c r="AI10" s="8">
        <f t="shared" si="12"/>
        <v>1500000</v>
      </c>
      <c r="AJ10" s="11"/>
      <c r="AK10" s="7" t="s">
        <v>11</v>
      </c>
      <c r="AL10" s="11"/>
      <c r="AM10" s="20"/>
      <c r="AP10" s="6">
        <f t="shared" si="0"/>
        <v>1500000</v>
      </c>
    </row>
    <row r="11" spans="1:45" ht="15" x14ac:dyDescent="0.2">
      <c r="A11" s="7"/>
      <c r="B11" s="18"/>
      <c r="C11" s="18" t="s">
        <v>33</v>
      </c>
      <c r="D11" s="18" t="s">
        <v>113</v>
      </c>
      <c r="E11" s="12">
        <v>1</v>
      </c>
      <c r="F11" s="3" t="s">
        <v>7</v>
      </c>
      <c r="G11" s="5"/>
      <c r="H11" s="12">
        <v>1</v>
      </c>
      <c r="I11" s="3" t="s">
        <v>7</v>
      </c>
      <c r="J11" s="5"/>
      <c r="K11" s="12">
        <v>1</v>
      </c>
      <c r="L11" s="3" t="s">
        <v>7</v>
      </c>
      <c r="M11" s="5">
        <f>SUM(M12:M15)</f>
        <v>1252680000</v>
      </c>
      <c r="N11" s="12">
        <v>0</v>
      </c>
      <c r="O11" s="3" t="s">
        <v>7</v>
      </c>
      <c r="P11" s="5">
        <f>SUM(P12:P15)</f>
        <v>1950000</v>
      </c>
      <c r="Q11" s="7">
        <v>0</v>
      </c>
      <c r="R11" s="3" t="str">
        <f t="shared" si="2"/>
        <v>Dok</v>
      </c>
      <c r="S11" s="5">
        <f>SUM(S12:S15)</f>
        <v>64665750</v>
      </c>
      <c r="T11" s="7">
        <v>0</v>
      </c>
      <c r="U11" s="3" t="str">
        <f t="shared" si="3"/>
        <v>Dok</v>
      </c>
      <c r="V11" s="5">
        <f>SUM(V12:V15)</f>
        <v>341000972</v>
      </c>
      <c r="W11" s="7">
        <v>1</v>
      </c>
      <c r="X11" s="3" t="str">
        <f t="shared" si="4"/>
        <v>Dok</v>
      </c>
      <c r="Y11" s="5">
        <f>SUM(Y12:Y15)</f>
        <v>443692878</v>
      </c>
      <c r="Z11" s="12">
        <f t="shared" si="5"/>
        <v>1</v>
      </c>
      <c r="AA11" s="7" t="str">
        <f t="shared" si="6"/>
        <v>Dok</v>
      </c>
      <c r="AB11" s="12">
        <f t="shared" si="7"/>
        <v>100</v>
      </c>
      <c r="AC11" s="7" t="s">
        <v>11</v>
      </c>
      <c r="AD11" s="8">
        <f t="shared" si="8"/>
        <v>851309600</v>
      </c>
      <c r="AE11" s="11">
        <f t="shared" si="9"/>
        <v>67.959063767282942</v>
      </c>
      <c r="AF11" s="7" t="s">
        <v>11</v>
      </c>
      <c r="AG11" s="12">
        <f t="shared" si="10"/>
        <v>2</v>
      </c>
      <c r="AH11" s="7" t="str">
        <f t="shared" si="11"/>
        <v>Dok</v>
      </c>
      <c r="AI11" s="8">
        <f t="shared" si="12"/>
        <v>851309600</v>
      </c>
      <c r="AJ11" s="11"/>
      <c r="AK11" s="7" t="s">
        <v>11</v>
      </c>
      <c r="AL11" s="11"/>
      <c r="AM11" s="20"/>
      <c r="AP11" s="6"/>
    </row>
    <row r="12" spans="1:45" ht="83.25" customHeight="1" x14ac:dyDescent="0.2">
      <c r="A12" s="7"/>
      <c r="B12" s="18"/>
      <c r="C12" s="18" t="s">
        <v>35</v>
      </c>
      <c r="D12" s="18" t="s">
        <v>34</v>
      </c>
      <c r="E12" s="7">
        <f>12*3</f>
        <v>36</v>
      </c>
      <c r="F12" s="3" t="s">
        <v>8</v>
      </c>
      <c r="G12" s="5"/>
      <c r="H12" s="7">
        <v>12</v>
      </c>
      <c r="I12" s="3" t="s">
        <v>8</v>
      </c>
      <c r="J12" s="5"/>
      <c r="K12" s="7">
        <v>12</v>
      </c>
      <c r="L12" s="3" t="s">
        <v>8</v>
      </c>
      <c r="M12" s="5">
        <v>936119000</v>
      </c>
      <c r="N12" s="7">
        <v>3</v>
      </c>
      <c r="O12" s="3" t="s">
        <v>8</v>
      </c>
      <c r="P12" s="5">
        <v>0</v>
      </c>
      <c r="Q12" s="7">
        <v>3</v>
      </c>
      <c r="R12" s="3" t="str">
        <f t="shared" si="2"/>
        <v>Bln</v>
      </c>
      <c r="S12" s="5">
        <v>7304750</v>
      </c>
      <c r="T12" s="7">
        <v>3</v>
      </c>
      <c r="U12" s="3" t="str">
        <f t="shared" si="3"/>
        <v>Bln</v>
      </c>
      <c r="V12" s="5">
        <v>278472000</v>
      </c>
      <c r="W12" s="7">
        <v>3</v>
      </c>
      <c r="X12" s="3" t="str">
        <f t="shared" si="4"/>
        <v>Bln</v>
      </c>
      <c r="Y12" s="5">
        <v>306861850</v>
      </c>
      <c r="Z12" s="12">
        <f t="shared" si="5"/>
        <v>12</v>
      </c>
      <c r="AA12" s="7" t="str">
        <f t="shared" si="6"/>
        <v>Bln</v>
      </c>
      <c r="AB12" s="12">
        <f t="shared" si="7"/>
        <v>100</v>
      </c>
      <c r="AC12" s="7" t="s">
        <v>11</v>
      </c>
      <c r="AD12" s="8">
        <f t="shared" si="8"/>
        <v>592638600</v>
      </c>
      <c r="AE12" s="11">
        <f t="shared" si="9"/>
        <v>63.308040964877335</v>
      </c>
      <c r="AF12" s="7" t="s">
        <v>11</v>
      </c>
      <c r="AG12" s="12">
        <f t="shared" si="10"/>
        <v>24</v>
      </c>
      <c r="AH12" s="7" t="str">
        <f t="shared" si="11"/>
        <v>Bln</v>
      </c>
      <c r="AI12" s="8">
        <f t="shared" si="12"/>
        <v>592638600</v>
      </c>
      <c r="AJ12" s="11"/>
      <c r="AK12" s="7" t="s">
        <v>11</v>
      </c>
      <c r="AL12" s="11"/>
      <c r="AM12" s="20"/>
      <c r="AP12" s="6"/>
    </row>
    <row r="13" spans="1:45" ht="77.25" customHeight="1" x14ac:dyDescent="0.2">
      <c r="A13" s="7"/>
      <c r="B13" s="18"/>
      <c r="C13" s="18" t="s">
        <v>36</v>
      </c>
      <c r="D13" s="18" t="s">
        <v>17</v>
      </c>
      <c r="E13" s="7">
        <f t="shared" ref="E13:E15" si="14">12*3</f>
        <v>36</v>
      </c>
      <c r="F13" s="3" t="s">
        <v>8</v>
      </c>
      <c r="G13" s="5"/>
      <c r="H13" s="7">
        <v>12</v>
      </c>
      <c r="I13" s="3" t="s">
        <v>8</v>
      </c>
      <c r="J13" s="5"/>
      <c r="K13" s="7">
        <v>12</v>
      </c>
      <c r="L13" s="3" t="s">
        <v>8</v>
      </c>
      <c r="M13" s="5">
        <v>108890000</v>
      </c>
      <c r="N13" s="7">
        <v>3</v>
      </c>
      <c r="O13" s="3" t="s">
        <v>8</v>
      </c>
      <c r="P13" s="5">
        <v>0</v>
      </c>
      <c r="Q13" s="7">
        <v>3</v>
      </c>
      <c r="R13" s="3" t="str">
        <f t="shared" si="2"/>
        <v>Bln</v>
      </c>
      <c r="S13" s="5">
        <v>21800000</v>
      </c>
      <c r="T13" s="7">
        <v>3</v>
      </c>
      <c r="U13" s="3" t="str">
        <f t="shared" si="3"/>
        <v>Bln</v>
      </c>
      <c r="V13" s="5">
        <v>0</v>
      </c>
      <c r="W13" s="7">
        <v>3</v>
      </c>
      <c r="X13" s="3" t="str">
        <f t="shared" si="4"/>
        <v>Bln</v>
      </c>
      <c r="Y13" s="5">
        <v>29250000</v>
      </c>
      <c r="Z13" s="12">
        <f t="shared" si="5"/>
        <v>12</v>
      </c>
      <c r="AA13" s="7" t="str">
        <f t="shared" si="6"/>
        <v>Bln</v>
      </c>
      <c r="AB13" s="12">
        <f t="shared" si="7"/>
        <v>100</v>
      </c>
      <c r="AC13" s="7" t="s">
        <v>11</v>
      </c>
      <c r="AD13" s="8">
        <f t="shared" si="8"/>
        <v>51050000</v>
      </c>
      <c r="AE13" s="11">
        <f t="shared" si="9"/>
        <v>46.882174671687018</v>
      </c>
      <c r="AF13" s="7" t="s">
        <v>11</v>
      </c>
      <c r="AG13" s="12">
        <f t="shared" si="10"/>
        <v>24</v>
      </c>
      <c r="AH13" s="7" t="str">
        <f t="shared" si="11"/>
        <v>Bln</v>
      </c>
      <c r="AI13" s="8">
        <f t="shared" si="12"/>
        <v>51050000</v>
      </c>
      <c r="AJ13" s="11"/>
      <c r="AK13" s="7" t="s">
        <v>11</v>
      </c>
      <c r="AL13" s="11"/>
      <c r="AM13" s="20"/>
      <c r="AP13" s="6"/>
    </row>
    <row r="14" spans="1:45" ht="83.25" customHeight="1" x14ac:dyDescent="0.2">
      <c r="A14" s="7"/>
      <c r="B14" s="18"/>
      <c r="C14" s="18" t="s">
        <v>37</v>
      </c>
      <c r="D14" s="18" t="s">
        <v>17</v>
      </c>
      <c r="E14" s="7">
        <f t="shared" si="14"/>
        <v>36</v>
      </c>
      <c r="F14" s="3" t="s">
        <v>8</v>
      </c>
      <c r="G14" s="5"/>
      <c r="H14" s="7">
        <v>12</v>
      </c>
      <c r="I14" s="3" t="s">
        <v>8</v>
      </c>
      <c r="J14" s="5"/>
      <c r="K14" s="7">
        <v>12</v>
      </c>
      <c r="L14" s="3" t="s">
        <v>8</v>
      </c>
      <c r="M14" s="5">
        <v>52671000</v>
      </c>
      <c r="N14" s="7">
        <v>3</v>
      </c>
      <c r="O14" s="3" t="s">
        <v>8</v>
      </c>
      <c r="P14" s="5">
        <v>1950000</v>
      </c>
      <c r="Q14" s="7">
        <v>3</v>
      </c>
      <c r="R14" s="3" t="str">
        <f t="shared" si="2"/>
        <v>Bln</v>
      </c>
      <c r="S14" s="5">
        <f>19725000-1950000</f>
        <v>17775000</v>
      </c>
      <c r="T14" s="7">
        <v>3</v>
      </c>
      <c r="U14" s="3" t="str">
        <f t="shared" si="3"/>
        <v>Bln</v>
      </c>
      <c r="V14" s="5">
        <v>14996000</v>
      </c>
      <c r="W14" s="7">
        <v>3</v>
      </c>
      <c r="X14" s="3" t="str">
        <f t="shared" si="4"/>
        <v>Bln</v>
      </c>
      <c r="Y14" s="5">
        <v>17900000</v>
      </c>
      <c r="Z14" s="12">
        <f t="shared" si="5"/>
        <v>12</v>
      </c>
      <c r="AA14" s="7" t="str">
        <f t="shared" si="6"/>
        <v>Bln</v>
      </c>
      <c r="AB14" s="12">
        <f t="shared" si="7"/>
        <v>100</v>
      </c>
      <c r="AC14" s="7" t="s">
        <v>11</v>
      </c>
      <c r="AD14" s="8">
        <f t="shared" si="8"/>
        <v>52621000</v>
      </c>
      <c r="AE14" s="11">
        <f t="shared" si="9"/>
        <v>99.905071101744795</v>
      </c>
      <c r="AF14" s="7" t="s">
        <v>11</v>
      </c>
      <c r="AG14" s="12">
        <f t="shared" si="10"/>
        <v>24</v>
      </c>
      <c r="AH14" s="7" t="str">
        <f t="shared" si="11"/>
        <v>Bln</v>
      </c>
      <c r="AI14" s="8">
        <f t="shared" si="12"/>
        <v>52621000</v>
      </c>
      <c r="AJ14" s="11"/>
      <c r="AK14" s="7" t="s">
        <v>11</v>
      </c>
      <c r="AL14" s="11"/>
      <c r="AM14" s="20"/>
      <c r="AP14" s="6"/>
    </row>
    <row r="15" spans="1:45" ht="102" customHeight="1" x14ac:dyDescent="0.2">
      <c r="A15" s="7"/>
      <c r="B15" s="18"/>
      <c r="C15" s="18" t="s">
        <v>38</v>
      </c>
      <c r="D15" s="18" t="s">
        <v>17</v>
      </c>
      <c r="E15" s="7">
        <f t="shared" si="14"/>
        <v>36</v>
      </c>
      <c r="F15" s="3" t="s">
        <v>8</v>
      </c>
      <c r="G15" s="5"/>
      <c r="H15" s="7">
        <v>12</v>
      </c>
      <c r="I15" s="3" t="s">
        <v>8</v>
      </c>
      <c r="J15" s="5"/>
      <c r="K15" s="7">
        <v>12</v>
      </c>
      <c r="L15" s="3" t="s">
        <v>8</v>
      </c>
      <c r="M15" s="5">
        <v>155000000</v>
      </c>
      <c r="N15" s="7">
        <v>3</v>
      </c>
      <c r="O15" s="3" t="s">
        <v>8</v>
      </c>
      <c r="P15" s="5">
        <v>0</v>
      </c>
      <c r="Q15" s="7">
        <v>3</v>
      </c>
      <c r="R15" s="3" t="str">
        <f t="shared" si="2"/>
        <v>Bln</v>
      </c>
      <c r="S15" s="5">
        <v>17786000</v>
      </c>
      <c r="T15" s="7">
        <v>3</v>
      </c>
      <c r="U15" s="3" t="str">
        <f t="shared" si="3"/>
        <v>Bln</v>
      </c>
      <c r="V15" s="5">
        <f>65318972-S15</f>
        <v>47532972</v>
      </c>
      <c r="W15" s="7">
        <v>3</v>
      </c>
      <c r="X15" s="3" t="str">
        <f t="shared" si="4"/>
        <v>Bln</v>
      </c>
      <c r="Y15" s="5">
        <v>89681028</v>
      </c>
      <c r="Z15" s="12">
        <f t="shared" si="5"/>
        <v>12</v>
      </c>
      <c r="AA15" s="7" t="str">
        <f t="shared" si="6"/>
        <v>Bln</v>
      </c>
      <c r="AB15" s="12">
        <f t="shared" si="7"/>
        <v>100</v>
      </c>
      <c r="AC15" s="7" t="s">
        <v>11</v>
      </c>
      <c r="AD15" s="8">
        <f t="shared" si="8"/>
        <v>155000000</v>
      </c>
      <c r="AE15" s="11">
        <f t="shared" si="9"/>
        <v>100</v>
      </c>
      <c r="AF15" s="12" t="s">
        <v>11</v>
      </c>
      <c r="AG15" s="12">
        <f t="shared" si="10"/>
        <v>24</v>
      </c>
      <c r="AH15" s="7" t="str">
        <f t="shared" si="11"/>
        <v>Bln</v>
      </c>
      <c r="AI15" s="8">
        <f t="shared" si="12"/>
        <v>155000000</v>
      </c>
      <c r="AJ15" s="11"/>
      <c r="AK15" s="7" t="s">
        <v>11</v>
      </c>
      <c r="AL15" s="11"/>
      <c r="AM15" s="20"/>
      <c r="AP15" s="6"/>
    </row>
    <row r="16" spans="1:45" s="14" customFormat="1" ht="112.5" customHeight="1" x14ac:dyDescent="0.25">
      <c r="A16" s="7"/>
      <c r="B16" s="18"/>
      <c r="C16" s="18" t="s">
        <v>39</v>
      </c>
      <c r="D16" s="18" t="s">
        <v>114</v>
      </c>
      <c r="E16" s="7">
        <v>100</v>
      </c>
      <c r="F16" s="3" t="s">
        <v>11</v>
      </c>
      <c r="G16" s="5"/>
      <c r="H16" s="7">
        <v>100</v>
      </c>
      <c r="I16" s="3" t="s">
        <v>11</v>
      </c>
      <c r="J16" s="5"/>
      <c r="K16" s="7">
        <v>100</v>
      </c>
      <c r="L16" s="3" t="s">
        <v>11</v>
      </c>
      <c r="M16" s="5">
        <f>SUM(M17)</f>
        <v>24150000</v>
      </c>
      <c r="N16" s="7">
        <v>25</v>
      </c>
      <c r="O16" s="3" t="s">
        <v>11</v>
      </c>
      <c r="P16" s="5">
        <f>SUM(P17)</f>
        <v>0</v>
      </c>
      <c r="Q16" s="7">
        <v>25</v>
      </c>
      <c r="R16" s="3" t="str">
        <f t="shared" si="2"/>
        <v>%</v>
      </c>
      <c r="S16" s="5">
        <f>SUM(S17)</f>
        <v>0</v>
      </c>
      <c r="T16" s="7">
        <v>25</v>
      </c>
      <c r="U16" s="3" t="str">
        <f t="shared" si="3"/>
        <v>%</v>
      </c>
      <c r="V16" s="5">
        <f>SUM(V17)</f>
        <v>20200000</v>
      </c>
      <c r="W16" s="7">
        <v>25</v>
      </c>
      <c r="X16" s="3" t="str">
        <f t="shared" si="4"/>
        <v>%</v>
      </c>
      <c r="Y16" s="5">
        <f>SUM(Y17)</f>
        <v>0</v>
      </c>
      <c r="Z16" s="12">
        <f t="shared" si="5"/>
        <v>100</v>
      </c>
      <c r="AA16" s="7" t="str">
        <f t="shared" si="6"/>
        <v>%</v>
      </c>
      <c r="AB16" s="12">
        <f t="shared" si="7"/>
        <v>100</v>
      </c>
      <c r="AC16" s="7" t="s">
        <v>11</v>
      </c>
      <c r="AD16" s="8">
        <f t="shared" si="8"/>
        <v>20200000</v>
      </c>
      <c r="AE16" s="11">
        <f t="shared" si="9"/>
        <v>83.643892339544507</v>
      </c>
      <c r="AF16" s="7" t="s">
        <v>11</v>
      </c>
      <c r="AG16" s="12">
        <f t="shared" si="10"/>
        <v>200</v>
      </c>
      <c r="AH16" s="7" t="str">
        <f t="shared" si="11"/>
        <v>%</v>
      </c>
      <c r="AI16" s="8">
        <f t="shared" si="12"/>
        <v>20200000</v>
      </c>
      <c r="AJ16" s="11"/>
      <c r="AK16" s="7" t="s">
        <v>11</v>
      </c>
      <c r="AL16" s="11"/>
      <c r="AM16" s="20"/>
      <c r="AP16" s="15"/>
    </row>
    <row r="17" spans="1:42" ht="98.25" customHeight="1" x14ac:dyDescent="0.2">
      <c r="A17" s="7"/>
      <c r="B17" s="18"/>
      <c r="C17" s="18" t="s">
        <v>49</v>
      </c>
      <c r="D17" s="18" t="s">
        <v>103</v>
      </c>
      <c r="E17" s="7">
        <f>1*3</f>
        <v>3</v>
      </c>
      <c r="F17" s="3" t="s">
        <v>104</v>
      </c>
      <c r="G17" s="5"/>
      <c r="H17" s="7">
        <v>1</v>
      </c>
      <c r="I17" s="3" t="s">
        <v>104</v>
      </c>
      <c r="J17" s="5"/>
      <c r="K17" s="7">
        <v>1</v>
      </c>
      <c r="L17" s="3" t="s">
        <v>104</v>
      </c>
      <c r="M17" s="5">
        <v>24150000</v>
      </c>
      <c r="N17" s="7">
        <v>0</v>
      </c>
      <c r="O17" s="3" t="s">
        <v>104</v>
      </c>
      <c r="P17" s="22">
        <v>0</v>
      </c>
      <c r="Q17" s="7">
        <v>0</v>
      </c>
      <c r="R17" s="3" t="str">
        <f t="shared" si="2"/>
        <v>Unit</v>
      </c>
      <c r="S17" s="5">
        <v>0</v>
      </c>
      <c r="T17" s="7">
        <v>0</v>
      </c>
      <c r="U17" s="3" t="str">
        <f t="shared" si="3"/>
        <v>Unit</v>
      </c>
      <c r="V17" s="5">
        <v>20200000</v>
      </c>
      <c r="W17" s="7">
        <v>1</v>
      </c>
      <c r="X17" s="3" t="str">
        <f t="shared" si="4"/>
        <v>Unit</v>
      </c>
      <c r="Y17" s="5">
        <v>0</v>
      </c>
      <c r="Z17" s="12">
        <f t="shared" si="5"/>
        <v>1</v>
      </c>
      <c r="AA17" s="7" t="str">
        <f t="shared" si="6"/>
        <v>Unit</v>
      </c>
      <c r="AB17" s="12">
        <f t="shared" si="7"/>
        <v>100</v>
      </c>
      <c r="AC17" s="7" t="s">
        <v>11</v>
      </c>
      <c r="AD17" s="8">
        <f t="shared" si="8"/>
        <v>20200000</v>
      </c>
      <c r="AE17" s="11">
        <f t="shared" si="9"/>
        <v>83.643892339544507</v>
      </c>
      <c r="AF17" s="7" t="s">
        <v>11</v>
      </c>
      <c r="AG17" s="12">
        <f t="shared" si="10"/>
        <v>2</v>
      </c>
      <c r="AH17" s="7" t="str">
        <f t="shared" si="11"/>
        <v>Unit</v>
      </c>
      <c r="AI17" s="8">
        <f t="shared" si="12"/>
        <v>20200000</v>
      </c>
      <c r="AJ17" s="11"/>
      <c r="AK17" s="7" t="s">
        <v>11</v>
      </c>
      <c r="AL17" s="11"/>
      <c r="AM17" s="20"/>
      <c r="AP17" s="6"/>
    </row>
    <row r="18" spans="1:42" ht="15" x14ac:dyDescent="0.2">
      <c r="A18" s="7"/>
      <c r="B18" s="18"/>
      <c r="C18" s="18" t="s">
        <v>40</v>
      </c>
      <c r="D18" s="18" t="s">
        <v>114</v>
      </c>
      <c r="E18" s="7">
        <v>100</v>
      </c>
      <c r="F18" s="3" t="s">
        <v>11</v>
      </c>
      <c r="G18" s="5"/>
      <c r="H18" s="7">
        <v>100</v>
      </c>
      <c r="I18" s="3" t="s">
        <v>11</v>
      </c>
      <c r="J18" s="5"/>
      <c r="K18" s="7">
        <v>100</v>
      </c>
      <c r="L18" s="3" t="s">
        <v>11</v>
      </c>
      <c r="M18" s="5">
        <f>SUM(M19:M22)</f>
        <v>366792000</v>
      </c>
      <c r="N18" s="7">
        <v>25</v>
      </c>
      <c r="O18" s="3" t="s">
        <v>11</v>
      </c>
      <c r="P18" s="5">
        <f>SUM(P19:P22)</f>
        <v>28294848</v>
      </c>
      <c r="Q18" s="7">
        <v>25</v>
      </c>
      <c r="R18" s="3" t="str">
        <f t="shared" si="2"/>
        <v>%</v>
      </c>
      <c r="S18" s="5">
        <f>SUM(S19:S22)</f>
        <v>77017721</v>
      </c>
      <c r="T18" s="7">
        <v>25</v>
      </c>
      <c r="U18" s="3" t="str">
        <f t="shared" si="3"/>
        <v>%</v>
      </c>
      <c r="V18" s="5">
        <f>SUM(V19:V22)</f>
        <v>63344827</v>
      </c>
      <c r="W18" s="7">
        <v>25</v>
      </c>
      <c r="X18" s="3" t="str">
        <f t="shared" si="4"/>
        <v>%</v>
      </c>
      <c r="Y18" s="5">
        <f>SUM(Y19:Y22)</f>
        <v>79866058</v>
      </c>
      <c r="Z18" s="12">
        <f t="shared" si="5"/>
        <v>100</v>
      </c>
      <c r="AA18" s="7" t="str">
        <f t="shared" si="6"/>
        <v>%</v>
      </c>
      <c r="AB18" s="12">
        <f>Z18/K18*100</f>
        <v>100</v>
      </c>
      <c r="AC18" s="7" t="s">
        <v>11</v>
      </c>
      <c r="AD18" s="8">
        <f t="shared" si="8"/>
        <v>248523454</v>
      </c>
      <c r="AE18" s="11">
        <f t="shared" si="9"/>
        <v>67.755963597897448</v>
      </c>
      <c r="AF18" s="7" t="s">
        <v>11</v>
      </c>
      <c r="AG18" s="12">
        <f t="shared" si="10"/>
        <v>200</v>
      </c>
      <c r="AH18" s="7" t="str">
        <f t="shared" si="11"/>
        <v>%</v>
      </c>
      <c r="AI18" s="8">
        <f t="shared" si="12"/>
        <v>248523454</v>
      </c>
      <c r="AJ18" s="11"/>
      <c r="AK18" s="7" t="s">
        <v>11</v>
      </c>
      <c r="AL18" s="11"/>
      <c r="AM18" s="20"/>
      <c r="AP18" s="6"/>
    </row>
    <row r="19" spans="1:42" ht="63.75" customHeight="1" x14ac:dyDescent="0.2">
      <c r="A19" s="7"/>
      <c r="B19" s="18"/>
      <c r="C19" s="18" t="s">
        <v>50</v>
      </c>
      <c r="D19" s="18" t="s">
        <v>17</v>
      </c>
      <c r="E19" s="7">
        <f t="shared" ref="E19:E27" si="15">12*3</f>
        <v>36</v>
      </c>
      <c r="F19" s="3" t="s">
        <v>8</v>
      </c>
      <c r="G19" s="5"/>
      <c r="H19" s="7">
        <v>12</v>
      </c>
      <c r="I19" s="3" t="s">
        <v>8</v>
      </c>
      <c r="J19" s="5"/>
      <c r="K19" s="7">
        <v>12</v>
      </c>
      <c r="L19" s="3" t="s">
        <v>8</v>
      </c>
      <c r="M19" s="5">
        <v>600000</v>
      </c>
      <c r="N19" s="7">
        <v>3</v>
      </c>
      <c r="O19" s="3" t="s">
        <v>8</v>
      </c>
      <c r="P19" s="5">
        <v>0</v>
      </c>
      <c r="Q19" s="7">
        <v>3</v>
      </c>
      <c r="R19" s="3" t="str">
        <f t="shared" si="2"/>
        <v>Bln</v>
      </c>
      <c r="S19" s="5">
        <v>0</v>
      </c>
      <c r="T19" s="7">
        <v>3</v>
      </c>
      <c r="U19" s="3" t="str">
        <f t="shared" si="3"/>
        <v>Bln</v>
      </c>
      <c r="V19" s="5">
        <v>0</v>
      </c>
      <c r="W19" s="7">
        <v>3</v>
      </c>
      <c r="X19" s="3" t="str">
        <f t="shared" si="4"/>
        <v>Bln</v>
      </c>
      <c r="Y19" s="5">
        <v>0</v>
      </c>
      <c r="Z19" s="12">
        <f t="shared" si="5"/>
        <v>12</v>
      </c>
      <c r="AA19" s="7" t="str">
        <f t="shared" si="6"/>
        <v>Bln</v>
      </c>
      <c r="AB19" s="12">
        <f t="shared" si="7"/>
        <v>100</v>
      </c>
      <c r="AC19" s="7" t="s">
        <v>11</v>
      </c>
      <c r="AD19" s="8">
        <f t="shared" si="8"/>
        <v>0</v>
      </c>
      <c r="AE19" s="11">
        <f t="shared" si="9"/>
        <v>0</v>
      </c>
      <c r="AF19" s="7" t="s">
        <v>11</v>
      </c>
      <c r="AG19" s="12">
        <f t="shared" si="10"/>
        <v>24</v>
      </c>
      <c r="AH19" s="7" t="str">
        <f t="shared" si="11"/>
        <v>Bln</v>
      </c>
      <c r="AI19" s="8">
        <f t="shared" si="12"/>
        <v>0</v>
      </c>
      <c r="AJ19" s="11"/>
      <c r="AK19" s="7" t="s">
        <v>11</v>
      </c>
      <c r="AL19" s="11"/>
      <c r="AM19" s="20"/>
      <c r="AP19" s="6"/>
    </row>
    <row r="20" spans="1:42" ht="81.75" customHeight="1" x14ac:dyDescent="0.2">
      <c r="A20" s="7"/>
      <c r="B20" s="18"/>
      <c r="C20" s="18" t="s">
        <v>51</v>
      </c>
      <c r="D20" s="18" t="s">
        <v>17</v>
      </c>
      <c r="E20" s="7">
        <f t="shared" si="15"/>
        <v>36</v>
      </c>
      <c r="F20" s="3" t="s">
        <v>8</v>
      </c>
      <c r="G20" s="5"/>
      <c r="H20" s="7">
        <v>12</v>
      </c>
      <c r="I20" s="3" t="s">
        <v>8</v>
      </c>
      <c r="J20" s="5"/>
      <c r="K20" s="7">
        <v>12</v>
      </c>
      <c r="L20" s="3" t="s">
        <v>8</v>
      </c>
      <c r="M20" s="5">
        <v>216000000</v>
      </c>
      <c r="N20" s="7">
        <v>3</v>
      </c>
      <c r="O20" s="3" t="s">
        <v>8</v>
      </c>
      <c r="P20" s="5">
        <v>0</v>
      </c>
      <c r="Q20" s="7">
        <v>3</v>
      </c>
      <c r="R20" s="3" t="str">
        <f t="shared" si="2"/>
        <v>Bln</v>
      </c>
      <c r="S20" s="5">
        <v>39135129</v>
      </c>
      <c r="T20" s="7">
        <v>3</v>
      </c>
      <c r="U20" s="3" t="str">
        <f t="shared" si="3"/>
        <v>Bln</v>
      </c>
      <c r="V20" s="5">
        <v>43246595</v>
      </c>
      <c r="W20" s="7">
        <v>3</v>
      </c>
      <c r="X20" s="3" t="str">
        <f t="shared" si="4"/>
        <v>Bln</v>
      </c>
      <c r="Y20" s="5">
        <v>42671210</v>
      </c>
      <c r="Z20" s="12">
        <f t="shared" si="5"/>
        <v>12</v>
      </c>
      <c r="AA20" s="7" t="str">
        <f t="shared" si="6"/>
        <v>Bln</v>
      </c>
      <c r="AB20" s="12">
        <f t="shared" si="7"/>
        <v>100</v>
      </c>
      <c r="AC20" s="7" t="s">
        <v>11</v>
      </c>
      <c r="AD20" s="8">
        <f t="shared" si="8"/>
        <v>125052934</v>
      </c>
      <c r="AE20" s="11">
        <f t="shared" si="9"/>
        <v>57.894876851851848</v>
      </c>
      <c r="AF20" s="7" t="s">
        <v>11</v>
      </c>
      <c r="AG20" s="12">
        <f t="shared" si="10"/>
        <v>24</v>
      </c>
      <c r="AH20" s="7" t="str">
        <f t="shared" si="11"/>
        <v>Bln</v>
      </c>
      <c r="AI20" s="8">
        <f t="shared" si="12"/>
        <v>125052934</v>
      </c>
      <c r="AJ20" s="11"/>
      <c r="AK20" s="7" t="s">
        <v>11</v>
      </c>
      <c r="AL20" s="11"/>
      <c r="AM20" s="20"/>
      <c r="AP20" s="6"/>
    </row>
    <row r="21" spans="1:42" ht="76.5" customHeight="1" x14ac:dyDescent="0.2">
      <c r="A21" s="7"/>
      <c r="B21" s="18"/>
      <c r="C21" s="18" t="s">
        <v>52</v>
      </c>
      <c r="D21" s="18" t="s">
        <v>17</v>
      </c>
      <c r="E21" s="7">
        <f t="shared" si="15"/>
        <v>36</v>
      </c>
      <c r="F21" s="3" t="s">
        <v>8</v>
      </c>
      <c r="G21" s="5"/>
      <c r="H21" s="7">
        <v>12</v>
      </c>
      <c r="I21" s="3" t="s">
        <v>8</v>
      </c>
      <c r="J21" s="5"/>
      <c r="K21" s="7">
        <v>12</v>
      </c>
      <c r="L21" s="3" t="s">
        <v>8</v>
      </c>
      <c r="M21" s="5">
        <v>10800000</v>
      </c>
      <c r="N21" s="7">
        <v>3</v>
      </c>
      <c r="O21" s="3" t="s">
        <v>8</v>
      </c>
      <c r="P21" s="5">
        <v>0</v>
      </c>
      <c r="Q21" s="7">
        <v>3</v>
      </c>
      <c r="R21" s="3" t="str">
        <f t="shared" si="2"/>
        <v>Bln</v>
      </c>
      <c r="S21" s="5">
        <v>0</v>
      </c>
      <c r="T21" s="7">
        <v>3</v>
      </c>
      <c r="U21" s="3" t="str">
        <f t="shared" si="3"/>
        <v>Bln</v>
      </c>
      <c r="V21" s="5">
        <v>1235000</v>
      </c>
      <c r="W21" s="7">
        <v>3</v>
      </c>
      <c r="X21" s="3" t="str">
        <f t="shared" si="4"/>
        <v>Bln</v>
      </c>
      <c r="Y21" s="5">
        <v>8900000</v>
      </c>
      <c r="Z21" s="12">
        <f t="shared" si="5"/>
        <v>12</v>
      </c>
      <c r="AA21" s="7" t="str">
        <f t="shared" si="6"/>
        <v>Bln</v>
      </c>
      <c r="AB21" s="12">
        <f t="shared" si="7"/>
        <v>100</v>
      </c>
      <c r="AC21" s="7" t="s">
        <v>11</v>
      </c>
      <c r="AD21" s="8">
        <f t="shared" si="8"/>
        <v>10135000</v>
      </c>
      <c r="AE21" s="11">
        <f t="shared" si="9"/>
        <v>93.842592592592595</v>
      </c>
      <c r="AF21" s="7" t="s">
        <v>11</v>
      </c>
      <c r="AG21" s="12">
        <f t="shared" si="10"/>
        <v>24</v>
      </c>
      <c r="AH21" s="7" t="str">
        <f t="shared" si="11"/>
        <v>Bln</v>
      </c>
      <c r="AI21" s="8">
        <f t="shared" si="12"/>
        <v>10135000</v>
      </c>
      <c r="AJ21" s="11"/>
      <c r="AK21" s="7" t="s">
        <v>11</v>
      </c>
      <c r="AL21" s="11"/>
      <c r="AM21" s="20"/>
      <c r="AP21" s="6"/>
    </row>
    <row r="22" spans="1:42" ht="71.25" customHeight="1" x14ac:dyDescent="0.2">
      <c r="A22" s="7"/>
      <c r="B22" s="18"/>
      <c r="C22" s="18" t="s">
        <v>41</v>
      </c>
      <c r="D22" s="18" t="s">
        <v>17</v>
      </c>
      <c r="E22" s="7">
        <f t="shared" si="15"/>
        <v>36</v>
      </c>
      <c r="F22" s="3" t="s">
        <v>8</v>
      </c>
      <c r="G22" s="5"/>
      <c r="H22" s="7">
        <v>12</v>
      </c>
      <c r="I22" s="3" t="s">
        <v>8</v>
      </c>
      <c r="J22" s="5"/>
      <c r="K22" s="7">
        <v>12</v>
      </c>
      <c r="L22" s="3" t="s">
        <v>8</v>
      </c>
      <c r="M22" s="5">
        <v>139392000</v>
      </c>
      <c r="N22" s="7">
        <v>3</v>
      </c>
      <c r="O22" s="3" t="s">
        <v>8</v>
      </c>
      <c r="P22" s="5">
        <v>28294848</v>
      </c>
      <c r="Q22" s="7">
        <v>3</v>
      </c>
      <c r="R22" s="3" t="str">
        <f t="shared" si="2"/>
        <v>Bln</v>
      </c>
      <c r="S22" s="5">
        <f>66177440-P22</f>
        <v>37882592</v>
      </c>
      <c r="T22" s="7">
        <v>3</v>
      </c>
      <c r="U22" s="3" t="str">
        <f t="shared" si="3"/>
        <v>Bln</v>
      </c>
      <c r="V22" s="5">
        <v>18863232</v>
      </c>
      <c r="W22" s="7">
        <v>3</v>
      </c>
      <c r="X22" s="3" t="str">
        <f t="shared" si="4"/>
        <v>Bln</v>
      </c>
      <c r="Y22" s="5">
        <v>28294848</v>
      </c>
      <c r="Z22" s="12">
        <f t="shared" si="5"/>
        <v>12</v>
      </c>
      <c r="AA22" s="7" t="str">
        <f t="shared" si="6"/>
        <v>Bln</v>
      </c>
      <c r="AB22" s="12">
        <f t="shared" si="7"/>
        <v>100</v>
      </c>
      <c r="AC22" s="7" t="s">
        <v>11</v>
      </c>
      <c r="AD22" s="8">
        <f t="shared" si="8"/>
        <v>113335520</v>
      </c>
      <c r="AE22" s="11">
        <f t="shared" si="9"/>
        <v>81.307047750229572</v>
      </c>
      <c r="AF22" s="7" t="s">
        <v>11</v>
      </c>
      <c r="AG22" s="12">
        <f t="shared" si="10"/>
        <v>24</v>
      </c>
      <c r="AH22" s="7" t="str">
        <f t="shared" si="11"/>
        <v>Bln</v>
      </c>
      <c r="AI22" s="8">
        <f t="shared" si="12"/>
        <v>113335520</v>
      </c>
      <c r="AJ22" s="11"/>
      <c r="AK22" s="7" t="s">
        <v>11</v>
      </c>
      <c r="AL22" s="11"/>
      <c r="AM22" s="20"/>
      <c r="AP22" s="6"/>
    </row>
    <row r="23" spans="1:42" s="14" customFormat="1" ht="15.75" x14ac:dyDescent="0.25">
      <c r="A23" s="7"/>
      <c r="B23" s="18"/>
      <c r="C23" s="18" t="s">
        <v>42</v>
      </c>
      <c r="D23" s="18" t="s">
        <v>114</v>
      </c>
      <c r="E23" s="7">
        <v>100</v>
      </c>
      <c r="F23" s="3" t="s">
        <v>11</v>
      </c>
      <c r="G23" s="5"/>
      <c r="H23" s="7">
        <v>100</v>
      </c>
      <c r="I23" s="3" t="s">
        <v>11</v>
      </c>
      <c r="J23" s="5"/>
      <c r="K23" s="7">
        <v>100</v>
      </c>
      <c r="L23" s="3" t="s">
        <v>11</v>
      </c>
      <c r="M23" s="5">
        <f>SUM(M24:M27)</f>
        <v>650592000</v>
      </c>
      <c r="N23" s="7">
        <v>25</v>
      </c>
      <c r="O23" s="3" t="s">
        <v>11</v>
      </c>
      <c r="P23" s="5">
        <f>SUM(P24:P27)</f>
        <v>95690979</v>
      </c>
      <c r="Q23" s="7">
        <v>25</v>
      </c>
      <c r="R23" s="3" t="str">
        <f t="shared" si="2"/>
        <v>%</v>
      </c>
      <c r="S23" s="5">
        <f>SUM(S24:S27)</f>
        <v>152813100</v>
      </c>
      <c r="T23" s="7">
        <v>25</v>
      </c>
      <c r="U23" s="3" t="str">
        <f t="shared" si="3"/>
        <v>%</v>
      </c>
      <c r="V23" s="5">
        <f>SUM(V24:V27)</f>
        <v>97787147</v>
      </c>
      <c r="W23" s="7">
        <v>25</v>
      </c>
      <c r="X23" s="3" t="str">
        <f t="shared" si="4"/>
        <v>%</v>
      </c>
      <c r="Y23" s="5">
        <f>SUM(Y24:Y27)</f>
        <v>225808616</v>
      </c>
      <c r="Z23" s="12">
        <f t="shared" si="5"/>
        <v>100</v>
      </c>
      <c r="AA23" s="7" t="str">
        <f t="shared" si="6"/>
        <v>%</v>
      </c>
      <c r="AB23" s="12">
        <f t="shared" si="7"/>
        <v>100</v>
      </c>
      <c r="AC23" s="7" t="s">
        <v>11</v>
      </c>
      <c r="AD23" s="8">
        <f t="shared" si="8"/>
        <v>572099842</v>
      </c>
      <c r="AE23" s="11">
        <f t="shared" si="9"/>
        <v>87.93527156804879</v>
      </c>
      <c r="AF23" s="7" t="s">
        <v>11</v>
      </c>
      <c r="AG23" s="12">
        <f t="shared" si="10"/>
        <v>200</v>
      </c>
      <c r="AH23" s="7" t="str">
        <f t="shared" si="11"/>
        <v>%</v>
      </c>
      <c r="AI23" s="8">
        <f t="shared" si="12"/>
        <v>572099842</v>
      </c>
      <c r="AJ23" s="11"/>
      <c r="AK23" s="7" t="s">
        <v>11</v>
      </c>
      <c r="AL23" s="11"/>
      <c r="AM23" s="20"/>
      <c r="AP23" s="15"/>
    </row>
    <row r="24" spans="1:42" ht="168" customHeight="1" x14ac:dyDescent="0.2">
      <c r="A24" s="7"/>
      <c r="B24" s="18"/>
      <c r="C24" s="18" t="s">
        <v>53</v>
      </c>
      <c r="D24" s="18" t="s">
        <v>44</v>
      </c>
      <c r="E24" s="7">
        <f t="shared" si="15"/>
        <v>36</v>
      </c>
      <c r="F24" s="3" t="s">
        <v>8</v>
      </c>
      <c r="G24" s="5"/>
      <c r="H24" s="7">
        <v>12</v>
      </c>
      <c r="I24" s="3" t="s">
        <v>8</v>
      </c>
      <c r="J24" s="5"/>
      <c r="K24" s="7">
        <v>12</v>
      </c>
      <c r="L24" s="3" t="s">
        <v>8</v>
      </c>
      <c r="M24" s="5">
        <v>19200000</v>
      </c>
      <c r="N24" s="7">
        <v>3</v>
      </c>
      <c r="O24" s="3" t="str">
        <f>L24</f>
        <v>Bln</v>
      </c>
      <c r="P24" s="5">
        <v>0</v>
      </c>
      <c r="Q24" s="7">
        <v>3</v>
      </c>
      <c r="R24" s="3" t="str">
        <f t="shared" si="2"/>
        <v>Bln</v>
      </c>
      <c r="S24" s="5">
        <v>0</v>
      </c>
      <c r="T24" s="7">
        <v>3</v>
      </c>
      <c r="U24" s="3" t="str">
        <f t="shared" si="3"/>
        <v>Bln</v>
      </c>
      <c r="V24" s="5">
        <v>6000000</v>
      </c>
      <c r="W24" s="7">
        <v>3</v>
      </c>
      <c r="X24" s="3" t="str">
        <f t="shared" si="4"/>
        <v>Bln</v>
      </c>
      <c r="Y24" s="5">
        <v>0</v>
      </c>
      <c r="Z24" s="12">
        <f t="shared" si="5"/>
        <v>12</v>
      </c>
      <c r="AA24" s="7" t="str">
        <f t="shared" si="6"/>
        <v>Bln</v>
      </c>
      <c r="AB24" s="12">
        <f t="shared" si="7"/>
        <v>100</v>
      </c>
      <c r="AC24" s="7" t="s">
        <v>11</v>
      </c>
      <c r="AD24" s="8">
        <f t="shared" si="8"/>
        <v>6000000</v>
      </c>
      <c r="AE24" s="11">
        <f t="shared" si="9"/>
        <v>31.25</v>
      </c>
      <c r="AF24" s="7" t="s">
        <v>11</v>
      </c>
      <c r="AG24" s="12">
        <f t="shared" si="10"/>
        <v>24</v>
      </c>
      <c r="AH24" s="7" t="str">
        <f t="shared" si="11"/>
        <v>Bln</v>
      </c>
      <c r="AI24" s="8">
        <f t="shared" si="12"/>
        <v>6000000</v>
      </c>
      <c r="AJ24" s="11"/>
      <c r="AK24" s="7" t="s">
        <v>11</v>
      </c>
      <c r="AL24" s="11"/>
      <c r="AM24" s="20"/>
      <c r="AP24" s="6"/>
    </row>
    <row r="25" spans="1:42" ht="15" x14ac:dyDescent="0.2">
      <c r="A25" s="7"/>
      <c r="B25" s="18"/>
      <c r="C25" s="18" t="s">
        <v>43</v>
      </c>
      <c r="D25" s="18" t="s">
        <v>44</v>
      </c>
      <c r="E25" s="7">
        <f t="shared" si="15"/>
        <v>36</v>
      </c>
      <c r="F25" s="3" t="s">
        <v>8</v>
      </c>
      <c r="G25" s="5"/>
      <c r="H25" s="7">
        <v>12</v>
      </c>
      <c r="I25" s="3" t="s">
        <v>8</v>
      </c>
      <c r="J25" s="5"/>
      <c r="K25" s="7">
        <v>12</v>
      </c>
      <c r="L25" s="3" t="s">
        <v>8</v>
      </c>
      <c r="M25" s="5">
        <v>475296000</v>
      </c>
      <c r="N25" s="7">
        <v>3</v>
      </c>
      <c r="O25" s="3" t="s">
        <v>8</v>
      </c>
      <c r="P25" s="5">
        <v>57101283</v>
      </c>
      <c r="Q25" s="7">
        <v>3</v>
      </c>
      <c r="R25" s="3" t="str">
        <f t="shared" si="2"/>
        <v>Bln</v>
      </c>
      <c r="S25" s="5">
        <f>157310479-P25</f>
        <v>100209196</v>
      </c>
      <c r="T25" s="7">
        <v>3</v>
      </c>
      <c r="U25" s="3" t="str">
        <f t="shared" si="3"/>
        <v>Bln</v>
      </c>
      <c r="V25" s="5">
        <v>66348427</v>
      </c>
      <c r="W25" s="7">
        <v>3</v>
      </c>
      <c r="X25" s="3" t="str">
        <f t="shared" si="4"/>
        <v>Bln</v>
      </c>
      <c r="Y25" s="5">
        <v>189499560</v>
      </c>
      <c r="Z25" s="12">
        <f t="shared" si="5"/>
        <v>12</v>
      </c>
      <c r="AA25" s="7" t="str">
        <f t="shared" si="6"/>
        <v>Bln</v>
      </c>
      <c r="AB25" s="12">
        <f t="shared" si="7"/>
        <v>100</v>
      </c>
      <c r="AC25" s="7" t="s">
        <v>11</v>
      </c>
      <c r="AD25" s="8">
        <f t="shared" si="8"/>
        <v>413158466</v>
      </c>
      <c r="AE25" s="11">
        <f t="shared" si="9"/>
        <v>86.926560711640747</v>
      </c>
      <c r="AF25" s="7" t="s">
        <v>11</v>
      </c>
      <c r="AG25" s="12">
        <f t="shared" si="10"/>
        <v>24</v>
      </c>
      <c r="AH25" s="7" t="str">
        <f t="shared" si="11"/>
        <v>Bln</v>
      </c>
      <c r="AI25" s="8">
        <f t="shared" si="12"/>
        <v>413158466</v>
      </c>
      <c r="AJ25" s="11"/>
      <c r="AK25" s="7" t="s">
        <v>11</v>
      </c>
      <c r="AL25" s="11"/>
      <c r="AM25" s="20"/>
      <c r="AP25" s="6"/>
    </row>
    <row r="26" spans="1:42" ht="15" x14ac:dyDescent="0.2">
      <c r="A26" s="7"/>
      <c r="B26" s="18"/>
      <c r="C26" s="18" t="s">
        <v>45</v>
      </c>
      <c r="D26" s="18" t="s">
        <v>46</v>
      </c>
      <c r="E26" s="7">
        <f t="shared" si="15"/>
        <v>36</v>
      </c>
      <c r="F26" s="3" t="s">
        <v>8</v>
      </c>
      <c r="G26" s="5"/>
      <c r="H26" s="7">
        <v>12</v>
      </c>
      <c r="I26" s="3" t="s">
        <v>8</v>
      </c>
      <c r="J26" s="5"/>
      <c r="K26" s="7">
        <v>12</v>
      </c>
      <c r="L26" s="3" t="s">
        <v>8</v>
      </c>
      <c r="M26" s="5">
        <v>39456000</v>
      </c>
      <c r="N26" s="7">
        <v>3</v>
      </c>
      <c r="O26" s="3" t="s">
        <v>8</v>
      </c>
      <c r="P26" s="5">
        <v>9863232</v>
      </c>
      <c r="Q26" s="7">
        <v>3</v>
      </c>
      <c r="R26" s="3" t="str">
        <f t="shared" si="2"/>
        <v>Bln</v>
      </c>
      <c r="S26" s="5">
        <f>23014208-P26</f>
        <v>13150976</v>
      </c>
      <c r="T26" s="7">
        <v>3</v>
      </c>
      <c r="U26" s="3" t="str">
        <f t="shared" si="3"/>
        <v>Bln</v>
      </c>
      <c r="V26" s="5">
        <v>6575488</v>
      </c>
      <c r="W26" s="7">
        <v>3</v>
      </c>
      <c r="X26" s="3" t="str">
        <f t="shared" si="4"/>
        <v>Bln</v>
      </c>
      <c r="Y26" s="5">
        <v>9863232</v>
      </c>
      <c r="Z26" s="12">
        <f t="shared" si="5"/>
        <v>12</v>
      </c>
      <c r="AA26" s="7" t="str">
        <f t="shared" si="6"/>
        <v>Bln</v>
      </c>
      <c r="AB26" s="12">
        <f t="shared" si="7"/>
        <v>100</v>
      </c>
      <c r="AC26" s="7" t="s">
        <v>11</v>
      </c>
      <c r="AD26" s="8">
        <f t="shared" si="8"/>
        <v>39452928</v>
      </c>
      <c r="AE26" s="11">
        <f t="shared" si="9"/>
        <v>99.992214111922138</v>
      </c>
      <c r="AF26" s="7" t="s">
        <v>11</v>
      </c>
      <c r="AG26" s="12">
        <f t="shared" si="10"/>
        <v>24</v>
      </c>
      <c r="AH26" s="7" t="str">
        <f t="shared" si="11"/>
        <v>Bln</v>
      </c>
      <c r="AI26" s="8">
        <f t="shared" si="12"/>
        <v>39452928</v>
      </c>
      <c r="AJ26" s="11"/>
      <c r="AK26" s="7" t="s">
        <v>11</v>
      </c>
      <c r="AL26" s="11"/>
      <c r="AM26" s="20"/>
      <c r="AP26" s="6"/>
    </row>
    <row r="27" spans="1:42" ht="15" x14ac:dyDescent="0.2">
      <c r="A27" s="7"/>
      <c r="B27" s="18"/>
      <c r="C27" s="18" t="s">
        <v>47</v>
      </c>
      <c r="D27" s="18" t="s">
        <v>48</v>
      </c>
      <c r="E27" s="7">
        <f t="shared" si="15"/>
        <v>36</v>
      </c>
      <c r="F27" s="3" t="s">
        <v>8</v>
      </c>
      <c r="G27" s="5"/>
      <c r="H27" s="7">
        <v>12</v>
      </c>
      <c r="I27" s="3" t="s">
        <v>8</v>
      </c>
      <c r="J27" s="5"/>
      <c r="K27" s="7">
        <v>12</v>
      </c>
      <c r="L27" s="3" t="s">
        <v>8</v>
      </c>
      <c r="M27" s="5">
        <v>116640000</v>
      </c>
      <c r="N27" s="7">
        <v>3</v>
      </c>
      <c r="O27" s="3" t="s">
        <v>8</v>
      </c>
      <c r="P27" s="5">
        <v>28726464</v>
      </c>
      <c r="Q27" s="7">
        <v>3</v>
      </c>
      <c r="R27" s="3" t="str">
        <f t="shared" si="2"/>
        <v>Bln</v>
      </c>
      <c r="S27" s="5">
        <f>68179392-P27</f>
        <v>39452928</v>
      </c>
      <c r="T27" s="7">
        <v>3</v>
      </c>
      <c r="U27" s="3" t="str">
        <f t="shared" si="3"/>
        <v>Bln</v>
      </c>
      <c r="V27" s="5">
        <v>18863232</v>
      </c>
      <c r="W27" s="7">
        <v>3</v>
      </c>
      <c r="X27" s="3" t="str">
        <f t="shared" si="4"/>
        <v>Bln</v>
      </c>
      <c r="Y27" s="5">
        <v>26445824</v>
      </c>
      <c r="Z27" s="12">
        <f t="shared" si="5"/>
        <v>12</v>
      </c>
      <c r="AA27" s="7" t="str">
        <f t="shared" si="6"/>
        <v>Bln</v>
      </c>
      <c r="AB27" s="12">
        <f t="shared" si="7"/>
        <v>100</v>
      </c>
      <c r="AC27" s="7" t="s">
        <v>11</v>
      </c>
      <c r="AD27" s="8">
        <f t="shared" si="8"/>
        <v>113488448</v>
      </c>
      <c r="AE27" s="11">
        <f t="shared" si="9"/>
        <v>97.298052126200275</v>
      </c>
      <c r="AF27" s="7" t="s">
        <v>11</v>
      </c>
      <c r="AG27" s="12">
        <f t="shared" si="10"/>
        <v>24</v>
      </c>
      <c r="AH27" s="7" t="str">
        <f t="shared" si="11"/>
        <v>Bln</v>
      </c>
      <c r="AI27" s="8">
        <f t="shared" si="12"/>
        <v>113488448</v>
      </c>
      <c r="AJ27" s="11"/>
      <c r="AK27" s="7" t="s">
        <v>11</v>
      </c>
      <c r="AL27" s="11"/>
      <c r="AM27" s="20"/>
      <c r="AP27" s="6"/>
    </row>
    <row r="28" spans="1:42" ht="93.75" customHeight="1" x14ac:dyDescent="0.2">
      <c r="A28" s="7"/>
      <c r="B28" s="18"/>
      <c r="C28" s="18" t="s">
        <v>55</v>
      </c>
      <c r="D28" s="18" t="s">
        <v>116</v>
      </c>
      <c r="E28" s="7"/>
      <c r="F28" s="3"/>
      <c r="G28" s="9"/>
      <c r="H28" s="7"/>
      <c r="I28" s="3"/>
      <c r="J28" s="4"/>
      <c r="K28" s="7">
        <v>24.37</v>
      </c>
      <c r="L28" s="3" t="s">
        <v>11</v>
      </c>
      <c r="M28" s="5">
        <f>M41+M52+M66+M76</f>
        <v>54391414275</v>
      </c>
      <c r="N28" s="7"/>
      <c r="O28" s="3" t="s">
        <v>11</v>
      </c>
      <c r="P28" s="5">
        <f>P41+P52+P66+P76</f>
        <v>2651855320</v>
      </c>
      <c r="Q28" s="7"/>
      <c r="R28" s="3"/>
      <c r="S28" s="5">
        <f>S41+S52+S66+S76</f>
        <v>5406103604</v>
      </c>
      <c r="T28" s="7"/>
      <c r="U28" s="3"/>
      <c r="V28" s="5">
        <f>V41+V52+V66+V76</f>
        <v>8474214985</v>
      </c>
      <c r="W28" s="7"/>
      <c r="X28" s="3"/>
      <c r="Y28" s="5">
        <f>Y41+Y52+Y66+Y76</f>
        <v>11878623475</v>
      </c>
      <c r="Z28" s="12">
        <f t="shared" si="5"/>
        <v>0</v>
      </c>
      <c r="AA28" s="7" t="str">
        <f t="shared" si="6"/>
        <v>%</v>
      </c>
      <c r="AB28" s="12">
        <f t="shared" si="7"/>
        <v>0</v>
      </c>
      <c r="AC28" s="7" t="s">
        <v>11</v>
      </c>
      <c r="AD28" s="8">
        <f t="shared" si="8"/>
        <v>28410797384</v>
      </c>
      <c r="AE28" s="11">
        <f>AD28/M28*100</f>
        <v>52.233974355505033</v>
      </c>
      <c r="AF28" s="7" t="s">
        <v>11</v>
      </c>
      <c r="AG28" s="12">
        <f>SUM(H28,Z28)</f>
        <v>0</v>
      </c>
      <c r="AH28" s="3" t="str">
        <f>O28</f>
        <v>%</v>
      </c>
      <c r="AI28" s="8">
        <f>SUM(J28,AD28)</f>
        <v>28410797384</v>
      </c>
      <c r="AJ28" s="11"/>
      <c r="AK28" s="7" t="s">
        <v>11</v>
      </c>
      <c r="AL28" s="11"/>
      <c r="AM28" s="20"/>
      <c r="AP28" s="6"/>
    </row>
    <row r="29" spans="1:42" ht="15" x14ac:dyDescent="0.2">
      <c r="A29" s="7"/>
      <c r="B29" s="18"/>
      <c r="C29" s="18"/>
      <c r="D29" s="18" t="s">
        <v>130</v>
      </c>
      <c r="E29" s="7"/>
      <c r="F29" s="3"/>
      <c r="G29" s="9"/>
      <c r="H29" s="7"/>
      <c r="I29" s="3"/>
      <c r="J29" s="4"/>
      <c r="K29" s="7" t="s">
        <v>142</v>
      </c>
      <c r="L29" s="3" t="s">
        <v>11</v>
      </c>
      <c r="M29" s="5"/>
      <c r="N29" s="7"/>
      <c r="O29" s="3" t="str">
        <f>L29</f>
        <v>%</v>
      </c>
      <c r="P29" s="5"/>
      <c r="Q29" s="7"/>
      <c r="R29" s="3" t="str">
        <f>L29</f>
        <v>%</v>
      </c>
      <c r="S29" s="5"/>
      <c r="T29" s="7"/>
      <c r="U29" s="3" t="str">
        <f>O29</f>
        <v>%</v>
      </c>
      <c r="V29" s="5"/>
      <c r="W29" s="7"/>
      <c r="X29" s="3" t="str">
        <f>R29</f>
        <v>%</v>
      </c>
      <c r="Y29" s="5"/>
      <c r="Z29" s="12"/>
      <c r="AA29" s="7"/>
      <c r="AB29" s="12"/>
      <c r="AC29" s="7"/>
      <c r="AD29" s="8"/>
      <c r="AE29" s="11"/>
      <c r="AF29" s="7"/>
      <c r="AG29" s="12"/>
      <c r="AH29" s="7"/>
      <c r="AI29" s="8"/>
      <c r="AJ29" s="11"/>
      <c r="AK29" s="7"/>
      <c r="AL29" s="11"/>
      <c r="AM29" s="20"/>
      <c r="AP29" s="6"/>
    </row>
    <row r="30" spans="1:42" ht="15" x14ac:dyDescent="0.2">
      <c r="A30" s="7"/>
      <c r="B30" s="18"/>
      <c r="C30" s="18"/>
      <c r="D30" s="18" t="s">
        <v>131</v>
      </c>
      <c r="E30" s="7"/>
      <c r="F30" s="3"/>
      <c r="G30" s="9"/>
      <c r="H30" s="7"/>
      <c r="I30" s="3"/>
      <c r="J30" s="4"/>
      <c r="K30" s="7" t="s">
        <v>143</v>
      </c>
      <c r="L30" s="3" t="s">
        <v>11</v>
      </c>
      <c r="M30" s="5"/>
      <c r="N30" s="7"/>
      <c r="O30" s="3" t="str">
        <f t="shared" ref="O30:O40" si="16">L30</f>
        <v>%</v>
      </c>
      <c r="P30" s="5"/>
      <c r="Q30" s="7"/>
      <c r="R30" s="3" t="str">
        <f t="shared" ref="R30:R40" si="17">L30</f>
        <v>%</v>
      </c>
      <c r="S30" s="5"/>
      <c r="T30" s="7"/>
      <c r="U30" s="3" t="str">
        <f t="shared" ref="U30:U40" si="18">O30</f>
        <v>%</v>
      </c>
      <c r="V30" s="5"/>
      <c r="W30" s="7"/>
      <c r="X30" s="3" t="str">
        <f t="shared" ref="X30:X40" si="19">R30</f>
        <v>%</v>
      </c>
      <c r="Y30" s="5"/>
      <c r="Z30" s="12"/>
      <c r="AA30" s="7"/>
      <c r="AB30" s="12"/>
      <c r="AC30" s="7"/>
      <c r="AD30" s="8"/>
      <c r="AE30" s="11"/>
      <c r="AF30" s="7"/>
      <c r="AG30" s="12"/>
      <c r="AH30" s="7"/>
      <c r="AI30" s="8"/>
      <c r="AJ30" s="11"/>
      <c r="AK30" s="7"/>
      <c r="AL30" s="11"/>
      <c r="AM30" s="20"/>
      <c r="AP30" s="6"/>
    </row>
    <row r="31" spans="1:42" ht="15" x14ac:dyDescent="0.2">
      <c r="A31" s="7"/>
      <c r="B31" s="18"/>
      <c r="C31" s="18"/>
      <c r="D31" s="18" t="s">
        <v>132</v>
      </c>
      <c r="E31" s="7"/>
      <c r="F31" s="3"/>
      <c r="G31" s="9"/>
      <c r="H31" s="7"/>
      <c r="I31" s="3"/>
      <c r="J31" s="4"/>
      <c r="K31" s="7" t="s">
        <v>144</v>
      </c>
      <c r="L31" s="3" t="s">
        <v>11</v>
      </c>
      <c r="M31" s="5"/>
      <c r="N31" s="7"/>
      <c r="O31" s="3" t="str">
        <f t="shared" si="16"/>
        <v>%</v>
      </c>
      <c r="P31" s="5"/>
      <c r="Q31" s="7"/>
      <c r="R31" s="3" t="str">
        <f t="shared" si="17"/>
        <v>%</v>
      </c>
      <c r="S31" s="5"/>
      <c r="T31" s="7"/>
      <c r="U31" s="3" t="str">
        <f t="shared" si="18"/>
        <v>%</v>
      </c>
      <c r="V31" s="5"/>
      <c r="W31" s="7"/>
      <c r="X31" s="3" t="str">
        <f t="shared" si="19"/>
        <v>%</v>
      </c>
      <c r="Y31" s="5"/>
      <c r="Z31" s="12"/>
      <c r="AA31" s="7"/>
      <c r="AB31" s="12"/>
      <c r="AC31" s="7"/>
      <c r="AD31" s="8"/>
      <c r="AE31" s="11"/>
      <c r="AF31" s="7"/>
      <c r="AG31" s="12"/>
      <c r="AH31" s="7"/>
      <c r="AI31" s="8"/>
      <c r="AJ31" s="11"/>
      <c r="AK31" s="7"/>
      <c r="AL31" s="11"/>
      <c r="AM31" s="20"/>
      <c r="AP31" s="6"/>
    </row>
    <row r="32" spans="1:42" ht="15" x14ac:dyDescent="0.2">
      <c r="A32" s="7"/>
      <c r="B32" s="18"/>
      <c r="C32" s="18"/>
      <c r="D32" s="18" t="s">
        <v>133</v>
      </c>
      <c r="E32" s="7"/>
      <c r="F32" s="3"/>
      <c r="G32" s="9"/>
      <c r="H32" s="7"/>
      <c r="I32" s="3"/>
      <c r="J32" s="4"/>
      <c r="K32" s="7" t="s">
        <v>145</v>
      </c>
      <c r="L32" s="3" t="s">
        <v>11</v>
      </c>
      <c r="M32" s="5"/>
      <c r="N32" s="7"/>
      <c r="O32" s="3" t="str">
        <f t="shared" si="16"/>
        <v>%</v>
      </c>
      <c r="P32" s="5"/>
      <c r="Q32" s="7"/>
      <c r="R32" s="3" t="str">
        <f t="shared" si="17"/>
        <v>%</v>
      </c>
      <c r="S32" s="5"/>
      <c r="T32" s="7"/>
      <c r="U32" s="3" t="str">
        <f t="shared" si="18"/>
        <v>%</v>
      </c>
      <c r="V32" s="5"/>
      <c r="W32" s="7"/>
      <c r="X32" s="3" t="str">
        <f t="shared" si="19"/>
        <v>%</v>
      </c>
      <c r="Y32" s="5"/>
      <c r="Z32" s="12"/>
      <c r="AA32" s="7"/>
      <c r="AB32" s="12"/>
      <c r="AC32" s="7"/>
      <c r="AD32" s="8"/>
      <c r="AE32" s="11"/>
      <c r="AF32" s="7"/>
      <c r="AG32" s="12"/>
      <c r="AH32" s="7"/>
      <c r="AI32" s="8"/>
      <c r="AJ32" s="11"/>
      <c r="AK32" s="7"/>
      <c r="AL32" s="11"/>
      <c r="AM32" s="20"/>
      <c r="AP32" s="6"/>
    </row>
    <row r="33" spans="1:42" ht="15" x14ac:dyDescent="0.2">
      <c r="A33" s="7"/>
      <c r="B33" s="18"/>
      <c r="C33" s="18"/>
      <c r="D33" s="18" t="s">
        <v>134</v>
      </c>
      <c r="E33" s="7"/>
      <c r="F33" s="3"/>
      <c r="G33" s="9"/>
      <c r="H33" s="7"/>
      <c r="I33" s="3"/>
      <c r="J33" s="4"/>
      <c r="K33" s="7">
        <v>100</v>
      </c>
      <c r="L33" s="3" t="s">
        <v>11</v>
      </c>
      <c r="M33" s="5"/>
      <c r="N33" s="7"/>
      <c r="O33" s="3" t="str">
        <f t="shared" si="16"/>
        <v>%</v>
      </c>
      <c r="P33" s="5"/>
      <c r="Q33" s="7"/>
      <c r="R33" s="3" t="str">
        <f t="shared" si="17"/>
        <v>%</v>
      </c>
      <c r="S33" s="5"/>
      <c r="T33" s="7"/>
      <c r="U33" s="3" t="str">
        <f t="shared" si="18"/>
        <v>%</v>
      </c>
      <c r="V33" s="5"/>
      <c r="W33" s="7"/>
      <c r="X33" s="3" t="str">
        <f t="shared" si="19"/>
        <v>%</v>
      </c>
      <c r="Y33" s="5"/>
      <c r="Z33" s="12"/>
      <c r="AA33" s="7"/>
      <c r="AB33" s="12"/>
      <c r="AC33" s="7"/>
      <c r="AD33" s="8"/>
      <c r="AE33" s="11"/>
      <c r="AF33" s="7"/>
      <c r="AG33" s="12"/>
      <c r="AH33" s="7"/>
      <c r="AI33" s="8"/>
      <c r="AJ33" s="11"/>
      <c r="AK33" s="7"/>
      <c r="AL33" s="11"/>
      <c r="AM33" s="20"/>
      <c r="AP33" s="6"/>
    </row>
    <row r="34" spans="1:42" ht="15" x14ac:dyDescent="0.2">
      <c r="A34" s="7"/>
      <c r="B34" s="18"/>
      <c r="C34" s="18"/>
      <c r="D34" s="18" t="s">
        <v>135</v>
      </c>
      <c r="E34" s="7"/>
      <c r="F34" s="3"/>
      <c r="G34" s="9"/>
      <c r="H34" s="7"/>
      <c r="I34" s="3"/>
      <c r="J34" s="4"/>
      <c r="K34" s="7" t="s">
        <v>146</v>
      </c>
      <c r="L34" s="3" t="s">
        <v>11</v>
      </c>
      <c r="M34" s="5"/>
      <c r="N34" s="7"/>
      <c r="O34" s="3" t="str">
        <f t="shared" si="16"/>
        <v>%</v>
      </c>
      <c r="P34" s="5"/>
      <c r="Q34" s="7"/>
      <c r="R34" s="3" t="str">
        <f t="shared" si="17"/>
        <v>%</v>
      </c>
      <c r="S34" s="5"/>
      <c r="T34" s="7"/>
      <c r="U34" s="3" t="str">
        <f t="shared" si="18"/>
        <v>%</v>
      </c>
      <c r="V34" s="5"/>
      <c r="W34" s="7"/>
      <c r="X34" s="3" t="str">
        <f t="shared" si="19"/>
        <v>%</v>
      </c>
      <c r="Y34" s="5"/>
      <c r="Z34" s="12"/>
      <c r="AA34" s="7"/>
      <c r="AB34" s="12"/>
      <c r="AC34" s="7"/>
      <c r="AD34" s="8"/>
      <c r="AE34" s="11"/>
      <c r="AF34" s="7"/>
      <c r="AG34" s="12"/>
      <c r="AH34" s="7"/>
      <c r="AI34" s="8"/>
      <c r="AJ34" s="11"/>
      <c r="AK34" s="7"/>
      <c r="AL34" s="11"/>
      <c r="AM34" s="20"/>
      <c r="AP34" s="6"/>
    </row>
    <row r="35" spans="1:42" ht="15" x14ac:dyDescent="0.2">
      <c r="A35" s="7"/>
      <c r="B35" s="18"/>
      <c r="C35" s="18"/>
      <c r="D35" s="18" t="s">
        <v>136</v>
      </c>
      <c r="E35" s="7"/>
      <c r="F35" s="3"/>
      <c r="G35" s="9"/>
      <c r="H35" s="7"/>
      <c r="I35" s="3"/>
      <c r="J35" s="4"/>
      <c r="K35" s="7">
        <v>23</v>
      </c>
      <c r="L35" s="3" t="s">
        <v>11</v>
      </c>
      <c r="M35" s="5"/>
      <c r="N35" s="7"/>
      <c r="O35" s="3" t="str">
        <f t="shared" si="16"/>
        <v>%</v>
      </c>
      <c r="P35" s="5"/>
      <c r="Q35" s="7"/>
      <c r="R35" s="3" t="str">
        <f t="shared" si="17"/>
        <v>%</v>
      </c>
      <c r="S35" s="5"/>
      <c r="T35" s="7"/>
      <c r="U35" s="3" t="str">
        <f t="shared" si="18"/>
        <v>%</v>
      </c>
      <c r="V35" s="5"/>
      <c r="W35" s="7"/>
      <c r="X35" s="3" t="str">
        <f t="shared" si="19"/>
        <v>%</v>
      </c>
      <c r="Y35" s="5"/>
      <c r="Z35" s="12"/>
      <c r="AA35" s="7"/>
      <c r="AB35" s="12"/>
      <c r="AC35" s="7"/>
      <c r="AD35" s="8"/>
      <c r="AE35" s="11"/>
      <c r="AF35" s="7"/>
      <c r="AG35" s="12"/>
      <c r="AH35" s="7"/>
      <c r="AI35" s="8"/>
      <c r="AJ35" s="11"/>
      <c r="AK35" s="7"/>
      <c r="AL35" s="11"/>
      <c r="AM35" s="20"/>
      <c r="AP35" s="6"/>
    </row>
    <row r="36" spans="1:42" ht="15" x14ac:dyDescent="0.2">
      <c r="A36" s="7"/>
      <c r="B36" s="18"/>
      <c r="C36" s="18"/>
      <c r="D36" s="18" t="s">
        <v>137</v>
      </c>
      <c r="E36" s="7"/>
      <c r="F36" s="3"/>
      <c r="G36" s="9"/>
      <c r="H36" s="7"/>
      <c r="I36" s="3"/>
      <c r="J36" s="4"/>
      <c r="K36" s="7" t="s">
        <v>147</v>
      </c>
      <c r="L36" s="3" t="s">
        <v>11</v>
      </c>
      <c r="M36" s="5"/>
      <c r="N36" s="7"/>
      <c r="O36" s="3" t="str">
        <f t="shared" si="16"/>
        <v>%</v>
      </c>
      <c r="P36" s="5"/>
      <c r="Q36" s="7"/>
      <c r="R36" s="3" t="str">
        <f t="shared" si="17"/>
        <v>%</v>
      </c>
      <c r="S36" s="5"/>
      <c r="T36" s="7"/>
      <c r="U36" s="3" t="str">
        <f t="shared" si="18"/>
        <v>%</v>
      </c>
      <c r="V36" s="5"/>
      <c r="W36" s="7"/>
      <c r="X36" s="3" t="str">
        <f t="shared" si="19"/>
        <v>%</v>
      </c>
      <c r="Y36" s="5"/>
      <c r="Z36" s="12"/>
      <c r="AA36" s="7"/>
      <c r="AB36" s="12"/>
      <c r="AC36" s="7"/>
      <c r="AD36" s="8"/>
      <c r="AE36" s="11"/>
      <c r="AF36" s="7"/>
      <c r="AG36" s="12"/>
      <c r="AH36" s="7"/>
      <c r="AI36" s="8"/>
      <c r="AJ36" s="11"/>
      <c r="AK36" s="7"/>
      <c r="AL36" s="11"/>
      <c r="AM36" s="20"/>
      <c r="AP36" s="6"/>
    </row>
    <row r="37" spans="1:42" ht="15" x14ac:dyDescent="0.2">
      <c r="A37" s="7"/>
      <c r="B37" s="18"/>
      <c r="C37" s="18"/>
      <c r="D37" s="18" t="s">
        <v>138</v>
      </c>
      <c r="E37" s="7"/>
      <c r="F37" s="3"/>
      <c r="G37" s="9"/>
      <c r="H37" s="7"/>
      <c r="I37" s="3"/>
      <c r="J37" s="4"/>
      <c r="K37" s="7" t="s">
        <v>148</v>
      </c>
      <c r="L37" s="3" t="s">
        <v>11</v>
      </c>
      <c r="M37" s="5"/>
      <c r="N37" s="7"/>
      <c r="O37" s="3" t="str">
        <f t="shared" si="16"/>
        <v>%</v>
      </c>
      <c r="P37" s="5"/>
      <c r="Q37" s="7"/>
      <c r="R37" s="3" t="str">
        <f t="shared" si="17"/>
        <v>%</v>
      </c>
      <c r="S37" s="5"/>
      <c r="T37" s="7"/>
      <c r="U37" s="3" t="str">
        <f t="shared" si="18"/>
        <v>%</v>
      </c>
      <c r="V37" s="5"/>
      <c r="W37" s="7"/>
      <c r="X37" s="3" t="str">
        <f t="shared" si="19"/>
        <v>%</v>
      </c>
      <c r="Y37" s="5"/>
      <c r="Z37" s="12"/>
      <c r="AA37" s="7"/>
      <c r="AB37" s="12"/>
      <c r="AC37" s="7"/>
      <c r="AD37" s="8"/>
      <c r="AE37" s="11"/>
      <c r="AF37" s="7"/>
      <c r="AG37" s="12"/>
      <c r="AH37" s="7"/>
      <c r="AI37" s="8"/>
      <c r="AJ37" s="11"/>
      <c r="AK37" s="7"/>
      <c r="AL37" s="11"/>
      <c r="AM37" s="20"/>
      <c r="AP37" s="6"/>
    </row>
    <row r="38" spans="1:42" ht="15" x14ac:dyDescent="0.2">
      <c r="A38" s="7"/>
      <c r="B38" s="18"/>
      <c r="C38" s="18"/>
      <c r="D38" s="18" t="s">
        <v>139</v>
      </c>
      <c r="E38" s="7"/>
      <c r="F38" s="3"/>
      <c r="G38" s="9"/>
      <c r="H38" s="7"/>
      <c r="I38" s="3"/>
      <c r="J38" s="4"/>
      <c r="K38" s="7" t="s">
        <v>149</v>
      </c>
      <c r="L38" s="3" t="s">
        <v>11</v>
      </c>
      <c r="M38" s="5"/>
      <c r="N38" s="7"/>
      <c r="O38" s="3" t="str">
        <f t="shared" si="16"/>
        <v>%</v>
      </c>
      <c r="P38" s="5"/>
      <c r="Q38" s="7"/>
      <c r="R38" s="3" t="str">
        <f t="shared" si="17"/>
        <v>%</v>
      </c>
      <c r="S38" s="5"/>
      <c r="T38" s="7"/>
      <c r="U38" s="3" t="str">
        <f t="shared" si="18"/>
        <v>%</v>
      </c>
      <c r="V38" s="5"/>
      <c r="W38" s="7"/>
      <c r="X38" s="3" t="str">
        <f t="shared" si="19"/>
        <v>%</v>
      </c>
      <c r="Y38" s="5"/>
      <c r="Z38" s="12"/>
      <c r="AA38" s="7"/>
      <c r="AB38" s="12"/>
      <c r="AC38" s="7"/>
      <c r="AD38" s="8"/>
      <c r="AE38" s="11"/>
      <c r="AF38" s="7"/>
      <c r="AG38" s="12"/>
      <c r="AH38" s="7"/>
      <c r="AI38" s="8"/>
      <c r="AJ38" s="11"/>
      <c r="AK38" s="7"/>
      <c r="AL38" s="11"/>
      <c r="AM38" s="20"/>
      <c r="AP38" s="6"/>
    </row>
    <row r="39" spans="1:42" ht="15" x14ac:dyDescent="0.2">
      <c r="A39" s="7"/>
      <c r="B39" s="18"/>
      <c r="C39" s="18"/>
      <c r="D39" s="18" t="s">
        <v>140</v>
      </c>
      <c r="E39" s="7"/>
      <c r="F39" s="3"/>
      <c r="G39" s="9"/>
      <c r="H39" s="7"/>
      <c r="I39" s="3"/>
      <c r="J39" s="4"/>
      <c r="K39" s="7">
        <v>6</v>
      </c>
      <c r="L39" s="3" t="s">
        <v>11</v>
      </c>
      <c r="M39" s="5"/>
      <c r="N39" s="7"/>
      <c r="O39" s="3" t="str">
        <f t="shared" si="16"/>
        <v>%</v>
      </c>
      <c r="P39" s="5"/>
      <c r="Q39" s="7"/>
      <c r="R39" s="3" t="str">
        <f t="shared" si="17"/>
        <v>%</v>
      </c>
      <c r="S39" s="5"/>
      <c r="T39" s="7"/>
      <c r="U39" s="3" t="str">
        <f t="shared" si="18"/>
        <v>%</v>
      </c>
      <c r="V39" s="5"/>
      <c r="W39" s="7"/>
      <c r="X39" s="3" t="str">
        <f t="shared" si="19"/>
        <v>%</v>
      </c>
      <c r="Y39" s="5"/>
      <c r="Z39" s="12"/>
      <c r="AA39" s="7"/>
      <c r="AB39" s="12"/>
      <c r="AC39" s="7"/>
      <c r="AD39" s="8"/>
      <c r="AE39" s="11"/>
      <c r="AF39" s="7"/>
      <c r="AG39" s="12"/>
      <c r="AH39" s="7"/>
      <c r="AI39" s="8"/>
      <c r="AJ39" s="11"/>
      <c r="AK39" s="7"/>
      <c r="AL39" s="11"/>
      <c r="AM39" s="20"/>
      <c r="AP39" s="6"/>
    </row>
    <row r="40" spans="1:42" ht="15" x14ac:dyDescent="0.2">
      <c r="A40" s="7"/>
      <c r="B40" s="18"/>
      <c r="C40" s="18"/>
      <c r="D40" s="18" t="s">
        <v>141</v>
      </c>
      <c r="E40" s="7"/>
      <c r="F40" s="3"/>
      <c r="G40" s="9"/>
      <c r="H40" s="7"/>
      <c r="I40" s="3"/>
      <c r="J40" s="4"/>
      <c r="K40" s="7" t="s">
        <v>150</v>
      </c>
      <c r="L40" s="3" t="s">
        <v>11</v>
      </c>
      <c r="M40" s="5"/>
      <c r="N40" s="7"/>
      <c r="O40" s="3" t="str">
        <f t="shared" si="16"/>
        <v>%</v>
      </c>
      <c r="P40" s="5"/>
      <c r="Q40" s="7"/>
      <c r="R40" s="3" t="str">
        <f t="shared" si="17"/>
        <v>%</v>
      </c>
      <c r="S40" s="5"/>
      <c r="T40" s="7"/>
      <c r="U40" s="3" t="str">
        <f t="shared" si="18"/>
        <v>%</v>
      </c>
      <c r="V40" s="5"/>
      <c r="W40" s="7"/>
      <c r="X40" s="3" t="str">
        <f t="shared" si="19"/>
        <v>%</v>
      </c>
      <c r="Y40" s="5"/>
      <c r="Z40" s="12"/>
      <c r="AA40" s="7"/>
      <c r="AB40" s="12"/>
      <c r="AC40" s="7"/>
      <c r="AD40" s="8"/>
      <c r="AE40" s="11"/>
      <c r="AF40" s="7"/>
      <c r="AG40" s="12"/>
      <c r="AH40" s="7"/>
      <c r="AI40" s="8"/>
      <c r="AJ40" s="11"/>
      <c r="AK40" s="7"/>
      <c r="AL40" s="11"/>
      <c r="AM40" s="20"/>
      <c r="AP40" s="6"/>
    </row>
    <row r="41" spans="1:42" s="14" customFormat="1" ht="126.75" customHeight="1" x14ac:dyDescent="0.25">
      <c r="A41" s="7"/>
      <c r="B41" s="18"/>
      <c r="C41" s="18" t="s">
        <v>54</v>
      </c>
      <c r="D41" s="18" t="s">
        <v>168</v>
      </c>
      <c r="E41" s="7">
        <v>100</v>
      </c>
      <c r="F41" s="3" t="s">
        <v>11</v>
      </c>
      <c r="G41" s="5">
        <f>SUM(G42:G51)</f>
        <v>90612735996</v>
      </c>
      <c r="H41" s="7">
        <v>100</v>
      </c>
      <c r="I41" s="3" t="s">
        <v>11</v>
      </c>
      <c r="J41" s="5">
        <f>SUM(J42:J51)</f>
        <v>18901749676</v>
      </c>
      <c r="K41" s="7">
        <v>100</v>
      </c>
      <c r="L41" s="3" t="s">
        <v>11</v>
      </c>
      <c r="M41" s="5">
        <f>SUM(M42:M51)</f>
        <v>31691992648</v>
      </c>
      <c r="N41" s="11">
        <f>SUM(N42:N51)/SUM(K42:K51)*100</f>
        <v>96.888449171407373</v>
      </c>
      <c r="O41" s="3" t="str">
        <f>L41</f>
        <v>%</v>
      </c>
      <c r="P41" s="5">
        <f>SUM(P42:P51)</f>
        <v>1861012696</v>
      </c>
      <c r="Q41" s="11">
        <f>SUM(Q42:Q51)/SUM(N42:N51)*100</f>
        <v>4.8912488512202597</v>
      </c>
      <c r="R41" s="3" t="str">
        <f>L41</f>
        <v>%</v>
      </c>
      <c r="S41" s="5">
        <f>SUM(S42:S51)</f>
        <v>3164196928</v>
      </c>
      <c r="T41" s="7">
        <v>0</v>
      </c>
      <c r="U41" s="3" t="str">
        <f>O41</f>
        <v>%</v>
      </c>
      <c r="V41" s="5">
        <f>SUM(V42:V51)</f>
        <v>3396680014</v>
      </c>
      <c r="W41" s="7">
        <v>0</v>
      </c>
      <c r="X41" s="3" t="str">
        <f>R41</f>
        <v>%</v>
      </c>
      <c r="Y41" s="5">
        <f>SUM(Y42:Y51)</f>
        <v>4945055596</v>
      </c>
      <c r="Z41" s="12">
        <f t="shared" si="5"/>
        <v>101.77969802262763</v>
      </c>
      <c r="AA41" s="7" t="str">
        <f t="shared" si="6"/>
        <v>%</v>
      </c>
      <c r="AB41" s="12">
        <f t="shared" si="7"/>
        <v>101.77969802262763</v>
      </c>
      <c r="AC41" s="7" t="s">
        <v>11</v>
      </c>
      <c r="AD41" s="8">
        <f t="shared" si="8"/>
        <v>13366945234</v>
      </c>
      <c r="AE41" s="11">
        <f t="shared" si="9"/>
        <v>42.177673655504755</v>
      </c>
      <c r="AF41" s="7" t="s">
        <v>11</v>
      </c>
      <c r="AG41" s="12">
        <f t="shared" si="10"/>
        <v>201.77969802262763</v>
      </c>
      <c r="AH41" s="7" t="str">
        <f t="shared" si="11"/>
        <v>%</v>
      </c>
      <c r="AI41" s="8">
        <f t="shared" si="12"/>
        <v>32268694910</v>
      </c>
      <c r="AJ41" s="11"/>
      <c r="AK41" s="7" t="s">
        <v>11</v>
      </c>
      <c r="AL41" s="11"/>
      <c r="AM41" s="20"/>
      <c r="AP41" s="15"/>
    </row>
    <row r="42" spans="1:42" ht="15" x14ac:dyDescent="0.2">
      <c r="A42" s="7"/>
      <c r="B42" s="18"/>
      <c r="C42" s="18" t="s">
        <v>18</v>
      </c>
      <c r="D42" s="18" t="s">
        <v>105</v>
      </c>
      <c r="E42" s="7">
        <f>2+3+3</f>
        <v>8</v>
      </c>
      <c r="F42" s="3" t="s">
        <v>104</v>
      </c>
      <c r="G42" s="5">
        <f>M42+350000000*2</f>
        <v>1005150000</v>
      </c>
      <c r="H42" s="7">
        <v>1</v>
      </c>
      <c r="I42" s="3" t="s">
        <v>104</v>
      </c>
      <c r="J42" s="5">
        <v>181329000</v>
      </c>
      <c r="K42" s="7">
        <v>2</v>
      </c>
      <c r="L42" s="3" t="s">
        <v>104</v>
      </c>
      <c r="M42" s="5">
        <v>305150000</v>
      </c>
      <c r="N42" s="7">
        <v>0</v>
      </c>
      <c r="O42" s="3" t="str">
        <f t="shared" ref="O42:O103" si="20">L42</f>
        <v>Unit</v>
      </c>
      <c r="P42" s="5">
        <v>50139000</v>
      </c>
      <c r="Q42" s="7">
        <v>0</v>
      </c>
      <c r="R42" s="3" t="str">
        <f t="shared" ref="R42:R103" si="21">L42</f>
        <v>Unit</v>
      </c>
      <c r="S42" s="5">
        <v>0</v>
      </c>
      <c r="T42" s="7">
        <v>1</v>
      </c>
      <c r="U42" s="3" t="str">
        <f>O42</f>
        <v>Unit</v>
      </c>
      <c r="V42" s="5">
        <v>136948500</v>
      </c>
      <c r="W42" s="7">
        <v>1</v>
      </c>
      <c r="X42" s="3" t="str">
        <f>R42</f>
        <v>Unit</v>
      </c>
      <c r="Y42" s="5">
        <v>115143500</v>
      </c>
      <c r="Z42" s="12">
        <f t="shared" si="5"/>
        <v>2</v>
      </c>
      <c r="AA42" s="7" t="str">
        <f t="shared" si="6"/>
        <v>Unit</v>
      </c>
      <c r="AB42" s="12">
        <f t="shared" si="7"/>
        <v>100</v>
      </c>
      <c r="AC42" s="7" t="s">
        <v>11</v>
      </c>
      <c r="AD42" s="8">
        <f t="shared" si="8"/>
        <v>302231000</v>
      </c>
      <c r="AE42" s="11">
        <f t="shared" si="9"/>
        <v>99.043421268228741</v>
      </c>
      <c r="AF42" s="7" t="s">
        <v>11</v>
      </c>
      <c r="AG42" s="11">
        <f t="shared" si="10"/>
        <v>3</v>
      </c>
      <c r="AH42" s="7" t="str">
        <f t="shared" si="11"/>
        <v>Unit</v>
      </c>
      <c r="AI42" s="8">
        <f t="shared" si="12"/>
        <v>483560000</v>
      </c>
      <c r="AJ42" s="11"/>
      <c r="AK42" s="7" t="s">
        <v>11</v>
      </c>
      <c r="AL42" s="11"/>
      <c r="AM42" s="20"/>
      <c r="AP42" s="6"/>
    </row>
    <row r="43" spans="1:42" ht="15" x14ac:dyDescent="0.2">
      <c r="A43" s="7"/>
      <c r="B43" s="18"/>
      <c r="C43" s="18" t="s">
        <v>56</v>
      </c>
      <c r="D43" s="18" t="s">
        <v>160</v>
      </c>
      <c r="E43" s="7">
        <f>8+13+13</f>
        <v>34</v>
      </c>
      <c r="F43" s="3" t="s">
        <v>12</v>
      </c>
      <c r="G43" s="9">
        <v>3364400000</v>
      </c>
      <c r="H43" s="12">
        <v>19</v>
      </c>
      <c r="I43" s="3" t="s">
        <v>12</v>
      </c>
      <c r="J43" s="4">
        <v>2257158276</v>
      </c>
      <c r="K43" s="7">
        <v>8</v>
      </c>
      <c r="L43" s="3" t="s">
        <v>12</v>
      </c>
      <c r="M43" s="5">
        <v>1136810000</v>
      </c>
      <c r="N43" s="7">
        <v>3</v>
      </c>
      <c r="O43" s="3" t="str">
        <f t="shared" si="20"/>
        <v>Paket</v>
      </c>
      <c r="P43" s="5">
        <v>80709000</v>
      </c>
      <c r="Q43" s="7">
        <v>2</v>
      </c>
      <c r="R43" s="3" t="str">
        <f t="shared" si="21"/>
        <v>Paket</v>
      </c>
      <c r="S43" s="5">
        <f>608255000-P43</f>
        <v>527546000</v>
      </c>
      <c r="T43" s="7">
        <v>3</v>
      </c>
      <c r="U43" s="3" t="str">
        <f t="shared" ref="U43:U103" si="22">O43</f>
        <v>Paket</v>
      </c>
      <c r="V43" s="5">
        <v>384688000</v>
      </c>
      <c r="W43" s="7">
        <v>0</v>
      </c>
      <c r="X43" s="3" t="str">
        <f t="shared" ref="X43:X103" si="23">R43</f>
        <v>Paket</v>
      </c>
      <c r="Y43" s="5">
        <v>128556800</v>
      </c>
      <c r="Z43" s="12">
        <f t="shared" si="5"/>
        <v>8</v>
      </c>
      <c r="AA43" s="7" t="str">
        <f t="shared" si="6"/>
        <v>Paket</v>
      </c>
      <c r="AB43" s="12">
        <f t="shared" si="7"/>
        <v>100</v>
      </c>
      <c r="AC43" s="7" t="s">
        <v>11</v>
      </c>
      <c r="AD43" s="8">
        <f t="shared" si="8"/>
        <v>1121499800</v>
      </c>
      <c r="AE43" s="11">
        <f t="shared" si="9"/>
        <v>98.653231410701878</v>
      </c>
      <c r="AF43" s="7" t="s">
        <v>11</v>
      </c>
      <c r="AG43" s="12">
        <f t="shared" si="10"/>
        <v>27</v>
      </c>
      <c r="AH43" s="7" t="str">
        <f t="shared" si="11"/>
        <v>Paket</v>
      </c>
      <c r="AI43" s="8">
        <f t="shared" si="12"/>
        <v>3378658076</v>
      </c>
      <c r="AJ43" s="11"/>
      <c r="AK43" s="7" t="s">
        <v>11</v>
      </c>
      <c r="AL43" s="11"/>
      <c r="AM43" s="20"/>
      <c r="AP43" s="6"/>
    </row>
    <row r="44" spans="1:42" ht="15" x14ac:dyDescent="0.2">
      <c r="A44" s="7"/>
      <c r="B44" s="18"/>
      <c r="C44" s="18" t="s">
        <v>57</v>
      </c>
      <c r="D44" s="18" t="s">
        <v>161</v>
      </c>
      <c r="E44" s="7">
        <f>9+12+12</f>
        <v>33</v>
      </c>
      <c r="F44" s="3" t="s">
        <v>121</v>
      </c>
      <c r="G44" s="9">
        <v>3209453000</v>
      </c>
      <c r="H44" s="12">
        <v>18</v>
      </c>
      <c r="I44" s="3" t="s">
        <v>121</v>
      </c>
      <c r="J44" s="4">
        <f>'[1]Dinas Pendidikan'!$AD$75+'[1]Dinas Pendidikan'!$AD$77</f>
        <v>3459987000</v>
      </c>
      <c r="K44" s="7">
        <v>9</v>
      </c>
      <c r="L44" s="3" t="s">
        <v>121</v>
      </c>
      <c r="M44" s="5">
        <v>1763118000</v>
      </c>
      <c r="N44" s="7">
        <v>0</v>
      </c>
      <c r="O44" s="3" t="str">
        <f t="shared" si="20"/>
        <v>Ruang</v>
      </c>
      <c r="P44" s="5">
        <v>0</v>
      </c>
      <c r="Q44" s="7">
        <v>0</v>
      </c>
      <c r="R44" s="3" t="str">
        <f t="shared" si="21"/>
        <v>Ruang</v>
      </c>
      <c r="S44" s="5">
        <v>132862000</v>
      </c>
      <c r="T44" s="7">
        <v>2</v>
      </c>
      <c r="U44" s="3" t="str">
        <f t="shared" si="22"/>
        <v>Ruang</v>
      </c>
      <c r="V44" s="5">
        <v>600039600</v>
      </c>
      <c r="W44" s="7">
        <v>7</v>
      </c>
      <c r="X44" s="3" t="str">
        <f t="shared" si="23"/>
        <v>Ruang</v>
      </c>
      <c r="Y44" s="5">
        <v>1019575000</v>
      </c>
      <c r="Z44" s="12">
        <f t="shared" si="5"/>
        <v>9</v>
      </c>
      <c r="AA44" s="7" t="str">
        <f t="shared" si="6"/>
        <v>Ruang</v>
      </c>
      <c r="AB44" s="12">
        <f t="shared" si="7"/>
        <v>100</v>
      </c>
      <c r="AC44" s="7" t="s">
        <v>11</v>
      </c>
      <c r="AD44" s="8">
        <f t="shared" si="8"/>
        <v>1752476600</v>
      </c>
      <c r="AE44" s="11">
        <f t="shared" si="9"/>
        <v>99.396444253872971</v>
      </c>
      <c r="AF44" s="7" t="s">
        <v>11</v>
      </c>
      <c r="AG44" s="12">
        <f t="shared" si="10"/>
        <v>27</v>
      </c>
      <c r="AH44" s="7" t="str">
        <f t="shared" si="11"/>
        <v>Ruang</v>
      </c>
      <c r="AI44" s="8">
        <f t="shared" si="12"/>
        <v>5212463600</v>
      </c>
      <c r="AJ44" s="11"/>
      <c r="AK44" s="7" t="s">
        <v>11</v>
      </c>
      <c r="AL44" s="11"/>
      <c r="AM44" s="20"/>
      <c r="AP44" s="6"/>
    </row>
    <row r="45" spans="1:42" ht="15" x14ac:dyDescent="0.2">
      <c r="A45" s="7"/>
      <c r="B45" s="18"/>
      <c r="C45" s="18" t="s">
        <v>58</v>
      </c>
      <c r="D45" s="18" t="s">
        <v>162</v>
      </c>
      <c r="E45" s="7">
        <f>3+5+5</f>
        <v>13</v>
      </c>
      <c r="F45" s="3" t="s">
        <v>12</v>
      </c>
      <c r="G45" s="9">
        <v>795000000</v>
      </c>
      <c r="H45" s="12">
        <v>4</v>
      </c>
      <c r="I45" s="3" t="s">
        <v>12</v>
      </c>
      <c r="J45" s="4">
        <v>85000000</v>
      </c>
      <c r="K45" s="7">
        <v>3</v>
      </c>
      <c r="L45" s="3" t="s">
        <v>12</v>
      </c>
      <c r="M45" s="5">
        <v>195700000</v>
      </c>
      <c r="N45" s="7">
        <v>0</v>
      </c>
      <c r="O45" s="3" t="str">
        <f t="shared" si="20"/>
        <v>Paket</v>
      </c>
      <c r="P45" s="5">
        <v>0</v>
      </c>
      <c r="Q45" s="7">
        <v>0</v>
      </c>
      <c r="R45" s="3" t="str">
        <f t="shared" si="21"/>
        <v>Paket</v>
      </c>
      <c r="S45" s="5">
        <v>0</v>
      </c>
      <c r="T45" s="7">
        <v>0</v>
      </c>
      <c r="U45" s="3" t="str">
        <f t="shared" si="22"/>
        <v>Paket</v>
      </c>
      <c r="V45" s="5">
        <v>0</v>
      </c>
      <c r="W45" s="7">
        <v>3</v>
      </c>
      <c r="X45" s="3" t="str">
        <f t="shared" si="23"/>
        <v>Paket</v>
      </c>
      <c r="Y45" s="5">
        <v>194402000</v>
      </c>
      <c r="Z45" s="12">
        <f t="shared" si="5"/>
        <v>3</v>
      </c>
      <c r="AA45" s="7" t="str">
        <f t="shared" si="6"/>
        <v>Paket</v>
      </c>
      <c r="AB45" s="12">
        <f t="shared" si="7"/>
        <v>100</v>
      </c>
      <c r="AC45" s="7" t="s">
        <v>11</v>
      </c>
      <c r="AD45" s="8">
        <f t="shared" si="8"/>
        <v>194402000</v>
      </c>
      <c r="AE45" s="11">
        <f t="shared" si="9"/>
        <v>99.33673990802248</v>
      </c>
      <c r="AF45" s="7" t="s">
        <v>11</v>
      </c>
      <c r="AG45" s="12">
        <f t="shared" si="10"/>
        <v>7</v>
      </c>
      <c r="AH45" s="7" t="str">
        <f t="shared" si="11"/>
        <v>Paket</v>
      </c>
      <c r="AI45" s="8">
        <f t="shared" si="12"/>
        <v>279402000</v>
      </c>
      <c r="AJ45" s="11"/>
      <c r="AK45" s="7" t="s">
        <v>11</v>
      </c>
      <c r="AL45" s="11"/>
      <c r="AM45" s="20"/>
      <c r="AP45" s="6"/>
    </row>
    <row r="46" spans="1:42" ht="15" x14ac:dyDescent="0.2">
      <c r="A46" s="7"/>
      <c r="B46" s="18"/>
      <c r="C46" s="18" t="s">
        <v>174</v>
      </c>
      <c r="D46" s="18" t="s">
        <v>175</v>
      </c>
      <c r="E46" s="7">
        <v>2</v>
      </c>
      <c r="F46" s="3" t="s">
        <v>12</v>
      </c>
      <c r="G46" s="5">
        <f>M46*2</f>
        <v>401800000</v>
      </c>
      <c r="H46" s="7">
        <v>1</v>
      </c>
      <c r="I46" s="3" t="s">
        <v>12</v>
      </c>
      <c r="J46" s="4">
        <v>399514400</v>
      </c>
      <c r="K46" s="7">
        <v>1</v>
      </c>
      <c r="L46" s="3" t="s">
        <v>12</v>
      </c>
      <c r="M46" s="5">
        <v>200900000</v>
      </c>
      <c r="N46" s="7">
        <v>0</v>
      </c>
      <c r="O46" s="3" t="str">
        <f t="shared" si="20"/>
        <v>Paket</v>
      </c>
      <c r="P46" s="5">
        <v>0</v>
      </c>
      <c r="Q46" s="7">
        <v>0</v>
      </c>
      <c r="R46" s="3" t="str">
        <f t="shared" si="21"/>
        <v>Paket</v>
      </c>
      <c r="S46" s="5">
        <v>0</v>
      </c>
      <c r="T46" s="7">
        <v>1</v>
      </c>
      <c r="U46" s="3" t="str">
        <f t="shared" si="22"/>
        <v>Paket</v>
      </c>
      <c r="V46" s="5">
        <v>197604000</v>
      </c>
      <c r="W46" s="7">
        <v>0</v>
      </c>
      <c r="X46" s="3" t="str">
        <f t="shared" si="23"/>
        <v>Paket</v>
      </c>
      <c r="Y46" s="5">
        <v>900000</v>
      </c>
      <c r="Z46" s="12">
        <f t="shared" si="5"/>
        <v>1</v>
      </c>
      <c r="AA46" s="7" t="str">
        <f t="shared" si="6"/>
        <v>Paket</v>
      </c>
      <c r="AB46" s="12">
        <f t="shared" si="7"/>
        <v>100</v>
      </c>
      <c r="AC46" s="7" t="s">
        <v>11</v>
      </c>
      <c r="AD46" s="8">
        <f t="shared" si="8"/>
        <v>198504000</v>
      </c>
      <c r="AE46" s="11">
        <f t="shared" si="9"/>
        <v>98.807366849178692</v>
      </c>
      <c r="AF46" s="7" t="s">
        <v>11</v>
      </c>
      <c r="AG46" s="12">
        <f t="shared" si="10"/>
        <v>2</v>
      </c>
      <c r="AH46" s="7" t="str">
        <f t="shared" si="11"/>
        <v>Paket</v>
      </c>
      <c r="AI46" s="8">
        <f t="shared" si="12"/>
        <v>598018400</v>
      </c>
      <c r="AJ46" s="11"/>
      <c r="AK46" s="7" t="s">
        <v>11</v>
      </c>
      <c r="AL46" s="11"/>
      <c r="AM46" s="20"/>
      <c r="AP46" s="6"/>
    </row>
    <row r="47" spans="1:42" ht="15" x14ac:dyDescent="0.2">
      <c r="A47" s="7"/>
      <c r="B47" s="18"/>
      <c r="C47" s="18" t="s">
        <v>59</v>
      </c>
      <c r="D47" s="18" t="s">
        <v>106</v>
      </c>
      <c r="E47" s="7">
        <f>5+1+1</f>
        <v>7</v>
      </c>
      <c r="F47" s="3" t="s">
        <v>12</v>
      </c>
      <c r="G47" s="9">
        <f>M47+165000000+165000000</f>
        <v>1732120000</v>
      </c>
      <c r="H47" s="12">
        <v>16</v>
      </c>
      <c r="I47" s="3" t="s">
        <v>12</v>
      </c>
      <c r="J47" s="4">
        <v>446200000</v>
      </c>
      <c r="K47" s="7">
        <v>5</v>
      </c>
      <c r="L47" s="3" t="s">
        <v>12</v>
      </c>
      <c r="M47" s="5">
        <v>1402120000</v>
      </c>
      <c r="N47" s="7">
        <v>0</v>
      </c>
      <c r="O47" s="3" t="str">
        <f t="shared" si="20"/>
        <v>Paket</v>
      </c>
      <c r="P47" s="5">
        <v>0</v>
      </c>
      <c r="Q47" s="7">
        <v>0</v>
      </c>
      <c r="R47" s="3" t="str">
        <f t="shared" si="21"/>
        <v>Paket</v>
      </c>
      <c r="S47" s="5">
        <v>0</v>
      </c>
      <c r="T47" s="7">
        <v>0</v>
      </c>
      <c r="U47" s="3" t="str">
        <f t="shared" si="22"/>
        <v>Paket</v>
      </c>
      <c r="V47" s="5">
        <v>0</v>
      </c>
      <c r="W47" s="7">
        <v>5</v>
      </c>
      <c r="X47" s="3" t="str">
        <f t="shared" si="23"/>
        <v>Paket</v>
      </c>
      <c r="Y47" s="5">
        <v>1360952000</v>
      </c>
      <c r="Z47" s="12">
        <f t="shared" si="5"/>
        <v>5</v>
      </c>
      <c r="AA47" s="7" t="str">
        <f t="shared" si="6"/>
        <v>Paket</v>
      </c>
      <c r="AB47" s="12">
        <f t="shared" si="7"/>
        <v>100</v>
      </c>
      <c r="AC47" s="7" t="s">
        <v>11</v>
      </c>
      <c r="AD47" s="8">
        <f t="shared" si="8"/>
        <v>1360952000</v>
      </c>
      <c r="AE47" s="11">
        <f t="shared" si="9"/>
        <v>97.063874704019625</v>
      </c>
      <c r="AF47" s="7" t="s">
        <v>11</v>
      </c>
      <c r="AG47" s="12">
        <f t="shared" si="10"/>
        <v>21</v>
      </c>
      <c r="AH47" s="7" t="str">
        <f t="shared" si="11"/>
        <v>Paket</v>
      </c>
      <c r="AI47" s="8">
        <f t="shared" si="12"/>
        <v>1807152000</v>
      </c>
      <c r="AJ47" s="11"/>
      <c r="AK47" s="7" t="s">
        <v>11</v>
      </c>
      <c r="AL47" s="11"/>
      <c r="AM47" s="20"/>
      <c r="AP47" s="6"/>
    </row>
    <row r="48" spans="1:42" ht="15" x14ac:dyDescent="0.2">
      <c r="A48" s="7"/>
      <c r="B48" s="18"/>
      <c r="C48" s="18" t="s">
        <v>60</v>
      </c>
      <c r="D48" s="18" t="s">
        <v>163</v>
      </c>
      <c r="E48" s="7">
        <f>4+4+4</f>
        <v>12</v>
      </c>
      <c r="F48" s="3" t="s">
        <v>13</v>
      </c>
      <c r="G48" s="5">
        <v>2801914700</v>
      </c>
      <c r="H48" s="12">
        <v>1</v>
      </c>
      <c r="I48" s="3" t="s">
        <v>13</v>
      </c>
      <c r="J48" s="4">
        <v>300074000</v>
      </c>
      <c r="K48" s="7">
        <v>4</v>
      </c>
      <c r="L48" s="3" t="s">
        <v>13</v>
      </c>
      <c r="M48" s="5">
        <v>531288000</v>
      </c>
      <c r="N48" s="7">
        <v>0</v>
      </c>
      <c r="O48" s="3" t="str">
        <f t="shared" si="20"/>
        <v>Lomba</v>
      </c>
      <c r="P48" s="5">
        <v>5075000</v>
      </c>
      <c r="Q48" s="7">
        <v>2</v>
      </c>
      <c r="R48" s="3" t="str">
        <f t="shared" si="21"/>
        <v>Lomba</v>
      </c>
      <c r="S48" s="5">
        <f>287911000-P48</f>
        <v>282836000</v>
      </c>
      <c r="T48" s="7">
        <v>1</v>
      </c>
      <c r="U48" s="3" t="str">
        <f t="shared" si="22"/>
        <v>Lomba</v>
      </c>
      <c r="V48" s="5">
        <v>92544500</v>
      </c>
      <c r="W48" s="7">
        <v>1</v>
      </c>
      <c r="X48" s="3" t="str">
        <f t="shared" si="23"/>
        <v>Lomba</v>
      </c>
      <c r="Y48" s="5">
        <v>122495000</v>
      </c>
      <c r="Z48" s="12">
        <f t="shared" si="5"/>
        <v>4</v>
      </c>
      <c r="AA48" s="7" t="str">
        <f t="shared" si="6"/>
        <v>Lomba</v>
      </c>
      <c r="AB48" s="12">
        <f t="shared" si="7"/>
        <v>100</v>
      </c>
      <c r="AC48" s="7" t="s">
        <v>11</v>
      </c>
      <c r="AD48" s="8">
        <f t="shared" si="8"/>
        <v>502950500</v>
      </c>
      <c r="AE48" s="11">
        <f t="shared" si="9"/>
        <v>94.666263871948914</v>
      </c>
      <c r="AF48" s="7" t="s">
        <v>11</v>
      </c>
      <c r="AG48" s="12">
        <f t="shared" si="10"/>
        <v>5</v>
      </c>
      <c r="AH48" s="7" t="str">
        <f t="shared" si="11"/>
        <v>Lomba</v>
      </c>
      <c r="AI48" s="8">
        <f t="shared" si="12"/>
        <v>803024500</v>
      </c>
      <c r="AJ48" s="11"/>
      <c r="AK48" s="7" t="s">
        <v>11</v>
      </c>
      <c r="AL48" s="11"/>
      <c r="AM48" s="20"/>
      <c r="AP48" s="6"/>
    </row>
    <row r="49" spans="1:42" ht="15" x14ac:dyDescent="0.2">
      <c r="A49" s="7"/>
      <c r="B49" s="18"/>
      <c r="C49" s="18" t="s">
        <v>61</v>
      </c>
      <c r="D49" s="18" t="s">
        <v>164</v>
      </c>
      <c r="E49" s="17">
        <f>H49+954+954</f>
        <v>2861</v>
      </c>
      <c r="F49" s="3" t="s">
        <v>10</v>
      </c>
      <c r="G49" s="9">
        <f>M49+7461192000+M49</f>
        <v>22741032000</v>
      </c>
      <c r="H49" s="12">
        <v>953</v>
      </c>
      <c r="I49" s="3" t="s">
        <v>10</v>
      </c>
      <c r="J49" s="4">
        <v>6984000000</v>
      </c>
      <c r="K49" s="7">
        <v>953</v>
      </c>
      <c r="L49" s="3" t="s">
        <v>10</v>
      </c>
      <c r="M49" s="5">
        <v>7639920000</v>
      </c>
      <c r="N49" s="7">
        <v>953</v>
      </c>
      <c r="O49" s="3" t="str">
        <f>L49</f>
        <v>Org</v>
      </c>
      <c r="P49" s="5">
        <v>1725089696</v>
      </c>
      <c r="Q49" s="7">
        <v>954</v>
      </c>
      <c r="R49" s="3" t="str">
        <f t="shared" si="21"/>
        <v>Org</v>
      </c>
      <c r="S49" s="5">
        <f>3946042624-P49</f>
        <v>2220952928</v>
      </c>
      <c r="T49" s="12">
        <f>AVERAGE(954,950,947)</f>
        <v>950.33333333333337</v>
      </c>
      <c r="U49" s="3" t="str">
        <f t="shared" si="22"/>
        <v>Org</v>
      </c>
      <c r="V49" s="5">
        <v>1704726464</v>
      </c>
      <c r="W49" s="12">
        <f>AVERAGE(954,950,947)</f>
        <v>950.33333333333337</v>
      </c>
      <c r="X49" s="3" t="str">
        <f t="shared" si="23"/>
        <v>Org</v>
      </c>
      <c r="Y49" s="5">
        <v>1827589696</v>
      </c>
      <c r="Z49" s="12">
        <f>AVERAGE(N49,Q49,T49,W49)</f>
        <v>951.91666666666674</v>
      </c>
      <c r="AA49" s="7" t="str">
        <f t="shared" si="6"/>
        <v>Org</v>
      </c>
      <c r="AB49" s="11">
        <f t="shared" si="7"/>
        <v>99.886323889471853</v>
      </c>
      <c r="AC49" s="7" t="s">
        <v>11</v>
      </c>
      <c r="AD49" s="8">
        <f t="shared" si="8"/>
        <v>7478358784</v>
      </c>
      <c r="AE49" s="11">
        <f t="shared" si="9"/>
        <v>97.885302254473871</v>
      </c>
      <c r="AF49" s="7" t="s">
        <v>11</v>
      </c>
      <c r="AG49" s="12">
        <f t="shared" si="10"/>
        <v>1904.9166666666667</v>
      </c>
      <c r="AH49" s="7" t="str">
        <f t="shared" si="11"/>
        <v>Org</v>
      </c>
      <c r="AI49" s="8">
        <f t="shared" si="12"/>
        <v>14462358784</v>
      </c>
      <c r="AJ49" s="11"/>
      <c r="AK49" s="7" t="s">
        <v>11</v>
      </c>
      <c r="AL49" s="11"/>
      <c r="AM49" s="20"/>
      <c r="AP49" s="6"/>
    </row>
    <row r="50" spans="1:42" ht="135.75" customHeight="1" x14ac:dyDescent="0.2">
      <c r="A50" s="7"/>
      <c r="B50" s="18"/>
      <c r="C50" s="18" t="s">
        <v>62</v>
      </c>
      <c r="D50" s="18" t="s">
        <v>165</v>
      </c>
      <c r="E50" s="19">
        <f>K50*2</f>
        <v>1200</v>
      </c>
      <c r="F50" s="3" t="s">
        <v>10</v>
      </c>
      <c r="G50" s="9">
        <f>M50*2</f>
        <v>1499942700</v>
      </c>
      <c r="H50" s="12"/>
      <c r="I50" s="3"/>
      <c r="J50" s="4"/>
      <c r="K50" s="7">
        <v>600</v>
      </c>
      <c r="L50" s="3" t="s">
        <v>10</v>
      </c>
      <c r="M50" s="5">
        <v>749971350</v>
      </c>
      <c r="N50" s="7">
        <v>0</v>
      </c>
      <c r="O50" s="3" t="str">
        <f t="shared" si="20"/>
        <v>Org</v>
      </c>
      <c r="P50" s="5">
        <v>0</v>
      </c>
      <c r="Q50" s="7">
        <v>0</v>
      </c>
      <c r="R50" s="3" t="str">
        <f t="shared" si="21"/>
        <v>Org</v>
      </c>
      <c r="S50" s="5">
        <v>0</v>
      </c>
      <c r="T50" s="7">
        <v>150</v>
      </c>
      <c r="U50" s="3" t="str">
        <f t="shared" si="22"/>
        <v>Org</v>
      </c>
      <c r="V50" s="5">
        <v>280128950</v>
      </c>
      <c r="W50" s="7">
        <v>450</v>
      </c>
      <c r="X50" s="3" t="str">
        <f t="shared" si="23"/>
        <v>Org</v>
      </c>
      <c r="Y50" s="5">
        <v>175441600</v>
      </c>
      <c r="Z50" s="12">
        <f t="shared" si="5"/>
        <v>600</v>
      </c>
      <c r="AA50" s="7" t="str">
        <f t="shared" si="6"/>
        <v>Org</v>
      </c>
      <c r="AB50" s="12">
        <f t="shared" si="7"/>
        <v>100</v>
      </c>
      <c r="AC50" s="7" t="s">
        <v>11</v>
      </c>
      <c r="AD50" s="8">
        <f t="shared" si="8"/>
        <v>455570550</v>
      </c>
      <c r="AE50" s="11">
        <f t="shared" si="9"/>
        <v>60.74506046130962</v>
      </c>
      <c r="AF50" s="7" t="s">
        <v>11</v>
      </c>
      <c r="AG50" s="12">
        <f t="shared" si="10"/>
        <v>600</v>
      </c>
      <c r="AH50" s="7" t="str">
        <f t="shared" si="11"/>
        <v>Org</v>
      </c>
      <c r="AI50" s="8">
        <f t="shared" si="12"/>
        <v>455570550</v>
      </c>
      <c r="AJ50" s="11"/>
      <c r="AK50" s="7" t="s">
        <v>11</v>
      </c>
      <c r="AL50" s="11"/>
      <c r="AM50" s="20"/>
      <c r="AP50" s="6"/>
    </row>
    <row r="51" spans="1:42" ht="66" customHeight="1" x14ac:dyDescent="0.2">
      <c r="A51" s="7"/>
      <c r="B51" s="18"/>
      <c r="C51" s="18" t="s">
        <v>63</v>
      </c>
      <c r="D51" s="18" t="s">
        <v>166</v>
      </c>
      <c r="E51" s="17">
        <f>K51+18648+18668</f>
        <v>55946</v>
      </c>
      <c r="F51" s="3" t="s">
        <v>167</v>
      </c>
      <c r="G51" s="10">
        <f>M51+17527893000+M51</f>
        <v>53061923596</v>
      </c>
      <c r="H51" s="17">
        <v>18630</v>
      </c>
      <c r="I51" s="3" t="s">
        <v>167</v>
      </c>
      <c r="J51" s="4">
        <v>4788487000</v>
      </c>
      <c r="K51" s="17">
        <v>18630</v>
      </c>
      <c r="L51" s="3" t="s">
        <v>167</v>
      </c>
      <c r="M51" s="5">
        <v>17767015298</v>
      </c>
      <c r="N51" s="17">
        <v>18630</v>
      </c>
      <c r="O51" s="3" t="str">
        <f t="shared" si="20"/>
        <v>Siswa</v>
      </c>
      <c r="P51" s="5">
        <v>0</v>
      </c>
      <c r="Q51" s="7">
        <v>0</v>
      </c>
      <c r="R51" s="3" t="str">
        <f t="shared" si="21"/>
        <v>Siswa</v>
      </c>
      <c r="S51" s="5">
        <v>0</v>
      </c>
      <c r="T51" s="17">
        <v>18630</v>
      </c>
      <c r="U51" s="3" t="str">
        <f t="shared" si="22"/>
        <v>Siswa</v>
      </c>
      <c r="V51" s="5">
        <v>0</v>
      </c>
      <c r="W51" s="17">
        <v>18630</v>
      </c>
      <c r="X51" s="3" t="str">
        <f t="shared" si="23"/>
        <v>Siswa</v>
      </c>
      <c r="Y51" s="5">
        <v>0</v>
      </c>
      <c r="Z51" s="17">
        <f>AVERAGE(N51,T51,W51)</f>
        <v>18630</v>
      </c>
      <c r="AA51" s="7" t="str">
        <f t="shared" si="6"/>
        <v>Siswa</v>
      </c>
      <c r="AB51" s="12">
        <f t="shared" si="7"/>
        <v>100</v>
      </c>
      <c r="AC51" s="7" t="s">
        <v>11</v>
      </c>
      <c r="AD51" s="8">
        <f t="shared" si="8"/>
        <v>0</v>
      </c>
      <c r="AE51" s="11">
        <f t="shared" si="9"/>
        <v>0</v>
      </c>
      <c r="AF51" s="7" t="s">
        <v>11</v>
      </c>
      <c r="AG51" s="12">
        <f t="shared" si="10"/>
        <v>37260</v>
      </c>
      <c r="AH51" s="7" t="str">
        <f t="shared" si="11"/>
        <v>Siswa</v>
      </c>
      <c r="AI51" s="8">
        <f t="shared" si="12"/>
        <v>4788487000</v>
      </c>
      <c r="AJ51" s="11"/>
      <c r="AK51" s="7" t="s">
        <v>11</v>
      </c>
      <c r="AL51" s="11"/>
      <c r="AM51" s="20"/>
      <c r="AP51" s="6"/>
    </row>
    <row r="52" spans="1:42" s="14" customFormat="1" ht="137.25" customHeight="1" x14ac:dyDescent="0.25">
      <c r="A52" s="7"/>
      <c r="B52" s="18"/>
      <c r="C52" s="18" t="s">
        <v>72</v>
      </c>
      <c r="D52" s="18" t="s">
        <v>186</v>
      </c>
      <c r="E52" s="7">
        <v>100</v>
      </c>
      <c r="F52" s="3" t="s">
        <v>11</v>
      </c>
      <c r="G52" s="5">
        <f>SUM(G53:G65)</f>
        <v>34228281000</v>
      </c>
      <c r="H52" s="7">
        <v>100</v>
      </c>
      <c r="I52" s="3" t="s">
        <v>11</v>
      </c>
      <c r="J52" s="5">
        <f>SUM(J53:J65)</f>
        <v>10378781133</v>
      </c>
      <c r="K52" s="7">
        <v>100</v>
      </c>
      <c r="L52" s="3" t="s">
        <v>11</v>
      </c>
      <c r="M52" s="5">
        <f>SUM(M53:M65)</f>
        <v>12772395727</v>
      </c>
      <c r="N52" s="11">
        <f>SUM(N53:N62)/SUM(K53:K62)*100</f>
        <v>86.746987951807228</v>
      </c>
      <c r="O52" s="3" t="str">
        <f t="shared" si="20"/>
        <v>%</v>
      </c>
      <c r="P52" s="5">
        <f>SUM(P53:P65)</f>
        <v>389589696</v>
      </c>
      <c r="Q52" s="11">
        <f>SUM(Q53:Q62)/SUM(K53:K62)*100</f>
        <v>89.156626506024097</v>
      </c>
      <c r="R52" s="3" t="str">
        <f t="shared" si="21"/>
        <v>%</v>
      </c>
      <c r="S52" s="5">
        <f>SUM(S53:S65)</f>
        <v>1153915112</v>
      </c>
      <c r="T52" s="11">
        <f>SUM(T53:T62)/SUM(K53:K62)*100</f>
        <v>91.164658634538156</v>
      </c>
      <c r="U52" s="3" t="str">
        <f t="shared" si="22"/>
        <v>%</v>
      </c>
      <c r="V52" s="5">
        <f>SUM(V53:V65)</f>
        <v>1796710508</v>
      </c>
      <c r="W52" s="11">
        <f>SUM(W53:W62)/SUM(K53:K62)*100</f>
        <v>93.172690763052216</v>
      </c>
      <c r="X52" s="3" t="str">
        <f t="shared" si="23"/>
        <v>%</v>
      </c>
      <c r="Y52" s="5">
        <f>SUM(Y53:Y65)</f>
        <v>2952533526</v>
      </c>
      <c r="Z52" s="12">
        <f t="shared" si="5"/>
        <v>360.24096385542174</v>
      </c>
      <c r="AA52" s="7" t="str">
        <f t="shared" si="6"/>
        <v>%</v>
      </c>
      <c r="AB52" s="11">
        <f t="shared" si="7"/>
        <v>360.24096385542174</v>
      </c>
      <c r="AC52" s="7" t="s">
        <v>11</v>
      </c>
      <c r="AD52" s="8">
        <f t="shared" si="8"/>
        <v>6292748842</v>
      </c>
      <c r="AE52" s="11">
        <f t="shared" si="9"/>
        <v>49.268351658550202</v>
      </c>
      <c r="AF52" s="7" t="s">
        <v>11</v>
      </c>
      <c r="AG52" s="12">
        <f t="shared" si="10"/>
        <v>460.24096385542174</v>
      </c>
      <c r="AH52" s="7" t="str">
        <f t="shared" si="11"/>
        <v>%</v>
      </c>
      <c r="AI52" s="8">
        <f t="shared" si="12"/>
        <v>16671529975</v>
      </c>
      <c r="AJ52" s="11"/>
      <c r="AK52" s="7" t="s">
        <v>11</v>
      </c>
      <c r="AL52" s="11"/>
      <c r="AM52" s="20"/>
      <c r="AP52" s="15"/>
    </row>
    <row r="53" spans="1:42" ht="15" x14ac:dyDescent="0.2">
      <c r="A53" s="7"/>
      <c r="B53" s="18"/>
      <c r="C53" s="18" t="s">
        <v>18</v>
      </c>
      <c r="D53" s="18" t="s">
        <v>105</v>
      </c>
      <c r="E53" s="7">
        <f>K53*3</f>
        <v>3</v>
      </c>
      <c r="F53" s="3" t="s">
        <v>104</v>
      </c>
      <c r="G53" s="5">
        <v>1359800000</v>
      </c>
      <c r="H53" s="7">
        <v>0</v>
      </c>
      <c r="I53" s="3" t="s">
        <v>104</v>
      </c>
      <c r="J53" s="5"/>
      <c r="K53" s="7">
        <v>1</v>
      </c>
      <c r="L53" s="3" t="s">
        <v>104</v>
      </c>
      <c r="M53" s="5">
        <v>294905000</v>
      </c>
      <c r="N53" s="7">
        <v>0</v>
      </c>
      <c r="O53" s="3" t="str">
        <f t="shared" si="20"/>
        <v>Unit</v>
      </c>
      <c r="P53" s="5">
        <v>0</v>
      </c>
      <c r="Q53" s="7">
        <v>0</v>
      </c>
      <c r="R53" s="3" t="str">
        <f t="shared" si="21"/>
        <v>Unit</v>
      </c>
      <c r="S53" s="5">
        <v>0</v>
      </c>
      <c r="T53" s="7">
        <v>0</v>
      </c>
      <c r="U53" s="3" t="str">
        <f t="shared" si="22"/>
        <v>Unit</v>
      </c>
      <c r="V53" s="5">
        <v>128190500</v>
      </c>
      <c r="W53" s="7">
        <v>1</v>
      </c>
      <c r="X53" s="3" t="str">
        <f t="shared" si="23"/>
        <v>Unit</v>
      </c>
      <c r="Y53" s="5">
        <v>45690000</v>
      </c>
      <c r="Z53" s="12">
        <f t="shared" si="5"/>
        <v>1</v>
      </c>
      <c r="AA53" s="7" t="str">
        <f t="shared" si="6"/>
        <v>Unit</v>
      </c>
      <c r="AB53" s="12">
        <f t="shared" si="7"/>
        <v>100</v>
      </c>
      <c r="AC53" s="7" t="s">
        <v>11</v>
      </c>
      <c r="AD53" s="8">
        <f t="shared" si="8"/>
        <v>173880500</v>
      </c>
      <c r="AE53" s="11">
        <f t="shared" si="9"/>
        <v>58.961529984232207</v>
      </c>
      <c r="AF53" s="7" t="s">
        <v>11</v>
      </c>
      <c r="AG53" s="11">
        <f t="shared" si="10"/>
        <v>1</v>
      </c>
      <c r="AH53" s="7" t="str">
        <f t="shared" si="11"/>
        <v>Unit</v>
      </c>
      <c r="AI53" s="8">
        <f t="shared" si="12"/>
        <v>173880500</v>
      </c>
      <c r="AJ53" s="11"/>
      <c r="AK53" s="7" t="s">
        <v>11</v>
      </c>
      <c r="AL53" s="11"/>
      <c r="AM53" s="20"/>
      <c r="AP53" s="6"/>
    </row>
    <row r="54" spans="1:42" ht="15" x14ac:dyDescent="0.2">
      <c r="A54" s="7"/>
      <c r="B54" s="18"/>
      <c r="C54" s="18" t="s">
        <v>64</v>
      </c>
      <c r="D54" s="18" t="s">
        <v>155</v>
      </c>
      <c r="E54" s="7">
        <f>1+2+1</f>
        <v>4</v>
      </c>
      <c r="F54" s="3" t="s">
        <v>121</v>
      </c>
      <c r="G54" s="9">
        <v>1000000000</v>
      </c>
      <c r="H54" s="12">
        <v>0</v>
      </c>
      <c r="I54" s="3" t="s">
        <v>121</v>
      </c>
      <c r="J54" s="4"/>
      <c r="K54" s="7">
        <v>1</v>
      </c>
      <c r="L54" s="3" t="s">
        <v>121</v>
      </c>
      <c r="M54" s="5">
        <v>234850000</v>
      </c>
      <c r="N54" s="7">
        <v>0</v>
      </c>
      <c r="O54" s="3" t="str">
        <f t="shared" si="20"/>
        <v>Ruang</v>
      </c>
      <c r="P54" s="5">
        <v>0</v>
      </c>
      <c r="Q54" s="7">
        <v>0</v>
      </c>
      <c r="R54" s="3" t="str">
        <f t="shared" si="21"/>
        <v>Ruang</v>
      </c>
      <c r="S54" s="5">
        <v>7645000</v>
      </c>
      <c r="T54" s="7">
        <v>0</v>
      </c>
      <c r="U54" s="3" t="str">
        <f t="shared" si="22"/>
        <v>Ruang</v>
      </c>
      <c r="V54" s="5">
        <v>92331755</v>
      </c>
      <c r="W54" s="7">
        <v>1</v>
      </c>
      <c r="X54" s="3" t="str">
        <f t="shared" si="23"/>
        <v>Ruang</v>
      </c>
      <c r="Y54" s="5">
        <v>133550256</v>
      </c>
      <c r="Z54" s="12">
        <f t="shared" si="5"/>
        <v>1</v>
      </c>
      <c r="AA54" s="7" t="str">
        <f t="shared" si="6"/>
        <v>Ruang</v>
      </c>
      <c r="AB54" s="12">
        <f t="shared" si="7"/>
        <v>100</v>
      </c>
      <c r="AC54" s="7" t="s">
        <v>11</v>
      </c>
      <c r="AD54" s="8">
        <f t="shared" si="8"/>
        <v>233527011</v>
      </c>
      <c r="AE54" s="11">
        <f t="shared" si="9"/>
        <v>99.43666638279754</v>
      </c>
      <c r="AF54" s="7" t="s">
        <v>11</v>
      </c>
      <c r="AG54" s="12">
        <f t="shared" si="10"/>
        <v>1</v>
      </c>
      <c r="AH54" s="7" t="str">
        <f t="shared" si="11"/>
        <v>Ruang</v>
      </c>
      <c r="AI54" s="8">
        <f t="shared" si="12"/>
        <v>233527011</v>
      </c>
      <c r="AJ54" s="11"/>
      <c r="AK54" s="7" t="s">
        <v>11</v>
      </c>
      <c r="AL54" s="11"/>
      <c r="AM54" s="20"/>
      <c r="AP54" s="6"/>
    </row>
    <row r="55" spans="1:42" ht="105.75" customHeight="1" x14ac:dyDescent="0.2">
      <c r="A55" s="7"/>
      <c r="B55" s="18"/>
      <c r="C55" s="18" t="s">
        <v>122</v>
      </c>
      <c r="D55" s="18" t="s">
        <v>156</v>
      </c>
      <c r="E55" s="7">
        <v>9</v>
      </c>
      <c r="F55" s="3" t="s">
        <v>12</v>
      </c>
      <c r="G55" s="9">
        <v>1552050000</v>
      </c>
      <c r="H55" s="12">
        <v>6</v>
      </c>
      <c r="I55" s="3" t="s">
        <v>12</v>
      </c>
      <c r="J55" s="4">
        <v>1094590790</v>
      </c>
      <c r="K55" s="7">
        <v>4</v>
      </c>
      <c r="L55" s="3" t="s">
        <v>12</v>
      </c>
      <c r="M55" s="5">
        <v>862800000</v>
      </c>
      <c r="N55" s="7">
        <v>0</v>
      </c>
      <c r="O55" s="3" t="str">
        <f t="shared" si="20"/>
        <v>Paket</v>
      </c>
      <c r="P55" s="5">
        <v>0</v>
      </c>
      <c r="Q55" s="7">
        <v>1</v>
      </c>
      <c r="R55" s="3" t="str">
        <f t="shared" si="21"/>
        <v>Paket</v>
      </c>
      <c r="S55" s="5">
        <v>268402432</v>
      </c>
      <c r="T55" s="7">
        <v>2</v>
      </c>
      <c r="U55" s="3" t="str">
        <f t="shared" si="22"/>
        <v>Paket</v>
      </c>
      <c r="V55" s="5">
        <v>375726521</v>
      </c>
      <c r="W55" s="7">
        <v>1</v>
      </c>
      <c r="X55" s="3" t="str">
        <f t="shared" si="23"/>
        <v>Paket</v>
      </c>
      <c r="Y55" s="5">
        <v>129149040</v>
      </c>
      <c r="Z55" s="12">
        <f t="shared" si="5"/>
        <v>4</v>
      </c>
      <c r="AA55" s="7" t="str">
        <f t="shared" si="6"/>
        <v>Paket</v>
      </c>
      <c r="AB55" s="12">
        <f t="shared" si="7"/>
        <v>100</v>
      </c>
      <c r="AC55" s="7" t="s">
        <v>11</v>
      </c>
      <c r="AD55" s="8">
        <f t="shared" si="8"/>
        <v>773277993</v>
      </c>
      <c r="AE55" s="11">
        <f t="shared" si="9"/>
        <v>89.624245827538246</v>
      </c>
      <c r="AF55" s="7" t="s">
        <v>11</v>
      </c>
      <c r="AG55" s="12">
        <f t="shared" si="10"/>
        <v>10</v>
      </c>
      <c r="AH55" s="7" t="str">
        <f t="shared" si="11"/>
        <v>Paket</v>
      </c>
      <c r="AI55" s="8">
        <f t="shared" si="12"/>
        <v>1867868783</v>
      </c>
      <c r="AJ55" s="11"/>
      <c r="AK55" s="7" t="s">
        <v>11</v>
      </c>
      <c r="AL55" s="11"/>
      <c r="AM55" s="20"/>
      <c r="AP55" s="6"/>
    </row>
    <row r="56" spans="1:42" ht="93" customHeight="1" x14ac:dyDescent="0.2">
      <c r="A56" s="7"/>
      <c r="B56" s="18"/>
      <c r="C56" s="18" t="s">
        <v>65</v>
      </c>
      <c r="D56" s="18" t="s">
        <v>161</v>
      </c>
      <c r="E56" s="7">
        <f>14+7+7</f>
        <v>28</v>
      </c>
      <c r="F56" s="3" t="s">
        <v>121</v>
      </c>
      <c r="G56" s="9">
        <v>4734389550</v>
      </c>
      <c r="H56" s="12">
        <v>7</v>
      </c>
      <c r="I56" s="3" t="s">
        <v>121</v>
      </c>
      <c r="J56" s="4">
        <v>3211637300</v>
      </c>
      <c r="K56" s="7">
        <v>14</v>
      </c>
      <c r="L56" s="3" t="s">
        <v>121</v>
      </c>
      <c r="M56" s="5">
        <v>2071841550</v>
      </c>
      <c r="N56" s="7">
        <v>0</v>
      </c>
      <c r="O56" s="3" t="str">
        <f t="shared" si="20"/>
        <v>Ruang</v>
      </c>
      <c r="P56" s="5">
        <v>0</v>
      </c>
      <c r="Q56" s="7">
        <v>3</v>
      </c>
      <c r="R56" s="3" t="str">
        <f t="shared" si="21"/>
        <v>Ruang</v>
      </c>
      <c r="S56" s="5">
        <v>216120724</v>
      </c>
      <c r="T56" s="7">
        <v>2</v>
      </c>
      <c r="U56" s="3" t="str">
        <f t="shared" si="22"/>
        <v>Ruang</v>
      </c>
      <c r="V56" s="5">
        <v>553678167</v>
      </c>
      <c r="W56" s="7">
        <v>9</v>
      </c>
      <c r="X56" s="3" t="str">
        <f t="shared" si="23"/>
        <v>Ruang</v>
      </c>
      <c r="Y56" s="5">
        <v>1253168250</v>
      </c>
      <c r="Z56" s="12">
        <f t="shared" si="5"/>
        <v>14</v>
      </c>
      <c r="AA56" s="7" t="str">
        <f t="shared" si="6"/>
        <v>Ruang</v>
      </c>
      <c r="AB56" s="12">
        <f t="shared" si="7"/>
        <v>100</v>
      </c>
      <c r="AC56" s="7" t="s">
        <v>11</v>
      </c>
      <c r="AD56" s="8">
        <f t="shared" si="8"/>
        <v>2022967141</v>
      </c>
      <c r="AE56" s="11">
        <f t="shared" si="9"/>
        <v>97.641016080597481</v>
      </c>
      <c r="AF56" s="7" t="s">
        <v>11</v>
      </c>
      <c r="AG56" s="12">
        <f t="shared" si="10"/>
        <v>21</v>
      </c>
      <c r="AH56" s="7" t="str">
        <f t="shared" si="11"/>
        <v>Ruang</v>
      </c>
      <c r="AI56" s="8">
        <f t="shared" si="12"/>
        <v>5234604441</v>
      </c>
      <c r="AJ56" s="11"/>
      <c r="AK56" s="7" t="s">
        <v>11</v>
      </c>
      <c r="AL56" s="11"/>
      <c r="AM56" s="20"/>
      <c r="AP56" s="6"/>
    </row>
    <row r="57" spans="1:42" ht="15" x14ac:dyDescent="0.2">
      <c r="A57" s="7"/>
      <c r="B57" s="18"/>
      <c r="C57" s="18" t="s">
        <v>66</v>
      </c>
      <c r="D57" s="18" t="s">
        <v>169</v>
      </c>
      <c r="E57" s="7">
        <f>1+2</f>
        <v>3</v>
      </c>
      <c r="F57" s="3" t="s">
        <v>121</v>
      </c>
      <c r="G57" s="9">
        <f>M57+129935000*2</f>
        <v>359820000</v>
      </c>
      <c r="H57" s="7">
        <v>1</v>
      </c>
      <c r="I57" s="3" t="s">
        <v>121</v>
      </c>
      <c r="J57" s="4">
        <v>195825000</v>
      </c>
      <c r="K57" s="7">
        <v>1</v>
      </c>
      <c r="L57" s="3" t="s">
        <v>121</v>
      </c>
      <c r="M57" s="5">
        <v>99950000</v>
      </c>
      <c r="N57" s="7">
        <v>0</v>
      </c>
      <c r="O57" s="3" t="str">
        <f t="shared" si="20"/>
        <v>Ruang</v>
      </c>
      <c r="P57" s="5">
        <v>0</v>
      </c>
      <c r="Q57" s="7">
        <v>0</v>
      </c>
      <c r="R57" s="3" t="str">
        <f t="shared" si="21"/>
        <v>Ruang</v>
      </c>
      <c r="S57" s="5">
        <v>8426000</v>
      </c>
      <c r="T57" s="7">
        <v>1</v>
      </c>
      <c r="U57" s="3" t="str">
        <f t="shared" si="22"/>
        <v>Ruang</v>
      </c>
      <c r="V57" s="5">
        <v>89704120</v>
      </c>
      <c r="W57" s="7">
        <v>0</v>
      </c>
      <c r="X57" s="3" t="str">
        <f t="shared" si="23"/>
        <v>Ruang</v>
      </c>
      <c r="Y57" s="5">
        <v>900000</v>
      </c>
      <c r="Z57" s="12">
        <f t="shared" si="5"/>
        <v>1</v>
      </c>
      <c r="AA57" s="7" t="str">
        <f t="shared" si="6"/>
        <v>Ruang</v>
      </c>
      <c r="AB57" s="12">
        <f t="shared" si="7"/>
        <v>100</v>
      </c>
      <c r="AC57" s="7" t="s">
        <v>11</v>
      </c>
      <c r="AD57" s="8">
        <f t="shared" si="8"/>
        <v>99030120</v>
      </c>
      <c r="AE57" s="11">
        <f t="shared" si="9"/>
        <v>99.079659829914959</v>
      </c>
      <c r="AF57" s="7" t="s">
        <v>11</v>
      </c>
      <c r="AG57" s="12">
        <f t="shared" si="10"/>
        <v>2</v>
      </c>
      <c r="AH57" s="7" t="str">
        <f t="shared" si="11"/>
        <v>Ruang</v>
      </c>
      <c r="AI57" s="8">
        <f t="shared" si="12"/>
        <v>294855120</v>
      </c>
      <c r="AJ57" s="11"/>
      <c r="AK57" s="7" t="s">
        <v>11</v>
      </c>
      <c r="AL57" s="11"/>
      <c r="AM57" s="20"/>
      <c r="AP57" s="6"/>
    </row>
    <row r="58" spans="1:42" ht="64.5" customHeight="1" x14ac:dyDescent="0.2">
      <c r="A58" s="7"/>
      <c r="B58" s="18"/>
      <c r="C58" s="18" t="s">
        <v>67</v>
      </c>
      <c r="D58" s="18" t="s">
        <v>170</v>
      </c>
      <c r="E58" s="7">
        <f>1+2</f>
        <v>3</v>
      </c>
      <c r="F58" s="3" t="s">
        <v>12</v>
      </c>
      <c r="G58" s="9">
        <f>M58+112970000*2</f>
        <v>312840000</v>
      </c>
      <c r="H58" s="12">
        <v>0</v>
      </c>
      <c r="I58" s="3" t="s">
        <v>12</v>
      </c>
      <c r="J58" s="4"/>
      <c r="K58" s="7">
        <v>1</v>
      </c>
      <c r="L58" s="3" t="s">
        <v>12</v>
      </c>
      <c r="M58" s="5">
        <v>86900000</v>
      </c>
      <c r="N58" s="7">
        <v>0</v>
      </c>
      <c r="O58" s="3" t="str">
        <f t="shared" si="20"/>
        <v>Paket</v>
      </c>
      <c r="P58" s="5">
        <v>0</v>
      </c>
      <c r="Q58" s="7">
        <v>0</v>
      </c>
      <c r="R58" s="3" t="str">
        <f t="shared" si="21"/>
        <v>Paket</v>
      </c>
      <c r="S58" s="5">
        <v>27107253</v>
      </c>
      <c r="T58" s="7">
        <v>1</v>
      </c>
      <c r="U58" s="3" t="str">
        <f t="shared" si="22"/>
        <v>Paket</v>
      </c>
      <c r="V58" s="5">
        <v>58314925</v>
      </c>
      <c r="W58" s="7">
        <v>0</v>
      </c>
      <c r="X58" s="3" t="str">
        <f t="shared" si="23"/>
        <v>Paket</v>
      </c>
      <c r="Y58" s="5">
        <v>900000</v>
      </c>
      <c r="Z58" s="12">
        <f t="shared" si="5"/>
        <v>1</v>
      </c>
      <c r="AA58" s="7" t="str">
        <f t="shared" si="6"/>
        <v>Paket</v>
      </c>
      <c r="AB58" s="12">
        <f t="shared" si="7"/>
        <v>100</v>
      </c>
      <c r="AC58" s="7" t="s">
        <v>11</v>
      </c>
      <c r="AD58" s="8">
        <f t="shared" si="8"/>
        <v>86322178</v>
      </c>
      <c r="AE58" s="11">
        <f t="shared" si="9"/>
        <v>99.335072497123136</v>
      </c>
      <c r="AF58" s="7" t="s">
        <v>11</v>
      </c>
      <c r="AG58" s="12">
        <f t="shared" si="10"/>
        <v>1</v>
      </c>
      <c r="AH58" s="7" t="str">
        <f t="shared" si="11"/>
        <v>Paket</v>
      </c>
      <c r="AI58" s="8">
        <f t="shared" si="12"/>
        <v>86322178</v>
      </c>
      <c r="AJ58" s="11"/>
      <c r="AK58" s="7" t="s">
        <v>11</v>
      </c>
      <c r="AL58" s="11"/>
      <c r="AM58" s="20"/>
      <c r="AP58" s="6"/>
    </row>
    <row r="59" spans="1:42" ht="15" x14ac:dyDescent="0.2">
      <c r="A59" s="7"/>
      <c r="B59" s="18"/>
      <c r="C59" s="18" t="s">
        <v>68</v>
      </c>
      <c r="D59" s="18" t="s">
        <v>162</v>
      </c>
      <c r="E59" s="7">
        <f>2+4+6</f>
        <v>12</v>
      </c>
      <c r="F59" s="3" t="s">
        <v>12</v>
      </c>
      <c r="G59" s="9">
        <v>1428346450</v>
      </c>
      <c r="H59" s="12">
        <v>2</v>
      </c>
      <c r="I59" s="3" t="s">
        <v>12</v>
      </c>
      <c r="J59" s="4">
        <v>199752900</v>
      </c>
      <c r="K59" s="7">
        <v>2</v>
      </c>
      <c r="L59" s="3" t="s">
        <v>12</v>
      </c>
      <c r="M59" s="5">
        <v>357865450</v>
      </c>
      <c r="N59" s="7">
        <v>0</v>
      </c>
      <c r="O59" s="3" t="str">
        <f t="shared" si="20"/>
        <v>Paket</v>
      </c>
      <c r="P59" s="5">
        <v>0</v>
      </c>
      <c r="Q59" s="7">
        <v>1</v>
      </c>
      <c r="R59" s="3" t="str">
        <f t="shared" si="21"/>
        <v>Paket</v>
      </c>
      <c r="S59" s="5">
        <v>93961463</v>
      </c>
      <c r="T59" s="7">
        <v>0</v>
      </c>
      <c r="U59" s="3" t="str">
        <f t="shared" si="22"/>
        <v>Paket</v>
      </c>
      <c r="V59" s="5">
        <v>58558000</v>
      </c>
      <c r="W59" s="7">
        <v>1</v>
      </c>
      <c r="X59" s="3" t="str">
        <f t="shared" si="23"/>
        <v>Paket</v>
      </c>
      <c r="Y59" s="5">
        <v>196020000</v>
      </c>
      <c r="Z59" s="12">
        <f t="shared" si="5"/>
        <v>2</v>
      </c>
      <c r="AA59" s="7" t="str">
        <f t="shared" si="6"/>
        <v>Paket</v>
      </c>
      <c r="AB59" s="12">
        <f t="shared" si="7"/>
        <v>100</v>
      </c>
      <c r="AC59" s="7" t="s">
        <v>11</v>
      </c>
      <c r="AD59" s="8">
        <f t="shared" si="8"/>
        <v>348539463</v>
      </c>
      <c r="AE59" s="11">
        <f t="shared" si="9"/>
        <v>97.39399626312067</v>
      </c>
      <c r="AF59" s="7" t="s">
        <v>11</v>
      </c>
      <c r="AG59" s="12">
        <f t="shared" si="10"/>
        <v>4</v>
      </c>
      <c r="AH59" s="7" t="str">
        <f t="shared" si="11"/>
        <v>Paket</v>
      </c>
      <c r="AI59" s="8">
        <f t="shared" si="12"/>
        <v>548292363</v>
      </c>
      <c r="AJ59" s="11"/>
      <c r="AK59" s="7" t="s">
        <v>11</v>
      </c>
      <c r="AL59" s="11"/>
      <c r="AM59" s="20"/>
      <c r="AP59" s="6"/>
    </row>
    <row r="60" spans="1:42" ht="15" x14ac:dyDescent="0.2">
      <c r="A60" s="7"/>
      <c r="B60" s="18"/>
      <c r="C60" s="18" t="s">
        <v>59</v>
      </c>
      <c r="D60" s="18" t="s">
        <v>106</v>
      </c>
      <c r="E60" s="7">
        <f>K60+4</f>
        <v>7</v>
      </c>
      <c r="F60" s="3" t="s">
        <v>12</v>
      </c>
      <c r="G60" s="9">
        <f>M60+82000000+26540000+24770000+125000000</f>
        <v>965310000</v>
      </c>
      <c r="H60" s="12">
        <v>1</v>
      </c>
      <c r="I60" s="3" t="s">
        <v>12</v>
      </c>
      <c r="J60" s="4">
        <v>1518339400</v>
      </c>
      <c r="K60" s="7">
        <v>3</v>
      </c>
      <c r="L60" s="3" t="s">
        <v>12</v>
      </c>
      <c r="M60" s="5">
        <v>707000000</v>
      </c>
      <c r="N60" s="7">
        <v>0</v>
      </c>
      <c r="O60" s="3" t="str">
        <f t="shared" si="20"/>
        <v>Paket</v>
      </c>
      <c r="P60" s="5">
        <v>0</v>
      </c>
      <c r="Q60" s="7">
        <v>0</v>
      </c>
      <c r="R60" s="3" t="str">
        <f t="shared" si="21"/>
        <v>Paket</v>
      </c>
      <c r="S60" s="5">
        <v>0</v>
      </c>
      <c r="T60" s="7">
        <v>0</v>
      </c>
      <c r="U60" s="3" t="str">
        <f t="shared" si="22"/>
        <v>Paket</v>
      </c>
      <c r="V60" s="5">
        <v>0</v>
      </c>
      <c r="W60" s="7">
        <v>3</v>
      </c>
      <c r="X60" s="3" t="str">
        <f t="shared" si="23"/>
        <v>Paket</v>
      </c>
      <c r="Y60" s="5">
        <v>679397000</v>
      </c>
      <c r="Z60" s="12">
        <f t="shared" si="5"/>
        <v>3</v>
      </c>
      <c r="AA60" s="7" t="str">
        <f t="shared" si="6"/>
        <v>Paket</v>
      </c>
      <c r="AB60" s="12">
        <f t="shared" si="7"/>
        <v>100</v>
      </c>
      <c r="AC60" s="7" t="s">
        <v>11</v>
      </c>
      <c r="AD60" s="8">
        <f t="shared" si="8"/>
        <v>679397000</v>
      </c>
      <c r="AE60" s="11">
        <f t="shared" si="9"/>
        <v>96.095756718528989</v>
      </c>
      <c r="AF60" s="7" t="s">
        <v>11</v>
      </c>
      <c r="AG60" s="12">
        <f t="shared" si="10"/>
        <v>4</v>
      </c>
      <c r="AH60" s="7" t="str">
        <f t="shared" si="11"/>
        <v>Paket</v>
      </c>
      <c r="AI60" s="8">
        <f t="shared" si="12"/>
        <v>2197736400</v>
      </c>
      <c r="AJ60" s="11"/>
      <c r="AK60" s="7" t="s">
        <v>11</v>
      </c>
      <c r="AL60" s="11"/>
      <c r="AM60" s="20"/>
      <c r="AP60" s="6"/>
    </row>
    <row r="61" spans="1:42" ht="15" x14ac:dyDescent="0.2">
      <c r="A61" s="7"/>
      <c r="B61" s="18"/>
      <c r="C61" s="18" t="s">
        <v>60</v>
      </c>
      <c r="D61" s="18" t="s">
        <v>107</v>
      </c>
      <c r="E61" s="16">
        <f>K61*2</f>
        <v>12</v>
      </c>
      <c r="F61" s="3" t="s">
        <v>13</v>
      </c>
      <c r="G61" s="9">
        <v>1020320000</v>
      </c>
      <c r="H61" s="12"/>
      <c r="I61" s="3"/>
      <c r="J61" s="4"/>
      <c r="K61" s="7">
        <v>6</v>
      </c>
      <c r="L61" s="3" t="s">
        <v>13</v>
      </c>
      <c r="M61" s="5">
        <v>256035950</v>
      </c>
      <c r="N61" s="7">
        <v>0</v>
      </c>
      <c r="O61" s="3" t="str">
        <f t="shared" si="20"/>
        <v>Lomba</v>
      </c>
      <c r="P61" s="5">
        <v>0</v>
      </c>
      <c r="Q61" s="7">
        <v>1</v>
      </c>
      <c r="R61" s="3" t="str">
        <f t="shared" si="21"/>
        <v>Lomba</v>
      </c>
      <c r="S61" s="5">
        <v>5602300</v>
      </c>
      <c r="T61" s="7">
        <v>5</v>
      </c>
      <c r="U61" s="3" t="str">
        <f t="shared" si="22"/>
        <v>Lomba</v>
      </c>
      <c r="V61" s="5">
        <v>74462000</v>
      </c>
      <c r="W61" s="7">
        <v>0</v>
      </c>
      <c r="X61" s="3" t="str">
        <f t="shared" si="23"/>
        <v>Lomba</v>
      </c>
      <c r="Y61" s="5">
        <v>43524000</v>
      </c>
      <c r="Z61" s="12">
        <f t="shared" si="5"/>
        <v>6</v>
      </c>
      <c r="AA61" s="7" t="str">
        <f t="shared" si="6"/>
        <v>Lomba</v>
      </c>
      <c r="AB61" s="12">
        <f t="shared" si="7"/>
        <v>100</v>
      </c>
      <c r="AC61" s="7" t="s">
        <v>11</v>
      </c>
      <c r="AD61" s="8">
        <f t="shared" si="8"/>
        <v>123588300</v>
      </c>
      <c r="AE61" s="11">
        <f t="shared" si="9"/>
        <v>48.269901160364391</v>
      </c>
      <c r="AF61" s="7" t="s">
        <v>11</v>
      </c>
      <c r="AG61" s="12">
        <f t="shared" si="10"/>
        <v>6</v>
      </c>
      <c r="AH61" s="7" t="str">
        <f t="shared" si="11"/>
        <v>Lomba</v>
      </c>
      <c r="AI61" s="8">
        <f t="shared" si="12"/>
        <v>123588300</v>
      </c>
      <c r="AJ61" s="11"/>
      <c r="AK61" s="7" t="s">
        <v>11</v>
      </c>
      <c r="AL61" s="11"/>
      <c r="AM61" s="20"/>
      <c r="AP61" s="6"/>
    </row>
    <row r="62" spans="1:42" ht="15" x14ac:dyDescent="0.2">
      <c r="A62" s="7"/>
      <c r="B62" s="18"/>
      <c r="C62" s="18" t="s">
        <v>69</v>
      </c>
      <c r="D62" s="18" t="s">
        <v>164</v>
      </c>
      <c r="E62" s="7">
        <f>216*3</f>
        <v>648</v>
      </c>
      <c r="F62" s="3" t="s">
        <v>10</v>
      </c>
      <c r="G62" s="10">
        <f>M62*3</f>
        <v>4680288000</v>
      </c>
      <c r="H62" s="7">
        <v>216</v>
      </c>
      <c r="I62" s="3" t="s">
        <v>10</v>
      </c>
      <c r="J62" s="4">
        <v>1355000000</v>
      </c>
      <c r="K62" s="7">
        <v>216</v>
      </c>
      <c r="L62" s="3" t="s">
        <v>10</v>
      </c>
      <c r="M62" s="5">
        <v>1560096000</v>
      </c>
      <c r="N62" s="7">
        <v>216</v>
      </c>
      <c r="O62" s="3" t="str">
        <f t="shared" si="20"/>
        <v>Org</v>
      </c>
      <c r="P62" s="5">
        <v>389589696</v>
      </c>
      <c r="Q62" s="7">
        <v>216</v>
      </c>
      <c r="R62" s="3" t="str">
        <f t="shared" si="21"/>
        <v>Org</v>
      </c>
      <c r="S62" s="5">
        <f>904967136-P62</f>
        <v>515377440</v>
      </c>
      <c r="T62" s="7">
        <v>216</v>
      </c>
      <c r="U62" s="3" t="str">
        <f t="shared" si="22"/>
        <v>Org</v>
      </c>
      <c r="V62" s="5">
        <v>256438720</v>
      </c>
      <c r="W62" s="7">
        <v>216</v>
      </c>
      <c r="X62" s="3" t="str">
        <f t="shared" si="23"/>
        <v>Org</v>
      </c>
      <c r="Y62" s="5">
        <v>384658080</v>
      </c>
      <c r="Z62" s="12">
        <f>AVERAGE(N62,Q62,T62,W62)</f>
        <v>216</v>
      </c>
      <c r="AA62" s="7" t="str">
        <f t="shared" si="6"/>
        <v>Org</v>
      </c>
      <c r="AB62" s="12">
        <f t="shared" si="7"/>
        <v>100</v>
      </c>
      <c r="AC62" s="7" t="s">
        <v>11</v>
      </c>
      <c r="AD62" s="8">
        <f t="shared" si="8"/>
        <v>1546063936</v>
      </c>
      <c r="AE62" s="11">
        <f t="shared" si="9"/>
        <v>99.100564067852233</v>
      </c>
      <c r="AF62" s="7" t="s">
        <v>11</v>
      </c>
      <c r="AG62" s="12">
        <f t="shared" si="10"/>
        <v>432</v>
      </c>
      <c r="AH62" s="7" t="str">
        <f t="shared" si="11"/>
        <v>Org</v>
      </c>
      <c r="AI62" s="8">
        <f t="shared" si="12"/>
        <v>2901063936</v>
      </c>
      <c r="AJ62" s="11"/>
      <c r="AK62" s="7" t="s">
        <v>11</v>
      </c>
      <c r="AL62" s="11"/>
      <c r="AM62" s="20"/>
      <c r="AP62" s="6"/>
    </row>
    <row r="63" spans="1:42" ht="154.5" customHeight="1" x14ac:dyDescent="0.2">
      <c r="A63" s="7"/>
      <c r="B63" s="18"/>
      <c r="C63" s="18" t="s">
        <v>176</v>
      </c>
      <c r="D63" s="18" t="s">
        <v>157</v>
      </c>
      <c r="E63" s="7">
        <f>K63*2</f>
        <v>18</v>
      </c>
      <c r="F63" s="3" t="s">
        <v>10</v>
      </c>
      <c r="G63" s="5">
        <f>M63*2</f>
        <v>139590000</v>
      </c>
      <c r="H63" s="7">
        <v>9</v>
      </c>
      <c r="I63" s="3" t="s">
        <v>10</v>
      </c>
      <c r="J63" s="4"/>
      <c r="K63" s="7">
        <v>9</v>
      </c>
      <c r="L63" s="3" t="s">
        <v>10</v>
      </c>
      <c r="M63" s="5">
        <v>69795000</v>
      </c>
      <c r="N63" s="7">
        <v>0</v>
      </c>
      <c r="O63" s="3" t="str">
        <f t="shared" si="20"/>
        <v>Org</v>
      </c>
      <c r="P63" s="5">
        <v>0</v>
      </c>
      <c r="Q63" s="7">
        <v>0</v>
      </c>
      <c r="R63" s="3" t="str">
        <f t="shared" si="21"/>
        <v>Org</v>
      </c>
      <c r="S63" s="5">
        <v>0</v>
      </c>
      <c r="T63" s="7">
        <v>9</v>
      </c>
      <c r="U63" s="3" t="str">
        <f t="shared" si="22"/>
        <v>Org</v>
      </c>
      <c r="V63" s="5">
        <v>60095000</v>
      </c>
      <c r="W63" s="7">
        <v>0</v>
      </c>
      <c r="X63" s="3" t="str">
        <f t="shared" si="23"/>
        <v>Org</v>
      </c>
      <c r="Y63" s="5">
        <v>0</v>
      </c>
      <c r="Z63" s="12">
        <f t="shared" si="5"/>
        <v>9</v>
      </c>
      <c r="AA63" s="7" t="str">
        <f t="shared" si="6"/>
        <v>Org</v>
      </c>
      <c r="AB63" s="12">
        <f t="shared" si="7"/>
        <v>100</v>
      </c>
      <c r="AC63" s="7" t="s">
        <v>11</v>
      </c>
      <c r="AD63" s="8">
        <f t="shared" si="8"/>
        <v>60095000</v>
      </c>
      <c r="AE63" s="11">
        <f t="shared" si="9"/>
        <v>86.102156314922269</v>
      </c>
      <c r="AF63" s="7" t="s">
        <v>11</v>
      </c>
      <c r="AG63" s="12">
        <f t="shared" si="10"/>
        <v>18</v>
      </c>
      <c r="AH63" s="7" t="str">
        <f t="shared" si="11"/>
        <v>Org</v>
      </c>
      <c r="AI63" s="8">
        <f t="shared" si="12"/>
        <v>60095000</v>
      </c>
      <c r="AJ63" s="11"/>
      <c r="AK63" s="7" t="s">
        <v>11</v>
      </c>
      <c r="AL63" s="11"/>
      <c r="AM63" s="20"/>
      <c r="AP63" s="6"/>
    </row>
    <row r="64" spans="1:42" ht="15" x14ac:dyDescent="0.2">
      <c r="A64" s="7"/>
      <c r="B64" s="18"/>
      <c r="C64" s="18" t="s">
        <v>70</v>
      </c>
      <c r="D64" s="18" t="s">
        <v>177</v>
      </c>
      <c r="E64" s="16">
        <f>K64*2</f>
        <v>74</v>
      </c>
      <c r="F64" s="3" t="s">
        <v>178</v>
      </c>
      <c r="G64" s="9">
        <f>M64*2</f>
        <v>365547000</v>
      </c>
      <c r="H64" s="12">
        <v>37</v>
      </c>
      <c r="I64" s="3" t="s">
        <v>178</v>
      </c>
      <c r="J64" s="4"/>
      <c r="K64" s="7">
        <v>37</v>
      </c>
      <c r="L64" s="3" t="s">
        <v>178</v>
      </c>
      <c r="M64" s="5">
        <v>182773500</v>
      </c>
      <c r="N64" s="7">
        <v>0</v>
      </c>
      <c r="O64" s="3" t="str">
        <f t="shared" si="20"/>
        <v>Sekolah</v>
      </c>
      <c r="P64" s="5">
        <v>0</v>
      </c>
      <c r="Q64" s="7">
        <v>0</v>
      </c>
      <c r="R64" s="3" t="str">
        <f t="shared" si="21"/>
        <v>Sekolah</v>
      </c>
      <c r="S64" s="5">
        <v>11272500</v>
      </c>
      <c r="T64" s="7">
        <v>37</v>
      </c>
      <c r="U64" s="3" t="str">
        <f t="shared" si="22"/>
        <v>Sekolah</v>
      </c>
      <c r="V64" s="5">
        <v>49210800</v>
      </c>
      <c r="W64" s="7">
        <v>0</v>
      </c>
      <c r="X64" s="3" t="str">
        <f t="shared" si="23"/>
        <v>Sekolah</v>
      </c>
      <c r="Y64" s="5">
        <v>85576900</v>
      </c>
      <c r="Z64" s="12">
        <f t="shared" si="5"/>
        <v>37</v>
      </c>
      <c r="AA64" s="7" t="str">
        <f t="shared" si="6"/>
        <v>Sekolah</v>
      </c>
      <c r="AB64" s="12">
        <f t="shared" si="7"/>
        <v>100</v>
      </c>
      <c r="AC64" s="7" t="s">
        <v>11</v>
      </c>
      <c r="AD64" s="8">
        <f t="shared" si="8"/>
        <v>146060200</v>
      </c>
      <c r="AE64" s="11">
        <f t="shared" si="9"/>
        <v>79.9132259326434</v>
      </c>
      <c r="AF64" s="7" t="s">
        <v>11</v>
      </c>
      <c r="AG64" s="12">
        <f t="shared" si="10"/>
        <v>74</v>
      </c>
      <c r="AH64" s="7" t="str">
        <f t="shared" si="11"/>
        <v>Sekolah</v>
      </c>
      <c r="AI64" s="8">
        <f t="shared" si="12"/>
        <v>146060200</v>
      </c>
      <c r="AJ64" s="11"/>
      <c r="AK64" s="7" t="s">
        <v>11</v>
      </c>
      <c r="AL64" s="11"/>
      <c r="AM64" s="20"/>
      <c r="AP64" s="6"/>
    </row>
    <row r="65" spans="1:42" ht="15" x14ac:dyDescent="0.2">
      <c r="A65" s="7"/>
      <c r="B65" s="18"/>
      <c r="C65" s="18" t="s">
        <v>71</v>
      </c>
      <c r="D65" s="18" t="s">
        <v>179</v>
      </c>
      <c r="E65" s="17">
        <f>5402+4769+4769</f>
        <v>14940</v>
      </c>
      <c r="F65" s="3" t="s">
        <v>10</v>
      </c>
      <c r="G65" s="10">
        <v>16309980000</v>
      </c>
      <c r="H65" s="17">
        <v>5402</v>
      </c>
      <c r="I65" s="3" t="s">
        <v>10</v>
      </c>
      <c r="J65" s="4">
        <v>2803635743</v>
      </c>
      <c r="K65" s="17">
        <v>5402</v>
      </c>
      <c r="L65" s="3" t="s">
        <v>10</v>
      </c>
      <c r="M65" s="5">
        <v>5987583277</v>
      </c>
      <c r="N65" s="7">
        <v>0</v>
      </c>
      <c r="O65" s="3" t="str">
        <f t="shared" si="20"/>
        <v>Org</v>
      </c>
      <c r="P65" s="5">
        <v>0</v>
      </c>
      <c r="Q65" s="17">
        <v>5402</v>
      </c>
      <c r="R65" s="3" t="str">
        <f t="shared" si="21"/>
        <v>Org</v>
      </c>
      <c r="S65" s="5">
        <v>0</v>
      </c>
      <c r="T65" s="17">
        <v>5402</v>
      </c>
      <c r="U65" s="3" t="str">
        <f t="shared" si="22"/>
        <v>Org</v>
      </c>
      <c r="V65" s="5">
        <v>0</v>
      </c>
      <c r="W65" s="17">
        <v>5402</v>
      </c>
      <c r="X65" s="3" t="str">
        <f t="shared" si="23"/>
        <v>Org</v>
      </c>
      <c r="Y65" s="5">
        <v>0</v>
      </c>
      <c r="Z65" s="17">
        <f>AVERAGE(Q65,T65,W65)</f>
        <v>5402</v>
      </c>
      <c r="AA65" s="7" t="str">
        <f t="shared" si="6"/>
        <v>Org</v>
      </c>
      <c r="AB65" s="12">
        <f t="shared" si="7"/>
        <v>100</v>
      </c>
      <c r="AC65" s="7" t="s">
        <v>11</v>
      </c>
      <c r="AD65" s="8">
        <f t="shared" si="8"/>
        <v>0</v>
      </c>
      <c r="AE65" s="11">
        <f t="shared" si="9"/>
        <v>0</v>
      </c>
      <c r="AF65" s="7" t="s">
        <v>11</v>
      </c>
      <c r="AG65" s="12">
        <f t="shared" si="10"/>
        <v>10804</v>
      </c>
      <c r="AH65" s="7" t="str">
        <f t="shared" si="11"/>
        <v>Org</v>
      </c>
      <c r="AI65" s="8">
        <f t="shared" si="12"/>
        <v>2803635743</v>
      </c>
      <c r="AJ65" s="11"/>
      <c r="AK65" s="7" t="s">
        <v>11</v>
      </c>
      <c r="AL65" s="11"/>
      <c r="AM65" s="20"/>
      <c r="AP65" s="6"/>
    </row>
    <row r="66" spans="1:42" s="14" customFormat="1" ht="131.25" customHeight="1" x14ac:dyDescent="0.25">
      <c r="A66" s="7"/>
      <c r="B66" s="18"/>
      <c r="C66" s="18" t="s">
        <v>73</v>
      </c>
      <c r="D66" s="18" t="s">
        <v>187</v>
      </c>
      <c r="E66" s="7">
        <v>100</v>
      </c>
      <c r="F66" s="3" t="s">
        <v>11</v>
      </c>
      <c r="G66" s="5">
        <f>SUM(G67:G75)</f>
        <v>22911438000</v>
      </c>
      <c r="H66" s="7">
        <v>100</v>
      </c>
      <c r="I66" s="3" t="s">
        <v>11</v>
      </c>
      <c r="J66" s="5">
        <f>SUM(J67:J75)</f>
        <v>1726003071</v>
      </c>
      <c r="K66" s="7">
        <v>100</v>
      </c>
      <c r="L66" s="3" t="s">
        <v>11</v>
      </c>
      <c r="M66" s="5">
        <f>SUM(M67:M75)</f>
        <v>7988878000</v>
      </c>
      <c r="N66" s="11">
        <f>SUM(N67:N76)/SUM(K67:K76)*100</f>
        <v>3.9618311390264527</v>
      </c>
      <c r="O66" s="3" t="str">
        <f t="shared" si="20"/>
        <v>%</v>
      </c>
      <c r="P66" s="5">
        <f>SUM(P67:P75)</f>
        <v>401252928</v>
      </c>
      <c r="Q66" s="7">
        <v>3</v>
      </c>
      <c r="R66" s="3" t="str">
        <f t="shared" si="21"/>
        <v>%</v>
      </c>
      <c r="S66" s="5">
        <f>SUM(S67:S75)</f>
        <v>929559064</v>
      </c>
      <c r="T66" s="7">
        <v>3</v>
      </c>
      <c r="U66" s="3" t="str">
        <f t="shared" si="22"/>
        <v>%</v>
      </c>
      <c r="V66" s="5">
        <f>SUM(V67:V75)</f>
        <v>3027662028</v>
      </c>
      <c r="W66" s="7">
        <v>3</v>
      </c>
      <c r="X66" s="3" t="str">
        <f t="shared" si="23"/>
        <v>%</v>
      </c>
      <c r="Y66" s="5">
        <f>SUM(Y67:Y75)</f>
        <v>2974054843</v>
      </c>
      <c r="Z66" s="11">
        <f t="shared" si="5"/>
        <v>12.961831139026453</v>
      </c>
      <c r="AA66" s="7" t="str">
        <f t="shared" si="6"/>
        <v>%</v>
      </c>
      <c r="AB66" s="16">
        <f t="shared" si="7"/>
        <v>12.961831139026453</v>
      </c>
      <c r="AC66" s="7" t="s">
        <v>11</v>
      </c>
      <c r="AD66" s="8">
        <f t="shared" si="8"/>
        <v>7332528863</v>
      </c>
      <c r="AE66" s="11">
        <f t="shared" si="9"/>
        <v>91.784213790722561</v>
      </c>
      <c r="AF66" s="7" t="s">
        <v>11</v>
      </c>
      <c r="AG66" s="12">
        <f t="shared" si="10"/>
        <v>112.96183113902646</v>
      </c>
      <c r="AH66" s="7" t="str">
        <f t="shared" si="11"/>
        <v>%</v>
      </c>
      <c r="AI66" s="8">
        <f t="shared" si="12"/>
        <v>9058531934</v>
      </c>
      <c r="AJ66" s="11"/>
      <c r="AK66" s="7" t="s">
        <v>11</v>
      </c>
      <c r="AL66" s="11"/>
      <c r="AM66" s="20"/>
      <c r="AP66" s="15"/>
    </row>
    <row r="67" spans="1:42" ht="15" x14ac:dyDescent="0.2">
      <c r="A67" s="7"/>
      <c r="B67" s="18"/>
      <c r="C67" s="18" t="s">
        <v>171</v>
      </c>
      <c r="D67" s="18" t="s">
        <v>172</v>
      </c>
      <c r="E67" s="7">
        <f>1+1+2</f>
        <v>4</v>
      </c>
      <c r="F67" s="3" t="s">
        <v>12</v>
      </c>
      <c r="G67" s="5">
        <f>M67+197000000+197000000*2</f>
        <v>747050000</v>
      </c>
      <c r="H67" s="7">
        <v>0</v>
      </c>
      <c r="I67" s="3" t="s">
        <v>12</v>
      </c>
      <c r="J67" s="5"/>
      <c r="K67" s="7">
        <v>1</v>
      </c>
      <c r="L67" s="3" t="s">
        <v>12</v>
      </c>
      <c r="M67" s="5">
        <v>156050000</v>
      </c>
      <c r="N67" s="7">
        <v>0</v>
      </c>
      <c r="O67" s="3" t="str">
        <f t="shared" si="20"/>
        <v>Paket</v>
      </c>
      <c r="P67" s="5">
        <v>0</v>
      </c>
      <c r="Q67" s="7">
        <v>1</v>
      </c>
      <c r="R67" s="3" t="str">
        <f t="shared" si="21"/>
        <v>Paket</v>
      </c>
      <c r="S67" s="5">
        <v>51655262</v>
      </c>
      <c r="T67" s="7">
        <v>0</v>
      </c>
      <c r="U67" s="3" t="str">
        <f t="shared" si="22"/>
        <v>Paket</v>
      </c>
      <c r="V67" s="5">
        <f>154353208-S67</f>
        <v>102697946</v>
      </c>
      <c r="W67" s="7">
        <v>0</v>
      </c>
      <c r="X67" s="3" t="str">
        <f t="shared" si="23"/>
        <v>Paket</v>
      </c>
      <c r="Y67" s="5">
        <v>650000</v>
      </c>
      <c r="Z67" s="12">
        <f t="shared" si="5"/>
        <v>1</v>
      </c>
      <c r="AA67" s="7" t="str">
        <f t="shared" si="6"/>
        <v>Paket</v>
      </c>
      <c r="AB67" s="12">
        <f t="shared" si="7"/>
        <v>100</v>
      </c>
      <c r="AC67" s="7" t="s">
        <v>11</v>
      </c>
      <c r="AD67" s="8">
        <f t="shared" si="8"/>
        <v>155003208</v>
      </c>
      <c r="AE67" s="11">
        <f t="shared" si="9"/>
        <v>99.329194488945845</v>
      </c>
      <c r="AF67" s="7" t="s">
        <v>11</v>
      </c>
      <c r="AG67" s="12">
        <f t="shared" si="10"/>
        <v>1</v>
      </c>
      <c r="AH67" s="7" t="str">
        <f t="shared" si="11"/>
        <v>Paket</v>
      </c>
      <c r="AI67" s="8">
        <f t="shared" si="12"/>
        <v>155003208</v>
      </c>
      <c r="AJ67" s="11"/>
      <c r="AK67" s="7" t="s">
        <v>11</v>
      </c>
      <c r="AL67" s="11"/>
      <c r="AM67" s="20"/>
      <c r="AP67" s="6"/>
    </row>
    <row r="68" spans="1:42" ht="15" x14ac:dyDescent="0.2">
      <c r="A68" s="7"/>
      <c r="B68" s="18"/>
      <c r="C68" s="18" t="s">
        <v>74</v>
      </c>
      <c r="D68" s="18" t="s">
        <v>161</v>
      </c>
      <c r="E68" s="7">
        <f>3+3+3</f>
        <v>9</v>
      </c>
      <c r="F68" s="3" t="s">
        <v>121</v>
      </c>
      <c r="G68" s="9">
        <f>M68+113750000+158000000*3</f>
        <v>996108000</v>
      </c>
      <c r="H68" s="12">
        <v>2</v>
      </c>
      <c r="I68" s="3" t="s">
        <v>12</v>
      </c>
      <c r="J68" s="4">
        <v>290999321</v>
      </c>
      <c r="K68" s="7">
        <v>3</v>
      </c>
      <c r="L68" s="3" t="s">
        <v>121</v>
      </c>
      <c r="M68" s="5">
        <v>408358000</v>
      </c>
      <c r="N68" s="7">
        <v>0</v>
      </c>
      <c r="O68" s="3" t="str">
        <f t="shared" si="20"/>
        <v>Ruang</v>
      </c>
      <c r="P68" s="5">
        <v>0</v>
      </c>
      <c r="Q68" s="7">
        <v>1</v>
      </c>
      <c r="R68" s="3" t="str">
        <f t="shared" si="21"/>
        <v>Ruang</v>
      </c>
      <c r="S68" s="5">
        <v>72116848</v>
      </c>
      <c r="T68" s="7">
        <v>1</v>
      </c>
      <c r="U68" s="3" t="str">
        <f t="shared" si="22"/>
        <v>Ruang</v>
      </c>
      <c r="V68" s="5">
        <v>119495980</v>
      </c>
      <c r="W68" s="7">
        <v>1</v>
      </c>
      <c r="X68" s="3" t="str">
        <f t="shared" si="23"/>
        <v>Ruang</v>
      </c>
      <c r="Y68" s="5">
        <v>213803897</v>
      </c>
      <c r="Z68" s="12">
        <f t="shared" si="5"/>
        <v>3</v>
      </c>
      <c r="AA68" s="7" t="str">
        <f t="shared" si="6"/>
        <v>Ruang</v>
      </c>
      <c r="AB68" s="12">
        <f t="shared" si="7"/>
        <v>100</v>
      </c>
      <c r="AC68" s="7" t="s">
        <v>11</v>
      </c>
      <c r="AD68" s="8">
        <f t="shared" si="8"/>
        <v>405416725</v>
      </c>
      <c r="AE68" s="11">
        <f t="shared" si="9"/>
        <v>99.279731265213371</v>
      </c>
      <c r="AF68" s="7" t="s">
        <v>11</v>
      </c>
      <c r="AG68" s="12">
        <f t="shared" si="10"/>
        <v>5</v>
      </c>
      <c r="AH68" s="7" t="str">
        <f t="shared" si="11"/>
        <v>Ruang</v>
      </c>
      <c r="AI68" s="8">
        <f t="shared" si="12"/>
        <v>696416046</v>
      </c>
      <c r="AJ68" s="11"/>
      <c r="AK68" s="7" t="s">
        <v>11</v>
      </c>
      <c r="AL68" s="11"/>
      <c r="AM68" s="20"/>
      <c r="AP68" s="6"/>
    </row>
    <row r="69" spans="1:42" ht="108" customHeight="1" x14ac:dyDescent="0.2">
      <c r="A69" s="7"/>
      <c r="B69" s="18"/>
      <c r="C69" s="18" t="s">
        <v>75</v>
      </c>
      <c r="D69" s="18" t="s">
        <v>108</v>
      </c>
      <c r="E69" s="7">
        <v>2</v>
      </c>
      <c r="F69" s="3" t="s">
        <v>12</v>
      </c>
      <c r="G69" s="5">
        <v>80000000</v>
      </c>
      <c r="H69" s="12">
        <v>0</v>
      </c>
      <c r="I69" s="3" t="s">
        <v>12</v>
      </c>
      <c r="J69" s="4"/>
      <c r="K69" s="7">
        <v>1</v>
      </c>
      <c r="L69" s="3" t="s">
        <v>12</v>
      </c>
      <c r="M69" s="5">
        <v>40000000</v>
      </c>
      <c r="N69" s="7">
        <v>0</v>
      </c>
      <c r="O69" s="3" t="str">
        <f t="shared" si="20"/>
        <v>Paket</v>
      </c>
      <c r="P69" s="5">
        <v>0</v>
      </c>
      <c r="Q69" s="7">
        <v>0</v>
      </c>
      <c r="R69" s="3" t="str">
        <f t="shared" si="21"/>
        <v>Paket</v>
      </c>
      <c r="S69" s="5">
        <v>0</v>
      </c>
      <c r="T69" s="7">
        <v>1</v>
      </c>
      <c r="U69" s="3" t="str">
        <f t="shared" si="22"/>
        <v>Paket</v>
      </c>
      <c r="V69" s="5">
        <v>19461000</v>
      </c>
      <c r="W69" s="7">
        <v>0</v>
      </c>
      <c r="X69" s="3" t="str">
        <f t="shared" si="23"/>
        <v>Paket</v>
      </c>
      <c r="Y69" s="5">
        <v>20111268</v>
      </c>
      <c r="Z69" s="12">
        <f t="shared" si="5"/>
        <v>1</v>
      </c>
      <c r="AA69" s="7" t="str">
        <f t="shared" si="6"/>
        <v>Paket</v>
      </c>
      <c r="AB69" s="12">
        <f t="shared" si="7"/>
        <v>100</v>
      </c>
      <c r="AC69" s="7" t="s">
        <v>11</v>
      </c>
      <c r="AD69" s="8">
        <f t="shared" si="8"/>
        <v>39572268</v>
      </c>
      <c r="AE69" s="11">
        <f t="shared" si="9"/>
        <v>98.930669999999992</v>
      </c>
      <c r="AF69" s="7" t="s">
        <v>11</v>
      </c>
      <c r="AG69" s="12">
        <f t="shared" si="10"/>
        <v>1</v>
      </c>
      <c r="AH69" s="7" t="str">
        <f t="shared" si="11"/>
        <v>Paket</v>
      </c>
      <c r="AI69" s="8">
        <f t="shared" si="12"/>
        <v>39572268</v>
      </c>
      <c r="AJ69" s="11"/>
      <c r="AK69" s="7" t="s">
        <v>11</v>
      </c>
      <c r="AL69" s="11"/>
      <c r="AM69" s="20"/>
      <c r="AP69" s="6"/>
    </row>
    <row r="70" spans="1:42" ht="72.75" customHeight="1" x14ac:dyDescent="0.2">
      <c r="A70" s="7"/>
      <c r="B70" s="18"/>
      <c r="C70" s="18" t="s">
        <v>173</v>
      </c>
      <c r="D70" s="18" t="s">
        <v>175</v>
      </c>
      <c r="E70" s="7">
        <v>10</v>
      </c>
      <c r="F70" s="3" t="s">
        <v>12</v>
      </c>
      <c r="G70" s="5">
        <v>106740000</v>
      </c>
      <c r="H70" s="12">
        <v>15</v>
      </c>
      <c r="I70" s="3" t="s">
        <v>12</v>
      </c>
      <c r="J70" s="4">
        <v>170000000</v>
      </c>
      <c r="K70" s="7">
        <v>8</v>
      </c>
      <c r="L70" s="3" t="s">
        <v>12</v>
      </c>
      <c r="M70" s="5">
        <v>87740000</v>
      </c>
      <c r="N70" s="7">
        <v>0</v>
      </c>
      <c r="O70" s="3" t="str">
        <f t="shared" si="20"/>
        <v>Paket</v>
      </c>
      <c r="P70" s="5">
        <v>0</v>
      </c>
      <c r="Q70" s="7">
        <v>8</v>
      </c>
      <c r="R70" s="3" t="str">
        <f t="shared" si="21"/>
        <v>Paket</v>
      </c>
      <c r="S70" s="5">
        <v>85983800</v>
      </c>
      <c r="T70" s="7">
        <v>0</v>
      </c>
      <c r="U70" s="3" t="str">
        <f t="shared" si="22"/>
        <v>Paket</v>
      </c>
      <c r="V70" s="5">
        <v>0</v>
      </c>
      <c r="W70" s="7">
        <v>0</v>
      </c>
      <c r="X70" s="3" t="str">
        <f t="shared" si="23"/>
        <v>Paket</v>
      </c>
      <c r="Y70" s="5">
        <v>650000</v>
      </c>
      <c r="Z70" s="12">
        <f t="shared" si="5"/>
        <v>8</v>
      </c>
      <c r="AA70" s="7" t="str">
        <f t="shared" si="6"/>
        <v>Paket</v>
      </c>
      <c r="AB70" s="12">
        <f t="shared" si="7"/>
        <v>100</v>
      </c>
      <c r="AC70" s="7" t="s">
        <v>11</v>
      </c>
      <c r="AD70" s="8">
        <f t="shared" si="8"/>
        <v>86633800</v>
      </c>
      <c r="AE70" s="11">
        <f t="shared" si="9"/>
        <v>98.739229541828138</v>
      </c>
      <c r="AF70" s="7" t="s">
        <v>11</v>
      </c>
      <c r="AG70" s="12">
        <f t="shared" si="10"/>
        <v>23</v>
      </c>
      <c r="AH70" s="7" t="str">
        <f t="shared" si="11"/>
        <v>Paket</v>
      </c>
      <c r="AI70" s="8">
        <f t="shared" si="12"/>
        <v>256633800</v>
      </c>
      <c r="AJ70" s="11"/>
      <c r="AK70" s="7" t="s">
        <v>11</v>
      </c>
      <c r="AL70" s="11"/>
      <c r="AM70" s="20"/>
      <c r="AP70" s="6"/>
    </row>
    <row r="71" spans="1:42" ht="15" x14ac:dyDescent="0.2">
      <c r="A71" s="7"/>
      <c r="B71" s="18"/>
      <c r="C71" s="18" t="s">
        <v>76</v>
      </c>
      <c r="D71" s="18" t="s">
        <v>109</v>
      </c>
      <c r="E71" s="7">
        <f>10+10</f>
        <v>20</v>
      </c>
      <c r="F71" s="3" t="s">
        <v>13</v>
      </c>
      <c r="G71" s="5">
        <f>M71*2</f>
        <v>580000000</v>
      </c>
      <c r="H71" s="7"/>
      <c r="I71" s="3"/>
      <c r="J71" s="4"/>
      <c r="K71" s="7">
        <v>10</v>
      </c>
      <c r="L71" s="3" t="s">
        <v>13</v>
      </c>
      <c r="M71" s="5">
        <v>290000000</v>
      </c>
      <c r="N71" s="7">
        <v>0</v>
      </c>
      <c r="O71" s="3" t="str">
        <f t="shared" si="20"/>
        <v>Lomba</v>
      </c>
      <c r="P71" s="5">
        <v>0</v>
      </c>
      <c r="Q71" s="7">
        <v>0</v>
      </c>
      <c r="R71" s="3" t="str">
        <f t="shared" si="21"/>
        <v>Lomba</v>
      </c>
      <c r="S71" s="5">
        <v>0</v>
      </c>
      <c r="T71" s="7">
        <v>0</v>
      </c>
      <c r="U71" s="3" t="str">
        <f t="shared" si="22"/>
        <v>Lomba</v>
      </c>
      <c r="V71" s="5">
        <v>0</v>
      </c>
      <c r="W71" s="7">
        <v>10</v>
      </c>
      <c r="X71" s="3" t="str">
        <f t="shared" si="23"/>
        <v>Lomba</v>
      </c>
      <c r="Y71" s="5">
        <v>267110000</v>
      </c>
      <c r="Z71" s="12">
        <f t="shared" si="5"/>
        <v>10</v>
      </c>
      <c r="AA71" s="7" t="str">
        <f t="shared" si="6"/>
        <v>Lomba</v>
      </c>
      <c r="AB71" s="12">
        <f t="shared" si="7"/>
        <v>100</v>
      </c>
      <c r="AC71" s="7" t="s">
        <v>11</v>
      </c>
      <c r="AD71" s="8">
        <f t="shared" si="8"/>
        <v>267110000</v>
      </c>
      <c r="AE71" s="11">
        <f t="shared" si="9"/>
        <v>92.106896551724134</v>
      </c>
      <c r="AF71" s="7" t="s">
        <v>11</v>
      </c>
      <c r="AG71" s="12">
        <f t="shared" si="10"/>
        <v>10</v>
      </c>
      <c r="AH71" s="7" t="str">
        <f t="shared" si="11"/>
        <v>Lomba</v>
      </c>
      <c r="AI71" s="8">
        <f t="shared" si="12"/>
        <v>267110000</v>
      </c>
      <c r="AJ71" s="11"/>
      <c r="AK71" s="7" t="s">
        <v>11</v>
      </c>
      <c r="AL71" s="11"/>
      <c r="AM71" s="20"/>
      <c r="AP71" s="6"/>
    </row>
    <row r="72" spans="1:42" ht="90" customHeight="1" x14ac:dyDescent="0.2">
      <c r="A72" s="7"/>
      <c r="B72" s="18"/>
      <c r="C72" s="18" t="s">
        <v>77</v>
      </c>
      <c r="D72" s="18" t="s">
        <v>180</v>
      </c>
      <c r="E72" s="7">
        <f>325*3</f>
        <v>975</v>
      </c>
      <c r="F72" s="3" t="s">
        <v>10</v>
      </c>
      <c r="G72" s="9">
        <v>5012640000</v>
      </c>
      <c r="H72" s="12">
        <v>325</v>
      </c>
      <c r="I72" s="3" t="s">
        <v>10</v>
      </c>
      <c r="J72" s="4"/>
      <c r="K72" s="7">
        <f>297+28</f>
        <v>325</v>
      </c>
      <c r="L72" s="3" t="s">
        <v>10</v>
      </c>
      <c r="M72" s="5">
        <v>1712880000</v>
      </c>
      <c r="N72" s="7">
        <v>325</v>
      </c>
      <c r="O72" s="3" t="str">
        <f t="shared" si="20"/>
        <v>Org</v>
      </c>
      <c r="P72" s="5">
        <v>401252928</v>
      </c>
      <c r="Q72" s="7">
        <v>325</v>
      </c>
      <c r="R72" s="3" t="str">
        <f t="shared" si="21"/>
        <v>Org</v>
      </c>
      <c r="S72" s="5">
        <f>931756832-P72</f>
        <v>530503904</v>
      </c>
      <c r="T72" s="7">
        <v>325</v>
      </c>
      <c r="U72" s="3" t="str">
        <f t="shared" si="22"/>
        <v>Org</v>
      </c>
      <c r="V72" s="5">
        <v>263001952</v>
      </c>
      <c r="W72" s="7">
        <v>325</v>
      </c>
      <c r="X72" s="3" t="str">
        <f t="shared" si="23"/>
        <v>Org</v>
      </c>
      <c r="Y72" s="5">
        <v>390752928</v>
      </c>
      <c r="Z72" s="12">
        <f>AVERAGE(N72,Q72,T72,W72)</f>
        <v>325</v>
      </c>
      <c r="AA72" s="7" t="str">
        <f t="shared" si="6"/>
        <v>Org</v>
      </c>
      <c r="AB72" s="12">
        <f t="shared" si="7"/>
        <v>100</v>
      </c>
      <c r="AC72" s="7" t="s">
        <v>11</v>
      </c>
      <c r="AD72" s="8">
        <f t="shared" si="8"/>
        <v>1585511712</v>
      </c>
      <c r="AE72" s="11">
        <f t="shared" si="9"/>
        <v>92.564085750315257</v>
      </c>
      <c r="AF72" s="7" t="s">
        <v>11</v>
      </c>
      <c r="AG72" s="12">
        <f t="shared" si="10"/>
        <v>650</v>
      </c>
      <c r="AH72" s="7" t="str">
        <f t="shared" si="11"/>
        <v>Org</v>
      </c>
      <c r="AI72" s="8">
        <f t="shared" si="12"/>
        <v>1585511712</v>
      </c>
      <c r="AJ72" s="11"/>
      <c r="AK72" s="7" t="s">
        <v>11</v>
      </c>
      <c r="AL72" s="11"/>
      <c r="AM72" s="20"/>
      <c r="AP72" s="6"/>
    </row>
    <row r="73" spans="1:42" ht="15" x14ac:dyDescent="0.2">
      <c r="A73" s="7"/>
      <c r="B73" s="18"/>
      <c r="C73" s="18" t="s">
        <v>78</v>
      </c>
      <c r="D73" s="18" t="s">
        <v>165</v>
      </c>
      <c r="E73" s="7">
        <f>K73*2</f>
        <v>500</v>
      </c>
      <c r="F73" s="3" t="s">
        <v>10</v>
      </c>
      <c r="G73" s="5">
        <f>M73*2</f>
        <v>641300000</v>
      </c>
      <c r="H73" s="12">
        <v>100</v>
      </c>
      <c r="I73" s="3" t="s">
        <v>10</v>
      </c>
      <c r="J73" s="4">
        <v>1102598000</v>
      </c>
      <c r="K73" s="7">
        <v>250</v>
      </c>
      <c r="L73" s="3" t="s">
        <v>10</v>
      </c>
      <c r="M73" s="5">
        <v>320650000</v>
      </c>
      <c r="N73" s="7">
        <v>0</v>
      </c>
      <c r="O73" s="3" t="str">
        <f t="shared" si="20"/>
        <v>Org</v>
      </c>
      <c r="P73" s="5">
        <v>0</v>
      </c>
      <c r="Q73" s="7">
        <v>150</v>
      </c>
      <c r="R73" s="3" t="str">
        <f t="shared" si="21"/>
        <v>Org</v>
      </c>
      <c r="S73" s="5">
        <v>189299250</v>
      </c>
      <c r="T73" s="7">
        <v>110</v>
      </c>
      <c r="U73" s="3" t="str">
        <f t="shared" si="22"/>
        <v>Org</v>
      </c>
      <c r="V73" s="5">
        <v>95325750</v>
      </c>
      <c r="W73" s="7">
        <v>110</v>
      </c>
      <c r="X73" s="3" t="str">
        <f t="shared" si="23"/>
        <v>Org</v>
      </c>
      <c r="Y73" s="5">
        <v>23437500</v>
      </c>
      <c r="Z73" s="12">
        <f t="shared" si="5"/>
        <v>370</v>
      </c>
      <c r="AA73" s="7" t="str">
        <f t="shared" si="6"/>
        <v>Org</v>
      </c>
      <c r="AB73" s="12">
        <f t="shared" si="7"/>
        <v>148</v>
      </c>
      <c r="AC73" s="7" t="s">
        <v>11</v>
      </c>
      <c r="AD73" s="8">
        <f t="shared" si="8"/>
        <v>308062500</v>
      </c>
      <c r="AE73" s="11">
        <f t="shared" si="9"/>
        <v>96.074380165289256</v>
      </c>
      <c r="AF73" s="7" t="s">
        <v>11</v>
      </c>
      <c r="AG73" s="12">
        <f t="shared" si="10"/>
        <v>470</v>
      </c>
      <c r="AH73" s="7" t="str">
        <f t="shared" si="11"/>
        <v>Org</v>
      </c>
      <c r="AI73" s="8">
        <f t="shared" si="12"/>
        <v>1410660500</v>
      </c>
      <c r="AJ73" s="11"/>
      <c r="AK73" s="7" t="s">
        <v>11</v>
      </c>
      <c r="AL73" s="11"/>
      <c r="AM73" s="20"/>
      <c r="AP73" s="6"/>
    </row>
    <row r="74" spans="1:42" ht="15" x14ac:dyDescent="0.2">
      <c r="A74" s="7"/>
      <c r="B74" s="18"/>
      <c r="C74" s="18" t="s">
        <v>79</v>
      </c>
      <c r="D74" s="18" t="s">
        <v>181</v>
      </c>
      <c r="E74" s="7">
        <f>K74*2</f>
        <v>120</v>
      </c>
      <c r="F74" s="3" t="s">
        <v>123</v>
      </c>
      <c r="G74" s="5">
        <f>M74*2</f>
        <v>344000000</v>
      </c>
      <c r="H74" s="12"/>
      <c r="I74" s="3"/>
      <c r="J74" s="4"/>
      <c r="K74" s="7">
        <v>60</v>
      </c>
      <c r="L74" s="3" t="s">
        <v>123</v>
      </c>
      <c r="M74" s="5">
        <v>172000000</v>
      </c>
      <c r="N74" s="7">
        <v>0</v>
      </c>
      <c r="O74" s="3" t="str">
        <f t="shared" ref="O74" si="24">L74</f>
        <v>Lembaga</v>
      </c>
      <c r="P74" s="5">
        <v>0</v>
      </c>
      <c r="Q74" s="7">
        <v>0</v>
      </c>
      <c r="R74" s="3" t="str">
        <f t="shared" ref="R74" si="25">L74</f>
        <v>Lembaga</v>
      </c>
      <c r="S74" s="5">
        <v>0</v>
      </c>
      <c r="T74" s="7">
        <v>60</v>
      </c>
      <c r="U74" s="3" t="str">
        <f t="shared" ref="U74" si="26">O74</f>
        <v>Lembaga</v>
      </c>
      <c r="V74" s="5">
        <v>171000000</v>
      </c>
      <c r="W74" s="7">
        <v>0</v>
      </c>
      <c r="X74" s="3" t="str">
        <f t="shared" si="23"/>
        <v>Lembaga</v>
      </c>
      <c r="Y74" s="5">
        <v>0</v>
      </c>
      <c r="Z74" s="12">
        <f t="shared" ref="Z74" si="27">SUM(N74,Q74,T74,W74)</f>
        <v>60</v>
      </c>
      <c r="AA74" s="7" t="str">
        <f t="shared" ref="AA74" si="28">L74</f>
        <v>Lembaga</v>
      </c>
      <c r="AB74" s="12">
        <f t="shared" ref="AB74" si="29">Z74/K74*100</f>
        <v>100</v>
      </c>
      <c r="AC74" s="7" t="s">
        <v>11</v>
      </c>
      <c r="AD74" s="8">
        <f t="shared" ref="AD74" si="30">SUM(P74,S74,V74,Y74)</f>
        <v>171000000</v>
      </c>
      <c r="AE74" s="11">
        <f t="shared" ref="AE74" si="31">AD74/M74*100</f>
        <v>99.418604651162795</v>
      </c>
      <c r="AF74" s="7" t="s">
        <v>11</v>
      </c>
      <c r="AG74" s="12">
        <f t="shared" ref="AG74" si="32">SUM(H74,Z74)</f>
        <v>60</v>
      </c>
      <c r="AH74" s="7" t="str">
        <f t="shared" ref="AH74" si="33">O74</f>
        <v>Lembaga</v>
      </c>
      <c r="AI74" s="8">
        <f t="shared" ref="AI74" si="34">SUM(J74,AD74)</f>
        <v>171000000</v>
      </c>
      <c r="AJ74" s="11"/>
      <c r="AK74" s="7" t="s">
        <v>11</v>
      </c>
      <c r="AL74" s="11"/>
      <c r="AM74" s="20"/>
      <c r="AP74" s="6"/>
    </row>
    <row r="75" spans="1:42" ht="15" x14ac:dyDescent="0.2">
      <c r="A75" s="7"/>
      <c r="B75" s="18"/>
      <c r="C75" s="18" t="s">
        <v>159</v>
      </c>
      <c r="D75" s="18" t="s">
        <v>182</v>
      </c>
      <c r="E75" s="17">
        <f>7521*3</f>
        <v>22563</v>
      </c>
      <c r="F75" s="3" t="s">
        <v>10</v>
      </c>
      <c r="G75" s="5">
        <f>4801200000*3</f>
        <v>14403600000</v>
      </c>
      <c r="H75" s="12"/>
      <c r="I75" s="3" t="s">
        <v>10</v>
      </c>
      <c r="J75" s="4">
        <v>162405750</v>
      </c>
      <c r="K75" s="17">
        <v>7521</v>
      </c>
      <c r="L75" s="3" t="s">
        <v>10</v>
      </c>
      <c r="M75" s="5">
        <v>4801200000</v>
      </c>
      <c r="N75" s="7"/>
      <c r="O75" s="3" t="str">
        <f t="shared" si="20"/>
        <v>Org</v>
      </c>
      <c r="P75" s="5">
        <v>0</v>
      </c>
      <c r="Q75" s="7"/>
      <c r="R75" s="3" t="str">
        <f t="shared" si="21"/>
        <v>Org</v>
      </c>
      <c r="S75" s="5">
        <v>0</v>
      </c>
      <c r="T75" s="7"/>
      <c r="U75" s="3" t="str">
        <f t="shared" si="22"/>
        <v>Org</v>
      </c>
      <c r="V75" s="5">
        <v>2256679400</v>
      </c>
      <c r="W75" s="17">
        <v>7521</v>
      </c>
      <c r="X75" s="3" t="str">
        <f t="shared" si="23"/>
        <v>Org</v>
      </c>
      <c r="Y75" s="5">
        <v>2057539250</v>
      </c>
      <c r="Z75" s="17">
        <f t="shared" si="5"/>
        <v>7521</v>
      </c>
      <c r="AA75" s="7" t="str">
        <f t="shared" si="6"/>
        <v>Org</v>
      </c>
      <c r="AB75" s="12">
        <f t="shared" si="7"/>
        <v>100</v>
      </c>
      <c r="AC75" s="7" t="s">
        <v>11</v>
      </c>
      <c r="AD75" s="8">
        <f t="shared" si="8"/>
        <v>4314218650</v>
      </c>
      <c r="AE75" s="11">
        <f t="shared" si="9"/>
        <v>89.857090935599444</v>
      </c>
      <c r="AF75" s="7" t="s">
        <v>11</v>
      </c>
      <c r="AG75" s="17">
        <f t="shared" si="10"/>
        <v>7521</v>
      </c>
      <c r="AH75" s="7" t="str">
        <f t="shared" si="11"/>
        <v>Org</v>
      </c>
      <c r="AI75" s="8">
        <f t="shared" si="12"/>
        <v>4476624400</v>
      </c>
      <c r="AJ75" s="11"/>
      <c r="AK75" s="7" t="s">
        <v>11</v>
      </c>
      <c r="AL75" s="11"/>
      <c r="AM75" s="20"/>
      <c r="AP75" s="6"/>
    </row>
    <row r="76" spans="1:42" s="14" customFormat="1" ht="98.25" customHeight="1" x14ac:dyDescent="0.25">
      <c r="A76" s="7"/>
      <c r="B76" s="18"/>
      <c r="C76" s="18" t="s">
        <v>80</v>
      </c>
      <c r="D76" s="18" t="s">
        <v>188</v>
      </c>
      <c r="E76" s="7">
        <v>100</v>
      </c>
      <c r="F76" s="3" t="s">
        <v>11</v>
      </c>
      <c r="G76" s="5">
        <f>SUM(G77:G79)</f>
        <v>5568245800</v>
      </c>
      <c r="H76" s="7">
        <v>100</v>
      </c>
      <c r="I76" s="3" t="s">
        <v>11</v>
      </c>
      <c r="J76" s="5">
        <f>SUM(J77:J79)</f>
        <v>419615645</v>
      </c>
      <c r="K76" s="7">
        <v>100</v>
      </c>
      <c r="L76" s="3" t="s">
        <v>11</v>
      </c>
      <c r="M76" s="5">
        <f>SUM(M77:M79)</f>
        <v>1938147900</v>
      </c>
      <c r="N76" s="7">
        <v>3</v>
      </c>
      <c r="O76" s="3" t="str">
        <f t="shared" si="20"/>
        <v>%</v>
      </c>
      <c r="P76" s="5">
        <f>SUM(P77:P79)</f>
        <v>0</v>
      </c>
      <c r="Q76" s="7">
        <v>3</v>
      </c>
      <c r="R76" s="3" t="str">
        <f t="shared" si="21"/>
        <v>%</v>
      </c>
      <c r="S76" s="5">
        <f>SUM(S77:S79)</f>
        <v>158432500</v>
      </c>
      <c r="T76" s="7">
        <v>3</v>
      </c>
      <c r="U76" s="3" t="str">
        <f t="shared" si="22"/>
        <v>%</v>
      </c>
      <c r="V76" s="5">
        <f>SUM(V77:V79)</f>
        <v>253162435</v>
      </c>
      <c r="W76" s="7">
        <v>3</v>
      </c>
      <c r="X76" s="3" t="str">
        <f t="shared" si="23"/>
        <v>%</v>
      </c>
      <c r="Y76" s="5">
        <f>SUM(Y77:Y79)</f>
        <v>1006979510</v>
      </c>
      <c r="Z76" s="12">
        <f t="shared" si="5"/>
        <v>12</v>
      </c>
      <c r="AA76" s="7" t="str">
        <f t="shared" si="6"/>
        <v>%</v>
      </c>
      <c r="AB76" s="12">
        <f t="shared" si="7"/>
        <v>12</v>
      </c>
      <c r="AC76" s="7" t="s">
        <v>11</v>
      </c>
      <c r="AD76" s="8">
        <f t="shared" si="8"/>
        <v>1418574445</v>
      </c>
      <c r="AE76" s="11">
        <f t="shared" si="9"/>
        <v>73.192270053281277</v>
      </c>
      <c r="AF76" s="7" t="s">
        <v>11</v>
      </c>
      <c r="AG76" s="12">
        <f t="shared" si="10"/>
        <v>112</v>
      </c>
      <c r="AH76" s="7" t="str">
        <f t="shared" si="11"/>
        <v>%</v>
      </c>
      <c r="AI76" s="8">
        <f t="shared" si="12"/>
        <v>1838190090</v>
      </c>
      <c r="AJ76" s="11"/>
      <c r="AK76" s="7" t="s">
        <v>11</v>
      </c>
      <c r="AL76" s="11"/>
      <c r="AM76" s="20"/>
      <c r="AP76" s="15"/>
    </row>
    <row r="77" spans="1:42" ht="15" x14ac:dyDescent="0.2">
      <c r="A77" s="7"/>
      <c r="B77" s="18"/>
      <c r="C77" s="18" t="s">
        <v>81</v>
      </c>
      <c r="D77" s="18" t="s">
        <v>172</v>
      </c>
      <c r="E77" s="7">
        <f>1+1+1</f>
        <v>3</v>
      </c>
      <c r="F77" s="3" t="s">
        <v>12</v>
      </c>
      <c r="G77" s="5">
        <v>666690000</v>
      </c>
      <c r="H77" s="7">
        <v>0</v>
      </c>
      <c r="I77" s="3" t="s">
        <v>12</v>
      </c>
      <c r="J77" s="5"/>
      <c r="K77" s="7">
        <v>1</v>
      </c>
      <c r="L77" s="3" t="s">
        <v>12</v>
      </c>
      <c r="M77" s="5">
        <v>197000000</v>
      </c>
      <c r="N77" s="7">
        <v>0</v>
      </c>
      <c r="O77" s="3" t="str">
        <f t="shared" si="20"/>
        <v>Paket</v>
      </c>
      <c r="P77" s="5">
        <v>0</v>
      </c>
      <c r="Q77" s="7">
        <v>0</v>
      </c>
      <c r="R77" s="3" t="str">
        <f t="shared" si="21"/>
        <v>Paket</v>
      </c>
      <c r="S77" s="5">
        <v>13695000</v>
      </c>
      <c r="T77" s="7">
        <v>1</v>
      </c>
      <c r="U77" s="3" t="str">
        <f t="shared" si="22"/>
        <v>Paket</v>
      </c>
      <c r="V77" s="5">
        <v>181012435</v>
      </c>
      <c r="W77" s="7">
        <v>0</v>
      </c>
      <c r="X77" s="3" t="str">
        <f t="shared" si="23"/>
        <v>Paket</v>
      </c>
      <c r="Y77" s="5">
        <v>650000</v>
      </c>
      <c r="Z77" s="12">
        <f t="shared" si="5"/>
        <v>1</v>
      </c>
      <c r="AA77" s="7" t="str">
        <f t="shared" si="6"/>
        <v>Paket</v>
      </c>
      <c r="AB77" s="12">
        <f t="shared" si="7"/>
        <v>100</v>
      </c>
      <c r="AC77" s="7" t="s">
        <v>11</v>
      </c>
      <c r="AD77" s="8">
        <f t="shared" si="8"/>
        <v>195357435</v>
      </c>
      <c r="AE77" s="11">
        <f t="shared" si="9"/>
        <v>99.166210659898482</v>
      </c>
      <c r="AF77" s="7" t="s">
        <v>11</v>
      </c>
      <c r="AG77" s="12">
        <f t="shared" si="10"/>
        <v>1</v>
      </c>
      <c r="AH77" s="7" t="str">
        <f t="shared" si="11"/>
        <v>Paket</v>
      </c>
      <c r="AI77" s="8">
        <f t="shared" si="12"/>
        <v>195357435</v>
      </c>
      <c r="AJ77" s="11"/>
      <c r="AK77" s="7" t="s">
        <v>11</v>
      </c>
      <c r="AL77" s="11"/>
      <c r="AM77" s="20"/>
      <c r="AP77" s="6"/>
    </row>
    <row r="78" spans="1:42" ht="15" x14ac:dyDescent="0.2">
      <c r="A78" s="7"/>
      <c r="B78" s="18"/>
      <c r="C78" s="18" t="s">
        <v>82</v>
      </c>
      <c r="D78" s="18" t="s">
        <v>183</v>
      </c>
      <c r="E78" s="17">
        <f>K78*3</f>
        <v>48</v>
      </c>
      <c r="F78" s="3" t="s">
        <v>123</v>
      </c>
      <c r="G78" s="9">
        <v>4300010000</v>
      </c>
      <c r="H78" s="17">
        <v>16</v>
      </c>
      <c r="I78" s="3" t="s">
        <v>123</v>
      </c>
      <c r="J78" s="4">
        <v>419615645</v>
      </c>
      <c r="K78" s="17">
        <v>16</v>
      </c>
      <c r="L78" s="3" t="s">
        <v>123</v>
      </c>
      <c r="M78" s="5">
        <v>1440375000</v>
      </c>
      <c r="N78" s="7">
        <v>0</v>
      </c>
      <c r="O78" s="3" t="str">
        <f t="shared" si="20"/>
        <v>Lembaga</v>
      </c>
      <c r="P78" s="5">
        <v>0</v>
      </c>
      <c r="Q78" s="17">
        <v>1</v>
      </c>
      <c r="R78" s="3" t="str">
        <f t="shared" si="21"/>
        <v>Lembaga</v>
      </c>
      <c r="S78" s="5">
        <v>33750000</v>
      </c>
      <c r="T78" s="7">
        <v>0</v>
      </c>
      <c r="U78" s="3" t="str">
        <f t="shared" si="22"/>
        <v>Lembaga</v>
      </c>
      <c r="V78" s="5">
        <v>20250000</v>
      </c>
      <c r="W78" s="7">
        <v>15</v>
      </c>
      <c r="X78" s="3" t="str">
        <f t="shared" si="23"/>
        <v>Lembaga</v>
      </c>
      <c r="Y78" s="5">
        <v>959054510</v>
      </c>
      <c r="Z78" s="17">
        <f t="shared" si="5"/>
        <v>16</v>
      </c>
      <c r="AA78" s="7" t="str">
        <f t="shared" si="6"/>
        <v>Lembaga</v>
      </c>
      <c r="AB78" s="12">
        <f t="shared" si="7"/>
        <v>100</v>
      </c>
      <c r="AC78" s="7" t="s">
        <v>11</v>
      </c>
      <c r="AD78" s="8">
        <f t="shared" si="8"/>
        <v>1013054510</v>
      </c>
      <c r="AE78" s="11">
        <f t="shared" si="9"/>
        <v>70.332691833723857</v>
      </c>
      <c r="AF78" s="7" t="s">
        <v>11</v>
      </c>
      <c r="AG78" s="12">
        <f t="shared" si="10"/>
        <v>32</v>
      </c>
      <c r="AH78" s="7" t="str">
        <f t="shared" si="11"/>
        <v>Lembaga</v>
      </c>
      <c r="AI78" s="8">
        <f t="shared" si="12"/>
        <v>1432670155</v>
      </c>
      <c r="AJ78" s="11"/>
      <c r="AK78" s="7" t="s">
        <v>11</v>
      </c>
      <c r="AL78" s="11"/>
      <c r="AM78" s="20"/>
      <c r="AP78" s="6"/>
    </row>
    <row r="79" spans="1:42" ht="15" x14ac:dyDescent="0.2">
      <c r="A79" s="7"/>
      <c r="B79" s="18"/>
      <c r="C79" s="18" t="s">
        <v>83</v>
      </c>
      <c r="D79" s="18" t="s">
        <v>184</v>
      </c>
      <c r="E79" s="7">
        <f>100+100</f>
        <v>200</v>
      </c>
      <c r="F79" s="3" t="s">
        <v>10</v>
      </c>
      <c r="G79" s="5">
        <v>601545800</v>
      </c>
      <c r="H79" s="12"/>
      <c r="I79" s="3"/>
      <c r="J79" s="4"/>
      <c r="K79" s="7">
        <v>100</v>
      </c>
      <c r="L79" s="3" t="s">
        <v>10</v>
      </c>
      <c r="M79" s="5">
        <v>300772900</v>
      </c>
      <c r="N79" s="7">
        <v>0</v>
      </c>
      <c r="O79" s="3" t="str">
        <f t="shared" si="20"/>
        <v>Org</v>
      </c>
      <c r="P79" s="5">
        <v>0</v>
      </c>
      <c r="Q79" s="7">
        <v>100</v>
      </c>
      <c r="R79" s="3" t="str">
        <f t="shared" si="21"/>
        <v>Org</v>
      </c>
      <c r="S79" s="5">
        <v>110987500</v>
      </c>
      <c r="T79" s="7">
        <v>0</v>
      </c>
      <c r="U79" s="3" t="str">
        <f t="shared" si="22"/>
        <v>Org</v>
      </c>
      <c r="V79" s="5">
        <v>51900000</v>
      </c>
      <c r="W79" s="7">
        <v>0</v>
      </c>
      <c r="X79" s="3" t="str">
        <f t="shared" si="23"/>
        <v>Org</v>
      </c>
      <c r="Y79" s="5">
        <v>47275000</v>
      </c>
      <c r="Z79" s="12">
        <f t="shared" si="5"/>
        <v>100</v>
      </c>
      <c r="AA79" s="7" t="str">
        <f t="shared" si="6"/>
        <v>Org</v>
      </c>
      <c r="AB79" s="12">
        <f t="shared" si="7"/>
        <v>100</v>
      </c>
      <c r="AC79" s="7" t="s">
        <v>11</v>
      </c>
      <c r="AD79" s="8">
        <f t="shared" si="8"/>
        <v>210162500</v>
      </c>
      <c r="AE79" s="11">
        <f t="shared" si="9"/>
        <v>69.874147571140881</v>
      </c>
      <c r="AF79" s="7" t="s">
        <v>11</v>
      </c>
      <c r="AG79" s="12">
        <f t="shared" si="10"/>
        <v>100</v>
      </c>
      <c r="AH79" s="7" t="str">
        <f t="shared" si="11"/>
        <v>Org</v>
      </c>
      <c r="AI79" s="8">
        <f t="shared" si="12"/>
        <v>210162500</v>
      </c>
      <c r="AJ79" s="11"/>
      <c r="AK79" s="7" t="s">
        <v>11</v>
      </c>
      <c r="AL79" s="11"/>
      <c r="AM79" s="20"/>
      <c r="AP79" s="6"/>
    </row>
    <row r="80" spans="1:42" ht="15" x14ac:dyDescent="0.2">
      <c r="A80" s="7"/>
      <c r="B80" s="18"/>
      <c r="C80" s="18" t="s">
        <v>158</v>
      </c>
      <c r="D80" s="18" t="s">
        <v>185</v>
      </c>
      <c r="E80" s="17">
        <f>2915*3</f>
        <v>8745</v>
      </c>
      <c r="F80" s="3" t="s">
        <v>10</v>
      </c>
      <c r="G80" s="5">
        <f>404650000*3</f>
        <v>1213950000</v>
      </c>
      <c r="H80" s="12"/>
      <c r="I80" s="3" t="s">
        <v>10</v>
      </c>
      <c r="J80" s="4"/>
      <c r="K80" s="17">
        <v>2915</v>
      </c>
      <c r="L80" s="3" t="s">
        <v>10</v>
      </c>
      <c r="M80" s="5">
        <v>4046500000</v>
      </c>
      <c r="N80" s="7">
        <v>0</v>
      </c>
      <c r="O80" s="3" t="str">
        <f t="shared" ref="O80" si="35">L80</f>
        <v>Org</v>
      </c>
      <c r="P80" s="5">
        <v>0</v>
      </c>
      <c r="Q80" s="17">
        <v>2372</v>
      </c>
      <c r="R80" s="3" t="str">
        <f t="shared" ref="R80" si="36">L80</f>
        <v>Org</v>
      </c>
      <c r="S80" s="5">
        <v>110987500</v>
      </c>
      <c r="T80" s="7">
        <v>0</v>
      </c>
      <c r="U80" s="3" t="str">
        <f t="shared" ref="U80" si="37">O80</f>
        <v>Org</v>
      </c>
      <c r="V80" s="5">
        <v>1870896590</v>
      </c>
      <c r="W80" s="7">
        <v>0</v>
      </c>
      <c r="X80" s="3" t="str">
        <f t="shared" si="23"/>
        <v>Org</v>
      </c>
      <c r="Y80" s="5">
        <v>2042835500</v>
      </c>
      <c r="Z80" s="17">
        <f t="shared" ref="Z80" si="38">SUM(N80,Q80,T80,W80)</f>
        <v>2372</v>
      </c>
      <c r="AA80" s="7" t="str">
        <f t="shared" ref="AA80" si="39">L80</f>
        <v>Org</v>
      </c>
      <c r="AB80" s="12">
        <f t="shared" ref="AB80" si="40">Z80/K80*100</f>
        <v>81.372212692967409</v>
      </c>
      <c r="AC80" s="7" t="s">
        <v>11</v>
      </c>
      <c r="AD80" s="8">
        <f t="shared" ref="AD80" si="41">SUM(P80,S80,V80,Y80)</f>
        <v>4024719590</v>
      </c>
      <c r="AE80" s="11">
        <f t="shared" ref="AE80" si="42">AD80/M80*100</f>
        <v>99.46174694180155</v>
      </c>
      <c r="AF80" s="7" t="s">
        <v>11</v>
      </c>
      <c r="AG80" s="17">
        <f t="shared" ref="AG80" si="43">SUM(H80,Z80)</f>
        <v>2372</v>
      </c>
      <c r="AH80" s="7" t="str">
        <f t="shared" ref="AH80" si="44">O80</f>
        <v>Org</v>
      </c>
      <c r="AI80" s="8">
        <f t="shared" ref="AI80" si="45">SUM(J80,AD80)</f>
        <v>4024719590</v>
      </c>
      <c r="AJ80" s="11"/>
      <c r="AK80" s="7" t="s">
        <v>11</v>
      </c>
      <c r="AL80" s="11"/>
      <c r="AM80" s="20"/>
      <c r="AP80" s="6"/>
    </row>
    <row r="81" spans="1:42" ht="15" x14ac:dyDescent="0.2">
      <c r="A81" s="7">
        <v>16</v>
      </c>
      <c r="B81" s="18" t="s">
        <v>14</v>
      </c>
      <c r="C81" s="18" t="s">
        <v>84</v>
      </c>
      <c r="D81" s="18" t="s">
        <v>203</v>
      </c>
      <c r="E81" s="12">
        <f>9/9*100</f>
        <v>100</v>
      </c>
      <c r="F81" s="3" t="s">
        <v>11</v>
      </c>
      <c r="G81" s="5">
        <f>G82+G84+G86</f>
        <v>1408606500</v>
      </c>
      <c r="H81" s="11">
        <f>6/9*100</f>
        <v>66.666666666666657</v>
      </c>
      <c r="I81" s="3" t="s">
        <v>11</v>
      </c>
      <c r="J81" s="5">
        <f>J82+J84+J86</f>
        <v>0</v>
      </c>
      <c r="K81" s="11">
        <f>6/9*100</f>
        <v>66.666666666666657</v>
      </c>
      <c r="L81" s="3" t="s">
        <v>11</v>
      </c>
      <c r="M81" s="5">
        <f>M82+M84+M86</f>
        <v>1077520500</v>
      </c>
      <c r="N81" s="7">
        <v>0</v>
      </c>
      <c r="O81" s="3" t="str">
        <f t="shared" si="20"/>
        <v>%</v>
      </c>
      <c r="P81" s="5">
        <f>P82+P84+P86</f>
        <v>0</v>
      </c>
      <c r="Q81" s="7">
        <f>6/9*100</f>
        <v>66.666666666666657</v>
      </c>
      <c r="R81" s="3" t="str">
        <f t="shared" si="21"/>
        <v>%</v>
      </c>
      <c r="S81" s="5">
        <f>S82+S84+S86</f>
        <v>187882104</v>
      </c>
      <c r="T81" s="7">
        <v>0</v>
      </c>
      <c r="U81" s="3" t="str">
        <f t="shared" si="22"/>
        <v>%</v>
      </c>
      <c r="V81" s="5">
        <f>V82+V84+V86</f>
        <v>154501744</v>
      </c>
      <c r="W81" s="7">
        <v>0</v>
      </c>
      <c r="X81" s="3" t="str">
        <f t="shared" si="23"/>
        <v>%</v>
      </c>
      <c r="Y81" s="5">
        <f>Y82+Y84+Y86</f>
        <v>482553415</v>
      </c>
      <c r="Z81" s="11">
        <f t="shared" si="5"/>
        <v>66.666666666666657</v>
      </c>
      <c r="AA81" s="7" t="str">
        <f t="shared" si="6"/>
        <v>%</v>
      </c>
      <c r="AB81" s="12">
        <f t="shared" si="7"/>
        <v>100</v>
      </c>
      <c r="AC81" s="7" t="s">
        <v>11</v>
      </c>
      <c r="AD81" s="8">
        <f t="shared" si="8"/>
        <v>824937263</v>
      </c>
      <c r="AE81" s="11">
        <f t="shared" si="9"/>
        <v>76.558846258609464</v>
      </c>
      <c r="AF81" s="7" t="s">
        <v>11</v>
      </c>
      <c r="AG81" s="12">
        <f t="shared" si="10"/>
        <v>133.33333333333331</v>
      </c>
      <c r="AH81" s="7" t="str">
        <f t="shared" si="11"/>
        <v>%</v>
      </c>
      <c r="AI81" s="8">
        <f t="shared" si="12"/>
        <v>824937263</v>
      </c>
      <c r="AJ81" s="11"/>
      <c r="AK81" s="7" t="s">
        <v>11</v>
      </c>
      <c r="AL81" s="11"/>
      <c r="AM81" s="20"/>
      <c r="AP81" s="6"/>
    </row>
    <row r="82" spans="1:42" ht="15" x14ac:dyDescent="0.2">
      <c r="A82" s="7"/>
      <c r="B82" s="18"/>
      <c r="C82" s="18" t="s">
        <v>85</v>
      </c>
      <c r="D82" s="18" t="s">
        <v>202</v>
      </c>
      <c r="E82" s="12">
        <f>9/9*100</f>
        <v>100</v>
      </c>
      <c r="F82" s="3" t="s">
        <v>11</v>
      </c>
      <c r="G82" s="5">
        <f>SUM(G83)</f>
        <v>1277103000</v>
      </c>
      <c r="H82" s="11">
        <f>6/9*100</f>
        <v>66.666666666666657</v>
      </c>
      <c r="I82" s="3" t="s">
        <v>11</v>
      </c>
      <c r="J82" s="5">
        <f>SUM(J83)</f>
        <v>0</v>
      </c>
      <c r="K82" s="11">
        <f>6/9*100</f>
        <v>66.666666666666657</v>
      </c>
      <c r="L82" s="3" t="s">
        <v>11</v>
      </c>
      <c r="M82" s="5">
        <f>SUM(M83)</f>
        <v>638551500</v>
      </c>
      <c r="N82" s="7">
        <v>0</v>
      </c>
      <c r="O82" s="3" t="str">
        <f t="shared" si="20"/>
        <v>%</v>
      </c>
      <c r="P82" s="5">
        <f>SUM(P83)</f>
        <v>0</v>
      </c>
      <c r="Q82" s="7">
        <f>6/9*100</f>
        <v>66.666666666666657</v>
      </c>
      <c r="R82" s="3" t="str">
        <f t="shared" si="21"/>
        <v>%</v>
      </c>
      <c r="S82" s="5">
        <f>SUM(S83)</f>
        <v>51575000</v>
      </c>
      <c r="T82" s="7">
        <v>0</v>
      </c>
      <c r="U82" s="3" t="str">
        <f t="shared" si="22"/>
        <v>%</v>
      </c>
      <c r="V82" s="5">
        <f>SUM(V83)</f>
        <v>132064000</v>
      </c>
      <c r="W82" s="7">
        <v>0</v>
      </c>
      <c r="X82" s="3" t="str">
        <f t="shared" si="23"/>
        <v>%</v>
      </c>
      <c r="Y82" s="5">
        <f>SUM(Y83)</f>
        <v>209580799</v>
      </c>
      <c r="Z82" s="11">
        <f t="shared" ref="Z82:Z103" si="46">SUM(N82,Q82,T82,W82)</f>
        <v>66.666666666666657</v>
      </c>
      <c r="AA82" s="7" t="str">
        <f t="shared" ref="AA82:AA103" si="47">L82</f>
        <v>%</v>
      </c>
      <c r="AB82" s="12">
        <f t="shared" ref="AB82:AB103" si="48">Z82/K82*100</f>
        <v>100</v>
      </c>
      <c r="AC82" s="7" t="s">
        <v>11</v>
      </c>
      <c r="AD82" s="8">
        <f t="shared" ref="AD82:AD103" si="49">SUM(P82,S82,V82,Y82)</f>
        <v>393219799</v>
      </c>
      <c r="AE82" s="11">
        <f t="shared" ref="AE82:AE103" si="50">AD82/M82*100</f>
        <v>61.57996637702675</v>
      </c>
      <c r="AF82" s="7" t="s">
        <v>11</v>
      </c>
      <c r="AG82" s="12">
        <f t="shared" ref="AG82:AG103" si="51">SUM(H82,Z82)</f>
        <v>133.33333333333331</v>
      </c>
      <c r="AH82" s="7" t="str">
        <f t="shared" ref="AH82:AH103" si="52">O82</f>
        <v>%</v>
      </c>
      <c r="AI82" s="8">
        <f t="shared" ref="AI82:AI103" si="53">SUM(J82,AD82)</f>
        <v>393219799</v>
      </c>
      <c r="AJ82" s="11"/>
      <c r="AK82" s="7" t="s">
        <v>11</v>
      </c>
      <c r="AL82" s="11"/>
      <c r="AM82" s="20"/>
      <c r="AP82" s="6"/>
    </row>
    <row r="83" spans="1:42" ht="15" x14ac:dyDescent="0.2">
      <c r="A83" s="7"/>
      <c r="B83" s="18"/>
      <c r="C83" s="18" t="s">
        <v>86</v>
      </c>
      <c r="D83" s="18" t="s">
        <v>200</v>
      </c>
      <c r="E83" s="7">
        <v>9</v>
      </c>
      <c r="F83" s="3" t="s">
        <v>201</v>
      </c>
      <c r="G83" s="5">
        <f>M83*2</f>
        <v>1277103000</v>
      </c>
      <c r="H83" s="7">
        <v>6</v>
      </c>
      <c r="I83" s="3" t="s">
        <v>201</v>
      </c>
      <c r="J83" s="5"/>
      <c r="K83" s="7">
        <v>6</v>
      </c>
      <c r="L83" s="3" t="s">
        <v>201</v>
      </c>
      <c r="M83" s="5">
        <v>638551500</v>
      </c>
      <c r="N83" s="7">
        <v>0</v>
      </c>
      <c r="O83" s="3" t="str">
        <f t="shared" si="20"/>
        <v>OPK</v>
      </c>
      <c r="P83" s="23">
        <v>0</v>
      </c>
      <c r="Q83" s="7">
        <v>6</v>
      </c>
      <c r="R83" s="3" t="str">
        <f t="shared" si="21"/>
        <v>OPK</v>
      </c>
      <c r="S83" s="5">
        <v>51575000</v>
      </c>
      <c r="T83" s="7">
        <v>0</v>
      </c>
      <c r="U83" s="3" t="str">
        <f t="shared" si="22"/>
        <v>OPK</v>
      </c>
      <c r="V83" s="5">
        <v>132064000</v>
      </c>
      <c r="W83" s="7">
        <v>0</v>
      </c>
      <c r="X83" s="3" t="str">
        <f t="shared" si="23"/>
        <v>OPK</v>
      </c>
      <c r="Y83" s="5">
        <v>209580799</v>
      </c>
      <c r="Z83" s="12">
        <f t="shared" si="46"/>
        <v>6</v>
      </c>
      <c r="AA83" s="7" t="str">
        <f t="shared" si="47"/>
        <v>OPK</v>
      </c>
      <c r="AB83" s="12">
        <f t="shared" si="48"/>
        <v>100</v>
      </c>
      <c r="AC83" s="7" t="s">
        <v>11</v>
      </c>
      <c r="AD83" s="8">
        <f t="shared" si="49"/>
        <v>393219799</v>
      </c>
      <c r="AE83" s="11">
        <f t="shared" si="50"/>
        <v>61.57996637702675</v>
      </c>
      <c r="AF83" s="7" t="s">
        <v>11</v>
      </c>
      <c r="AG83" s="12">
        <f t="shared" si="51"/>
        <v>12</v>
      </c>
      <c r="AH83" s="7" t="str">
        <f t="shared" si="52"/>
        <v>OPK</v>
      </c>
      <c r="AI83" s="8">
        <f t="shared" si="53"/>
        <v>393219799</v>
      </c>
      <c r="AJ83" s="11"/>
      <c r="AK83" s="7" t="s">
        <v>11</v>
      </c>
      <c r="AL83" s="11"/>
      <c r="AM83" s="20"/>
      <c r="AP83" s="6"/>
    </row>
    <row r="84" spans="1:42" s="14" customFormat="1" ht="164.25" customHeight="1" x14ac:dyDescent="0.25">
      <c r="A84" s="7"/>
      <c r="B84" s="18"/>
      <c r="C84" s="18" t="s">
        <v>87</v>
      </c>
      <c r="D84" s="18" t="s">
        <v>204</v>
      </c>
      <c r="E84" s="7">
        <f>12/12*100</f>
        <v>100</v>
      </c>
      <c r="F84" s="3" t="s">
        <v>11</v>
      </c>
      <c r="G84" s="9"/>
      <c r="H84" s="11">
        <f>8/12*100</f>
        <v>66.666666666666657</v>
      </c>
      <c r="I84" s="3" t="s">
        <v>11</v>
      </c>
      <c r="J84" s="4"/>
      <c r="K84" s="11">
        <f>8/12*100</f>
        <v>66.666666666666657</v>
      </c>
      <c r="L84" s="3" t="s">
        <v>11</v>
      </c>
      <c r="M84" s="5">
        <f>SUM(M85)</f>
        <v>320065500</v>
      </c>
      <c r="N84" s="7">
        <v>0</v>
      </c>
      <c r="O84" s="3" t="str">
        <f t="shared" si="20"/>
        <v>%</v>
      </c>
      <c r="P84" s="5">
        <f>SUM(P85)</f>
        <v>0</v>
      </c>
      <c r="Q84" s="7">
        <v>0</v>
      </c>
      <c r="R84" s="3" t="str">
        <f t="shared" si="21"/>
        <v>%</v>
      </c>
      <c r="S84" s="5">
        <f>SUM(S85)</f>
        <v>70007104</v>
      </c>
      <c r="T84" s="11">
        <f>2/12*100</f>
        <v>16.666666666666664</v>
      </c>
      <c r="U84" s="3" t="str">
        <f t="shared" si="22"/>
        <v>%</v>
      </c>
      <c r="V84" s="5">
        <f>SUM(V85)</f>
        <v>19287744</v>
      </c>
      <c r="W84" s="11">
        <f>2/12*100</f>
        <v>16.666666666666664</v>
      </c>
      <c r="X84" s="3" t="str">
        <f t="shared" si="23"/>
        <v>%</v>
      </c>
      <c r="Y84" s="5">
        <f>SUM(Y85)</f>
        <v>225619116</v>
      </c>
      <c r="Z84" s="12">
        <f t="shared" si="46"/>
        <v>33.333333333333329</v>
      </c>
      <c r="AA84" s="7" t="str">
        <f t="shared" si="47"/>
        <v>%</v>
      </c>
      <c r="AB84" s="12">
        <f t="shared" si="48"/>
        <v>50</v>
      </c>
      <c r="AC84" s="7" t="s">
        <v>11</v>
      </c>
      <c r="AD84" s="8">
        <f t="shared" si="49"/>
        <v>314913964</v>
      </c>
      <c r="AE84" s="11">
        <f t="shared" si="50"/>
        <v>98.390474449761072</v>
      </c>
      <c r="AF84" s="7" t="s">
        <v>11</v>
      </c>
      <c r="AG84" s="12">
        <f t="shared" si="51"/>
        <v>99.999999999999986</v>
      </c>
      <c r="AH84" s="7" t="str">
        <f t="shared" si="52"/>
        <v>%</v>
      </c>
      <c r="AI84" s="8">
        <f t="shared" si="53"/>
        <v>314913964</v>
      </c>
      <c r="AJ84" s="11"/>
      <c r="AK84" s="7" t="s">
        <v>11</v>
      </c>
      <c r="AL84" s="11"/>
      <c r="AM84" s="20"/>
      <c r="AP84" s="15"/>
    </row>
    <row r="85" spans="1:42" ht="15" x14ac:dyDescent="0.2">
      <c r="A85" s="7"/>
      <c r="B85" s="18"/>
      <c r="C85" s="18" t="s">
        <v>88</v>
      </c>
      <c r="D85" s="18" t="s">
        <v>205</v>
      </c>
      <c r="E85" s="7">
        <f>K85*2</f>
        <v>6</v>
      </c>
      <c r="F85" s="3" t="s">
        <v>9</v>
      </c>
      <c r="G85" s="5">
        <f>M85*2</f>
        <v>640131000</v>
      </c>
      <c r="H85" s="7"/>
      <c r="I85" s="3"/>
      <c r="J85" s="5"/>
      <c r="K85" s="7">
        <v>3</v>
      </c>
      <c r="L85" s="3" t="s">
        <v>9</v>
      </c>
      <c r="M85" s="5">
        <v>320065500</v>
      </c>
      <c r="N85" s="7">
        <v>0</v>
      </c>
      <c r="O85" s="3" t="str">
        <f t="shared" si="20"/>
        <v>Keg</v>
      </c>
      <c r="P85" s="5">
        <v>0</v>
      </c>
      <c r="Q85" s="7">
        <v>0</v>
      </c>
      <c r="R85" s="3" t="str">
        <f t="shared" si="21"/>
        <v>Keg</v>
      </c>
      <c r="S85" s="5">
        <v>70007104</v>
      </c>
      <c r="T85" s="7">
        <v>2</v>
      </c>
      <c r="U85" s="3" t="str">
        <f t="shared" si="22"/>
        <v>Keg</v>
      </c>
      <c r="V85" s="5">
        <v>19287744</v>
      </c>
      <c r="W85" s="7">
        <v>1</v>
      </c>
      <c r="X85" s="3" t="str">
        <f t="shared" si="23"/>
        <v>Keg</v>
      </c>
      <c r="Y85" s="5">
        <v>225619116</v>
      </c>
      <c r="Z85" s="12">
        <f t="shared" si="46"/>
        <v>3</v>
      </c>
      <c r="AA85" s="7" t="str">
        <f t="shared" si="47"/>
        <v>Keg</v>
      </c>
      <c r="AB85" s="12">
        <f t="shared" si="48"/>
        <v>100</v>
      </c>
      <c r="AC85" s="7" t="s">
        <v>11</v>
      </c>
      <c r="AD85" s="8">
        <f t="shared" si="49"/>
        <v>314913964</v>
      </c>
      <c r="AE85" s="11">
        <f t="shared" si="50"/>
        <v>98.390474449761072</v>
      </c>
      <c r="AF85" s="7" t="s">
        <v>11</v>
      </c>
      <c r="AG85" s="12">
        <f t="shared" si="51"/>
        <v>3</v>
      </c>
      <c r="AH85" s="7" t="str">
        <f t="shared" si="52"/>
        <v>Keg</v>
      </c>
      <c r="AI85" s="8">
        <f t="shared" si="53"/>
        <v>314913964</v>
      </c>
      <c r="AJ85" s="11"/>
      <c r="AK85" s="7" t="s">
        <v>11</v>
      </c>
      <c r="AL85" s="11"/>
      <c r="AM85" s="20"/>
      <c r="AP85" s="6"/>
    </row>
    <row r="86" spans="1:42" s="14" customFormat="1" ht="128.25" customHeight="1" x14ac:dyDescent="0.25">
      <c r="A86" s="7"/>
      <c r="B86" s="18"/>
      <c r="C86" s="18" t="s">
        <v>89</v>
      </c>
      <c r="D86" s="18" t="s">
        <v>206</v>
      </c>
      <c r="E86" s="7">
        <v>2</v>
      </c>
      <c r="F86" s="3" t="s">
        <v>207</v>
      </c>
      <c r="G86" s="5">
        <f>SUM(G87)</f>
        <v>131503500</v>
      </c>
      <c r="H86" s="7"/>
      <c r="I86" s="3"/>
      <c r="J86" s="5">
        <f>SUM(J87)</f>
        <v>0</v>
      </c>
      <c r="K86" s="7">
        <v>2</v>
      </c>
      <c r="L86" s="3" t="s">
        <v>207</v>
      </c>
      <c r="M86" s="5">
        <f>SUM(M87)</f>
        <v>118903500</v>
      </c>
      <c r="N86" s="7">
        <v>0</v>
      </c>
      <c r="O86" s="3" t="str">
        <f t="shared" si="20"/>
        <v>Balai Adat</v>
      </c>
      <c r="P86" s="5">
        <f>SUM(P87)</f>
        <v>0</v>
      </c>
      <c r="Q86" s="7">
        <v>2</v>
      </c>
      <c r="R86" s="3" t="str">
        <f t="shared" si="21"/>
        <v>Balai Adat</v>
      </c>
      <c r="S86" s="5">
        <f>SUM(S87)</f>
        <v>66300000</v>
      </c>
      <c r="T86" s="7">
        <v>0</v>
      </c>
      <c r="U86" s="3" t="str">
        <f t="shared" si="22"/>
        <v>Balai Adat</v>
      </c>
      <c r="V86" s="5">
        <f>SUM(V87)</f>
        <v>3150000</v>
      </c>
      <c r="W86" s="7">
        <v>0</v>
      </c>
      <c r="X86" s="3" t="str">
        <f t="shared" si="23"/>
        <v>Balai Adat</v>
      </c>
      <c r="Y86" s="5">
        <f>SUM(Y87)</f>
        <v>47353500</v>
      </c>
      <c r="Z86" s="12">
        <f t="shared" si="46"/>
        <v>2</v>
      </c>
      <c r="AA86" s="7" t="str">
        <f t="shared" si="47"/>
        <v>Balai Adat</v>
      </c>
      <c r="AB86" s="12">
        <f t="shared" si="48"/>
        <v>100</v>
      </c>
      <c r="AC86" s="7" t="s">
        <v>11</v>
      </c>
      <c r="AD86" s="8">
        <f t="shared" si="49"/>
        <v>116803500</v>
      </c>
      <c r="AE86" s="11">
        <f t="shared" si="50"/>
        <v>98.233861913232161</v>
      </c>
      <c r="AF86" s="7" t="s">
        <v>11</v>
      </c>
      <c r="AG86" s="12">
        <f t="shared" si="51"/>
        <v>2</v>
      </c>
      <c r="AH86" s="7" t="str">
        <f t="shared" si="52"/>
        <v>Balai Adat</v>
      </c>
      <c r="AI86" s="8">
        <f t="shared" si="53"/>
        <v>116803500</v>
      </c>
      <c r="AJ86" s="11"/>
      <c r="AK86" s="7" t="s">
        <v>11</v>
      </c>
      <c r="AL86" s="11"/>
      <c r="AM86" s="20"/>
      <c r="AP86" s="15"/>
    </row>
    <row r="87" spans="1:42" ht="15" x14ac:dyDescent="0.2">
      <c r="A87" s="7"/>
      <c r="B87" s="18"/>
      <c r="C87" s="18" t="s">
        <v>90</v>
      </c>
      <c r="D87" s="18" t="s">
        <v>208</v>
      </c>
      <c r="E87" s="7">
        <f>K87*2</f>
        <v>6</v>
      </c>
      <c r="F87" s="3" t="s">
        <v>9</v>
      </c>
      <c r="G87" s="5">
        <f>M87+12600000</f>
        <v>131503500</v>
      </c>
      <c r="H87" s="7"/>
      <c r="I87" s="3"/>
      <c r="J87" s="5"/>
      <c r="K87" s="7">
        <v>3</v>
      </c>
      <c r="L87" s="3" t="s">
        <v>9</v>
      </c>
      <c r="M87" s="5">
        <v>118903500</v>
      </c>
      <c r="N87" s="7">
        <v>0</v>
      </c>
      <c r="O87" s="3" t="str">
        <f t="shared" si="20"/>
        <v>Keg</v>
      </c>
      <c r="P87" s="5">
        <v>0</v>
      </c>
      <c r="Q87" s="7">
        <v>0</v>
      </c>
      <c r="R87" s="3" t="str">
        <f t="shared" si="21"/>
        <v>Keg</v>
      </c>
      <c r="S87" s="5">
        <v>66300000</v>
      </c>
      <c r="T87" s="7">
        <v>2</v>
      </c>
      <c r="U87" s="3" t="str">
        <f t="shared" si="22"/>
        <v>Keg</v>
      </c>
      <c r="V87" s="5">
        <v>3150000</v>
      </c>
      <c r="W87" s="7">
        <v>1</v>
      </c>
      <c r="X87" s="3" t="str">
        <f t="shared" si="23"/>
        <v>Keg</v>
      </c>
      <c r="Y87" s="5">
        <v>47353500</v>
      </c>
      <c r="Z87" s="12">
        <f t="shared" si="46"/>
        <v>3</v>
      </c>
      <c r="AA87" s="7" t="str">
        <f t="shared" si="47"/>
        <v>Keg</v>
      </c>
      <c r="AB87" s="12">
        <f t="shared" si="48"/>
        <v>100</v>
      </c>
      <c r="AC87" s="7" t="s">
        <v>11</v>
      </c>
      <c r="AD87" s="8">
        <f t="shared" si="49"/>
        <v>116803500</v>
      </c>
      <c r="AE87" s="11">
        <f t="shared" si="50"/>
        <v>98.233861913232161</v>
      </c>
      <c r="AF87" s="7" t="s">
        <v>11</v>
      </c>
      <c r="AG87" s="12">
        <f t="shared" si="51"/>
        <v>3</v>
      </c>
      <c r="AH87" s="7" t="str">
        <f t="shared" si="52"/>
        <v>Keg</v>
      </c>
      <c r="AI87" s="8">
        <f t="shared" si="53"/>
        <v>116803500</v>
      </c>
      <c r="AJ87" s="11"/>
      <c r="AK87" s="7" t="s">
        <v>11</v>
      </c>
      <c r="AL87" s="11"/>
      <c r="AM87" s="20"/>
      <c r="AP87" s="6"/>
    </row>
    <row r="88" spans="1:42" ht="15" x14ac:dyDescent="0.2">
      <c r="A88" s="7"/>
      <c r="B88" s="18"/>
      <c r="C88" s="18" t="s">
        <v>91</v>
      </c>
      <c r="D88" s="18" t="s">
        <v>189</v>
      </c>
      <c r="E88" s="7"/>
      <c r="F88" s="3"/>
      <c r="G88" s="5">
        <f>G89</f>
        <v>262100000</v>
      </c>
      <c r="H88" s="7"/>
      <c r="I88" s="3"/>
      <c r="J88" s="5">
        <f>J89</f>
        <v>0</v>
      </c>
      <c r="K88" s="7">
        <v>100</v>
      </c>
      <c r="L88" s="3" t="s">
        <v>11</v>
      </c>
      <c r="M88" s="5">
        <f>M89</f>
        <v>131050000</v>
      </c>
      <c r="N88" s="7"/>
      <c r="O88" s="3" t="str">
        <f t="shared" si="20"/>
        <v>%</v>
      </c>
      <c r="P88" s="5">
        <f>P89</f>
        <v>10150000</v>
      </c>
      <c r="Q88" s="7"/>
      <c r="R88" s="3" t="str">
        <f t="shared" si="21"/>
        <v>%</v>
      </c>
      <c r="S88" s="5">
        <f>S89</f>
        <v>9900000</v>
      </c>
      <c r="T88" s="7"/>
      <c r="U88" s="3" t="str">
        <f t="shared" si="22"/>
        <v>%</v>
      </c>
      <c r="V88" s="5">
        <f>V89</f>
        <v>5100000</v>
      </c>
      <c r="W88" s="7"/>
      <c r="X88" s="3" t="str">
        <f t="shared" si="23"/>
        <v>%</v>
      </c>
      <c r="Y88" s="5">
        <f>Y89</f>
        <v>102000000</v>
      </c>
      <c r="Z88" s="12">
        <f t="shared" si="46"/>
        <v>0</v>
      </c>
      <c r="AA88" s="7" t="str">
        <f t="shared" si="47"/>
        <v>%</v>
      </c>
      <c r="AB88" s="12">
        <f t="shared" si="48"/>
        <v>0</v>
      </c>
      <c r="AC88" s="7" t="s">
        <v>11</v>
      </c>
      <c r="AD88" s="8">
        <f t="shared" si="49"/>
        <v>127150000</v>
      </c>
      <c r="AE88" s="11">
        <f t="shared" si="50"/>
        <v>97.0240366272415</v>
      </c>
      <c r="AF88" s="7" t="s">
        <v>11</v>
      </c>
      <c r="AG88" s="12">
        <f t="shared" si="51"/>
        <v>0</v>
      </c>
      <c r="AH88" s="7" t="str">
        <f t="shared" si="52"/>
        <v>%</v>
      </c>
      <c r="AI88" s="8">
        <f t="shared" si="53"/>
        <v>127150000</v>
      </c>
      <c r="AJ88" s="11"/>
      <c r="AK88" s="7" t="s">
        <v>11</v>
      </c>
      <c r="AL88" s="11"/>
      <c r="AM88" s="20"/>
      <c r="AP88" s="6"/>
    </row>
    <row r="89" spans="1:42" ht="117" customHeight="1" x14ac:dyDescent="0.2">
      <c r="A89" s="7"/>
      <c r="B89" s="18"/>
      <c r="C89" s="18" t="s">
        <v>92</v>
      </c>
      <c r="D89" s="18" t="s">
        <v>190</v>
      </c>
      <c r="E89" s="7">
        <f>1+1</f>
        <v>2</v>
      </c>
      <c r="F89" s="3" t="s">
        <v>9</v>
      </c>
      <c r="G89" s="5">
        <f>SUM(G90)</f>
        <v>262100000</v>
      </c>
      <c r="H89" s="7">
        <v>0</v>
      </c>
      <c r="I89" s="3" t="s">
        <v>9</v>
      </c>
      <c r="J89" s="5">
        <f>SUM(J90)</f>
        <v>0</v>
      </c>
      <c r="K89" s="7">
        <v>1</v>
      </c>
      <c r="L89" s="3" t="s">
        <v>9</v>
      </c>
      <c r="M89" s="5">
        <f>SUM(M90)</f>
        <v>131050000</v>
      </c>
      <c r="N89" s="7">
        <v>0</v>
      </c>
      <c r="O89" s="3" t="str">
        <f t="shared" si="20"/>
        <v>Keg</v>
      </c>
      <c r="P89" s="5">
        <f>SUM(P90)</f>
        <v>10150000</v>
      </c>
      <c r="Q89" s="7">
        <v>0</v>
      </c>
      <c r="R89" s="3" t="str">
        <f t="shared" si="21"/>
        <v>Keg</v>
      </c>
      <c r="S89" s="5">
        <f>SUM(S90)</f>
        <v>9900000</v>
      </c>
      <c r="T89" s="7">
        <v>0</v>
      </c>
      <c r="U89" s="3" t="str">
        <f t="shared" si="22"/>
        <v>Keg</v>
      </c>
      <c r="V89" s="5">
        <f>SUM(V90)</f>
        <v>5100000</v>
      </c>
      <c r="W89" s="7">
        <v>0</v>
      </c>
      <c r="X89" s="3" t="str">
        <f t="shared" si="23"/>
        <v>Keg</v>
      </c>
      <c r="Y89" s="5">
        <f>SUM(Y90)</f>
        <v>102000000</v>
      </c>
      <c r="Z89" s="12">
        <f t="shared" si="46"/>
        <v>0</v>
      </c>
      <c r="AA89" s="7" t="str">
        <f t="shared" si="47"/>
        <v>Keg</v>
      </c>
      <c r="AB89" s="12">
        <f t="shared" si="48"/>
        <v>0</v>
      </c>
      <c r="AC89" s="7" t="s">
        <v>11</v>
      </c>
      <c r="AD89" s="8">
        <f t="shared" si="49"/>
        <v>127150000</v>
      </c>
      <c r="AE89" s="11">
        <f t="shared" si="50"/>
        <v>97.0240366272415</v>
      </c>
      <c r="AF89" s="7" t="s">
        <v>11</v>
      </c>
      <c r="AG89" s="12">
        <f t="shared" si="51"/>
        <v>0</v>
      </c>
      <c r="AH89" s="7" t="str">
        <f t="shared" si="52"/>
        <v>Keg</v>
      </c>
      <c r="AI89" s="8">
        <f t="shared" si="53"/>
        <v>127150000</v>
      </c>
      <c r="AJ89" s="11"/>
      <c r="AK89" s="7" t="s">
        <v>11</v>
      </c>
      <c r="AL89" s="11"/>
      <c r="AM89" s="20"/>
      <c r="AP89" s="6"/>
    </row>
    <row r="90" spans="1:42" ht="151.5" customHeight="1" x14ac:dyDescent="0.2">
      <c r="A90" s="7"/>
      <c r="B90" s="18"/>
      <c r="C90" s="18" t="s">
        <v>93</v>
      </c>
      <c r="D90" s="18" t="s">
        <v>124</v>
      </c>
      <c r="E90" s="17">
        <f>1000+1000</f>
        <v>2000</v>
      </c>
      <c r="F90" s="3" t="s">
        <v>10</v>
      </c>
      <c r="G90" s="5">
        <f>M90*2</f>
        <v>262100000</v>
      </c>
      <c r="H90" s="7">
        <v>0</v>
      </c>
      <c r="I90" s="3" t="s">
        <v>10</v>
      </c>
      <c r="J90" s="5"/>
      <c r="K90" s="17">
        <v>1000</v>
      </c>
      <c r="L90" s="3" t="s">
        <v>10</v>
      </c>
      <c r="M90" s="5">
        <v>131050000</v>
      </c>
      <c r="N90" s="7">
        <v>0</v>
      </c>
      <c r="O90" s="3" t="str">
        <f t="shared" si="20"/>
        <v>Org</v>
      </c>
      <c r="P90" s="5">
        <v>10150000</v>
      </c>
      <c r="Q90" s="7">
        <v>0</v>
      </c>
      <c r="R90" s="3" t="str">
        <f t="shared" si="21"/>
        <v>Org</v>
      </c>
      <c r="S90" s="5">
        <f>20050000-P90</f>
        <v>9900000</v>
      </c>
      <c r="T90" s="7">
        <v>0</v>
      </c>
      <c r="U90" s="3" t="str">
        <f t="shared" si="22"/>
        <v>Org</v>
      </c>
      <c r="V90" s="5">
        <v>5100000</v>
      </c>
      <c r="W90" s="17">
        <v>1000</v>
      </c>
      <c r="X90" s="3" t="str">
        <f t="shared" si="23"/>
        <v>Org</v>
      </c>
      <c r="Y90" s="5">
        <v>102000000</v>
      </c>
      <c r="Z90" s="17">
        <f t="shared" si="46"/>
        <v>1000</v>
      </c>
      <c r="AA90" s="7" t="str">
        <f t="shared" si="47"/>
        <v>Org</v>
      </c>
      <c r="AB90" s="12">
        <f t="shared" si="48"/>
        <v>100</v>
      </c>
      <c r="AC90" s="7" t="s">
        <v>11</v>
      </c>
      <c r="AD90" s="8">
        <f t="shared" si="49"/>
        <v>127150000</v>
      </c>
      <c r="AE90" s="11">
        <f t="shared" si="50"/>
        <v>97.0240366272415</v>
      </c>
      <c r="AF90" s="7" t="s">
        <v>11</v>
      </c>
      <c r="AG90" s="17">
        <f t="shared" si="51"/>
        <v>1000</v>
      </c>
      <c r="AH90" s="7" t="str">
        <f t="shared" si="52"/>
        <v>Org</v>
      </c>
      <c r="AI90" s="8">
        <f t="shared" si="53"/>
        <v>127150000</v>
      </c>
      <c r="AJ90" s="11"/>
      <c r="AK90" s="7" t="s">
        <v>11</v>
      </c>
      <c r="AL90" s="11"/>
      <c r="AM90" s="20"/>
      <c r="AP90" s="6"/>
    </row>
    <row r="91" spans="1:42" ht="15" x14ac:dyDescent="0.2">
      <c r="A91" s="7"/>
      <c r="B91" s="18"/>
      <c r="C91" s="18" t="s">
        <v>94</v>
      </c>
      <c r="D91" s="18" t="s">
        <v>153</v>
      </c>
      <c r="E91" s="7">
        <v>100</v>
      </c>
      <c r="F91" s="3" t="s">
        <v>11</v>
      </c>
      <c r="G91" s="5">
        <f>G92+G94</f>
        <v>28000000</v>
      </c>
      <c r="H91" s="7">
        <v>100</v>
      </c>
      <c r="I91" s="3" t="s">
        <v>11</v>
      </c>
      <c r="J91" s="5">
        <f>J92+J94</f>
        <v>0</v>
      </c>
      <c r="K91" s="7">
        <v>100</v>
      </c>
      <c r="L91" s="3" t="s">
        <v>11</v>
      </c>
      <c r="M91" s="5">
        <f>M92+M94</f>
        <v>1256125000</v>
      </c>
      <c r="N91" s="7"/>
      <c r="O91" s="3" t="str">
        <f t="shared" si="20"/>
        <v>%</v>
      </c>
      <c r="P91" s="5">
        <f>P92+P94</f>
        <v>124205000</v>
      </c>
      <c r="Q91" s="7"/>
      <c r="R91" s="3" t="str">
        <f t="shared" si="21"/>
        <v>%</v>
      </c>
      <c r="S91" s="5">
        <f>S92+S94</f>
        <v>0</v>
      </c>
      <c r="T91" s="7"/>
      <c r="U91" s="3" t="str">
        <f t="shared" si="22"/>
        <v>%</v>
      </c>
      <c r="V91" s="5">
        <f>V92+V94</f>
        <v>79677500</v>
      </c>
      <c r="W91" s="7"/>
      <c r="X91" s="3" t="str">
        <f t="shared" si="23"/>
        <v>%</v>
      </c>
      <c r="Y91" s="5">
        <f>Y92+Y94</f>
        <v>41100000</v>
      </c>
      <c r="Z91" s="11">
        <f t="shared" si="46"/>
        <v>0</v>
      </c>
      <c r="AA91" s="7" t="str">
        <f t="shared" si="47"/>
        <v>%</v>
      </c>
      <c r="AB91" s="12">
        <f t="shared" si="48"/>
        <v>0</v>
      </c>
      <c r="AC91" s="7" t="s">
        <v>11</v>
      </c>
      <c r="AD91" s="8">
        <f t="shared" si="49"/>
        <v>244982500</v>
      </c>
      <c r="AE91" s="11">
        <f t="shared" si="50"/>
        <v>19.503035127873421</v>
      </c>
      <c r="AF91" s="7" t="s">
        <v>11</v>
      </c>
      <c r="AG91" s="12">
        <f t="shared" si="51"/>
        <v>100</v>
      </c>
      <c r="AH91" s="7" t="str">
        <f t="shared" si="52"/>
        <v>%</v>
      </c>
      <c r="AI91" s="8">
        <f t="shared" si="53"/>
        <v>244982500</v>
      </c>
      <c r="AJ91" s="11"/>
      <c r="AK91" s="7" t="s">
        <v>11</v>
      </c>
      <c r="AL91" s="11"/>
      <c r="AM91" s="20"/>
      <c r="AP91" s="6"/>
    </row>
    <row r="92" spans="1:42" s="14" customFormat="1" ht="105" customHeight="1" x14ac:dyDescent="0.25">
      <c r="A92" s="7"/>
      <c r="B92" s="18"/>
      <c r="C92" s="18" t="s">
        <v>191</v>
      </c>
      <c r="D92" s="18" t="s">
        <v>192</v>
      </c>
      <c r="E92" s="7">
        <v>32</v>
      </c>
      <c r="F92" s="3" t="s">
        <v>119</v>
      </c>
      <c r="G92" s="5">
        <f>SUM(G93)</f>
        <v>28000000</v>
      </c>
      <c r="H92" s="7">
        <v>26</v>
      </c>
      <c r="I92" s="3" t="s">
        <v>119</v>
      </c>
      <c r="J92" s="5">
        <f>SUM(J93)</f>
        <v>0</v>
      </c>
      <c r="K92" s="7">
        <f>K93</f>
        <v>28</v>
      </c>
      <c r="L92" s="3" t="s">
        <v>119</v>
      </c>
      <c r="M92" s="5">
        <f>SUM(M93)</f>
        <v>14000000</v>
      </c>
      <c r="N92" s="7">
        <f>N93</f>
        <v>28</v>
      </c>
      <c r="O92" s="3" t="str">
        <f t="shared" si="20"/>
        <v>Cagar Budaya</v>
      </c>
      <c r="P92" s="5">
        <f>SUM(P93)</f>
        <v>14000000</v>
      </c>
      <c r="Q92" s="7">
        <v>0</v>
      </c>
      <c r="R92" s="3" t="str">
        <f t="shared" si="21"/>
        <v>Cagar Budaya</v>
      </c>
      <c r="S92" s="5">
        <f>SUM(S93)</f>
        <v>0</v>
      </c>
      <c r="T92" s="7">
        <v>0</v>
      </c>
      <c r="U92" s="3" t="str">
        <f t="shared" si="22"/>
        <v>Cagar Budaya</v>
      </c>
      <c r="V92" s="5">
        <f>SUM(V93)</f>
        <v>0</v>
      </c>
      <c r="W92" s="7">
        <v>0</v>
      </c>
      <c r="X92" s="3" t="str">
        <f t="shared" si="23"/>
        <v>Cagar Budaya</v>
      </c>
      <c r="Y92" s="5">
        <f>SUM(Y93)</f>
        <v>0</v>
      </c>
      <c r="Z92" s="12">
        <f t="shared" si="46"/>
        <v>28</v>
      </c>
      <c r="AA92" s="7" t="str">
        <f t="shared" si="47"/>
        <v>Cagar Budaya</v>
      </c>
      <c r="AB92" s="12">
        <f t="shared" si="48"/>
        <v>100</v>
      </c>
      <c r="AC92" s="7" t="s">
        <v>11</v>
      </c>
      <c r="AD92" s="8">
        <f t="shared" si="49"/>
        <v>14000000</v>
      </c>
      <c r="AE92" s="11">
        <f t="shared" si="50"/>
        <v>100</v>
      </c>
      <c r="AF92" s="7" t="s">
        <v>11</v>
      </c>
      <c r="AG92" s="12">
        <f t="shared" si="51"/>
        <v>54</v>
      </c>
      <c r="AH92" s="7" t="str">
        <f t="shared" si="52"/>
        <v>Cagar Budaya</v>
      </c>
      <c r="AI92" s="8">
        <f t="shared" si="53"/>
        <v>14000000</v>
      </c>
      <c r="AJ92" s="11"/>
      <c r="AK92" s="7" t="s">
        <v>11</v>
      </c>
      <c r="AL92" s="11"/>
      <c r="AM92" s="20"/>
      <c r="AP92" s="15"/>
    </row>
    <row r="93" spans="1:42" ht="15" x14ac:dyDescent="0.2">
      <c r="A93" s="7"/>
      <c r="B93" s="18"/>
      <c r="C93" s="18" t="s">
        <v>95</v>
      </c>
      <c r="D93" s="18" t="s">
        <v>110</v>
      </c>
      <c r="E93" s="7">
        <v>32</v>
      </c>
      <c r="F93" s="3" t="s">
        <v>119</v>
      </c>
      <c r="G93" s="5">
        <f>M93*2</f>
        <v>28000000</v>
      </c>
      <c r="H93" s="7">
        <v>26</v>
      </c>
      <c r="I93" s="3" t="s">
        <v>119</v>
      </c>
      <c r="J93" s="5"/>
      <c r="K93" s="7">
        <v>28</v>
      </c>
      <c r="L93" s="3" t="s">
        <v>119</v>
      </c>
      <c r="M93" s="5">
        <v>14000000</v>
      </c>
      <c r="N93" s="7">
        <v>28</v>
      </c>
      <c r="O93" s="3" t="str">
        <f t="shared" si="20"/>
        <v>Cagar Budaya</v>
      </c>
      <c r="P93" s="5">
        <v>14000000</v>
      </c>
      <c r="Q93" s="7">
        <v>0</v>
      </c>
      <c r="R93" s="3" t="str">
        <f t="shared" si="21"/>
        <v>Cagar Budaya</v>
      </c>
      <c r="S93" s="5">
        <v>0</v>
      </c>
      <c r="T93" s="7">
        <v>0</v>
      </c>
      <c r="U93" s="3" t="str">
        <f t="shared" si="22"/>
        <v>Cagar Budaya</v>
      </c>
      <c r="V93" s="5">
        <v>0</v>
      </c>
      <c r="W93" s="7">
        <v>0</v>
      </c>
      <c r="X93" s="3" t="str">
        <f t="shared" si="23"/>
        <v>Cagar Budaya</v>
      </c>
      <c r="Y93" s="5">
        <v>0</v>
      </c>
      <c r="Z93" s="12">
        <f t="shared" si="46"/>
        <v>28</v>
      </c>
      <c r="AA93" s="7" t="str">
        <f t="shared" si="47"/>
        <v>Cagar Budaya</v>
      </c>
      <c r="AB93" s="12">
        <f t="shared" si="48"/>
        <v>100</v>
      </c>
      <c r="AC93" s="7" t="s">
        <v>11</v>
      </c>
      <c r="AD93" s="8">
        <f t="shared" si="49"/>
        <v>14000000</v>
      </c>
      <c r="AE93" s="11">
        <f t="shared" si="50"/>
        <v>100</v>
      </c>
      <c r="AF93" s="7" t="s">
        <v>11</v>
      </c>
      <c r="AG93" s="12">
        <f t="shared" si="51"/>
        <v>54</v>
      </c>
      <c r="AH93" s="7" t="str">
        <f t="shared" si="52"/>
        <v>Cagar Budaya</v>
      </c>
      <c r="AI93" s="8">
        <f t="shared" si="53"/>
        <v>14000000</v>
      </c>
      <c r="AJ93" s="11"/>
      <c r="AK93" s="7" t="s">
        <v>11</v>
      </c>
      <c r="AL93" s="11"/>
      <c r="AM93" s="20"/>
      <c r="AP93" s="6"/>
    </row>
    <row r="94" spans="1:42" ht="124.5" customHeight="1" x14ac:dyDescent="0.2">
      <c r="A94" s="7"/>
      <c r="B94" s="18"/>
      <c r="C94" s="18" t="s">
        <v>96</v>
      </c>
      <c r="D94" s="18" t="s">
        <v>193</v>
      </c>
      <c r="E94" s="7">
        <v>32</v>
      </c>
      <c r="F94" s="3" t="s">
        <v>119</v>
      </c>
      <c r="G94" s="9"/>
      <c r="H94" s="7">
        <v>26</v>
      </c>
      <c r="I94" s="3" t="s">
        <v>119</v>
      </c>
      <c r="J94" s="4"/>
      <c r="K94" s="7">
        <f>K95</f>
        <v>28</v>
      </c>
      <c r="L94" s="3" t="s">
        <v>119</v>
      </c>
      <c r="M94" s="5">
        <f>SUM(M95:M97)</f>
        <v>1242125000</v>
      </c>
      <c r="N94" s="7">
        <v>28</v>
      </c>
      <c r="O94" s="3" t="str">
        <f t="shared" si="20"/>
        <v>Cagar Budaya</v>
      </c>
      <c r="P94" s="5">
        <f>SUM(P95:P97)</f>
        <v>110205000</v>
      </c>
      <c r="Q94" s="7">
        <v>0</v>
      </c>
      <c r="R94" s="3" t="str">
        <f t="shared" si="21"/>
        <v>Cagar Budaya</v>
      </c>
      <c r="S94" s="5">
        <f>SUM(S95:S97)</f>
        <v>0</v>
      </c>
      <c r="T94" s="7">
        <v>0</v>
      </c>
      <c r="U94" s="3" t="str">
        <f t="shared" si="22"/>
        <v>Cagar Budaya</v>
      </c>
      <c r="V94" s="5">
        <f>SUM(V95:V97)</f>
        <v>79677500</v>
      </c>
      <c r="W94" s="7">
        <v>0</v>
      </c>
      <c r="X94" s="3" t="str">
        <f t="shared" si="23"/>
        <v>Cagar Budaya</v>
      </c>
      <c r="Y94" s="5">
        <f>SUM(Y95:Y97)</f>
        <v>41100000</v>
      </c>
      <c r="Z94" s="12">
        <f t="shared" si="46"/>
        <v>28</v>
      </c>
      <c r="AA94" s="7" t="str">
        <f t="shared" si="47"/>
        <v>Cagar Budaya</v>
      </c>
      <c r="AB94" s="12">
        <f t="shared" si="48"/>
        <v>100</v>
      </c>
      <c r="AC94" s="7" t="s">
        <v>11</v>
      </c>
      <c r="AD94" s="8">
        <f t="shared" si="49"/>
        <v>230982500</v>
      </c>
      <c r="AE94" s="11">
        <f t="shared" si="50"/>
        <v>18.595753245446311</v>
      </c>
      <c r="AF94" s="7" t="s">
        <v>11</v>
      </c>
      <c r="AG94" s="12">
        <f t="shared" si="51"/>
        <v>54</v>
      </c>
      <c r="AH94" s="7" t="str">
        <f t="shared" si="52"/>
        <v>Cagar Budaya</v>
      </c>
      <c r="AI94" s="8">
        <f t="shared" si="53"/>
        <v>230982500</v>
      </c>
      <c r="AJ94" s="11"/>
      <c r="AK94" s="7" t="s">
        <v>11</v>
      </c>
      <c r="AL94" s="11"/>
      <c r="AM94" s="20"/>
      <c r="AP94" s="6"/>
    </row>
    <row r="95" spans="1:42" ht="15" x14ac:dyDescent="0.2">
      <c r="A95" s="7"/>
      <c r="B95" s="18"/>
      <c r="C95" s="18" t="s">
        <v>194</v>
      </c>
      <c r="D95" s="18" t="s">
        <v>125</v>
      </c>
      <c r="E95" s="7">
        <v>32</v>
      </c>
      <c r="F95" s="3" t="s">
        <v>119</v>
      </c>
      <c r="G95" s="5">
        <f>M95*2</f>
        <v>132850000</v>
      </c>
      <c r="H95" s="7">
        <v>26</v>
      </c>
      <c r="I95" s="3" t="s">
        <v>119</v>
      </c>
      <c r="J95" s="5"/>
      <c r="K95" s="7">
        <v>28</v>
      </c>
      <c r="L95" s="3" t="s">
        <v>119</v>
      </c>
      <c r="M95" s="5">
        <v>66425000</v>
      </c>
      <c r="N95" s="7">
        <v>28</v>
      </c>
      <c r="O95" s="3" t="str">
        <f t="shared" si="20"/>
        <v>Cagar Budaya</v>
      </c>
      <c r="P95" s="5">
        <v>54705000</v>
      </c>
      <c r="Q95" s="7">
        <v>0</v>
      </c>
      <c r="R95" s="3" t="str">
        <f t="shared" si="21"/>
        <v>Cagar Budaya</v>
      </c>
      <c r="S95" s="5">
        <v>0</v>
      </c>
      <c r="T95" s="7">
        <v>0</v>
      </c>
      <c r="U95" s="3" t="str">
        <f t="shared" si="22"/>
        <v>Cagar Budaya</v>
      </c>
      <c r="V95" s="5">
        <v>10677500</v>
      </c>
      <c r="W95" s="7">
        <v>0</v>
      </c>
      <c r="X95" s="3" t="str">
        <f t="shared" si="23"/>
        <v>Cagar Budaya</v>
      </c>
      <c r="Y95" s="5">
        <v>0</v>
      </c>
      <c r="Z95" s="12">
        <f t="shared" si="46"/>
        <v>28</v>
      </c>
      <c r="AA95" s="7" t="str">
        <f t="shared" si="47"/>
        <v>Cagar Budaya</v>
      </c>
      <c r="AB95" s="12">
        <f t="shared" si="48"/>
        <v>100</v>
      </c>
      <c r="AC95" s="7" t="s">
        <v>11</v>
      </c>
      <c r="AD95" s="8">
        <f t="shared" si="49"/>
        <v>65382500</v>
      </c>
      <c r="AE95" s="11">
        <f t="shared" si="50"/>
        <v>98.430560782837787</v>
      </c>
      <c r="AF95" s="7" t="s">
        <v>11</v>
      </c>
      <c r="AG95" s="12">
        <f t="shared" si="51"/>
        <v>54</v>
      </c>
      <c r="AH95" s="7" t="str">
        <f t="shared" si="52"/>
        <v>Cagar Budaya</v>
      </c>
      <c r="AI95" s="8">
        <f t="shared" si="53"/>
        <v>65382500</v>
      </c>
      <c r="AJ95" s="11"/>
      <c r="AK95" s="7" t="s">
        <v>11</v>
      </c>
      <c r="AL95" s="11"/>
      <c r="AM95" s="20"/>
      <c r="AP95" s="6"/>
    </row>
    <row r="96" spans="1:42" ht="15" x14ac:dyDescent="0.2">
      <c r="A96" s="7"/>
      <c r="B96" s="18"/>
      <c r="C96" s="18" t="s">
        <v>97</v>
      </c>
      <c r="D96" s="18" t="s">
        <v>126</v>
      </c>
      <c r="E96" s="7">
        <v>32</v>
      </c>
      <c r="F96" s="3" t="s">
        <v>119</v>
      </c>
      <c r="G96" s="5">
        <f>M96*2</f>
        <v>2043400000</v>
      </c>
      <c r="H96" s="7">
        <v>26</v>
      </c>
      <c r="I96" s="3" t="s">
        <v>119</v>
      </c>
      <c r="J96" s="4"/>
      <c r="K96" s="7">
        <v>28</v>
      </c>
      <c r="L96" s="3" t="s">
        <v>119</v>
      </c>
      <c r="M96" s="5">
        <v>1021700000</v>
      </c>
      <c r="N96" s="7">
        <v>28</v>
      </c>
      <c r="O96" s="3" t="str">
        <f t="shared" si="20"/>
        <v>Cagar Budaya</v>
      </c>
      <c r="P96" s="5">
        <v>21000000</v>
      </c>
      <c r="Q96" s="7">
        <v>0</v>
      </c>
      <c r="R96" s="3" t="str">
        <f t="shared" si="21"/>
        <v>Cagar Budaya</v>
      </c>
      <c r="S96" s="5">
        <v>0</v>
      </c>
      <c r="T96" s="7">
        <v>0</v>
      </c>
      <c r="U96" s="3" t="str">
        <f t="shared" si="22"/>
        <v>Cagar Budaya</v>
      </c>
      <c r="V96" s="5">
        <v>0</v>
      </c>
      <c r="W96" s="7">
        <v>0</v>
      </c>
      <c r="X96" s="3" t="str">
        <f t="shared" si="23"/>
        <v>Cagar Budaya</v>
      </c>
      <c r="Y96" s="5">
        <v>0</v>
      </c>
      <c r="Z96" s="12">
        <f t="shared" si="46"/>
        <v>28</v>
      </c>
      <c r="AA96" s="7" t="str">
        <f t="shared" si="47"/>
        <v>Cagar Budaya</v>
      </c>
      <c r="AB96" s="12">
        <f t="shared" si="48"/>
        <v>100</v>
      </c>
      <c r="AC96" s="7" t="s">
        <v>11</v>
      </c>
      <c r="AD96" s="8">
        <f t="shared" si="49"/>
        <v>21000000</v>
      </c>
      <c r="AE96" s="11">
        <f t="shared" si="50"/>
        <v>2.0553978663012624</v>
      </c>
      <c r="AF96" s="7" t="s">
        <v>11</v>
      </c>
      <c r="AG96" s="12">
        <f t="shared" si="51"/>
        <v>54</v>
      </c>
      <c r="AH96" s="7" t="str">
        <f t="shared" si="52"/>
        <v>Cagar Budaya</v>
      </c>
      <c r="AI96" s="8">
        <f t="shared" si="53"/>
        <v>21000000</v>
      </c>
      <c r="AJ96" s="11"/>
      <c r="AK96" s="7" t="s">
        <v>11</v>
      </c>
      <c r="AL96" s="11"/>
      <c r="AM96" s="20"/>
      <c r="AP96" s="6"/>
    </row>
    <row r="97" spans="1:42" ht="15" x14ac:dyDescent="0.2">
      <c r="A97" s="7"/>
      <c r="B97" s="18"/>
      <c r="C97" s="18" t="s">
        <v>98</v>
      </c>
      <c r="D97" s="18" t="s">
        <v>127</v>
      </c>
      <c r="E97" s="7">
        <v>32</v>
      </c>
      <c r="F97" s="3" t="s">
        <v>119</v>
      </c>
      <c r="G97" s="9">
        <f>M97+288000000*2</f>
        <v>730000000</v>
      </c>
      <c r="H97" s="7">
        <v>26</v>
      </c>
      <c r="I97" s="3" t="s">
        <v>119</v>
      </c>
      <c r="J97" s="4"/>
      <c r="K97" s="7">
        <v>28</v>
      </c>
      <c r="L97" s="3" t="s">
        <v>119</v>
      </c>
      <c r="M97" s="5">
        <v>154000000</v>
      </c>
      <c r="N97" s="7">
        <v>28</v>
      </c>
      <c r="O97" s="3" t="str">
        <f t="shared" si="20"/>
        <v>Cagar Budaya</v>
      </c>
      <c r="P97" s="5">
        <v>34500000</v>
      </c>
      <c r="Q97" s="7">
        <v>0</v>
      </c>
      <c r="R97" s="3" t="str">
        <f t="shared" si="21"/>
        <v>Cagar Budaya</v>
      </c>
      <c r="S97" s="5">
        <v>0</v>
      </c>
      <c r="T97" s="7">
        <v>0</v>
      </c>
      <c r="U97" s="3" t="str">
        <f t="shared" si="22"/>
        <v>Cagar Budaya</v>
      </c>
      <c r="V97" s="5">
        <v>69000000</v>
      </c>
      <c r="W97" s="7">
        <v>0</v>
      </c>
      <c r="X97" s="3" t="str">
        <f t="shared" si="23"/>
        <v>Cagar Budaya</v>
      </c>
      <c r="Y97" s="5">
        <v>41100000</v>
      </c>
      <c r="Z97" s="12">
        <f t="shared" si="46"/>
        <v>28</v>
      </c>
      <c r="AA97" s="7" t="str">
        <f t="shared" si="47"/>
        <v>Cagar Budaya</v>
      </c>
      <c r="AB97" s="12">
        <f t="shared" si="48"/>
        <v>100</v>
      </c>
      <c r="AC97" s="7" t="s">
        <v>11</v>
      </c>
      <c r="AD97" s="8">
        <f t="shared" si="49"/>
        <v>144600000</v>
      </c>
      <c r="AE97" s="11">
        <f t="shared" si="50"/>
        <v>93.896103896103895</v>
      </c>
      <c r="AF97" s="7" t="s">
        <v>11</v>
      </c>
      <c r="AG97" s="12">
        <f t="shared" si="51"/>
        <v>54</v>
      </c>
      <c r="AH97" s="7" t="str">
        <f t="shared" si="52"/>
        <v>Cagar Budaya</v>
      </c>
      <c r="AI97" s="8">
        <f t="shared" si="53"/>
        <v>144600000</v>
      </c>
      <c r="AJ97" s="11"/>
      <c r="AK97" s="7" t="s">
        <v>11</v>
      </c>
      <c r="AL97" s="11"/>
      <c r="AM97" s="20"/>
      <c r="AP97" s="6"/>
    </row>
    <row r="98" spans="1:42" ht="15" x14ac:dyDescent="0.2">
      <c r="A98" s="7"/>
      <c r="B98" s="18"/>
      <c r="C98" s="18" t="s">
        <v>99</v>
      </c>
      <c r="D98" s="18" t="s">
        <v>117</v>
      </c>
      <c r="E98" s="7">
        <f>E99</f>
        <v>1</v>
      </c>
      <c r="F98" s="3" t="s">
        <v>118</v>
      </c>
      <c r="G98" s="5">
        <f>G99</f>
        <v>1361506000</v>
      </c>
      <c r="H98" s="7">
        <f>H99</f>
        <v>1</v>
      </c>
      <c r="I98" s="3" t="s">
        <v>118</v>
      </c>
      <c r="J98" s="5">
        <f>J99</f>
        <v>0</v>
      </c>
      <c r="K98" s="7">
        <f>K99</f>
        <v>1</v>
      </c>
      <c r="L98" s="3" t="s">
        <v>118</v>
      </c>
      <c r="M98" s="5">
        <f>M99</f>
        <v>680753000</v>
      </c>
      <c r="N98" s="7">
        <f>N99</f>
        <v>1</v>
      </c>
      <c r="O98" s="3" t="str">
        <f t="shared" si="20"/>
        <v>Museum</v>
      </c>
      <c r="P98" s="5">
        <f>P99</f>
        <v>30198000</v>
      </c>
      <c r="Q98" s="7">
        <f>Q99</f>
        <v>0</v>
      </c>
      <c r="R98" s="3" t="str">
        <f t="shared" si="21"/>
        <v>Museum</v>
      </c>
      <c r="S98" s="5">
        <f>S99</f>
        <v>274748650</v>
      </c>
      <c r="T98" s="7">
        <f>T99</f>
        <v>0</v>
      </c>
      <c r="U98" s="3" t="str">
        <f t="shared" si="22"/>
        <v>Museum</v>
      </c>
      <c r="V98" s="5">
        <f>V99</f>
        <v>66200000</v>
      </c>
      <c r="W98" s="7">
        <f>W99</f>
        <v>0</v>
      </c>
      <c r="X98" s="3" t="str">
        <f t="shared" si="23"/>
        <v>Museum</v>
      </c>
      <c r="Y98" s="5">
        <f>Y99</f>
        <v>279419000</v>
      </c>
      <c r="Z98" s="12">
        <f t="shared" si="46"/>
        <v>1</v>
      </c>
      <c r="AA98" s="7" t="str">
        <f t="shared" si="47"/>
        <v>Museum</v>
      </c>
      <c r="AB98" s="12">
        <f t="shared" si="48"/>
        <v>100</v>
      </c>
      <c r="AC98" s="7" t="s">
        <v>11</v>
      </c>
      <c r="AD98" s="8">
        <f t="shared" si="49"/>
        <v>650565650</v>
      </c>
      <c r="AE98" s="11">
        <f t="shared" si="50"/>
        <v>95.565594275750527</v>
      </c>
      <c r="AF98" s="7" t="s">
        <v>11</v>
      </c>
      <c r="AG98" s="12">
        <f t="shared" si="51"/>
        <v>2</v>
      </c>
      <c r="AH98" s="7" t="str">
        <f t="shared" si="52"/>
        <v>Museum</v>
      </c>
      <c r="AI98" s="8">
        <f t="shared" si="53"/>
        <v>650565650</v>
      </c>
      <c r="AJ98" s="11"/>
      <c r="AK98" s="7" t="s">
        <v>11</v>
      </c>
      <c r="AL98" s="11"/>
      <c r="AM98" s="20"/>
      <c r="AP98" s="6"/>
    </row>
    <row r="99" spans="1:42" s="14" customFormat="1" ht="66" customHeight="1" x14ac:dyDescent="0.25">
      <c r="A99" s="7"/>
      <c r="B99" s="18"/>
      <c r="C99" s="18" t="s">
        <v>100</v>
      </c>
      <c r="D99" s="18" t="s">
        <v>195</v>
      </c>
      <c r="E99" s="7">
        <v>1</v>
      </c>
      <c r="F99" s="3" t="s">
        <v>120</v>
      </c>
      <c r="G99" s="5">
        <f>SUM(G100:G103)</f>
        <v>1361506000</v>
      </c>
      <c r="H99" s="7">
        <v>1</v>
      </c>
      <c r="I99" s="3" t="s">
        <v>120</v>
      </c>
      <c r="J99" s="5">
        <f>SUM(J100:J103)</f>
        <v>0</v>
      </c>
      <c r="K99" s="7">
        <v>1</v>
      </c>
      <c r="L99" s="3" t="s">
        <v>120</v>
      </c>
      <c r="M99" s="5">
        <f>SUM(M100:M103)</f>
        <v>680753000</v>
      </c>
      <c r="N99" s="7">
        <v>1</v>
      </c>
      <c r="O99" s="3" t="str">
        <f t="shared" si="20"/>
        <v>Musem</v>
      </c>
      <c r="P99" s="5">
        <f>SUM(P100:P103)</f>
        <v>30198000</v>
      </c>
      <c r="Q99" s="7">
        <v>0</v>
      </c>
      <c r="R99" s="3" t="str">
        <f t="shared" si="21"/>
        <v>Musem</v>
      </c>
      <c r="S99" s="5">
        <f>SUM(S100:S103)</f>
        <v>274748650</v>
      </c>
      <c r="T99" s="7">
        <v>0</v>
      </c>
      <c r="U99" s="3" t="str">
        <f t="shared" si="22"/>
        <v>Musem</v>
      </c>
      <c r="V99" s="5">
        <f>SUM(V100:V103)</f>
        <v>66200000</v>
      </c>
      <c r="W99" s="7">
        <v>0</v>
      </c>
      <c r="X99" s="3" t="str">
        <f t="shared" si="23"/>
        <v>Musem</v>
      </c>
      <c r="Y99" s="5">
        <f>SUM(Y100:Y103)</f>
        <v>279419000</v>
      </c>
      <c r="Z99" s="12">
        <f t="shared" si="46"/>
        <v>1</v>
      </c>
      <c r="AA99" s="7" t="str">
        <f t="shared" si="47"/>
        <v>Musem</v>
      </c>
      <c r="AB99" s="12">
        <f t="shared" si="48"/>
        <v>100</v>
      </c>
      <c r="AC99" s="7" t="s">
        <v>11</v>
      </c>
      <c r="AD99" s="8">
        <f t="shared" si="49"/>
        <v>650565650</v>
      </c>
      <c r="AE99" s="11">
        <f t="shared" si="50"/>
        <v>95.565594275750527</v>
      </c>
      <c r="AF99" s="7" t="s">
        <v>11</v>
      </c>
      <c r="AG99" s="12">
        <f t="shared" si="51"/>
        <v>2</v>
      </c>
      <c r="AH99" s="7" t="str">
        <f t="shared" si="52"/>
        <v>Musem</v>
      </c>
      <c r="AI99" s="8">
        <f t="shared" si="53"/>
        <v>650565650</v>
      </c>
      <c r="AJ99" s="11"/>
      <c r="AK99" s="7" t="s">
        <v>11</v>
      </c>
      <c r="AL99" s="11"/>
      <c r="AM99" s="20"/>
      <c r="AP99" s="15"/>
    </row>
    <row r="100" spans="1:42" ht="153" customHeight="1" x14ac:dyDescent="0.2">
      <c r="A100" s="7"/>
      <c r="B100" s="18"/>
      <c r="C100" s="18" t="s">
        <v>101</v>
      </c>
      <c r="D100" s="18" t="s">
        <v>154</v>
      </c>
      <c r="E100" s="7">
        <v>8</v>
      </c>
      <c r="F100" s="3" t="s">
        <v>196</v>
      </c>
      <c r="G100" s="5">
        <f>M100*2</f>
        <v>370534000</v>
      </c>
      <c r="H100" s="7"/>
      <c r="I100" s="3"/>
      <c r="J100" s="5"/>
      <c r="K100" s="7">
        <v>8</v>
      </c>
      <c r="L100" s="3" t="s">
        <v>196</v>
      </c>
      <c r="M100" s="5">
        <v>185267000</v>
      </c>
      <c r="N100" s="7">
        <v>8</v>
      </c>
      <c r="O100" s="3" t="str">
        <f t="shared" si="20"/>
        <v>Kategori</v>
      </c>
      <c r="P100" s="5">
        <v>3656000</v>
      </c>
      <c r="Q100" s="7">
        <v>0</v>
      </c>
      <c r="R100" s="3" t="str">
        <f t="shared" si="21"/>
        <v>Kategori</v>
      </c>
      <c r="S100" s="5">
        <v>85380000</v>
      </c>
      <c r="T100" s="7">
        <v>0</v>
      </c>
      <c r="U100" s="3" t="str">
        <f t="shared" si="22"/>
        <v>Kategori</v>
      </c>
      <c r="V100" s="5">
        <v>0</v>
      </c>
      <c r="W100" s="7">
        <v>0</v>
      </c>
      <c r="X100" s="3" t="str">
        <f t="shared" si="23"/>
        <v>Kategori</v>
      </c>
      <c r="Y100" s="5">
        <v>93174000</v>
      </c>
      <c r="Z100" s="12">
        <f t="shared" si="46"/>
        <v>8</v>
      </c>
      <c r="AA100" s="7" t="str">
        <f t="shared" si="47"/>
        <v>Kategori</v>
      </c>
      <c r="AB100" s="12">
        <f t="shared" si="48"/>
        <v>100</v>
      </c>
      <c r="AC100" s="7" t="s">
        <v>11</v>
      </c>
      <c r="AD100" s="8">
        <f t="shared" si="49"/>
        <v>182210000</v>
      </c>
      <c r="AE100" s="11">
        <f t="shared" si="50"/>
        <v>98.34994899253509</v>
      </c>
      <c r="AF100" s="7" t="s">
        <v>11</v>
      </c>
      <c r="AG100" s="12">
        <f t="shared" si="51"/>
        <v>8</v>
      </c>
      <c r="AH100" s="7" t="str">
        <f t="shared" si="52"/>
        <v>Kategori</v>
      </c>
      <c r="AI100" s="8">
        <f t="shared" si="53"/>
        <v>182210000</v>
      </c>
      <c r="AJ100" s="11"/>
      <c r="AK100" s="7" t="s">
        <v>11</v>
      </c>
      <c r="AL100" s="11"/>
      <c r="AM100" s="20"/>
      <c r="AP100" s="6"/>
    </row>
    <row r="101" spans="1:42" ht="15" x14ac:dyDescent="0.2">
      <c r="A101" s="7"/>
      <c r="B101" s="18"/>
      <c r="C101" s="18" t="s">
        <v>128</v>
      </c>
      <c r="D101" s="18" t="s">
        <v>197</v>
      </c>
      <c r="E101" s="7">
        <f>K101*2</f>
        <v>2</v>
      </c>
      <c r="F101" s="3" t="s">
        <v>9</v>
      </c>
      <c r="G101" s="5">
        <f>M101*2</f>
        <v>5000000</v>
      </c>
      <c r="H101" s="12"/>
      <c r="I101" s="3"/>
      <c r="J101" s="4"/>
      <c r="K101" s="7">
        <v>1</v>
      </c>
      <c r="L101" s="3" t="s">
        <v>9</v>
      </c>
      <c r="M101" s="5">
        <v>2500000</v>
      </c>
      <c r="N101" s="7">
        <v>0</v>
      </c>
      <c r="O101" s="3" t="str">
        <f t="shared" si="20"/>
        <v>Keg</v>
      </c>
      <c r="P101" s="5">
        <v>0</v>
      </c>
      <c r="Q101" s="7">
        <v>0</v>
      </c>
      <c r="R101" s="3" t="str">
        <f t="shared" si="21"/>
        <v>Keg</v>
      </c>
      <c r="S101" s="5">
        <v>0</v>
      </c>
      <c r="T101" s="7">
        <v>0</v>
      </c>
      <c r="U101" s="3" t="str">
        <f t="shared" si="22"/>
        <v>Keg</v>
      </c>
      <c r="V101" s="5">
        <v>0</v>
      </c>
      <c r="W101" s="7">
        <v>1</v>
      </c>
      <c r="X101" s="3" t="str">
        <f t="shared" si="23"/>
        <v>Keg</v>
      </c>
      <c r="Y101" s="5">
        <v>2500000</v>
      </c>
      <c r="Z101" s="12">
        <f t="shared" si="46"/>
        <v>1</v>
      </c>
      <c r="AA101" s="7" t="str">
        <f t="shared" si="47"/>
        <v>Keg</v>
      </c>
      <c r="AB101" s="12">
        <f t="shared" si="48"/>
        <v>100</v>
      </c>
      <c r="AC101" s="7" t="s">
        <v>11</v>
      </c>
      <c r="AD101" s="8">
        <f t="shared" si="49"/>
        <v>2500000</v>
      </c>
      <c r="AE101" s="11">
        <f t="shared" si="50"/>
        <v>100</v>
      </c>
      <c r="AF101" s="7" t="s">
        <v>11</v>
      </c>
      <c r="AG101" s="12">
        <f t="shared" si="51"/>
        <v>1</v>
      </c>
      <c r="AH101" s="7" t="str">
        <f t="shared" si="52"/>
        <v>Keg</v>
      </c>
      <c r="AI101" s="8">
        <f t="shared" si="53"/>
        <v>2500000</v>
      </c>
      <c r="AJ101" s="11"/>
      <c r="AK101" s="7" t="s">
        <v>11</v>
      </c>
      <c r="AL101" s="11"/>
      <c r="AM101" s="20"/>
      <c r="AP101" s="6"/>
    </row>
    <row r="102" spans="1:42" ht="15" x14ac:dyDescent="0.2">
      <c r="A102" s="7"/>
      <c r="B102" s="18"/>
      <c r="C102" s="18" t="s">
        <v>129</v>
      </c>
      <c r="D102" s="18" t="s">
        <v>198</v>
      </c>
      <c r="E102" s="17">
        <f>K102*3</f>
        <v>3000</v>
      </c>
      <c r="F102" s="3" t="s">
        <v>10</v>
      </c>
      <c r="G102" s="9">
        <f>M102*2</f>
        <v>831572000</v>
      </c>
      <c r="H102" s="12">
        <v>372</v>
      </c>
      <c r="I102" s="3" t="s">
        <v>10</v>
      </c>
      <c r="J102" s="4"/>
      <c r="K102" s="17">
        <v>1000</v>
      </c>
      <c r="L102" s="3" t="s">
        <v>10</v>
      </c>
      <c r="M102" s="5">
        <v>415786000</v>
      </c>
      <c r="N102" s="17">
        <v>87</v>
      </c>
      <c r="O102" s="3" t="str">
        <f t="shared" si="20"/>
        <v>Org</v>
      </c>
      <c r="P102" s="5">
        <v>13842000</v>
      </c>
      <c r="Q102" s="7">
        <v>156</v>
      </c>
      <c r="R102" s="3" t="str">
        <f t="shared" si="21"/>
        <v>Org</v>
      </c>
      <c r="S102" s="5">
        <f>139747400-P102</f>
        <v>125905400</v>
      </c>
      <c r="T102" s="7">
        <v>0</v>
      </c>
      <c r="U102" s="3" t="str">
        <f t="shared" si="22"/>
        <v>Org</v>
      </c>
      <c r="V102" s="5">
        <v>66200000</v>
      </c>
      <c r="W102" s="7">
        <v>0</v>
      </c>
      <c r="X102" s="3" t="str">
        <f t="shared" si="23"/>
        <v>Org</v>
      </c>
      <c r="Y102" s="5">
        <v>183745000</v>
      </c>
      <c r="Z102" s="12">
        <f t="shared" si="46"/>
        <v>243</v>
      </c>
      <c r="AA102" s="7" t="str">
        <f t="shared" si="47"/>
        <v>Org</v>
      </c>
      <c r="AB102" s="12">
        <f t="shared" si="48"/>
        <v>24.3</v>
      </c>
      <c r="AC102" s="7" t="s">
        <v>11</v>
      </c>
      <c r="AD102" s="8">
        <f t="shared" si="49"/>
        <v>389692400</v>
      </c>
      <c r="AE102" s="11">
        <f t="shared" si="50"/>
        <v>93.724271620497078</v>
      </c>
      <c r="AF102" s="7" t="s">
        <v>11</v>
      </c>
      <c r="AG102" s="12">
        <f t="shared" si="51"/>
        <v>615</v>
      </c>
      <c r="AH102" s="7" t="str">
        <f t="shared" si="52"/>
        <v>Org</v>
      </c>
      <c r="AI102" s="8">
        <f t="shared" si="53"/>
        <v>389692400</v>
      </c>
      <c r="AJ102" s="11"/>
      <c r="AK102" s="7" t="s">
        <v>11</v>
      </c>
      <c r="AL102" s="11"/>
      <c r="AM102" s="20"/>
      <c r="AP102" s="6"/>
    </row>
    <row r="103" spans="1:42" ht="15" x14ac:dyDescent="0.2">
      <c r="A103" s="7"/>
      <c r="B103" s="18"/>
      <c r="C103" s="18" t="s">
        <v>102</v>
      </c>
      <c r="D103" s="18" t="s">
        <v>199</v>
      </c>
      <c r="E103" s="7">
        <v>24</v>
      </c>
      <c r="F103" s="3" t="s">
        <v>8</v>
      </c>
      <c r="G103" s="9">
        <f>M103*2</f>
        <v>154400000</v>
      </c>
      <c r="H103" s="12">
        <v>12</v>
      </c>
      <c r="I103" s="3" t="s">
        <v>8</v>
      </c>
      <c r="J103" s="4"/>
      <c r="K103" s="7">
        <v>12</v>
      </c>
      <c r="L103" s="3" t="s">
        <v>8</v>
      </c>
      <c r="M103" s="5">
        <v>77200000</v>
      </c>
      <c r="N103" s="7">
        <v>3</v>
      </c>
      <c r="O103" s="3" t="str">
        <f t="shared" si="20"/>
        <v>Bln</v>
      </c>
      <c r="P103" s="5">
        <v>12700000</v>
      </c>
      <c r="Q103" s="7">
        <v>3</v>
      </c>
      <c r="R103" s="3" t="str">
        <f t="shared" si="21"/>
        <v>Bln</v>
      </c>
      <c r="S103" s="5">
        <f>76163250-P103</f>
        <v>63463250</v>
      </c>
      <c r="T103" s="7">
        <v>3</v>
      </c>
      <c r="U103" s="3" t="str">
        <f t="shared" si="22"/>
        <v>Bln</v>
      </c>
      <c r="V103" s="5">
        <v>0</v>
      </c>
      <c r="W103" s="7">
        <v>3</v>
      </c>
      <c r="X103" s="3" t="str">
        <f t="shared" si="23"/>
        <v>Bln</v>
      </c>
      <c r="Y103" s="5">
        <v>0</v>
      </c>
      <c r="Z103" s="12">
        <f t="shared" si="46"/>
        <v>12</v>
      </c>
      <c r="AA103" s="7" t="str">
        <f t="shared" si="47"/>
        <v>Bln</v>
      </c>
      <c r="AB103" s="12">
        <f t="shared" si="48"/>
        <v>100</v>
      </c>
      <c r="AC103" s="7" t="s">
        <v>11</v>
      </c>
      <c r="AD103" s="8">
        <f t="shared" si="49"/>
        <v>76163250</v>
      </c>
      <c r="AE103" s="11">
        <f t="shared" si="50"/>
        <v>98.65705958549222</v>
      </c>
      <c r="AF103" s="7" t="s">
        <v>11</v>
      </c>
      <c r="AG103" s="12">
        <f t="shared" si="51"/>
        <v>24</v>
      </c>
      <c r="AH103" s="7" t="str">
        <f t="shared" si="52"/>
        <v>Bln</v>
      </c>
      <c r="AI103" s="8">
        <f t="shared" si="53"/>
        <v>76163250</v>
      </c>
      <c r="AJ103" s="11"/>
      <c r="AK103" s="7" t="s">
        <v>11</v>
      </c>
      <c r="AL103" s="11"/>
      <c r="AM103" s="20"/>
      <c r="AP103" s="6"/>
    </row>
  </sheetData>
  <printOptions horizontalCentered="1"/>
  <pageMargins left="0.23622047244094491" right="0.23622047244094491" top="3.937007874015748E-2" bottom="3.937007874015748E-2" header="0" footer="0"/>
  <pageSetup paperSize="9" scale="24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Pendidikan</vt:lpstr>
      <vt:lpstr>'Dinas Pendidikan'!Print_Area</vt:lpstr>
      <vt:lpstr>'Dinas Pendidikan'!Print_Titles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Bernard Kecil</cp:lastModifiedBy>
  <cp:lastPrinted>2021-01-05T02:14:32Z</cp:lastPrinted>
  <dcterms:created xsi:type="dcterms:W3CDTF">2020-03-18T05:59:44Z</dcterms:created>
  <dcterms:modified xsi:type="dcterms:W3CDTF">2024-02-26T07:35:45Z</dcterms:modified>
</cp:coreProperties>
</file>