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SAKIP\E.75  E.80 E81 EVALUASI RENJA\E.81\"/>
    </mc:Choice>
  </mc:AlternateContent>
  <xr:revisionPtr revIDLastSave="0" documentId="13_ncr:1_{8C9CAAD8-8ACE-4689-B672-2975635A07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PKPD" sheetId="1" r:id="rId1"/>
    <sheet name="BPKPD (2)" sheetId="3" state="hidden" r:id="rId2"/>
    <sheet name="Sheet1" sheetId="2" r:id="rId3"/>
  </sheets>
  <externalReferences>
    <externalReference r:id="rId4"/>
  </externalReferences>
  <definedNames>
    <definedName name="_xlnm.Print_Area" localSheetId="0">BPKPD!$A$1:$AE$124</definedName>
    <definedName name="_xlnm.Print_Area" localSheetId="1">'BPKPD (2)'!$A$1:$AE$124</definedName>
    <definedName name="_xlnm.Print_Titles" localSheetId="0">BPKPD!$7:$12</definedName>
    <definedName name="_xlnm.Print_Titles" localSheetId="1">'BPKPD (2)'!$7:$12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5" i="1" l="1"/>
  <c r="R90" i="1" l="1"/>
  <c r="R93" i="1" l="1"/>
  <c r="L93" i="1"/>
  <c r="R92" i="1" l="1"/>
  <c r="R41" i="1"/>
  <c r="T86" i="1"/>
  <c r="U86" i="1" s="1"/>
  <c r="X86" i="1"/>
  <c r="X104" i="1"/>
  <c r="W64" i="1"/>
  <c r="W63" i="1"/>
  <c r="X63" i="1"/>
  <c r="W57" i="1"/>
  <c r="W13" i="1"/>
  <c r="X88" i="1"/>
  <c r="X87" i="1"/>
  <c r="X94" i="1"/>
  <c r="X93" i="1"/>
  <c r="X92" i="1"/>
  <c r="X91" i="1"/>
  <c r="X90" i="1"/>
  <c r="AA100" i="1"/>
  <c r="AA99" i="1"/>
  <c r="K44" i="1"/>
  <c r="K55" i="1"/>
  <c r="K62" i="1"/>
  <c r="K69" i="1"/>
  <c r="K76" i="1"/>
  <c r="K41" i="1" l="1"/>
  <c r="T87" i="1" l="1"/>
  <c r="S86" i="1"/>
  <c r="W72" i="1"/>
  <c r="S69" i="1"/>
  <c r="L64" i="1"/>
  <c r="R64" i="1"/>
  <c r="S62" i="1"/>
  <c r="R56" i="1"/>
  <c r="S55" i="1"/>
  <c r="R55" i="1"/>
  <c r="R46" i="1"/>
  <c r="R45" i="1"/>
  <c r="S44" i="1"/>
  <c r="R42" i="1"/>
  <c r="T43" i="1"/>
  <c r="S36" i="1"/>
  <c r="S32" i="1"/>
  <c r="S24" i="1"/>
  <c r="S22" i="1"/>
  <c r="S41" i="1" l="1"/>
  <c r="S13" i="1"/>
  <c r="S89" i="1" l="1"/>
  <c r="W86" i="1"/>
  <c r="T37" i="1" l="1"/>
  <c r="W30" i="1"/>
  <c r="W35" i="1"/>
  <c r="W34" i="1"/>
  <c r="W33" i="1"/>
  <c r="S17" i="1"/>
  <c r="I9" i="2"/>
  <c r="R14" i="1"/>
  <c r="S14" i="1"/>
  <c r="P86" i="1"/>
  <c r="N86" i="1"/>
  <c r="L86" i="1"/>
  <c r="W71" i="1" l="1"/>
  <c r="W70" i="1"/>
  <c r="K89" i="1"/>
  <c r="W94" i="1"/>
  <c r="W93" i="1"/>
  <c r="W74" i="1"/>
  <c r="W39" i="1"/>
  <c r="T39" i="1"/>
  <c r="W46" i="1"/>
  <c r="P77" i="1" l="1"/>
  <c r="N77" i="1"/>
  <c r="L77" i="1"/>
  <c r="N78" i="1"/>
  <c r="P78" i="1" l="1"/>
  <c r="P46" i="1"/>
  <c r="P45" i="1"/>
  <c r="P44" i="1"/>
  <c r="P41" i="1"/>
  <c r="P42" i="1" l="1"/>
  <c r="N42" i="1"/>
  <c r="L42" i="1"/>
  <c r="T38" i="1" l="1"/>
  <c r="P56" i="1" l="1"/>
  <c r="P55" i="1"/>
  <c r="W54" i="1" l="1"/>
  <c r="W48" i="1"/>
  <c r="W49" i="1"/>
  <c r="W50" i="1"/>
  <c r="W51" i="1"/>
  <c r="W52" i="1"/>
  <c r="W53" i="1"/>
  <c r="W47" i="1"/>
  <c r="W61" i="1"/>
  <c r="W60" i="1"/>
  <c r="W59" i="1"/>
  <c r="W58" i="1"/>
  <c r="W67" i="1"/>
  <c r="W66" i="1"/>
  <c r="W65" i="1"/>
  <c r="W80" i="1"/>
  <c r="W81" i="1"/>
  <c r="W82" i="1"/>
  <c r="W83" i="1"/>
  <c r="W84" i="1"/>
  <c r="W85" i="1"/>
  <c r="W79" i="1"/>
  <c r="W103" i="1"/>
  <c r="W102" i="1"/>
  <c r="W101" i="1"/>
  <c r="W100" i="1"/>
  <c r="W99" i="1"/>
  <c r="W98" i="1"/>
  <c r="W97" i="1"/>
  <c r="W95" i="1"/>
  <c r="W96" i="1"/>
  <c r="P94" i="1" l="1"/>
  <c r="N94" i="1"/>
  <c r="L94" i="1"/>
  <c r="P93" i="1"/>
  <c r="N93" i="1"/>
  <c r="T93" i="1"/>
  <c r="P92" i="1"/>
  <c r="L92" i="1"/>
  <c r="N92" i="1"/>
  <c r="T92" i="1" l="1"/>
  <c r="P90" i="1"/>
  <c r="N90" i="1"/>
  <c r="L90" i="1"/>
  <c r="P91" i="1" l="1"/>
  <c r="N91" i="1"/>
  <c r="L91" i="1"/>
  <c r="T101" i="1"/>
  <c r="W87" i="1"/>
  <c r="P87" i="1"/>
  <c r="N87" i="1"/>
  <c r="L87" i="1"/>
  <c r="Z87" i="1" s="1"/>
  <c r="L78" i="1"/>
  <c r="T78" i="1" s="1"/>
  <c r="U78" i="1" s="1"/>
  <c r="AA87" i="1" l="1"/>
  <c r="U87" i="1"/>
  <c r="P64" i="1" l="1"/>
  <c r="P63" i="1"/>
  <c r="T62" i="1" l="1"/>
  <c r="T24" i="1"/>
  <c r="P17" i="1"/>
  <c r="T18" i="1"/>
  <c r="Q89" i="1"/>
  <c r="Q86" i="1" s="1"/>
  <c r="Q76" i="1"/>
  <c r="Q75" i="1" s="1"/>
  <c r="Q73" i="1"/>
  <c r="Q69" i="1"/>
  <c r="Q62" i="1"/>
  <c r="Q55" i="1"/>
  <c r="Q44" i="1"/>
  <c r="Q36" i="1"/>
  <c r="Q32" i="1"/>
  <c r="Q24" i="1"/>
  <c r="Q22" i="1"/>
  <c r="P22" i="1"/>
  <c r="Q17" i="1"/>
  <c r="Q14" i="1"/>
  <c r="P14" i="1"/>
  <c r="Q41" i="1" l="1"/>
  <c r="Q13" i="1"/>
  <c r="N22" i="1" l="1"/>
  <c r="O22" i="1"/>
  <c r="M22" i="1"/>
  <c r="O89" i="1" l="1"/>
  <c r="O86" i="1" s="1"/>
  <c r="O76" i="1"/>
  <c r="O75" i="1"/>
  <c r="O73" i="1"/>
  <c r="N64" i="1"/>
  <c r="O62" i="1"/>
  <c r="N56" i="1"/>
  <c r="N55" i="1"/>
  <c r="O44" i="1"/>
  <c r="O36" i="1"/>
  <c r="O32" i="1"/>
  <c r="O17" i="1"/>
  <c r="N17" i="1"/>
  <c r="O14" i="1"/>
  <c r="N14" i="1"/>
  <c r="O24" i="1"/>
  <c r="O69" i="1"/>
  <c r="O55" i="1"/>
  <c r="M73" i="1"/>
  <c r="O41" i="1" l="1"/>
  <c r="O13" i="1"/>
  <c r="W103" i="3" l="1"/>
  <c r="AA103" i="3" s="1"/>
  <c r="T103" i="3"/>
  <c r="E103" i="3"/>
  <c r="W102" i="3"/>
  <c r="X102" i="3" s="1"/>
  <c r="T102" i="3"/>
  <c r="E102" i="3"/>
  <c r="W101" i="3"/>
  <c r="AA101" i="3" s="1"/>
  <c r="T101" i="3"/>
  <c r="U101" i="3" s="1"/>
  <c r="E101" i="3"/>
  <c r="AA100" i="3"/>
  <c r="W100" i="3"/>
  <c r="X100" i="3" s="1"/>
  <c r="T100" i="3"/>
  <c r="Z100" i="3" s="1"/>
  <c r="E100" i="3"/>
  <c r="AA99" i="3"/>
  <c r="W99" i="3"/>
  <c r="X99" i="3" s="1"/>
  <c r="T99" i="3"/>
  <c r="Z99" i="3" s="1"/>
  <c r="W98" i="3"/>
  <c r="AA98" i="3" s="1"/>
  <c r="T98" i="3"/>
  <c r="U98" i="3" s="1"/>
  <c r="E98" i="3"/>
  <c r="W97" i="3"/>
  <c r="X97" i="3" s="1"/>
  <c r="T97" i="3"/>
  <c r="Z97" i="3" s="1"/>
  <c r="W96" i="3"/>
  <c r="AA96" i="3" s="1"/>
  <c r="T96" i="3"/>
  <c r="U96" i="3" s="1"/>
  <c r="E96" i="3"/>
  <c r="W95" i="3"/>
  <c r="AA95" i="3" s="1"/>
  <c r="T95" i="3"/>
  <c r="U95" i="3" s="1"/>
  <c r="W94" i="3"/>
  <c r="X94" i="3" s="1"/>
  <c r="L94" i="3"/>
  <c r="T94" i="3" s="1"/>
  <c r="Z94" i="3" s="1"/>
  <c r="W93" i="3"/>
  <c r="L93" i="3"/>
  <c r="T93" i="3" s="1"/>
  <c r="W92" i="3"/>
  <c r="AA92" i="3" s="1"/>
  <c r="T92" i="3"/>
  <c r="U92" i="3" s="1"/>
  <c r="W91" i="3"/>
  <c r="X91" i="3" s="1"/>
  <c r="L91" i="3"/>
  <c r="T91" i="3" s="1"/>
  <c r="W90" i="3"/>
  <c r="T90" i="3"/>
  <c r="U90" i="3" s="1"/>
  <c r="T89" i="3"/>
  <c r="M89" i="3"/>
  <c r="W89" i="3" s="1"/>
  <c r="K89" i="3"/>
  <c r="I89" i="3"/>
  <c r="I87" i="3" s="1"/>
  <c r="G89" i="3"/>
  <c r="G87" i="3" s="1"/>
  <c r="W88" i="3"/>
  <c r="AA88" i="3" s="1"/>
  <c r="T88" i="3"/>
  <c r="U88" i="3" s="1"/>
  <c r="M87" i="3"/>
  <c r="W87" i="3" s="1"/>
  <c r="X87" i="3" s="1"/>
  <c r="L87" i="3"/>
  <c r="T87" i="3" s="1"/>
  <c r="Z87" i="3" s="1"/>
  <c r="K87" i="3"/>
  <c r="W86" i="3"/>
  <c r="X86" i="3" s="1"/>
  <c r="T86" i="3"/>
  <c r="Z86" i="3" s="1"/>
  <c r="G86" i="3"/>
  <c r="W85" i="3"/>
  <c r="AA85" i="3" s="1"/>
  <c r="T85" i="3"/>
  <c r="U85" i="3" s="1"/>
  <c r="G85" i="3"/>
  <c r="X84" i="3"/>
  <c r="W84" i="3"/>
  <c r="AA84" i="3" s="1"/>
  <c r="T84" i="3"/>
  <c r="Z84" i="3" s="1"/>
  <c r="G84" i="3"/>
  <c r="W83" i="3"/>
  <c r="X83" i="3" s="1"/>
  <c r="T83" i="3"/>
  <c r="G83" i="3"/>
  <c r="E83" i="3"/>
  <c r="W82" i="3"/>
  <c r="X82" i="3" s="1"/>
  <c r="T82" i="3"/>
  <c r="Z82" i="3" s="1"/>
  <c r="G82" i="3"/>
  <c r="W81" i="3"/>
  <c r="X81" i="3" s="1"/>
  <c r="T81" i="3"/>
  <c r="Z81" i="3" s="1"/>
  <c r="G81" i="3"/>
  <c r="W80" i="3"/>
  <c r="AA80" i="3" s="1"/>
  <c r="T80" i="3"/>
  <c r="G80" i="3"/>
  <c r="W79" i="3"/>
  <c r="AA79" i="3" s="1"/>
  <c r="L79" i="3"/>
  <c r="T79" i="3" s="1"/>
  <c r="W78" i="3"/>
  <c r="X78" i="3" s="1"/>
  <c r="T78" i="3"/>
  <c r="Z78" i="3" s="1"/>
  <c r="T77" i="3"/>
  <c r="U77" i="3" s="1"/>
  <c r="M77" i="3"/>
  <c r="W77" i="3" s="1"/>
  <c r="K77" i="3"/>
  <c r="K75" i="3" s="1"/>
  <c r="I77" i="3"/>
  <c r="W76" i="3"/>
  <c r="X76" i="3" s="1"/>
  <c r="T76" i="3"/>
  <c r="T75" i="3"/>
  <c r="U75" i="3" s="1"/>
  <c r="I75" i="3"/>
  <c r="W74" i="3"/>
  <c r="T74" i="3"/>
  <c r="Z74" i="3" s="1"/>
  <c r="T73" i="3"/>
  <c r="U73" i="3" s="1"/>
  <c r="K73" i="3"/>
  <c r="G73" i="3"/>
  <c r="W72" i="3"/>
  <c r="AA72" i="3" s="1"/>
  <c r="T72" i="3"/>
  <c r="U72" i="3" s="1"/>
  <c r="W71" i="3"/>
  <c r="T71" i="3"/>
  <c r="Z71" i="3" s="1"/>
  <c r="W70" i="3"/>
  <c r="AA70" i="3" s="1"/>
  <c r="T70" i="3"/>
  <c r="Z70" i="3" s="1"/>
  <c r="T69" i="3"/>
  <c r="Z69" i="3" s="1"/>
  <c r="M69" i="3"/>
  <c r="W69" i="3" s="1"/>
  <c r="K69" i="3"/>
  <c r="I69" i="3"/>
  <c r="G69" i="3"/>
  <c r="AA68" i="3"/>
  <c r="Z68" i="3"/>
  <c r="W67" i="3"/>
  <c r="AA67" i="3" s="1"/>
  <c r="T67" i="3"/>
  <c r="E67" i="3"/>
  <c r="W66" i="3"/>
  <c r="X66" i="3" s="1"/>
  <c r="T66" i="3"/>
  <c r="W65" i="3"/>
  <c r="AA65" i="3" s="1"/>
  <c r="T65" i="3"/>
  <c r="U65" i="3" s="1"/>
  <c r="W64" i="3"/>
  <c r="X64" i="3" s="1"/>
  <c r="L64" i="3"/>
  <c r="T64" i="3" s="1"/>
  <c r="Z64" i="3" s="1"/>
  <c r="J64" i="3"/>
  <c r="W63" i="3"/>
  <c r="X63" i="3" s="1"/>
  <c r="T63" i="3"/>
  <c r="J63" i="3"/>
  <c r="T62" i="3"/>
  <c r="Z62" i="3" s="1"/>
  <c r="M62" i="3"/>
  <c r="W62" i="3" s="1"/>
  <c r="K62" i="3"/>
  <c r="J62" i="3"/>
  <c r="I62" i="3"/>
  <c r="G62" i="3"/>
  <c r="W61" i="3"/>
  <c r="AA61" i="3" s="1"/>
  <c r="T61" i="3"/>
  <c r="U61" i="3" s="1"/>
  <c r="W60" i="3"/>
  <c r="X60" i="3" s="1"/>
  <c r="T60" i="3"/>
  <c r="Z60" i="3" s="1"/>
  <c r="W59" i="3"/>
  <c r="AA59" i="3" s="1"/>
  <c r="T59" i="3"/>
  <c r="U59" i="3" s="1"/>
  <c r="W58" i="3"/>
  <c r="X58" i="3" s="1"/>
  <c r="T58" i="3"/>
  <c r="Z58" i="3" s="1"/>
  <c r="W57" i="3"/>
  <c r="AA57" i="3" s="1"/>
  <c r="T57" i="3"/>
  <c r="U57" i="3" s="1"/>
  <c r="W56" i="3"/>
  <c r="X56" i="3" s="1"/>
  <c r="L56" i="3"/>
  <c r="T56" i="3" s="1"/>
  <c r="Z56" i="3" s="1"/>
  <c r="M55" i="3"/>
  <c r="W55" i="3" s="1"/>
  <c r="L55" i="3"/>
  <c r="T55" i="3" s="1"/>
  <c r="K55" i="3"/>
  <c r="I55" i="3"/>
  <c r="G55" i="3"/>
  <c r="W54" i="3"/>
  <c r="AA54" i="3" s="1"/>
  <c r="T54" i="3"/>
  <c r="U54" i="3" s="1"/>
  <c r="W53" i="3"/>
  <c r="T53" i="3"/>
  <c r="Z53" i="3" s="1"/>
  <c r="W52" i="3"/>
  <c r="AA52" i="3" s="1"/>
  <c r="T52" i="3"/>
  <c r="U52" i="3" s="1"/>
  <c r="W51" i="3"/>
  <c r="U51" i="3"/>
  <c r="T51" i="3"/>
  <c r="Z51" i="3" s="1"/>
  <c r="W50" i="3"/>
  <c r="AA50" i="3" s="1"/>
  <c r="T50" i="3"/>
  <c r="U50" i="3" s="1"/>
  <c r="W49" i="3"/>
  <c r="T49" i="3"/>
  <c r="Z49" i="3" s="1"/>
  <c r="W48" i="3"/>
  <c r="AA48" i="3" s="1"/>
  <c r="T48" i="3"/>
  <c r="U48" i="3" s="1"/>
  <c r="W47" i="3"/>
  <c r="T47" i="3"/>
  <c r="Z47" i="3" s="1"/>
  <c r="W46" i="3"/>
  <c r="AA46" i="3" s="1"/>
  <c r="T46" i="3"/>
  <c r="U46" i="3" s="1"/>
  <c r="W45" i="3"/>
  <c r="T45" i="3"/>
  <c r="Z45" i="3" s="1"/>
  <c r="T44" i="3"/>
  <c r="M44" i="3"/>
  <c r="W44" i="3" s="1"/>
  <c r="K44" i="3"/>
  <c r="I44" i="3"/>
  <c r="G44" i="3"/>
  <c r="W43" i="3"/>
  <c r="X43" i="3" s="1"/>
  <c r="T43" i="3"/>
  <c r="Z43" i="3" s="1"/>
  <c r="W42" i="3"/>
  <c r="AA42" i="3" s="1"/>
  <c r="L42" i="3"/>
  <c r="T42" i="3" s="1"/>
  <c r="T41" i="3"/>
  <c r="W40" i="3"/>
  <c r="T40" i="3"/>
  <c r="U40" i="3" s="1"/>
  <c r="W39" i="3"/>
  <c r="AA39" i="3" s="1"/>
  <c r="T39" i="3"/>
  <c r="W38" i="3"/>
  <c r="X38" i="3" s="1"/>
  <c r="T38" i="3"/>
  <c r="Z38" i="3" s="1"/>
  <c r="W37" i="3"/>
  <c r="X37" i="3" s="1"/>
  <c r="T37" i="3"/>
  <c r="Z37" i="3" s="1"/>
  <c r="T36" i="3"/>
  <c r="M36" i="3"/>
  <c r="W36" i="3" s="1"/>
  <c r="K36" i="3"/>
  <c r="I36" i="3"/>
  <c r="G36" i="3"/>
  <c r="W35" i="3"/>
  <c r="X35" i="3" s="1"/>
  <c r="T35" i="3"/>
  <c r="Z35" i="3" s="1"/>
  <c r="AA34" i="3"/>
  <c r="X34" i="3"/>
  <c r="W34" i="3"/>
  <c r="T34" i="3"/>
  <c r="U34" i="3" s="1"/>
  <c r="W33" i="3"/>
  <c r="AA33" i="3" s="1"/>
  <c r="T33" i="3"/>
  <c r="Z33" i="3" s="1"/>
  <c r="T32" i="3"/>
  <c r="Z32" i="3" s="1"/>
  <c r="M32" i="3"/>
  <c r="W32" i="3" s="1"/>
  <c r="K32" i="3"/>
  <c r="I32" i="3"/>
  <c r="G32" i="3"/>
  <c r="AA31" i="3"/>
  <c r="Z31" i="3"/>
  <c r="G31" i="3"/>
  <c r="G24" i="3" s="1"/>
  <c r="W30" i="3"/>
  <c r="X30" i="3" s="1"/>
  <c r="T30" i="3"/>
  <c r="Z30" i="3" s="1"/>
  <c r="W29" i="3"/>
  <c r="T29" i="3"/>
  <c r="W28" i="3"/>
  <c r="T28" i="3"/>
  <c r="U28" i="3" s="1"/>
  <c r="W27" i="3"/>
  <c r="AA27" i="3" s="1"/>
  <c r="T27" i="3"/>
  <c r="W26" i="3"/>
  <c r="X26" i="3" s="1"/>
  <c r="T26" i="3"/>
  <c r="U26" i="3" s="1"/>
  <c r="W25" i="3"/>
  <c r="AA25" i="3" s="1"/>
  <c r="T25" i="3"/>
  <c r="Z25" i="3" s="1"/>
  <c r="T24" i="3"/>
  <c r="U24" i="3" s="1"/>
  <c r="M24" i="3"/>
  <c r="W24" i="3" s="1"/>
  <c r="K24" i="3"/>
  <c r="I24" i="3"/>
  <c r="W23" i="3"/>
  <c r="AA23" i="3" s="1"/>
  <c r="T23" i="3"/>
  <c r="Z23" i="3" s="1"/>
  <c r="T22" i="3"/>
  <c r="Z22" i="3" s="1"/>
  <c r="K22" i="3"/>
  <c r="G22" i="3"/>
  <c r="AH21" i="3"/>
  <c r="W21" i="3"/>
  <c r="AA21" i="3" s="1"/>
  <c r="T21" i="3"/>
  <c r="Z21" i="3" s="1"/>
  <c r="AH20" i="3"/>
  <c r="W20" i="3"/>
  <c r="X20" i="3" s="1"/>
  <c r="T20" i="3"/>
  <c r="AH19" i="3"/>
  <c r="W19" i="3"/>
  <c r="T19" i="3"/>
  <c r="U19" i="3" s="1"/>
  <c r="AH18" i="3"/>
  <c r="W18" i="3"/>
  <c r="T18" i="3"/>
  <c r="Z18" i="3" s="1"/>
  <c r="M17" i="3"/>
  <c r="L17" i="3"/>
  <c r="T17" i="3" s="1"/>
  <c r="K17" i="3"/>
  <c r="J17" i="3"/>
  <c r="I17" i="3"/>
  <c r="G17" i="3"/>
  <c r="W16" i="3"/>
  <c r="AA16" i="3" s="1"/>
  <c r="T16" i="3"/>
  <c r="W15" i="3"/>
  <c r="X15" i="3" s="1"/>
  <c r="T15" i="3"/>
  <c r="Z15" i="3" s="1"/>
  <c r="M14" i="3"/>
  <c r="W14" i="3" s="1"/>
  <c r="X14" i="3" s="1"/>
  <c r="L14" i="3"/>
  <c r="T14" i="3" s="1"/>
  <c r="K14" i="3"/>
  <c r="J14" i="3"/>
  <c r="I14" i="3"/>
  <c r="G14" i="3"/>
  <c r="T13" i="3"/>
  <c r="Z13" i="3" s="1"/>
  <c r="AA20" i="3" l="1"/>
  <c r="U33" i="3"/>
  <c r="Z77" i="3"/>
  <c r="Z52" i="3"/>
  <c r="X85" i="3"/>
  <c r="G41" i="3"/>
  <c r="X65" i="3"/>
  <c r="U74" i="3"/>
  <c r="Z85" i="3"/>
  <c r="Z48" i="3"/>
  <c r="AA26" i="3"/>
  <c r="U86" i="3"/>
  <c r="U94" i="3"/>
  <c r="U71" i="3"/>
  <c r="AA32" i="3"/>
  <c r="X32" i="3"/>
  <c r="Z55" i="3"/>
  <c r="U55" i="3"/>
  <c r="U32" i="3"/>
  <c r="AA38" i="3"/>
  <c r="AA15" i="3"/>
  <c r="M22" i="3"/>
  <c r="W22" i="3" s="1"/>
  <c r="X36" i="3"/>
  <c r="AA37" i="3"/>
  <c r="X44" i="3"/>
  <c r="Z46" i="3"/>
  <c r="U49" i="3"/>
  <c r="Z50" i="3"/>
  <c r="U53" i="3"/>
  <c r="X54" i="3"/>
  <c r="M75" i="3"/>
  <c r="W75" i="3" s="1"/>
  <c r="AA81" i="3"/>
  <c r="AA102" i="3"/>
  <c r="Z54" i="3"/>
  <c r="U47" i="3"/>
  <c r="AA97" i="3"/>
  <c r="X98" i="3"/>
  <c r="X24" i="3"/>
  <c r="U45" i="3"/>
  <c r="X46" i="3"/>
  <c r="AA63" i="3"/>
  <c r="X67" i="3"/>
  <c r="U69" i="3"/>
  <c r="X70" i="3"/>
  <c r="U82" i="3"/>
  <c r="X96" i="3"/>
  <c r="AH17" i="3"/>
  <c r="W17" i="3"/>
  <c r="X17" i="3" s="1"/>
  <c r="Z41" i="3"/>
  <c r="U41" i="3"/>
  <c r="X47" i="3"/>
  <c r="AA47" i="3"/>
  <c r="X75" i="3"/>
  <c r="Z89" i="3"/>
  <c r="U89" i="3"/>
  <c r="M13" i="3"/>
  <c r="AH13" i="3" s="1"/>
  <c r="Z16" i="3"/>
  <c r="U16" i="3"/>
  <c r="AA19" i="3"/>
  <c r="X19" i="3"/>
  <c r="AA28" i="3"/>
  <c r="X28" i="3"/>
  <c r="U30" i="3"/>
  <c r="U37" i="3"/>
  <c r="X45" i="3"/>
  <c r="AA45" i="3"/>
  <c r="X52" i="3"/>
  <c r="X53" i="3"/>
  <c r="AA53" i="3"/>
  <c r="U60" i="3"/>
  <c r="X61" i="3"/>
  <c r="Z63" i="3"/>
  <c r="U63" i="3"/>
  <c r="K41" i="3"/>
  <c r="X69" i="3"/>
  <c r="M73" i="3"/>
  <c r="W73" i="3" s="1"/>
  <c r="AA73" i="3" s="1"/>
  <c r="X74" i="3"/>
  <c r="AA74" i="3"/>
  <c r="U91" i="3"/>
  <c r="Z91" i="3"/>
  <c r="K13" i="3"/>
  <c r="AA18" i="3"/>
  <c r="X18" i="3"/>
  <c r="Z27" i="3"/>
  <c r="U27" i="3"/>
  <c r="U29" i="3"/>
  <c r="Z29" i="3"/>
  <c r="AA40" i="3"/>
  <c r="X40" i="3"/>
  <c r="U44" i="3"/>
  <c r="Z44" i="3"/>
  <c r="X50" i="3"/>
  <c r="X51" i="3"/>
  <c r="AA51" i="3"/>
  <c r="U64" i="3"/>
  <c r="Z67" i="3"/>
  <c r="U67" i="3"/>
  <c r="X72" i="3"/>
  <c r="Z76" i="3"/>
  <c r="U76" i="3"/>
  <c r="X77" i="3"/>
  <c r="U80" i="3"/>
  <c r="Z80" i="3"/>
  <c r="AA93" i="3"/>
  <c r="X93" i="3"/>
  <c r="Z20" i="3"/>
  <c r="U20" i="3"/>
  <c r="AA29" i="3"/>
  <c r="X29" i="3"/>
  <c r="Z36" i="3"/>
  <c r="U36" i="3"/>
  <c r="Z39" i="3"/>
  <c r="U39" i="3"/>
  <c r="M41" i="3"/>
  <c r="W41" i="3" s="1"/>
  <c r="X42" i="3"/>
  <c r="X48" i="3"/>
  <c r="X49" i="3"/>
  <c r="AA49" i="3"/>
  <c r="U56" i="3"/>
  <c r="X57" i="3"/>
  <c r="Z66" i="3"/>
  <c r="U66" i="3"/>
  <c r="AA71" i="3"/>
  <c r="X71" i="3"/>
  <c r="Z83" i="3"/>
  <c r="U83" i="3"/>
  <c r="AA90" i="3"/>
  <c r="X90" i="3"/>
  <c r="AA87" i="3"/>
  <c r="G13" i="3"/>
  <c r="AA36" i="3"/>
  <c r="X62" i="3"/>
  <c r="U78" i="3"/>
  <c r="X79" i="3"/>
  <c r="X80" i="3"/>
  <c r="U81" i="3"/>
  <c r="U84" i="3"/>
  <c r="AA86" i="3"/>
  <c r="X89" i="3"/>
  <c r="X92" i="3"/>
  <c r="AA94" i="3"/>
  <c r="U97" i="3"/>
  <c r="U100" i="3"/>
  <c r="AA14" i="3"/>
  <c r="U21" i="3"/>
  <c r="U23" i="3"/>
  <c r="U25" i="3"/>
  <c r="U35" i="3"/>
  <c r="U43" i="3"/>
  <c r="X55" i="3"/>
  <c r="U58" i="3"/>
  <c r="X59" i="3"/>
  <c r="AA62" i="3"/>
  <c r="U70" i="3"/>
  <c r="AA75" i="3"/>
  <c r="AA77" i="3"/>
  <c r="G77" i="3"/>
  <c r="G75" i="3" s="1"/>
  <c r="AA83" i="3"/>
  <c r="U87" i="3"/>
  <c r="X88" i="3"/>
  <c r="AA91" i="3"/>
  <c r="U42" i="3"/>
  <c r="Z42" i="3"/>
  <c r="U17" i="3"/>
  <c r="Z17" i="3"/>
  <c r="X22" i="3"/>
  <c r="AA22" i="3"/>
  <c r="X41" i="3"/>
  <c r="U14" i="3"/>
  <c r="Z14" i="3"/>
  <c r="AA24" i="3"/>
  <c r="U93" i="3"/>
  <c r="Z93" i="3"/>
  <c r="Z26" i="3"/>
  <c r="Z28" i="3"/>
  <c r="Z34" i="3"/>
  <c r="U15" i="3"/>
  <c r="X16" i="3"/>
  <c r="U22" i="3"/>
  <c r="X23" i="3"/>
  <c r="AA43" i="3"/>
  <c r="U62" i="3"/>
  <c r="AA78" i="3"/>
  <c r="I13" i="3"/>
  <c r="U13" i="3"/>
  <c r="U18" i="3"/>
  <c r="AA30" i="3"/>
  <c r="X33" i="3"/>
  <c r="AA35" i="3"/>
  <c r="U38" i="3"/>
  <c r="X39" i="3"/>
  <c r="I41" i="3"/>
  <c r="AA41" i="3" s="1"/>
  <c r="AA56" i="3"/>
  <c r="Z57" i="3"/>
  <c r="AA58" i="3"/>
  <c r="Z59" i="3"/>
  <c r="AA60" i="3"/>
  <c r="Z61" i="3"/>
  <c r="AA64" i="3"/>
  <c r="Z65" i="3"/>
  <c r="AA66" i="3"/>
  <c r="Z75" i="3"/>
  <c r="AA76" i="3"/>
  <c r="U79" i="3"/>
  <c r="Z79" i="3"/>
  <c r="Z88" i="3"/>
  <c r="AA89" i="3"/>
  <c r="Z90" i="3"/>
  <c r="X95" i="3"/>
  <c r="Z19" i="3"/>
  <c r="Z24" i="3"/>
  <c r="Z40" i="3"/>
  <c r="Z72" i="3"/>
  <c r="X21" i="3"/>
  <c r="X25" i="3"/>
  <c r="X27" i="3"/>
  <c r="AA55" i="3"/>
  <c r="AA82" i="3"/>
  <c r="U99" i="3"/>
  <c r="W13" i="3"/>
  <c r="X13" i="3" s="1"/>
  <c r="AA44" i="3"/>
  <c r="AA69" i="3"/>
  <c r="Z73" i="3"/>
  <c r="Z96" i="3"/>
  <c r="Z102" i="3"/>
  <c r="U102" i="3"/>
  <c r="U103" i="3"/>
  <c r="Z103" i="3"/>
  <c r="X101" i="3"/>
  <c r="Z92" i="3"/>
  <c r="Z95" i="3"/>
  <c r="Z98" i="3"/>
  <c r="Z101" i="3"/>
  <c r="X103" i="3"/>
  <c r="X104" i="3" l="1"/>
  <c r="X105" i="3" s="1"/>
  <c r="X73" i="3"/>
  <c r="AA17" i="3"/>
  <c r="U104" i="3"/>
  <c r="U105" i="3" s="1"/>
  <c r="AA13" i="3"/>
  <c r="Z18" i="1" l="1"/>
  <c r="I89" i="1" l="1"/>
  <c r="I76" i="1"/>
  <c r="I75" i="1" s="1"/>
  <c r="I36" i="1"/>
  <c r="I32" i="1"/>
  <c r="I17" i="1"/>
  <c r="I86" i="1" l="1"/>
  <c r="K86" i="1"/>
  <c r="K73" i="1"/>
  <c r="I69" i="1"/>
  <c r="I62" i="1"/>
  <c r="I55" i="1"/>
  <c r="I44" i="1"/>
  <c r="K36" i="1"/>
  <c r="I24" i="1"/>
  <c r="I14" i="1"/>
  <c r="I13" i="1" l="1"/>
  <c r="I41" i="1"/>
  <c r="X99" i="1" l="1"/>
  <c r="T99" i="1"/>
  <c r="U99" i="1" s="1"/>
  <c r="AA97" i="1"/>
  <c r="T97" i="1"/>
  <c r="U97" i="1" s="1"/>
  <c r="G73" i="1"/>
  <c r="AA74" i="1"/>
  <c r="T74" i="1"/>
  <c r="U74" i="1" s="1"/>
  <c r="X52" i="1"/>
  <c r="Z52" i="1"/>
  <c r="AA50" i="1"/>
  <c r="Z50" i="1"/>
  <c r="K24" i="1"/>
  <c r="G22" i="1"/>
  <c r="K22" i="1"/>
  <c r="W23" i="1"/>
  <c r="AA23" i="1" s="1"/>
  <c r="T23" i="1"/>
  <c r="U23" i="1" s="1"/>
  <c r="T22" i="1"/>
  <c r="Z22" i="1" s="1"/>
  <c r="M89" i="1"/>
  <c r="M86" i="1" s="1"/>
  <c r="M76" i="1"/>
  <c r="K75" i="1"/>
  <c r="M69" i="1"/>
  <c r="W69" i="1" s="1"/>
  <c r="M62" i="1"/>
  <c r="M55" i="1"/>
  <c r="M44" i="1"/>
  <c r="W18" i="1"/>
  <c r="W19" i="1"/>
  <c r="W20" i="1"/>
  <c r="W21" i="1"/>
  <c r="W15" i="1"/>
  <c r="W16" i="1"/>
  <c r="AA16" i="1" s="1"/>
  <c r="AA15" i="1" l="1"/>
  <c r="X15" i="1"/>
  <c r="T73" i="1"/>
  <c r="U73" i="1" s="1"/>
  <c r="M75" i="1"/>
  <c r="X97" i="1"/>
  <c r="X74" i="1"/>
  <c r="U52" i="1"/>
  <c r="Z99" i="1"/>
  <c r="Z97" i="1"/>
  <c r="Z74" i="1"/>
  <c r="W73" i="1"/>
  <c r="X73" i="1" s="1"/>
  <c r="X50" i="1"/>
  <c r="AA52" i="1"/>
  <c r="U50" i="1"/>
  <c r="X23" i="1"/>
  <c r="U22" i="1"/>
  <c r="Z23" i="1"/>
  <c r="M41" i="1"/>
  <c r="Z73" i="1" l="1"/>
  <c r="AA73" i="1"/>
  <c r="T71" i="1"/>
  <c r="U71" i="1" s="1"/>
  <c r="T70" i="1"/>
  <c r="U70" i="1" s="1"/>
  <c r="T36" i="1"/>
  <c r="T32" i="1"/>
  <c r="AH21" i="1"/>
  <c r="T13" i="1"/>
  <c r="J64" i="1" l="1"/>
  <c r="T90" i="1"/>
  <c r="U90" i="1" s="1"/>
  <c r="U92" i="1"/>
  <c r="T63" i="1"/>
  <c r="Z63" i="1" s="1"/>
  <c r="AA64" i="1"/>
  <c r="Z43" i="1"/>
  <c r="T44" i="1"/>
  <c r="T45" i="1"/>
  <c r="Z45" i="1" s="1"/>
  <c r="T46" i="1"/>
  <c r="Z46" i="1" s="1"/>
  <c r="U93" i="1" l="1"/>
  <c r="T64" i="1"/>
  <c r="Z64" i="1" s="1"/>
  <c r="T94" i="1"/>
  <c r="U94" i="1" s="1"/>
  <c r="Z92" i="1"/>
  <c r="AA63" i="1"/>
  <c r="Z90" i="1"/>
  <c r="U46" i="1"/>
  <c r="U45" i="1"/>
  <c r="U43" i="1"/>
  <c r="E67" i="1"/>
  <c r="E82" i="1"/>
  <c r="E96" i="1"/>
  <c r="E98" i="1"/>
  <c r="E100" i="1"/>
  <c r="E101" i="1"/>
  <c r="E102" i="1"/>
  <c r="Z93" i="1" l="1"/>
  <c r="Z94" i="1"/>
  <c r="U64" i="1"/>
  <c r="E103" i="1"/>
  <c r="G85" i="1" l="1"/>
  <c r="G84" i="1"/>
  <c r="G83" i="1"/>
  <c r="G82" i="1"/>
  <c r="G81" i="1"/>
  <c r="G80" i="1"/>
  <c r="G79" i="1"/>
  <c r="G69" i="1"/>
  <c r="G62" i="1"/>
  <c r="G36" i="1"/>
  <c r="G31" i="1"/>
  <c r="G76" i="1" l="1"/>
  <c r="G75" i="1" s="1"/>
  <c r="G24" i="1"/>
  <c r="G55" i="1"/>
  <c r="G44" i="1"/>
  <c r="G89" i="1"/>
  <c r="G86" i="1" s="1"/>
  <c r="G17" i="1"/>
  <c r="G41" i="1" l="1"/>
  <c r="G32" i="1"/>
  <c r="G14" i="1"/>
  <c r="G13" i="1" l="1"/>
  <c r="L55" i="1" l="1"/>
  <c r="T72" i="1" l="1"/>
  <c r="T42" i="1" l="1"/>
  <c r="Z42" i="1" s="1"/>
  <c r="L56" i="1"/>
  <c r="T56" i="1" s="1"/>
  <c r="U42" i="1" l="1"/>
  <c r="Z56" i="1"/>
  <c r="U56" i="1"/>
  <c r="T88" i="1"/>
  <c r="T77" i="1"/>
  <c r="U77" i="1" l="1"/>
  <c r="Z77" i="1"/>
  <c r="U88" i="1"/>
  <c r="Z88" i="1"/>
  <c r="E14" i="2"/>
  <c r="E8" i="2"/>
  <c r="E3" i="2"/>
  <c r="B14" i="2"/>
  <c r="B8" i="2"/>
  <c r="B3" i="2"/>
  <c r="T91" i="1" l="1"/>
  <c r="Z91" i="1" s="1"/>
  <c r="Z78" i="1"/>
  <c r="U91" i="1" l="1"/>
  <c r="AA57" i="1"/>
  <c r="W56" i="1"/>
  <c r="W78" i="1"/>
  <c r="X64" i="1"/>
  <c r="W44" i="1" l="1"/>
  <c r="W90" i="1"/>
  <c r="W77" i="1"/>
  <c r="AA77" i="1" s="1"/>
  <c r="AA93" i="1"/>
  <c r="W91" i="1"/>
  <c r="W45" i="1"/>
  <c r="AA45" i="1" s="1"/>
  <c r="W92" i="1"/>
  <c r="AA78" i="1"/>
  <c r="AA56" i="1"/>
  <c r="AA90" i="1" l="1"/>
  <c r="AA94" i="1"/>
  <c r="AA91" i="1"/>
  <c r="AA92" i="1"/>
  <c r="W88" i="1"/>
  <c r="X44" i="1"/>
  <c r="J63" i="1"/>
  <c r="U63" i="1" s="1"/>
  <c r="AA88" i="1" l="1"/>
  <c r="W41" i="1" l="1"/>
  <c r="X41" i="1" s="1"/>
  <c r="T57" i="1"/>
  <c r="Z57" i="1" l="1"/>
  <c r="U57" i="1"/>
  <c r="AA46" i="1"/>
  <c r="T85" i="1"/>
  <c r="J62" i="1"/>
  <c r="AA103" i="1" l="1"/>
  <c r="T103" i="1"/>
  <c r="U103" i="1" s="1"/>
  <c r="AA102" i="1"/>
  <c r="T102" i="1"/>
  <c r="U102" i="1" s="1"/>
  <c r="AA101" i="1"/>
  <c r="U101" i="1"/>
  <c r="T100" i="1"/>
  <c r="U100" i="1" s="1"/>
  <c r="AA98" i="1"/>
  <c r="T98" i="1"/>
  <c r="U98" i="1" s="1"/>
  <c r="AA96" i="1"/>
  <c r="T96" i="1"/>
  <c r="U96" i="1" s="1"/>
  <c r="AA95" i="1"/>
  <c r="T95" i="1"/>
  <c r="U95" i="1" s="1"/>
  <c r="T89" i="1"/>
  <c r="AA85" i="1"/>
  <c r="U85" i="1"/>
  <c r="AA84" i="1"/>
  <c r="T84" i="1"/>
  <c r="U84" i="1" s="1"/>
  <c r="AA83" i="1"/>
  <c r="T83" i="1"/>
  <c r="U83" i="1" s="1"/>
  <c r="AA82" i="1"/>
  <c r="T82" i="1"/>
  <c r="U82" i="1" s="1"/>
  <c r="AA81" i="1"/>
  <c r="T81" i="1"/>
  <c r="U81" i="1" s="1"/>
  <c r="AA80" i="1"/>
  <c r="T80" i="1"/>
  <c r="U80" i="1" s="1"/>
  <c r="AA79" i="1"/>
  <c r="T79" i="1"/>
  <c r="U79" i="1" s="1"/>
  <c r="T76" i="1"/>
  <c r="U76" i="1" s="1"/>
  <c r="U75" i="1"/>
  <c r="AA72" i="1"/>
  <c r="U72" i="1"/>
  <c r="AA71" i="1"/>
  <c r="AA70" i="1"/>
  <c r="T69" i="1"/>
  <c r="U69" i="1" s="1"/>
  <c r="AA67" i="1"/>
  <c r="T67" i="1"/>
  <c r="U67" i="1" s="1"/>
  <c r="AA68" i="1"/>
  <c r="AA66" i="1"/>
  <c r="T66" i="1"/>
  <c r="U66" i="1" s="1"/>
  <c r="AA65" i="1"/>
  <c r="T65" i="1"/>
  <c r="U65" i="1" s="1"/>
  <c r="U62" i="1"/>
  <c r="AA61" i="1"/>
  <c r="T61" i="1"/>
  <c r="U61" i="1" s="1"/>
  <c r="AA60" i="1"/>
  <c r="T60" i="1"/>
  <c r="U60" i="1" s="1"/>
  <c r="T59" i="1"/>
  <c r="U59" i="1" s="1"/>
  <c r="X58" i="1"/>
  <c r="T58" i="1"/>
  <c r="U58" i="1" s="1"/>
  <c r="T55" i="1"/>
  <c r="U55" i="1" s="1"/>
  <c r="X54" i="1"/>
  <c r="T54" i="1"/>
  <c r="U54" i="1" s="1"/>
  <c r="X53" i="1"/>
  <c r="T53" i="1"/>
  <c r="U53" i="1" s="1"/>
  <c r="X51" i="1"/>
  <c r="U51" i="1"/>
  <c r="X49" i="1"/>
  <c r="U49" i="1"/>
  <c r="X48" i="1"/>
  <c r="T48" i="1"/>
  <c r="U48" i="1" s="1"/>
  <c r="X47" i="1"/>
  <c r="T47" i="1"/>
  <c r="U47" i="1" s="1"/>
  <c r="U44" i="1"/>
  <c r="T41" i="1"/>
  <c r="X39" i="1"/>
  <c r="U39" i="1"/>
  <c r="W38" i="1"/>
  <c r="X38" i="1" s="1"/>
  <c r="U38" i="1"/>
  <c r="W40" i="1"/>
  <c r="T40" i="1"/>
  <c r="Z40" i="1" s="1"/>
  <c r="W37" i="1"/>
  <c r="AA37" i="1" s="1"/>
  <c r="Z36" i="1"/>
  <c r="AA35" i="1"/>
  <c r="T35" i="1"/>
  <c r="Z35" i="1" s="1"/>
  <c r="AA34" i="1"/>
  <c r="T34" i="1"/>
  <c r="Z34" i="1" s="1"/>
  <c r="AA33" i="1"/>
  <c r="T33" i="1"/>
  <c r="Z33" i="1" s="1"/>
  <c r="Z32" i="1"/>
  <c r="AA30" i="1"/>
  <c r="T30" i="1"/>
  <c r="Z30" i="1" s="1"/>
  <c r="W29" i="1"/>
  <c r="AA29" i="1" s="1"/>
  <c r="T29" i="1"/>
  <c r="Z29" i="1" s="1"/>
  <c r="W28" i="1"/>
  <c r="AA28" i="1" s="1"/>
  <c r="T28" i="1"/>
  <c r="Z28" i="1" s="1"/>
  <c r="W27" i="1"/>
  <c r="AA27" i="1" s="1"/>
  <c r="T27" i="1"/>
  <c r="Z27" i="1" s="1"/>
  <c r="AA31" i="1"/>
  <c r="Z31" i="1"/>
  <c r="W26" i="1"/>
  <c r="AA26" i="1" s="1"/>
  <c r="T26" i="1"/>
  <c r="Z26" i="1" s="1"/>
  <c r="W25" i="1"/>
  <c r="AA25" i="1" s="1"/>
  <c r="T25" i="1"/>
  <c r="Z25" i="1" s="1"/>
  <c r="Z24" i="1"/>
  <c r="AA21" i="1"/>
  <c r="T21" i="1"/>
  <c r="Z21" i="1" s="1"/>
  <c r="AA20" i="1"/>
  <c r="T20" i="1"/>
  <c r="Z20" i="1" s="1"/>
  <c r="AA19" i="1"/>
  <c r="T19" i="1"/>
  <c r="Z19" i="1" s="1"/>
  <c r="AA18" i="1"/>
  <c r="T16" i="1"/>
  <c r="Z16" i="1" s="1"/>
  <c r="T15" i="1"/>
  <c r="Z15" i="1" s="1"/>
  <c r="Z13" i="1"/>
  <c r="Z37" i="1" l="1"/>
  <c r="U37" i="1"/>
  <c r="AA40" i="1"/>
  <c r="U41" i="1"/>
  <c r="Z41" i="1"/>
  <c r="Z47" i="1"/>
  <c r="Z81" i="1"/>
  <c r="Z38" i="1"/>
  <c r="Z83" i="1"/>
  <c r="X21" i="1"/>
  <c r="X25" i="1"/>
  <c r="AA48" i="1"/>
  <c r="Z49" i="1"/>
  <c r="Z59" i="1"/>
  <c r="Z44" i="1"/>
  <c r="U89" i="1"/>
  <c r="Z89" i="1"/>
  <c r="AA53" i="1"/>
  <c r="AA58" i="1"/>
  <c r="X37" i="1"/>
  <c r="X35" i="1"/>
  <c r="X19" i="1"/>
  <c r="AA39" i="1"/>
  <c r="Z96" i="1"/>
  <c r="Z85" i="1"/>
  <c r="Z65" i="1"/>
  <c r="Z61" i="1"/>
  <c r="Z58" i="1"/>
  <c r="Z55" i="1"/>
  <c r="Z54" i="1"/>
  <c r="X28" i="1"/>
  <c r="Z53" i="1"/>
  <c r="AA54" i="1"/>
  <c r="Z68" i="1"/>
  <c r="Z69" i="1"/>
  <c r="X30" i="1"/>
  <c r="X33" i="1"/>
  <c r="AA38" i="1"/>
  <c r="Z39" i="1"/>
  <c r="AA47" i="1"/>
  <c r="Z48" i="1"/>
  <c r="Z71" i="1"/>
  <c r="Z75" i="1"/>
  <c r="Z79" i="1"/>
  <c r="X16" i="1"/>
  <c r="X18" i="1"/>
  <c r="X20" i="1"/>
  <c r="X26" i="1"/>
  <c r="X27" i="1"/>
  <c r="X29" i="1"/>
  <c r="X34" i="1"/>
  <c r="Z51" i="1"/>
  <c r="Z60" i="1"/>
  <c r="Z62" i="1"/>
  <c r="Z66" i="1"/>
  <c r="Z67" i="1"/>
  <c r="Z70" i="1"/>
  <c r="Z72" i="1"/>
  <c r="Z76" i="1"/>
  <c r="Z80" i="1"/>
  <c r="Z82" i="1"/>
  <c r="Z84" i="1"/>
  <c r="Z86" i="1"/>
  <c r="Z95" i="1"/>
  <c r="Z98" i="1"/>
  <c r="Z101" i="1"/>
  <c r="Z103" i="1"/>
  <c r="Z100" i="1"/>
  <c r="Z102" i="1"/>
  <c r="U15" i="1"/>
  <c r="U16" i="1"/>
  <c r="U18" i="1"/>
  <c r="U19" i="1"/>
  <c r="U20" i="1"/>
  <c r="U21" i="1"/>
  <c r="U24" i="1"/>
  <c r="U25" i="1"/>
  <c r="U26" i="1"/>
  <c r="U27" i="1"/>
  <c r="U28" i="1"/>
  <c r="U29" i="1"/>
  <c r="U30" i="1"/>
  <c r="U32" i="1"/>
  <c r="U33" i="1"/>
  <c r="U34" i="1"/>
  <c r="U35" i="1"/>
  <c r="U36" i="1"/>
  <c r="AA59" i="1"/>
  <c r="X59" i="1"/>
  <c r="AA49" i="1"/>
  <c r="AA51" i="1"/>
  <c r="X60" i="1"/>
  <c r="X61" i="1"/>
  <c r="X65" i="1"/>
  <c r="X66" i="1"/>
  <c r="X67" i="1"/>
  <c r="X70" i="1"/>
  <c r="X71" i="1"/>
  <c r="X72" i="1"/>
  <c r="X79" i="1"/>
  <c r="X80" i="1"/>
  <c r="X81" i="1"/>
  <c r="X82" i="1"/>
  <c r="X83" i="1"/>
  <c r="X84" i="1"/>
  <c r="X85" i="1"/>
  <c r="X95" i="1"/>
  <c r="X96" i="1"/>
  <c r="X98" i="1"/>
  <c r="X100" i="1"/>
  <c r="X101" i="1"/>
  <c r="X102" i="1"/>
  <c r="X103" i="1"/>
  <c r="U13" i="1"/>
  <c r="L17" i="1" l="1"/>
  <c r="T17" i="1" s="1"/>
  <c r="J17" i="1"/>
  <c r="L14" i="1"/>
  <c r="T14" i="1" s="1"/>
  <c r="J14" i="1"/>
  <c r="Z14" i="1" l="1"/>
  <c r="U14" i="1"/>
  <c r="Z17" i="1"/>
  <c r="U17" i="1"/>
  <c r="W89" i="1"/>
  <c r="M36" i="1"/>
  <c r="W36" i="1" s="1"/>
  <c r="M32" i="1"/>
  <c r="W32" i="1" s="1"/>
  <c r="M24" i="1"/>
  <c r="U104" i="1" l="1"/>
  <c r="W24" i="1"/>
  <c r="AA24" i="1" s="1"/>
  <c r="W22" i="1"/>
  <c r="AA36" i="1"/>
  <c r="AA69" i="1"/>
  <c r="AA32" i="1"/>
  <c r="AA44" i="1"/>
  <c r="AA89" i="1"/>
  <c r="W42" i="1"/>
  <c r="M17" i="1"/>
  <c r="W17" i="1" s="1"/>
  <c r="M14" i="1"/>
  <c r="W14" i="1" s="1"/>
  <c r="AA14" i="1" s="1"/>
  <c r="X22" i="1" l="1"/>
  <c r="AA22" i="1"/>
  <c r="AA42" i="1"/>
  <c r="W55" i="1"/>
  <c r="X55" i="1" s="1"/>
  <c r="W62" i="1"/>
  <c r="X62" i="1" s="1"/>
  <c r="W43" i="1"/>
  <c r="AA86" i="1"/>
  <c r="AA17" i="1"/>
  <c r="M13" i="1"/>
  <c r="W76" i="1"/>
  <c r="W75" i="1"/>
  <c r="X69" i="1"/>
  <c r="X36" i="1"/>
  <c r="K32" i="1"/>
  <c r="X32" i="1" s="1"/>
  <c r="X24" i="1"/>
  <c r="K17" i="1"/>
  <c r="K14" i="1"/>
  <c r="X17" i="1" l="1"/>
  <c r="K13" i="1"/>
  <c r="AA55" i="1"/>
  <c r="AA43" i="1"/>
  <c r="AA62" i="1"/>
  <c r="X89" i="1"/>
  <c r="AA75" i="1"/>
  <c r="X75" i="1"/>
  <c r="AA13" i="1"/>
  <c r="AA41" i="1"/>
  <c r="AA76" i="1"/>
  <c r="X76" i="1"/>
  <c r="X14" i="1"/>
  <c r="AH20" i="1"/>
  <c r="AH19" i="1"/>
  <c r="AH18" i="1"/>
  <c r="AH17" i="1"/>
  <c r="AH13" i="1"/>
  <c r="X13" i="1" l="1"/>
  <c r="X105" i="1" s="1"/>
  <c r="U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Ella</author>
    <author>ACER</author>
    <author>tc={E00355D3-BC67-4F9A-A841-28A960BC5F7F}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RENJA MURNI
2. RENJA PERUBAHAN
3. PK MURNI
4. PK PERUBAHAN
5. RENSTRA PENYESUAIAN
6. IKU
8. CASCADING TH BERJALAN
9. RENCANA AKSI
10. RKA TH +1</t>
        </r>
      </text>
    </comment>
    <comment ref="L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RENJA 2023
2. PK 2022
3. IKU 2022
4. CASCADING 2022
5. RENCANA AKSI 2022
6. Renstra</t>
        </r>
      </text>
    </comment>
    <comment ref="P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RENJA PERUBAHAN</t>
        </r>
      </text>
    </comment>
    <comment ref="R15" authorId="1" shapeId="0" xr:uid="{C8CCFAED-A83D-4D44-AF3F-89BAAE492A96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PK Perubahan
2. RKA 2023
3. RKA perubahan 2022
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LAPORAN tw1,2,3,4 TAHUNAN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LAPORAN TW 1 2022 DAN TAHUNAN 2021</t>
        </r>
      </text>
    </comment>
    <comment ref="N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 TW 2</t>
        </r>
      </text>
    </comment>
    <comment ref="P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 TW 3</t>
        </r>
      </text>
    </comment>
    <comment ref="R16" authorId="2" shapeId="0" xr:uid="{E00355D3-BC67-4F9A-A841-28A960BC5F7F}">
      <text>
        <t>[Threaded comment]
Your version of Excel allows you to read this threaded comment; however, any edits to it will get removed if the file is opened in a newer version of Excel. Learn more: https://go.microsoft.com/fwlink/?linkid=870924
Comment:
    Lapkin tw 4</t>
      </text>
    </comment>
    <comment ref="J3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42 UNIT
2. RODA 4 : 6 UNIT</t>
        </r>
      </text>
    </comment>
    <comment ref="L3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4 UNIT
2. RODA 4 : 1 UNIT</t>
        </r>
      </text>
    </comment>
    <comment ref="N3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4 UNIT
2. RODA 4 : 1 UNIT</t>
        </r>
      </text>
    </comment>
    <comment ref="P3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3 UNIT
2. RODA 4 : 2 UNIT</t>
        </r>
      </text>
    </comment>
    <comment ref="J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L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N3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P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D41" authorId="0" shapeId="0" xr:uid="{00000000-0006-0000-0000-000010000000}">
      <text>
        <r>
          <rPr>
            <sz val="16"/>
            <color indexed="81"/>
            <rFont val="Tahoma"/>
            <family val="2"/>
          </rPr>
          <t xml:space="preserve">Jumlah Dokumen RAPBD yang tepat waktu dibagi jumlah dokumen RAPBD yang seharusnya kali 100
dokumen : 
1. KUA PPAS MURNI
2. KUA PPAS PERUBAHAN
3. RKA MURNI 
4. RKA PERUBAHAN
5. APBD
6. APBD PERUBAHAN
</t>
        </r>
      </text>
    </comment>
    <comment ref="P4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KUA PPAS MURNI
2. KUA PPAS PERUBAHAN
3. RKA MURNI 
4. RKA PERUBAHAN
5. APBD PERUBAHAN
</t>
        </r>
      </text>
    </comment>
    <comment ref="R41" authorId="0" shapeId="0" xr:uid="{5444D465-09A2-4538-BC43-5F3A66B21A8F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KUA PPAS MURNI
2. KUA PPAS PERUBAHAN
3. RKA MURNI 
4. RKA PERUBAHAN
5. APBD PERUBAHAN
</t>
        </r>
      </text>
    </comment>
    <comment ref="D42" authorId="0" shapeId="0" xr:uid="{00000000-0006-0000-0000-000012000000}">
      <text>
        <r>
          <rPr>
            <b/>
            <sz val="14"/>
            <color indexed="81"/>
            <rFont val="Tahoma"/>
            <family val="2"/>
          </rPr>
          <t>Jumlah SP2D yang terbit dan dinyatakan tepat waktu di bagi jumlah SP2D yang diterbitkan x 100% (penerbitan SP2D paling lama 2 hari sejak SPM diterima)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 xr:uid="{00000000-0006-0000-0000-000013000000}">
      <text>
        <r>
          <rPr>
            <b/>
            <sz val="12"/>
            <color indexed="81"/>
            <rFont val="Tahoma"/>
            <family val="2"/>
          </rPr>
          <t xml:space="preserve">Jumlah dokumen laporan keuangan yang tepat waktu dibagi jumlah dokumen laporan keuangan  yang seharusnya kali 100
DOKUMEN :
1. LKPD
2. Raperda pertanggungjawaban
3. raperbup pertanggungjawaban
4. Laporan Prognosis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51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" authorId="0" shapeId="0" xr:uid="{00000000-0006-0000-0000-000015000000}">
      <text>
        <r>
          <rPr>
            <sz val="9"/>
            <color indexed="81"/>
            <rFont val="Tahoma"/>
            <family val="2"/>
          </rPr>
          <t>2 DOK</t>
        </r>
      </text>
    </comment>
    <comment ref="D64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TARGET 297
</t>
        </r>
      </text>
    </comment>
    <comment ref="P6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Tw4
2.tw 1
3. tw 2
4. bos semester 1
</t>
        </r>
      </text>
    </comment>
    <comment ref="J6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BULANAN 12
SEMESTERAN 2
TRIWULAN 4</t>
        </r>
      </text>
    </comment>
    <comment ref="L66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BULANAN 3
TRIWULAN 1
prognosis 1 semester 2 2021</t>
        </r>
      </text>
    </comment>
    <comment ref="N6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bulanan 3
triwulan 1
</t>
        </r>
      </text>
    </comment>
    <comment ref="P6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 bulanan 3
triwulan 1
prognosis 2022 1</t>
        </r>
      </text>
    </comment>
    <comment ref="J8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RKBMD murni dan Perubahan</t>
        </r>
      </text>
    </comment>
    <comment ref="J8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9/11 J.Pajak
</t>
        </r>
      </text>
    </comment>
    <comment ref="J9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murni dan perubahan</t>
        </r>
      </text>
    </comment>
    <comment ref="H96" authorId="0" shapeId="0" xr:uid="{00000000-0006-0000-0000-00001F000000}">
      <text>
        <r>
          <rPr>
            <sz val="16"/>
            <color indexed="81"/>
            <rFont val="Tahoma"/>
            <family val="2"/>
          </rPr>
          <t>refocusing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pertriwulan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Ella</author>
  </authors>
  <commentList>
    <comment ref="J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RENJA MURNI
2. RENJA PERUBAHAN
3. PK MURNI
4. PK PERUBAHAN
5. RENSTRA PENYESUAIAN
6. IKU
8. CASCADING TH BERJALAN
9. RENCANA AKSI
10. RKA TH +1</t>
        </r>
      </text>
    </comment>
    <comment ref="L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RENJA 2023
2. PK 2022
3. IKU 2022
4. CASCADING 2022
5. RENCANA AKSI 2022</t>
        </r>
      </text>
    </comment>
    <comment ref="J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LAPORAN tw1,2,3,4 TAHUNAN</t>
        </r>
      </text>
    </comment>
    <comment ref="L1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LAPORAN TW 1 2022 DAN TAHUNAN 2021</t>
        </r>
      </text>
    </comment>
    <comment ref="J3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42 UNIT
2. RODA 4 : 6 UNIT</t>
        </r>
      </text>
    </comment>
    <comment ref="L3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RODA 2 : 4 UNIT
2. RODA 4 : 1 UNIT</t>
        </r>
      </text>
    </comment>
    <comment ref="J3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L3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AULA
2. KANTOR
3. GEDUNG ANGGARAN
4. GEDUNG AK DAN ASET</t>
        </r>
      </text>
    </comment>
    <comment ref="D41" authorId="0" shapeId="0" xr:uid="{00000000-0006-0000-0100-000009000000}">
      <text>
        <r>
          <rPr>
            <sz val="16"/>
            <color indexed="81"/>
            <rFont val="Tahoma"/>
            <family val="2"/>
          </rPr>
          <t xml:space="preserve">Jumlah Dokumen RAPBD yang tepat waktu dibagi jumlah dokumen RAPBD yang seharusnya kali 100
dokumen : 
1. rancangan KUA
2. rancagan PPAS
3. rancangan Perda APBD
4. rancangan perbup APBD
</t>
        </r>
      </text>
    </comment>
    <comment ref="D42" authorId="0" shapeId="0" xr:uid="{00000000-0006-0000-0100-00000A000000}">
      <text>
        <r>
          <rPr>
            <b/>
            <sz val="14"/>
            <color indexed="81"/>
            <rFont val="Tahoma"/>
            <family val="2"/>
          </rPr>
          <t>Jumlah SP2D yang terbit dan dinyatakan tepat waktu di bagi jumlah SP2D yang diterbitkan x 100% (penerbitan SP2D paling lama 2 hari sejak SPM diterima)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 xr:uid="{00000000-0006-0000-0100-00000B000000}">
      <text>
        <r>
          <rPr>
            <b/>
            <sz val="12"/>
            <color indexed="81"/>
            <rFont val="Tahoma"/>
            <family val="2"/>
          </rPr>
          <t xml:space="preserve">Jumlah dokumen laporan keuangan yang tepat waktu dibagi jumlah dokumen laporan keuangan  yang seharusnya kali 100
DOKUMEN :
1. LKPD
2. Raperda pertanggungjawaban
3. raperbup pertanggungjawaban
4. Laporan Prognosis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51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" authorId="0" shapeId="0" xr:uid="{00000000-0006-0000-0100-00000D000000}">
      <text>
        <r>
          <rPr>
            <sz val="9"/>
            <color indexed="81"/>
            <rFont val="Tahoma"/>
            <family val="2"/>
          </rPr>
          <t>2 DOK</t>
        </r>
      </text>
    </comment>
    <comment ref="D64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TARGET 297
</t>
        </r>
      </text>
    </comment>
    <comment ref="J66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BULANAN 12
SEMESTERAN 2
TRIWULAN 4</t>
        </r>
      </text>
    </comment>
    <comment ref="L6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BULANAN 3
TRIWULAN 1</t>
        </r>
      </text>
    </comment>
    <comment ref="N70" authorId="0" shapeId="0" xr:uid="{00000000-0006-0000-0100-000011000000}">
      <text>
        <r>
          <rPr>
            <sz val="14"/>
            <color indexed="81"/>
            <rFont val="Tahoma"/>
            <family val="2"/>
          </rPr>
          <t>31.950.000.000 / 182.203.532.000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1" authorId="0" shapeId="0" xr:uid="{00000000-0006-0000-0100-000012000000}">
      <text>
        <r>
          <rPr>
            <sz val="14"/>
            <color indexed="81"/>
            <rFont val="Tahoma"/>
            <family val="2"/>
          </rPr>
          <t>2.200.300.141 / 28.000.000.000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2" authorId="0" shapeId="0" xr:uid="{00000000-0006-0000-0100-000013000000}">
      <text>
        <r>
          <rPr>
            <sz val="16"/>
            <color indexed="81"/>
            <rFont val="Tahoma"/>
            <family val="2"/>
          </rPr>
          <t>1.668.992.500 / 2.628.865.000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4" authorId="0" shapeId="0" xr:uid="{00000000-0006-0000-0100-000014000000}">
      <text>
        <r>
          <rPr>
            <sz val="14"/>
            <color indexed="81"/>
            <rFont val="Tahoma"/>
            <family val="2"/>
          </rPr>
          <t>31.950.000.000 / 182.203.532.000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1. DHPBMD semesteran
2. DHPBMD tahunan
3. DKBMD
4. DKPBMD</t>
        </r>
      </text>
    </comment>
    <comment ref="J9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Ella:</t>
        </r>
        <r>
          <rPr>
            <sz val="9"/>
            <color indexed="81"/>
            <rFont val="Tahoma"/>
            <family val="2"/>
          </rPr>
          <t xml:space="preserve">
murni dan perubahan</t>
        </r>
      </text>
    </comment>
    <comment ref="H96" authorId="0" shapeId="0" xr:uid="{00000000-0006-0000-0100-000017000000}">
      <text>
        <r>
          <rPr>
            <sz val="16"/>
            <color indexed="81"/>
            <rFont val="Tahoma"/>
            <family val="2"/>
          </rPr>
          <t>refocusing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 xml:space="preserve">pertriwulan
</t>
        </r>
      </text>
    </comment>
  </commentList>
</comments>
</file>

<file path=xl/sharedStrings.xml><?xml version="1.0" encoding="utf-8"?>
<sst xmlns="http://schemas.openxmlformats.org/spreadsheetml/2006/main" count="1188" uniqueCount="254">
  <si>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</si>
  <si>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</si>
  <si>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</si>
  <si>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</si>
  <si>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</si>
  <si>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</si>
  <si>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</si>
  <si>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</si>
  <si>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</si>
  <si>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</si>
  <si>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</si>
  <si>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</si>
  <si>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</si>
  <si>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</si>
  <si>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</si>
  <si>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</si>
  <si>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</si>
  <si>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</si>
  <si>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</si>
  <si>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</si>
  <si>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</si>
  <si>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</si>
  <si>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</si>
  <si>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</si>
  <si>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</si>
  <si>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</si>
  <si>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</si>
  <si>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</si>
  <si>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</si>
  <si>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</si>
  <si>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</si>
  <si>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</si>
  <si>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</si>
  <si>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</si>
  <si>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</si>
  <si>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</si>
  <si>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</si>
  <si>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</si>
  <si>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</si>
  <si>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</si>
  <si>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</si>
  <si>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</si>
  <si>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</si>
  <si>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</si>
  <si>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Org</t>
  </si>
  <si>
    <t>Rata-rata Capaian Kinerja (%)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</si>
  <si>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</si>
  <si>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</si>
  <si>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</si>
  <si>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</si>
  <si>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Kabupaten Hulu Sungai Selatan</t>
  </si>
  <si>
    <t>Drs. H. NANANG F.M.N, M.si</t>
  </si>
  <si>
    <t>NIP. 19711011 199101 1 002</t>
  </si>
  <si>
    <t>BADAN PENGELOLAAN KEUANGAN DAN PENDAPATAN DAERAH</t>
  </si>
  <si>
    <t>Kepala Badan Pengelolaan Keuangan dan Pendapatan Daerah</t>
  </si>
  <si>
    <t>Badan Pengelolaan Keuangan dan Pendapatan Daerah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</si>
  <si>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</si>
  <si>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</si>
  <si>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</si>
  <si>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</si>
  <si>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</si>
  <si>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</si>
  <si>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</si>
  <si>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</si>
  <si>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</si>
  <si>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</si>
  <si>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</si>
  <si>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</si>
  <si>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</si>
  <si>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</si>
  <si>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</si>
  <si>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</si>
  <si>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</si>
  <si>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</si>
  <si>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</si>
  <si>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</si>
  <si>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</si>
  <si>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</si>
  <si>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</si>
  <si>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Lap</t>
  </si>
  <si>
    <t>Penyediaan Peralatan Rumah Tangga</t>
  </si>
  <si>
    <t>Pemeliharaan Mebel</t>
  </si>
  <si>
    <t>Koordinasi dan Penyusunan Rencana Anggaran Daerah</t>
  </si>
  <si>
    <t>Koordinasi dan Penyusunan KUA dan PPAS</t>
  </si>
  <si>
    <t>Koordinasi dan Penyusunan Perubahan KUA dan Perubahan PPAS</t>
  </si>
  <si>
    <t>Koordinasi, Penyusunan dan Verifikasi RKA-SKPD</t>
  </si>
  <si>
    <t>Koordinasi, Penyusunan dan Verifikasi DPA-SKPD</t>
  </si>
  <si>
    <t>Koordinasi dan Penyusunan Peraturan Daerah tentang APBD dan Peraturan Kepala Daerah tentang Penjabaran APBD</t>
  </si>
  <si>
    <t>Koordinasi dan Penyusunan Peraturan Daerah tentang Perubahan APBD dan Peraturan Kepala Daerah tentang Penjabaran Perubahan APBD</t>
  </si>
  <si>
    <t>Koordinasi dan Pengelolaan Perbendaharaan Daerah</t>
  </si>
  <si>
    <t>Penatausahaan Pembiayaan Daerah</t>
  </si>
  <si>
    <t>Koordinasi, Fasilitasi, Asistensi, Sinkronisasi, Supervisi, Monitoring dan Evaluasi Pengelolaan Dana Perimbangan dan Dana Transfer Lainnya</t>
  </si>
  <si>
    <t>Koordinasi Pelaksanaan Piutang dan Utang Daerah yang Timbul Akibat Pengelolaan Kas, Pelaksanaan Analisis Pembiayaan dan Penempatan Uang Daerah sebagai Optimalisasi Kas</t>
  </si>
  <si>
    <t>Rekonsiliasi Data Penerimaan dan Pengeluaran Kas serta Pemungutan dan Pemotongan Atas SP2D dengan Instansi Terkait</t>
  </si>
  <si>
    <t>Koordinasi dan Pelaksanaan Akuntansi dan Pelaporan Keuangan Daerah</t>
  </si>
  <si>
    <t>Rekonsiliasi dan Verifikasi Aset, Kewajiban, Ekuitas, Pendapatan, Belanja, Pembiayaan, Pendapatan-LO dan Beban</t>
  </si>
  <si>
    <t>Koordinasi Penyusunan Laporan Pertanggungjawaban Pelaksanaan APBD Bulanan, Triwulanan dan Semesteran</t>
  </si>
  <si>
    <t>Konsolidasi Laporan Keuangan SKPD, BLUD dan Laporan Keuangan Pemerintah Daerah</t>
  </si>
  <si>
    <t>Koordinasi dan Penyusunan Rancangan Peraturan Daerah tentang Pertanggungjawaban Pelaksanaan APBD Provinsi dan Rancangan Peraturan Kepala Daerah tentang Penjabaran Pertanggungjawaban Pelaksanaan APBD Kabupaten/Kota</t>
  </si>
  <si>
    <t>Penunjang Urusan Kewenangan Pengelolaan Keuangan Daerah</t>
  </si>
  <si>
    <t>Analisis Perencanaan dan Penyaluran Bantuan Keuangan</t>
  </si>
  <si>
    <t>Pengelolaan Dana Darurat dan Mendesak</t>
  </si>
  <si>
    <t>Pengelolaan Dana Bagi Hasil Kabupaten/Kota</t>
  </si>
  <si>
    <t>Program Pengelolaan Barang Milik Daerah</t>
  </si>
  <si>
    <t>Pengelolaan Barang Milik Daerah</t>
  </si>
  <si>
    <t>Penyusunan Standar Harga</t>
  </si>
  <si>
    <t>Penyusunan Perencanaan Kebutuhan Barang Milik Daerah</t>
  </si>
  <si>
    <t>Penatausahaan Barang Milik Daerah</t>
  </si>
  <si>
    <t>Pengamanan Barang Milik Daerah</t>
  </si>
  <si>
    <t>Optimalisasi Penggunaan, Pemanfaatan, Pemindahtanganan, Pemusnahan, dan Penghapusan Barang Milik Daerah</t>
  </si>
  <si>
    <t>Rekonsiliasi dalam rangka Penyusunan Laporan Barang Milik Daerah</t>
  </si>
  <si>
    <t>Pembinaan Pengelolaan Barang Milik Daerah Pemerintah Kabupaten/Kota</t>
  </si>
  <si>
    <t>Program Pengelolaan Pendapatan Daerah</t>
  </si>
  <si>
    <t>Perencanaan pengelolaan pajak daerah</t>
  </si>
  <si>
    <t>Penetapan Wajib Pajak Daerah</t>
  </si>
  <si>
    <t>Pelayanan dan Konsultasi Pajak Daerah</t>
  </si>
  <si>
    <t>Penagihan Pajak Daerah</t>
  </si>
  <si>
    <t>Pengendalian, Pemeriksaan dan Pengawasan Pajak Daerah</t>
  </si>
  <si>
    <t>Jumlah dokumen Perencanaan dan Evaluasi Kinerja yang berkualitas</t>
  </si>
  <si>
    <t>Jumlah dokumen administrasi Keuangan sesuai standar</t>
  </si>
  <si>
    <t>Tingkat kepuasan pelayanan</t>
  </si>
  <si>
    <t>Program Pengelolaan Keuangan Daerah</t>
  </si>
  <si>
    <t>Persentase Pengelolaan Keuangan Daerah yang Sesuai Ketentuan</t>
  </si>
  <si>
    <t>Program Penunjang Urusan Pemerintahan Daerah Kabupaten / Kota</t>
  </si>
  <si>
    <t>dok</t>
  </si>
  <si>
    <t xml:space="preserve">Pendataan dan Pendaftaran
Objek Pajak Daerah </t>
  </si>
  <si>
    <t>Penyuluhan dan Penyebarluasan
Kebijakan Pajak Daerah</t>
  </si>
  <si>
    <t>Pengelolaan Pendapatan daerah</t>
  </si>
  <si>
    <t>Persentase peningkatan potensi PAD</t>
  </si>
  <si>
    <t>Persentase WP  yang update, akurat dan informatif guna menunjang peningkatan PAD</t>
  </si>
  <si>
    <t>Persentase Pelayanan dan Penetapan Wajib Pajak Daerah yang sesuai</t>
  </si>
  <si>
    <t>Persentase pelaksanaan penyuluhan dan penyebarluasan kebijakan pajak</t>
  </si>
  <si>
    <t>Persentase pelaksanaan penagihan pajak</t>
  </si>
  <si>
    <t>Persentase  pelaksanaan pemeriksaan dan pengawasan pajak</t>
  </si>
  <si>
    <t xml:space="preserve">Persentase Capaian Pendapatan Asli Daerah </t>
  </si>
  <si>
    <t>Persentase konfirmasi status WP daerah yg telah tertagih</t>
  </si>
  <si>
    <t>Persentase kesesuaian Neraca BMD dengan Neraca Keuangan Daerah</t>
  </si>
  <si>
    <t>Persentase Tanah dan bangunan milik Pemkab yang bersertifikat</t>
  </si>
  <si>
    <t>Persentase Regulasi Barang Milik Daerah</t>
  </si>
  <si>
    <t>Persentase Penatausahaan dan Pelaporan Barang Milik Daerah</t>
  </si>
  <si>
    <t>Persentase Pemanfaatan, Pemindahtanganan dan Pengamanan Barang Milik Daerah</t>
  </si>
  <si>
    <t>Persentase pelayanan administrasi umum sesuai kebutuhan</t>
  </si>
  <si>
    <t>Persentase jasa penunjang urusan pemerintahan daerah sesuai kebutuhan</t>
  </si>
  <si>
    <t>Persentase Pemeliharaan BMD penunjang urusan pemerintah sesuai kebutuhan</t>
  </si>
  <si>
    <t>Ketepatan Waktu proses Penyusunan RAPBD</t>
  </si>
  <si>
    <t>Persentasi waktu Penyelesaian SP2D yang dinyatakan lengkap dan sah sesuai dengan ketentuan yang berlaku</t>
  </si>
  <si>
    <t xml:space="preserve">Ketepatan waktu penyusunan Laporan Keuangan Pemda  </t>
  </si>
  <si>
    <t>Persentase Dokumen KUA dan PPAS yang tersusun</t>
  </si>
  <si>
    <t>Persentase Dokumen Anggaran SKPD yang tersusun</t>
  </si>
  <si>
    <t>Persentase Dokumen Raperbup Penjabaran APBD</t>
  </si>
  <si>
    <t xml:space="preserve">Persentase Pelaksanaan koordinasi dan Pengelolaan Dana Perimbangan serta Transfer lainnya </t>
  </si>
  <si>
    <t>Persentase Rekonsiliasi Data Penerimaan dan Pengeluaran Kas</t>
  </si>
  <si>
    <t>Persentase Pengelolaan Keuangan Daerah</t>
  </si>
  <si>
    <t>Persentase  laporan keuangan SKPD yang dikonsolidasikan</t>
  </si>
  <si>
    <t>Persentase Laporan Perda dan Perbup Pertanggungjabawan APBD</t>
  </si>
  <si>
    <t>Persentase Laporan Puskesmas (unit JKN) dan Sekolah (unit BOS) yang dilakukan verifikasi</t>
  </si>
  <si>
    <t>KEU</t>
  </si>
  <si>
    <t>BTT</t>
  </si>
  <si>
    <t>DBH</t>
  </si>
  <si>
    <t>MARET</t>
  </si>
  <si>
    <t>JUNI</t>
  </si>
  <si>
    <t>Program/ Kegiatan</t>
  </si>
  <si>
    <t>Meningkatnya kualitas Pengelolaan keuangan dan aset daerah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</si>
  <si>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</si>
  <si>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</si>
  <si>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</si>
  <si>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</si>
  <si>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PERIODE PELAKSANAAN TRIWULAN I TAHUN 2022</t>
  </si>
  <si>
    <t>Administrasi Kepegawaian Perangkat Daerah</t>
  </si>
  <si>
    <t>Bimbingan Teknis Implementasi Peraturan Perundang- Undangan (Badan Pengelolaan Keuangan dan Pendapatan Daerah)</t>
  </si>
  <si>
    <t>Koordinasi, Penyusunan dan Verifikasi Perubahan RKA-SKPD</t>
  </si>
  <si>
    <t>Koordinasi, Penyusunan dan Verifikasi Perubahan DPA-SKPD</t>
  </si>
  <si>
    <t>Pengelolaan Data dan Implementasi Sistem Informasi Pemerintah Daerah Lingkup Keuangan Daerah</t>
  </si>
  <si>
    <t>Pembinaan Sistem Informasi Pemerintah Daerah Bidang Keuangan Daerah Pemerintah Kabupaten/Kota (Badan Pengelolaan Keuangan dan Pendapatan Daerah)</t>
  </si>
  <si>
    <t>Penyediaan Sarana dan Prasarana Pengelolaan Pajak Daerah (Badan Pengelolaan Keuangan dan Pendapatan Daerah)</t>
  </si>
  <si>
    <t>Pengolahan, Pemeliharaan, dan Pelaporan Basis Data Pajak Daerah (Badan Pengelolaan Keuangan dan Pendapatan Daerah)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</si>
  <si>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</si>
  <si>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</si>
  <si>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</si>
  <si>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</si>
  <si>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</si>
  <si>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</si>
  <si>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Orang yang Mengikuti Bimbingan Teknis Implementasi Peraturan Perundang-Undangan</t>
  </si>
  <si>
    <t>Paket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</si>
  <si>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</si>
  <si>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</si>
  <si>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</si>
  <si>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</si>
  <si>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</si>
  <si>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</si>
  <si>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Paket Peralatan Rumah Tangga yang Disediakan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</si>
  <si>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</si>
  <si>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</si>
  <si>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</si>
  <si>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</si>
  <si>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Unit</t>
  </si>
  <si>
    <t>Jumlah Sarana dan Prasarana Gedung Kantor atau Bangunan Lainnya yang Dipelihara/Direhabilitasi</t>
  </si>
  <si>
    <t>Jumlah Mebel yang Dipelihara</t>
  </si>
  <si>
    <t>Jumlah Dokumen KUA dan PPAS yang Disusun</t>
  </si>
  <si>
    <t>Jumlah Dokumen Perubahan KUA dan PPAS yang Disusun</t>
  </si>
  <si>
    <t>Jumlah RKA-SKPD yang Diverifikasi</t>
  </si>
  <si>
    <t>Jumlah Perubahan RKA-SKPD yang Diverifikasi</t>
  </si>
  <si>
    <t xml:space="preserve">Jumlah DPA-SKPD yang Diverifikasi </t>
  </si>
  <si>
    <t xml:space="preserve">Jumlah Perubahan DPA-SKPD yang Diverifikasi </t>
  </si>
  <si>
    <t>Jumlah Peraturan Daerah tentang APBD dan Peraturan Kepala Daerah tentang Penjabaran APBD</t>
  </si>
  <si>
    <t>Jumlah Peraturan Daerah tentang Perubahan APBD dan Peraturan Kepala Daerah tentang Penjabaran Perubahan APBD</t>
  </si>
  <si>
    <t>Jumlah Dokumen Hasil Penatausahaan Pembiayaan Daerah</t>
  </si>
  <si>
    <t>Jumlah Dokumen Hasil Koordinasi, Fasilitasi, Asistensi, Sinkronisasi, Supervisi, Monitoring, dan Evaluasi Pengelolaan Dana Perimbangan dan Dana Transfer Lainnya</t>
  </si>
  <si>
    <t>Jumlah Dokumen Hasil Koordinasi Pelaksanaan Piutang dan Utang Daerah yang Timbul Akibat Pengelolaan Kas, Pelaksanaan Analisis Pembiayaan dan Penempatan Uang Daerah sebagai Optimalisasi Kas</t>
  </si>
  <si>
    <t>Jumlah Dokumen Hasil Rekonsiliasi Data Penerimaan dan Pengeluaran Kas serta Pemungutan dan Pemotongan atas SP2D dengan Instansi Terkait</t>
  </si>
  <si>
    <t>Jumlah Dokumen Hasil Rekonsiliasi dan Verifikasi  Aset, Kewajiban, Ekuitas, Pendapatan, Belanja, Pembiayaan, Pendapatan-LO, dan Beban</t>
  </si>
  <si>
    <t>Jumlah Laporan Pertanggungjawaban Pelaksanaan APBD Bulanan, Triwulanan dan Semesteran</t>
  </si>
  <si>
    <t>Jumlah Rancangan Peraturan Daerah tentang Pertanggungjawaban Pelaksanaan APBD Kabupaten/Kota dan Rancangan Peraturan Kepala Daerah tentang Penjabaran Pertanggungjawaban Pelaksanaan APBD Kabupaten/Kota</t>
  </si>
  <si>
    <t>Jumlah Laporan Keuangan SKPD, BLUD dan Laporan Keuangan Pemerintah Daerah yang Terkonsolidasi</t>
  </si>
  <si>
    <t>Jumlah Laporan Hasil Analisis Perencanaan dan Penyaluran Bantuan Keuangan</t>
  </si>
  <si>
    <t>Jumlah Laporan Hasil Pengelolaan Dana Darurat dan Mendesak</t>
  </si>
  <si>
    <t>Jumlah Laporan Hasil Pengelolaan Dana bagi Hasil Kabupaten/Kota</t>
  </si>
  <si>
    <t>Jumlah Orang yang Mengikuti Pembinaan Sistem Informasi Pemerintah Daerah Bidang Keuangan Daerah Pemerintah Kabupaten/Kota</t>
  </si>
  <si>
    <t>Jumlah Standar Harga yang Disusun</t>
  </si>
  <si>
    <t>Jumlah Rencana Kebutuhan Barang Milik Daerah</t>
  </si>
  <si>
    <t>Jumlah Laporan Penatausahaan Barang Milik Daerah</t>
  </si>
  <si>
    <t>Jumlah Laporan Hasil Pengamanan Barang Milik Daerah</t>
  </si>
  <si>
    <t>Jumlah Dokumen Hasil Optimalisasi Penggunaan, Pemanfaatan, Pemindahtanganan, Pemusnahan, dan Penghapusan Barang Milik Daerah</t>
  </si>
  <si>
    <t>Jumlah Laporan Hasil Rekonsiliasi dalam rangka Penyusunan Laporan Barang Milik Daerah</t>
  </si>
  <si>
    <t>Jumlah Orang yang Mengikuti Pembinaan Pengelolaan Barang Milik Daerah Pemerintah Kabupaten/Kota</t>
  </si>
  <si>
    <t>Jumlah Dokumen Rencana Pengelolaan Pajak Daerah</t>
  </si>
  <si>
    <t>Jumlah Laporan Pelaksanaan Penyuluhan dan Penyebarluasan Kebijakan Pajak Daerah</t>
  </si>
  <si>
    <t>Jumlah Sarana dan Prasarana Pengelolaan Pajak Daerah</t>
  </si>
  <si>
    <t>Jumlah Laporan Hasil Pendataan dan Pendaftaran Objek Pajak Daerah, Subjek Pajak dan Wajib Pajak Daerah</t>
  </si>
  <si>
    <t>Jumlah Laporan Hasil Pengolahan, Pemeliharaan, dan Pelaporan Basis Data Pajak Daerah</t>
  </si>
  <si>
    <t>Jumlah Dokumen Ketetapan Pajak Daerah</t>
  </si>
  <si>
    <t>Jumlah Layanan dan Konsultasi Pajak Daerah</t>
  </si>
  <si>
    <t>Layanan</t>
  </si>
  <si>
    <t>Jumlah Dokumen Hasil Pelaksanaan  Penagihan Pajak Daerah</t>
  </si>
  <si>
    <t>Jumlah Dokumen Hasil Pemeriksaan serta Pengendalian dan Pengawasan Pajak Daerah</t>
  </si>
  <si>
    <t>Kandangan,     April 2022</t>
  </si>
  <si>
    <t>Jumlah Gedung Kantor dan Bangunan Lainnya yang  Dipelihara/Direhabilitasi</t>
  </si>
  <si>
    <t>unit</t>
  </si>
  <si>
    <t>Faktor pendorong keberhasilan pencapaian: merupakan kegiatan prioritas sehingga pelaksanaannya harus sesuai target yang ada</t>
  </si>
  <si>
    <t>Faktor penghambat pencapaian kinerja: mundurnya pelaksanaan kegiatan, sehingga perlu penjadwalan ulang</t>
  </si>
  <si>
    <t>Tindak lanjut yang diperlukan dalam triwulan berikutnya*): Percepatan penyerapan anggaran sesuai prioritas kegiatan</t>
  </si>
  <si>
    <t>Tindak lanjut yang diperlukan dalam Renja Perangkat Daerah Kabupaten berikutnya*): Meningkatkan konsistensi antara dokumen perencanaan dengan RKPD ataupun RPJMD</t>
  </si>
  <si>
    <t>PERIODE PELAKSANAAN TRIWULAN III TAHUN 2022</t>
  </si>
  <si>
    <t>Kandangan,        Oktober 2022</t>
  </si>
  <si>
    <t>Persentase Pengelolaan Barang Milik Daerah sesuai standar dan Ketentuan</t>
  </si>
  <si>
    <t>Dokumen SSH dan RKBMD yang tepat waktu dan sesuai standar</t>
  </si>
  <si>
    <t>Persentase pelaksanaan Pemanfaatan, Pemindahtanganan dan Pengamanan Barang Milik Daerah sesuai standar</t>
  </si>
  <si>
    <t>Persentasi jenis Pajak Daerah yang menerapkan elektronifikasi transaksi pendapatan daerah</t>
  </si>
  <si>
    <t>Jumlah Pelayanan administrasi kepegawaian sesuai standar</t>
  </si>
  <si>
    <t>Persentase pengelolaan data dan implementasi SIPD lingkup keuangan daerah</t>
  </si>
  <si>
    <t>Faktor penghambat pencapaian kinerja: belum tepatnya menempatkan jadwal anggaran kas dan adanya kekurangan pagu anggaran sehingga tidak bisa direalisasikan</t>
  </si>
  <si>
    <t>Tindak lanjut yang diperlukan dalam triwulan berikutnya*): menempatkan anggaran kas yang sesuai dengan jadwal dan merencanakan pagu anggaran yang tepat</t>
  </si>
  <si>
    <t>Tindak lanjut yang diperlukan dalam Renja Perangkat Daerah Kabupaten berikutnya*): membuat perencanaan yang lebih baik</t>
  </si>
  <si>
    <t>Faktor pendorong keberhasilan pencapaian: inovasi yang dilakukan mampu memaksimalkan pencapaian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</si>
</sst>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0_);_(* \(#,##0.00\);_(* &quot;-&quot;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16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41" fontId="26" fillId="0" borderId="0" applyFont="0" applyFill="0" applyBorder="0" applyAlignment="0" applyProtection="0"/>
    <xf numFmtId="0" fontId="1" fillId="0" borderId="0"/>
    <xf numFmtId="165" fontId="26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 wrapText="1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left" vertical="top" wrapText="1"/>
    </xf>
    <xf numFmtId="9" fontId="8" fillId="0" borderId="15" xfId="0" applyNumberFormat="1" applyFont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6" fillId="0" borderId="0" xfId="0" applyFont="1"/>
    <xf numFmtId="164" fontId="8" fillId="0" borderId="2" xfId="0" applyNumberFormat="1" applyFont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2" fontId="6" fillId="0" borderId="2" xfId="0" applyNumberFormat="1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/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horizontal="center" vertical="top"/>
    </xf>
    <xf numFmtId="164" fontId="8" fillId="0" borderId="2" xfId="2" applyFont="1" applyFill="1" applyBorder="1" applyAlignment="1">
      <alignment horizontal="center" vertical="top" wrapText="1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 wrapText="1"/>
    </xf>
    <xf numFmtId="0" fontId="14" fillId="0" borderId="0" xfId="0" applyFont="1"/>
    <xf numFmtId="166" fontId="6" fillId="0" borderId="0" xfId="1" quotePrefix="1" applyNumberFormat="1" applyFont="1" applyFill="1" applyBorder="1" applyAlignment="1">
      <alignment vertical="top"/>
    </xf>
    <xf numFmtId="0" fontId="14" fillId="0" borderId="11" xfId="0" applyFont="1" applyBorder="1"/>
    <xf numFmtId="167" fontId="6" fillId="0" borderId="2" xfId="0" applyNumberFormat="1" applyFont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3" fontId="6" fillId="0" borderId="2" xfId="0" quotePrefix="1" applyNumberFormat="1" applyFont="1" applyBorder="1" applyAlignment="1">
      <alignment horizontal="center" vertical="top" wrapText="1"/>
    </xf>
    <xf numFmtId="2" fontId="6" fillId="0" borderId="2" xfId="2" quotePrefix="1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9" fontId="18" fillId="0" borderId="2" xfId="0" applyNumberFormat="1" applyFont="1" applyBorder="1" applyAlignment="1">
      <alignment horizontal="center" vertical="top"/>
    </xf>
    <xf numFmtId="1" fontId="18" fillId="0" borderId="2" xfId="0" applyNumberFormat="1" applyFont="1" applyBorder="1" applyAlignment="1">
      <alignment horizontal="center" vertical="top" wrapText="1"/>
    </xf>
    <xf numFmtId="166" fontId="18" fillId="0" borderId="2" xfId="1" applyNumberFormat="1" applyFont="1" applyFill="1" applyBorder="1" applyAlignment="1">
      <alignment vertical="top"/>
    </xf>
    <xf numFmtId="3" fontId="18" fillId="0" borderId="2" xfId="0" applyNumberFormat="1" applyFont="1" applyBorder="1" applyAlignment="1">
      <alignment horizontal="center" vertical="top" wrapText="1"/>
    </xf>
    <xf numFmtId="166" fontId="18" fillId="0" borderId="2" xfId="1" quotePrefix="1" applyNumberFormat="1" applyFont="1" applyFill="1" applyBorder="1" applyAlignment="1">
      <alignment vertical="top"/>
    </xf>
    <xf numFmtId="1" fontId="18" fillId="0" borderId="2" xfId="0" applyNumberFormat="1" applyFont="1" applyBorder="1" applyAlignment="1">
      <alignment horizontal="center" vertical="top"/>
    </xf>
    <xf numFmtId="2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164" fontId="18" fillId="0" borderId="2" xfId="0" applyNumberFormat="1" applyFont="1" applyBorder="1" applyAlignment="1">
      <alignment vertical="top"/>
    </xf>
    <xf numFmtId="0" fontId="19" fillId="0" borderId="11" xfId="0" applyFont="1" applyBorder="1"/>
    <xf numFmtId="0" fontId="19" fillId="0" borderId="0" xfId="0" applyFont="1"/>
    <xf numFmtId="166" fontId="18" fillId="0" borderId="0" xfId="1" quotePrefix="1" applyNumberFormat="1" applyFont="1" applyFill="1" applyBorder="1" applyAlignment="1">
      <alignment vertical="top"/>
    </xf>
    <xf numFmtId="0" fontId="17" fillId="0" borderId="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9" fontId="17" fillId="0" borderId="15" xfId="0" applyNumberFormat="1" applyFont="1" applyBorder="1" applyAlignment="1">
      <alignment horizontal="center" vertical="top"/>
    </xf>
    <xf numFmtId="1" fontId="17" fillId="0" borderId="15" xfId="0" applyNumberFormat="1" applyFont="1" applyBorder="1" applyAlignment="1">
      <alignment horizontal="center" vertical="top" wrapText="1"/>
    </xf>
    <xf numFmtId="166" fontId="17" fillId="0" borderId="2" xfId="1" quotePrefix="1" applyNumberFormat="1" applyFont="1" applyFill="1" applyBorder="1" applyAlignment="1">
      <alignment vertical="top"/>
    </xf>
    <xf numFmtId="1" fontId="17" fillId="0" borderId="2" xfId="0" applyNumberFormat="1" applyFont="1" applyBorder="1" applyAlignment="1">
      <alignment horizontal="center" vertical="top"/>
    </xf>
    <xf numFmtId="2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164" fontId="17" fillId="0" borderId="2" xfId="0" applyNumberFormat="1" applyFont="1" applyBorder="1" applyAlignment="1">
      <alignment vertical="top"/>
    </xf>
    <xf numFmtId="0" fontId="17" fillId="0" borderId="11" xfId="0" applyFont="1" applyBorder="1" applyAlignment="1">
      <alignment horizontal="center" vertical="top" wrapText="1"/>
    </xf>
    <xf numFmtId="0" fontId="20" fillId="0" borderId="0" xfId="0" applyFont="1"/>
    <xf numFmtId="166" fontId="17" fillId="0" borderId="0" xfId="1" quotePrefix="1" applyNumberFormat="1" applyFont="1" applyFill="1" applyBorder="1" applyAlignment="1">
      <alignment vertical="top"/>
    </xf>
    <xf numFmtId="0" fontId="18" fillId="0" borderId="15" xfId="0" applyFont="1" applyBorder="1" applyAlignment="1">
      <alignment horizontal="left" vertical="top" wrapText="1"/>
    </xf>
    <xf numFmtId="9" fontId="17" fillId="0" borderId="2" xfId="0" applyNumberFormat="1" applyFont="1" applyBorder="1" applyAlignment="1">
      <alignment horizontal="center" vertical="top"/>
    </xf>
    <xf numFmtId="0" fontId="20" fillId="0" borderId="11" xfId="0" applyFont="1" applyBorder="1"/>
    <xf numFmtId="2" fontId="17" fillId="0" borderId="2" xfId="0" applyNumberFormat="1" applyFont="1" applyBorder="1" applyAlignment="1">
      <alignment horizontal="center" vertical="top" wrapText="1"/>
    </xf>
    <xf numFmtId="0" fontId="18" fillId="0" borderId="2" xfId="2" applyNumberFormat="1" applyFont="1" applyFill="1" applyBorder="1" applyAlignment="1">
      <alignment horizontal="center" vertical="top"/>
    </xf>
    <xf numFmtId="164" fontId="18" fillId="0" borderId="2" xfId="2" applyFont="1" applyFill="1" applyBorder="1" applyAlignment="1">
      <alignment horizontal="center" vertical="top" wrapText="1"/>
    </xf>
    <xf numFmtId="164" fontId="0" fillId="0" borderId="0" xfId="2" applyFont="1"/>
    <xf numFmtId="168" fontId="0" fillId="0" borderId="0" xfId="2" applyNumberFormat="1" applyFont="1"/>
    <xf numFmtId="164" fontId="8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3" fontId="18" fillId="0" borderId="2" xfId="4" applyNumberFormat="1" applyFont="1" applyBorder="1" applyAlignment="1">
      <alignment horizontal="right" vertical="top"/>
    </xf>
    <xf numFmtId="3" fontId="8" fillId="0" borderId="11" xfId="5" applyNumberFormat="1" applyFont="1" applyFill="1" applyBorder="1" applyAlignment="1">
      <alignment vertical="top"/>
    </xf>
    <xf numFmtId="3" fontId="8" fillId="0" borderId="2" xfId="4" applyNumberFormat="1" applyFont="1" applyBorder="1" applyAlignment="1">
      <alignment horizontal="right" vertical="top"/>
    </xf>
    <xf numFmtId="3" fontId="18" fillId="0" borderId="2" xfId="8" applyNumberFormat="1" applyFont="1" applyFill="1" applyBorder="1" applyAlignment="1">
      <alignment horizontal="right" vertical="top"/>
    </xf>
    <xf numFmtId="3" fontId="18" fillId="0" borderId="2" xfId="4" applyNumberFormat="1" applyFont="1" applyBorder="1" applyAlignment="1">
      <alignment vertical="top"/>
    </xf>
    <xf numFmtId="3" fontId="18" fillId="0" borderId="15" xfId="4" applyNumberFormat="1" applyFont="1" applyBorder="1" applyAlignment="1">
      <alignment vertical="top"/>
    </xf>
    <xf numFmtId="3" fontId="8" fillId="0" borderId="15" xfId="4" applyNumberFormat="1" applyFont="1" applyBorder="1" applyAlignment="1">
      <alignment vertical="top"/>
    </xf>
    <xf numFmtId="3" fontId="8" fillId="0" borderId="2" xfId="4" applyNumberFormat="1" applyFont="1" applyBorder="1" applyAlignment="1">
      <alignment vertical="top"/>
    </xf>
    <xf numFmtId="3" fontId="8" fillId="0" borderId="2" xfId="7" applyNumberFormat="1" applyFont="1" applyFill="1" applyBorder="1" applyAlignment="1">
      <alignment horizontal="right" vertical="top" wrapText="1"/>
    </xf>
    <xf numFmtId="3" fontId="8" fillId="0" borderId="2" xfId="7" applyNumberFormat="1" applyFont="1" applyFill="1" applyBorder="1" applyAlignment="1">
      <alignment horizontal="right" vertical="top"/>
    </xf>
    <xf numFmtId="164" fontId="8" fillId="0" borderId="0" xfId="2" applyFont="1" applyFill="1" applyAlignment="1">
      <alignment vertical="top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3" fontId="8" fillId="0" borderId="15" xfId="0" applyNumberFormat="1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3" fontId="8" fillId="0" borderId="2" xfId="0" applyNumberFormat="1" applyFont="1" applyBorder="1" applyAlignment="1">
      <alignment vertical="top" wrapText="1"/>
    </xf>
    <xf numFmtId="164" fontId="8" fillId="0" borderId="2" xfId="2" applyFont="1" applyFill="1" applyBorder="1" applyAlignment="1">
      <alignment horizontal="center" vertical="top"/>
    </xf>
    <xf numFmtId="164" fontId="18" fillId="0" borderId="2" xfId="2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3" fontId="17" fillId="0" borderId="2" xfId="0" applyNumberFormat="1" applyFont="1" applyBorder="1" applyAlignment="1">
      <alignment vertical="top" wrapText="1"/>
    </xf>
    <xf numFmtId="3" fontId="17" fillId="0" borderId="2" xfId="0" applyNumberFormat="1" applyFont="1" applyBorder="1" applyAlignment="1">
      <alignment horizontal="left" vertical="top" wrapText="1"/>
    </xf>
    <xf numFmtId="0" fontId="17" fillId="0" borderId="6" xfId="0" applyFont="1" applyBorder="1" applyAlignment="1">
      <alignment vertical="top" wrapText="1"/>
    </xf>
    <xf numFmtId="3" fontId="17" fillId="0" borderId="6" xfId="0" applyNumberFormat="1" applyFont="1" applyBorder="1" applyAlignment="1">
      <alignment vertical="top" wrapText="1"/>
    </xf>
    <xf numFmtId="0" fontId="16" fillId="0" borderId="11" xfId="0" applyFont="1" applyBorder="1"/>
    <xf numFmtId="0" fontId="16" fillId="0" borderId="11" xfId="0" applyFont="1" applyBorder="1" applyAlignment="1">
      <alignment horizontal="left" vertical="top" wrapText="1"/>
    </xf>
    <xf numFmtId="2" fontId="8" fillId="0" borderId="2" xfId="2" applyNumberFormat="1" applyFont="1" applyBorder="1" applyAlignment="1">
      <alignment horizontal="center" vertical="top"/>
    </xf>
    <xf numFmtId="1" fontId="6" fillId="0" borderId="2" xfId="2" quotePrefix="1" applyNumberFormat="1" applyFont="1" applyFill="1" applyBorder="1" applyAlignment="1">
      <alignment horizontal="center" vertical="top" wrapText="1"/>
    </xf>
    <xf numFmtId="2" fontId="6" fillId="0" borderId="2" xfId="2" quotePrefix="1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/>
    </xf>
    <xf numFmtId="3" fontId="18" fillId="0" borderId="2" xfId="0" applyNumberFormat="1" applyFont="1" applyBorder="1" applyAlignment="1">
      <alignment horizontal="center" vertical="top"/>
    </xf>
    <xf numFmtId="1" fontId="17" fillId="0" borderId="2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66" fontId="6" fillId="0" borderId="11" xfId="1" quotePrefix="1" applyNumberFormat="1" applyFont="1" applyFill="1" applyBorder="1" applyAlignment="1">
      <alignment vertical="top"/>
    </xf>
    <xf numFmtId="166" fontId="17" fillId="0" borderId="6" xfId="1" quotePrefix="1" applyNumberFormat="1" applyFont="1" applyFill="1" applyBorder="1" applyAlignment="1">
      <alignment vertical="top"/>
    </xf>
    <xf numFmtId="166" fontId="17" fillId="0" borderId="11" xfId="1" quotePrefix="1" applyNumberFormat="1" applyFont="1" applyFill="1" applyBorder="1" applyAlignment="1">
      <alignment vertical="top"/>
    </xf>
    <xf numFmtId="166" fontId="17" fillId="0" borderId="15" xfId="1" quotePrefix="1" applyNumberFormat="1" applyFont="1" applyFill="1" applyBorder="1" applyAlignment="1">
      <alignment vertical="top"/>
    </xf>
    <xf numFmtId="0" fontId="18" fillId="6" borderId="2" xfId="0" applyFont="1" applyFill="1" applyBorder="1" applyAlignment="1">
      <alignment horizontal="left" vertical="top" wrapText="1"/>
    </xf>
    <xf numFmtId="0" fontId="18" fillId="6" borderId="15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3" fontId="8" fillId="0" borderId="6" xfId="2" applyNumberFormat="1" applyFont="1" applyFill="1" applyBorder="1" applyAlignment="1">
      <alignment horizontal="center" vertical="top"/>
    </xf>
    <xf numFmtId="0" fontId="6" fillId="0" borderId="15" xfId="0" applyFont="1" applyBorder="1" applyAlignment="1">
      <alignment horizontal="left" vertical="top" wrapText="1"/>
    </xf>
    <xf numFmtId="0" fontId="8" fillId="4" borderId="12" xfId="0" quotePrefix="1" applyFont="1" applyFill="1" applyBorder="1" applyAlignment="1">
      <alignment horizontal="right"/>
    </xf>
    <xf numFmtId="0" fontId="8" fillId="4" borderId="13" xfId="0" quotePrefix="1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164" fontId="14" fillId="0" borderId="0" xfId="2" applyFont="1" applyAlignment="1">
      <alignment vertical="top" wrapText="1"/>
    </xf>
    <xf numFmtId="4" fontId="6" fillId="0" borderId="2" xfId="0" quotePrefix="1" applyNumberFormat="1" applyFont="1" applyBorder="1" applyAlignment="1">
      <alignment horizontal="center" vertical="top" wrapText="1"/>
    </xf>
    <xf numFmtId="165" fontId="6" fillId="0" borderId="6" xfId="1" quotePrefix="1" applyFont="1" applyFill="1" applyBorder="1" applyAlignment="1">
      <alignment vertical="top"/>
    </xf>
    <xf numFmtId="165" fontId="6" fillId="0" borderId="6" xfId="1" quotePrefix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vertical="top" wrapText="1"/>
    </xf>
    <xf numFmtId="165" fontId="0" fillId="0" borderId="0" xfId="1" applyFont="1"/>
    <xf numFmtId="166" fontId="4" fillId="0" borderId="0" xfId="0" applyNumberFormat="1" applyFont="1"/>
    <xf numFmtId="165" fontId="4" fillId="0" borderId="0" xfId="1" applyFont="1"/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4" borderId="12" xfId="0" quotePrefix="1" applyFont="1" applyFill="1" applyBorder="1" applyAlignment="1">
      <alignment horizontal="right"/>
    </xf>
    <xf numFmtId="0" fontId="8" fillId="4" borderId="13" xfId="0" quotePrefix="1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</cellXfs>
  <cellStyles count="9">
    <cellStyle name="Comma" xfId="1" builtinId="3"/>
    <cellStyle name="Comma [0]" xfId="2" builtinId="6"/>
    <cellStyle name="Comma [0] 2 2" xfId="8" xr:uid="{00000000-0005-0000-0000-000002000000}"/>
    <cellStyle name="Comma [0] 8" xfId="5" xr:uid="{00000000-0005-0000-0000-000003000000}"/>
    <cellStyle name="Comma 10" xfId="7" xr:uid="{00000000-0005-0000-0000-000004000000}"/>
    <cellStyle name="Normal" xfId="0" builtinId="0"/>
    <cellStyle name="Normal 2" xfId="3" xr:uid="{00000000-0005-0000-0000-000006000000}"/>
    <cellStyle name="Normal 2 3" xfId="6" xr:uid="{00000000-0005-0000-0000-000007000000}"/>
    <cellStyle name="Normal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10%20PRO/Downloads/Tabel%20renja%20perubaha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C29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CER" id="{8091B257-1FC5-4815-B027-A73325FA3B22}" userId="ACE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6" dT="2022-12-29T13:42:50.16" personId="{8091B257-1FC5-4815-B027-A73325FA3B22}" id="{E00355D3-BC67-4F9A-A841-28A960BC5F7F}">
    <text>Lapkin tw 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120"/>
  <sheetViews>
    <sheetView tabSelected="1" showRuler="0" view="pageBreakPreview" topLeftCell="A7" zoomScale="50" zoomScaleNormal="40" zoomScaleSheetLayoutView="50" zoomScalePageLayoutView="55" workbookViewId="0">
      <pane ySplit="6" topLeftCell="A103" activePane="bottomLeft" state="frozen"/>
      <selection activeCell="A7" sqref="A7"/>
      <selection pane="bottomLeft" activeCell="J113" sqref="J113"/>
    </sheetView>
  </sheetViews>
  <sheetFormatPr defaultColWidth="9.1796875" defaultRowHeight="14" x14ac:dyDescent="0.3"/>
  <cols>
    <col min="1" max="1" width="6.453125" style="2" customWidth="1"/>
    <col min="2" max="2" width="21.54296875" style="2" customWidth="1"/>
    <col min="3" max="3" width="24.453125" style="2" customWidth="1"/>
    <col min="4" max="4" width="22.26953125" style="2" customWidth="1"/>
    <col min="5" max="5" width="19.7265625" style="2" hidden="1" customWidth="1"/>
    <col min="6" max="6" width="7.7265625" style="2" hidden="1" customWidth="1"/>
    <col min="7" max="7" width="28" style="2" hidden="1" customWidth="1"/>
    <col min="8" max="8" width="20.7265625" style="2" hidden="1" customWidth="1"/>
    <col min="9" max="9" width="25.1796875" style="2" hidden="1" customWidth="1"/>
    <col min="10" max="10" width="18.7265625" style="2" bestFit="1" customWidth="1"/>
    <col min="11" max="11" width="27.54296875" style="2" bestFit="1" customWidth="1"/>
    <col min="12" max="12" width="18.81640625" style="2" customWidth="1"/>
    <col min="13" max="13" width="25.54296875" style="2" customWidth="1"/>
    <col min="14" max="14" width="18.54296875" style="2" bestFit="1" customWidth="1"/>
    <col min="15" max="15" width="25.54296875" style="2" bestFit="1" customWidth="1"/>
    <col min="16" max="16" width="18.54296875" style="2" customWidth="1"/>
    <col min="17" max="17" width="27.7265625" style="2" customWidth="1"/>
    <col min="18" max="18" width="9" style="2" customWidth="1"/>
    <col min="19" max="19" width="18.453125" style="2" bestFit="1" customWidth="1"/>
    <col min="20" max="20" width="17.1796875" style="2" customWidth="1"/>
    <col min="21" max="21" width="11.26953125" style="2" bestFit="1" customWidth="1"/>
    <col min="22" max="22" width="5.7265625" style="4" customWidth="1"/>
    <col min="23" max="23" width="25.81640625" style="2" bestFit="1" customWidth="1"/>
    <col min="24" max="24" width="19.1796875" style="2" bestFit="1" customWidth="1"/>
    <col min="25" max="25" width="5.7265625" style="4" customWidth="1"/>
    <col min="26" max="26" width="18.7265625" style="2" bestFit="1" customWidth="1"/>
    <col min="27" max="27" width="19.453125" style="2" customWidth="1"/>
    <col min="28" max="28" width="11.453125" style="2" customWidth="1"/>
    <col min="29" max="29" width="5.7265625" style="4" customWidth="1"/>
    <col min="30" max="30" width="10" style="2" customWidth="1"/>
    <col min="31" max="31" width="15" style="2" customWidth="1"/>
    <col min="32" max="32" width="9.1796875" style="2"/>
    <col min="33" max="37" width="19.54296875" style="2" customWidth="1"/>
    <col min="38" max="16384" width="9.1796875" style="2"/>
  </cols>
  <sheetData>
    <row r="1" spans="1:37" ht="23" x14ac:dyDescent="0.5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1"/>
    </row>
    <row r="2" spans="1:37" ht="23" x14ac:dyDescent="0.5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3"/>
    </row>
    <row r="3" spans="1:37" ht="23" x14ac:dyDescent="0.5">
      <c r="A3" s="208" t="s">
        <v>53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3"/>
    </row>
    <row r="4" spans="1:37" ht="23" x14ac:dyDescent="0.45">
      <c r="A4" s="209" t="s">
        <v>242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1"/>
    </row>
    <row r="5" spans="1:37" ht="18" x14ac:dyDescent="0.3">
      <c r="A5" s="210" t="s">
        <v>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37" ht="18" x14ac:dyDescent="0.4">
      <c r="A6" s="207" t="s">
        <v>53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</row>
    <row r="7" spans="1:37" ht="81" customHeight="1" x14ac:dyDescent="0.3">
      <c r="A7" s="211" t="s">
        <v>3</v>
      </c>
      <c r="B7" s="211" t="s">
        <v>4</v>
      </c>
      <c r="C7" s="212" t="s">
        <v>161</v>
      </c>
      <c r="D7" s="212" t="s">
        <v>5</v>
      </c>
      <c r="E7" s="199" t="s">
        <v>6</v>
      </c>
      <c r="F7" s="200"/>
      <c r="G7" s="203"/>
      <c r="H7" s="199" t="s">
        <v>166</v>
      </c>
      <c r="I7" s="203"/>
      <c r="J7" s="199" t="s">
        <v>163</v>
      </c>
      <c r="K7" s="200"/>
      <c r="L7" s="199" t="s">
        <v>7</v>
      </c>
      <c r="M7" s="200"/>
      <c r="N7" s="200"/>
      <c r="O7" s="200"/>
      <c r="P7" s="200"/>
      <c r="Q7" s="200"/>
      <c r="R7" s="200"/>
      <c r="S7" s="203"/>
      <c r="T7" s="199" t="s">
        <v>46</v>
      </c>
      <c r="U7" s="200"/>
      <c r="V7" s="200"/>
      <c r="W7" s="200"/>
      <c r="X7" s="200"/>
      <c r="Y7" s="203"/>
      <c r="Z7" s="199" t="s">
        <v>164</v>
      </c>
      <c r="AA7" s="203"/>
      <c r="AB7" s="199" t="s">
        <v>165</v>
      </c>
      <c r="AC7" s="200"/>
      <c r="AD7" s="200"/>
      <c r="AE7" s="192" t="s">
        <v>8</v>
      </c>
      <c r="AG7" s="4"/>
      <c r="AH7" s="4"/>
      <c r="AI7" s="4"/>
      <c r="AJ7" s="4"/>
      <c r="AK7" s="4"/>
    </row>
    <row r="8" spans="1:37" ht="18" customHeight="1" x14ac:dyDescent="0.3">
      <c r="A8" s="211"/>
      <c r="B8" s="211"/>
      <c r="C8" s="212"/>
      <c r="D8" s="212"/>
      <c r="E8" s="205"/>
      <c r="F8" s="213"/>
      <c r="G8" s="206"/>
      <c r="H8" s="205"/>
      <c r="I8" s="206"/>
      <c r="J8" s="201"/>
      <c r="K8" s="202"/>
      <c r="L8" s="201"/>
      <c r="M8" s="202"/>
      <c r="N8" s="202"/>
      <c r="O8" s="202"/>
      <c r="P8" s="202"/>
      <c r="Q8" s="202"/>
      <c r="R8" s="202"/>
      <c r="S8" s="204"/>
      <c r="T8" s="201"/>
      <c r="U8" s="202"/>
      <c r="V8" s="202"/>
      <c r="W8" s="202"/>
      <c r="X8" s="202"/>
      <c r="Y8" s="204"/>
      <c r="Z8" s="201"/>
      <c r="AA8" s="204"/>
      <c r="AB8" s="201"/>
      <c r="AC8" s="202"/>
      <c r="AD8" s="202"/>
      <c r="AE8" s="193"/>
    </row>
    <row r="9" spans="1:37" ht="15.75" customHeight="1" x14ac:dyDescent="0.3">
      <c r="A9" s="211"/>
      <c r="B9" s="211"/>
      <c r="C9" s="212"/>
      <c r="D9" s="212"/>
      <c r="E9" s="201"/>
      <c r="F9" s="202"/>
      <c r="G9" s="204"/>
      <c r="H9" s="201"/>
      <c r="I9" s="204"/>
      <c r="J9" s="194">
        <v>2022</v>
      </c>
      <c r="K9" s="195"/>
      <c r="L9" s="196" t="s">
        <v>9</v>
      </c>
      <c r="M9" s="197"/>
      <c r="N9" s="196" t="s">
        <v>10</v>
      </c>
      <c r="O9" s="197"/>
      <c r="P9" s="196" t="s">
        <v>11</v>
      </c>
      <c r="Q9" s="197"/>
      <c r="R9" s="196" t="s">
        <v>12</v>
      </c>
      <c r="S9" s="197"/>
      <c r="T9" s="196">
        <v>2022</v>
      </c>
      <c r="U9" s="198"/>
      <c r="V9" s="198"/>
      <c r="W9" s="198"/>
      <c r="X9" s="198"/>
      <c r="Y9" s="197"/>
      <c r="Z9" s="196">
        <v>2022</v>
      </c>
      <c r="AA9" s="197"/>
      <c r="AB9" s="196">
        <v>2022</v>
      </c>
      <c r="AC9" s="198"/>
      <c r="AD9" s="197"/>
      <c r="AE9" s="5"/>
    </row>
    <row r="10" spans="1:37" s="7" customFormat="1" ht="15.5" x14ac:dyDescent="0.35">
      <c r="A10" s="175">
        <v>1</v>
      </c>
      <c r="B10" s="175">
        <v>2</v>
      </c>
      <c r="C10" s="175">
        <v>3</v>
      </c>
      <c r="D10" s="175">
        <v>4</v>
      </c>
      <c r="E10" s="179">
        <v>5</v>
      </c>
      <c r="F10" s="180"/>
      <c r="G10" s="181"/>
      <c r="H10" s="179">
        <v>6</v>
      </c>
      <c r="I10" s="181"/>
      <c r="J10" s="190">
        <v>7</v>
      </c>
      <c r="K10" s="191"/>
      <c r="L10" s="190">
        <v>8</v>
      </c>
      <c r="M10" s="191"/>
      <c r="N10" s="190">
        <v>9</v>
      </c>
      <c r="O10" s="191"/>
      <c r="P10" s="190">
        <v>10</v>
      </c>
      <c r="Q10" s="191"/>
      <c r="R10" s="190">
        <v>11</v>
      </c>
      <c r="S10" s="191"/>
      <c r="T10" s="182">
        <v>12</v>
      </c>
      <c r="U10" s="189"/>
      <c r="V10" s="189"/>
      <c r="W10" s="189"/>
      <c r="X10" s="189"/>
      <c r="Y10" s="183"/>
      <c r="Z10" s="182">
        <v>13</v>
      </c>
      <c r="AA10" s="183"/>
      <c r="AB10" s="182">
        <v>14</v>
      </c>
      <c r="AC10" s="189"/>
      <c r="AD10" s="183"/>
      <c r="AE10" s="6">
        <v>15</v>
      </c>
    </row>
    <row r="11" spans="1:37" s="7" customFormat="1" ht="77.5" x14ac:dyDescent="0.3">
      <c r="A11" s="177"/>
      <c r="B11" s="177"/>
      <c r="C11" s="177"/>
      <c r="D11" s="177"/>
      <c r="E11" s="173" t="s">
        <v>13</v>
      </c>
      <c r="F11" s="184"/>
      <c r="G11" s="176" t="s">
        <v>14</v>
      </c>
      <c r="H11" s="173" t="s">
        <v>13</v>
      </c>
      <c r="I11" s="176" t="s">
        <v>14</v>
      </c>
      <c r="J11" s="173" t="s">
        <v>13</v>
      </c>
      <c r="K11" s="175" t="s">
        <v>14</v>
      </c>
      <c r="L11" s="173" t="s">
        <v>13</v>
      </c>
      <c r="M11" s="175" t="s">
        <v>14</v>
      </c>
      <c r="N11" s="173" t="s">
        <v>13</v>
      </c>
      <c r="O11" s="175" t="s">
        <v>14</v>
      </c>
      <c r="P11" s="173" t="s">
        <v>13</v>
      </c>
      <c r="Q11" s="175" t="s">
        <v>14</v>
      </c>
      <c r="R11" s="173" t="s">
        <v>13</v>
      </c>
      <c r="S11" s="175" t="s">
        <v>14</v>
      </c>
      <c r="T11" s="156" t="s">
        <v>15</v>
      </c>
      <c r="U11" s="179" t="s">
        <v>47</v>
      </c>
      <c r="V11" s="181"/>
      <c r="W11" s="8" t="s">
        <v>16</v>
      </c>
      <c r="X11" s="179" t="s">
        <v>48</v>
      </c>
      <c r="Y11" s="181"/>
      <c r="Z11" s="156" t="s">
        <v>17</v>
      </c>
      <c r="AA11" s="8" t="s">
        <v>18</v>
      </c>
      <c r="AB11" s="179" t="s">
        <v>19</v>
      </c>
      <c r="AC11" s="181"/>
      <c r="AD11" s="8" t="s">
        <v>20</v>
      </c>
      <c r="AE11" s="9"/>
    </row>
    <row r="12" spans="1:37" s="7" customFormat="1" ht="15.5" x14ac:dyDescent="0.3">
      <c r="A12" s="176"/>
      <c r="B12" s="176"/>
      <c r="C12" s="176"/>
      <c r="D12" s="176"/>
      <c r="E12" s="174"/>
      <c r="F12" s="178"/>
      <c r="G12" s="185"/>
      <c r="H12" s="174"/>
      <c r="I12" s="185"/>
      <c r="J12" s="174"/>
      <c r="K12" s="176"/>
      <c r="L12" s="174"/>
      <c r="M12" s="176"/>
      <c r="N12" s="174"/>
      <c r="O12" s="176"/>
      <c r="P12" s="174"/>
      <c r="Q12" s="176"/>
      <c r="R12" s="174"/>
      <c r="S12" s="176"/>
      <c r="T12" s="155" t="s">
        <v>13</v>
      </c>
      <c r="U12" s="174" t="s">
        <v>13</v>
      </c>
      <c r="V12" s="178"/>
      <c r="W12" s="10" t="s">
        <v>14</v>
      </c>
      <c r="X12" s="174" t="s">
        <v>14</v>
      </c>
      <c r="Y12" s="178"/>
      <c r="Z12" s="155" t="s">
        <v>13</v>
      </c>
      <c r="AA12" s="10" t="s">
        <v>14</v>
      </c>
      <c r="AB12" s="174" t="s">
        <v>13</v>
      </c>
      <c r="AC12" s="178"/>
      <c r="AD12" s="10" t="s">
        <v>14</v>
      </c>
      <c r="AE12" s="63"/>
    </row>
    <row r="13" spans="1:37" ht="93" x14ac:dyDescent="0.3">
      <c r="A13" s="42">
        <v>1</v>
      </c>
      <c r="B13" s="13" t="s">
        <v>21</v>
      </c>
      <c r="C13" s="43" t="s">
        <v>123</v>
      </c>
      <c r="D13" s="14" t="s">
        <v>120</v>
      </c>
      <c r="E13" s="113">
        <v>100</v>
      </c>
      <c r="F13" s="41" t="s">
        <v>43</v>
      </c>
      <c r="G13" s="59">
        <f>G14+G17+G24+G32+G36</f>
        <v>48315174853.490005</v>
      </c>
      <c r="H13" s="113">
        <v>100</v>
      </c>
      <c r="I13" s="59">
        <f>I14+I17+I22+I24+I32+I36</f>
        <v>21488528278</v>
      </c>
      <c r="J13" s="40">
        <v>100</v>
      </c>
      <c r="K13" s="59">
        <f>K14+K17+K22+K24+K32+K36</f>
        <v>10300654136</v>
      </c>
      <c r="L13" s="40">
        <v>100</v>
      </c>
      <c r="M13" s="59">
        <f>M14+M17+M24+M32+M36</f>
        <v>1764116259</v>
      </c>
      <c r="N13" s="40">
        <v>100</v>
      </c>
      <c r="O13" s="59">
        <f>O14+O17+O24+O32+O36</f>
        <v>2151859730</v>
      </c>
      <c r="P13" s="40">
        <v>100</v>
      </c>
      <c r="Q13" s="59">
        <f>Q14+Q17+Q24+Q32+Q36</f>
        <v>2085565272</v>
      </c>
      <c r="R13" s="148">
        <v>100</v>
      </c>
      <c r="S13" s="59">
        <f>S14+S17+S24+S32+S36</f>
        <v>2346959201</v>
      </c>
      <c r="T13" s="52">
        <f>AVERAGE(L13,N13,P13,R13)</f>
        <v>100</v>
      </c>
      <c r="U13" s="49">
        <f t="shared" ref="U13:U30" si="0">T13/J13*100</f>
        <v>100</v>
      </c>
      <c r="V13" s="40" t="s">
        <v>43</v>
      </c>
      <c r="W13" s="60">
        <f>SUM(M13,O13,Q13,S13)</f>
        <v>8348500462</v>
      </c>
      <c r="X13" s="61">
        <f t="shared" ref="X13:X30" si="1">W13/K13*100</f>
        <v>81.048255302764005</v>
      </c>
      <c r="Y13" s="40" t="s">
        <v>43</v>
      </c>
      <c r="Z13" s="49">
        <f t="shared" ref="Z13:Z44" si="2">SUM(H13,T13)</f>
        <v>200</v>
      </c>
      <c r="AA13" s="60">
        <f t="shared" ref="AA13:AA44" si="3">SUM(I13,W13)</f>
        <v>29837028740</v>
      </c>
      <c r="AB13" s="49"/>
      <c r="AC13" s="51" t="s">
        <v>43</v>
      </c>
      <c r="AD13" s="61"/>
      <c r="AE13" s="20" t="s">
        <v>55</v>
      </c>
      <c r="AH13" s="21">
        <f>M13+O13+Q13+S13</f>
        <v>8348500462</v>
      </c>
    </row>
    <row r="14" spans="1:37" s="68" customFormat="1" ht="62" x14ac:dyDescent="0.3">
      <c r="A14" s="42">
        <v>2</v>
      </c>
      <c r="B14" s="43" t="s">
        <v>22</v>
      </c>
      <c r="C14" s="91" t="s">
        <v>56</v>
      </c>
      <c r="D14" s="91" t="s">
        <v>118</v>
      </c>
      <c r="E14" s="40">
        <v>45</v>
      </c>
      <c r="F14" s="41" t="s">
        <v>124</v>
      </c>
      <c r="G14" s="37">
        <f>SUM(G15:G16)</f>
        <v>38999400</v>
      </c>
      <c r="H14" s="40">
        <v>15</v>
      </c>
      <c r="I14" s="37">
        <f t="shared" ref="I14:O14" si="4">SUM(I15:I16)</f>
        <v>8962000</v>
      </c>
      <c r="J14" s="40">
        <f t="shared" si="4"/>
        <v>15</v>
      </c>
      <c r="K14" s="37">
        <f t="shared" si="4"/>
        <v>7199850</v>
      </c>
      <c r="L14" s="40">
        <f t="shared" si="4"/>
        <v>8</v>
      </c>
      <c r="M14" s="37">
        <f t="shared" si="4"/>
        <v>900000</v>
      </c>
      <c r="N14" s="40">
        <f t="shared" si="4"/>
        <v>1</v>
      </c>
      <c r="O14" s="37">
        <f t="shared" si="4"/>
        <v>0</v>
      </c>
      <c r="P14" s="40">
        <f t="shared" ref="P14:S14" si="5">SUM(P15:P16)</f>
        <v>2</v>
      </c>
      <c r="Q14" s="37">
        <f t="shared" si="5"/>
        <v>2549700</v>
      </c>
      <c r="R14" s="37">
        <f t="shared" si="5"/>
        <v>4</v>
      </c>
      <c r="S14" s="37">
        <f t="shared" si="5"/>
        <v>3725150</v>
      </c>
      <c r="T14" s="52">
        <f t="shared" ref="T14:T21" si="6">SUM(L14,N14,P14,R14)</f>
        <v>15</v>
      </c>
      <c r="U14" s="49">
        <f t="shared" si="0"/>
        <v>100</v>
      </c>
      <c r="V14" s="51" t="s">
        <v>43</v>
      </c>
      <c r="W14" s="50">
        <f t="shared" ref="W14:W29" si="7">SUM(M14,O14,Q14,S14)</f>
        <v>7174850</v>
      </c>
      <c r="X14" s="49">
        <f t="shared" si="1"/>
        <v>99.652770543830769</v>
      </c>
      <c r="Y14" s="51" t="s">
        <v>43</v>
      </c>
      <c r="Z14" s="52">
        <f t="shared" si="2"/>
        <v>30</v>
      </c>
      <c r="AA14" s="50">
        <f t="shared" si="3"/>
        <v>16136850</v>
      </c>
      <c r="AB14" s="49"/>
      <c r="AC14" s="51" t="s">
        <v>43</v>
      </c>
      <c r="AD14" s="49"/>
      <c r="AE14" s="70"/>
      <c r="AH14" s="69"/>
    </row>
    <row r="15" spans="1:37" ht="57" customHeight="1" x14ac:dyDescent="0.3">
      <c r="A15" s="12"/>
      <c r="B15" s="13"/>
      <c r="C15" s="22" t="s">
        <v>57</v>
      </c>
      <c r="D15" s="25" t="s">
        <v>176</v>
      </c>
      <c r="E15" s="15">
        <v>15</v>
      </c>
      <c r="F15" s="16" t="s">
        <v>42</v>
      </c>
      <c r="G15" s="114">
        <v>22499700</v>
      </c>
      <c r="H15" s="48">
        <v>15</v>
      </c>
      <c r="I15" s="35">
        <v>7499800</v>
      </c>
      <c r="J15" s="15">
        <v>10</v>
      </c>
      <c r="K15" s="19">
        <v>5999800</v>
      </c>
      <c r="L15" s="15">
        <v>6</v>
      </c>
      <c r="M15" s="19">
        <v>900000</v>
      </c>
      <c r="N15" s="15">
        <v>0</v>
      </c>
      <c r="O15" s="19">
        <v>0</v>
      </c>
      <c r="P15" s="15">
        <v>1</v>
      </c>
      <c r="Q15" s="19">
        <v>2349850</v>
      </c>
      <c r="R15" s="15">
        <v>3</v>
      </c>
      <c r="S15" s="19">
        <v>2724950</v>
      </c>
      <c r="T15" s="48">
        <f t="shared" si="6"/>
        <v>10</v>
      </c>
      <c r="U15" s="47">
        <f t="shared" si="0"/>
        <v>100</v>
      </c>
      <c r="V15" s="30" t="s">
        <v>43</v>
      </c>
      <c r="W15" s="35">
        <f t="shared" si="7"/>
        <v>5974800</v>
      </c>
      <c r="X15" s="47">
        <f>W15/K15*100</f>
        <v>99.583319443981466</v>
      </c>
      <c r="Y15" s="30" t="s">
        <v>43</v>
      </c>
      <c r="Z15" s="48">
        <f t="shared" si="2"/>
        <v>25</v>
      </c>
      <c r="AA15" s="35">
        <f t="shared" si="3"/>
        <v>13474600</v>
      </c>
      <c r="AB15" s="47"/>
      <c r="AC15" s="30" t="s">
        <v>43</v>
      </c>
      <c r="AD15" s="47"/>
      <c r="AE15" s="11"/>
      <c r="AH15" s="21"/>
    </row>
    <row r="16" spans="1:37" ht="46.5" x14ac:dyDescent="0.3">
      <c r="A16" s="12"/>
      <c r="B16" s="13"/>
      <c r="C16" s="22" t="s">
        <v>58</v>
      </c>
      <c r="D16" s="25" t="s">
        <v>177</v>
      </c>
      <c r="E16" s="15">
        <v>30</v>
      </c>
      <c r="F16" s="16" t="s">
        <v>79</v>
      </c>
      <c r="G16" s="114">
        <v>16499700</v>
      </c>
      <c r="H16" s="15"/>
      <c r="I16" s="24">
        <v>1462200</v>
      </c>
      <c r="J16" s="15">
        <v>5</v>
      </c>
      <c r="K16" s="24">
        <v>1200050</v>
      </c>
      <c r="L16" s="15">
        <v>2</v>
      </c>
      <c r="M16" s="24">
        <v>0</v>
      </c>
      <c r="N16" s="15">
        <v>1</v>
      </c>
      <c r="O16" s="24">
        <v>0</v>
      </c>
      <c r="P16" s="15">
        <v>1</v>
      </c>
      <c r="Q16" s="24">
        <v>199850</v>
      </c>
      <c r="R16" s="15">
        <v>1</v>
      </c>
      <c r="S16" s="24">
        <v>1000200</v>
      </c>
      <c r="T16" s="48">
        <f t="shared" si="6"/>
        <v>5</v>
      </c>
      <c r="U16" s="47">
        <f t="shared" si="0"/>
        <v>100</v>
      </c>
      <c r="V16" s="30" t="s">
        <v>43</v>
      </c>
      <c r="W16" s="35">
        <f t="shared" si="7"/>
        <v>1200050</v>
      </c>
      <c r="X16" s="47">
        <f t="shared" si="1"/>
        <v>100</v>
      </c>
      <c r="Y16" s="30" t="s">
        <v>43</v>
      </c>
      <c r="Z16" s="48">
        <f t="shared" si="2"/>
        <v>5</v>
      </c>
      <c r="AA16" s="35">
        <f t="shared" si="3"/>
        <v>2662250</v>
      </c>
      <c r="AB16" s="47"/>
      <c r="AC16" s="30" t="s">
        <v>43</v>
      </c>
      <c r="AD16" s="47"/>
      <c r="AE16" s="11"/>
      <c r="AH16" s="21"/>
    </row>
    <row r="17" spans="1:34" s="102" customFormat="1" ht="62" x14ac:dyDescent="0.3">
      <c r="A17" s="76"/>
      <c r="B17" s="77"/>
      <c r="C17" s="92" t="s">
        <v>59</v>
      </c>
      <c r="D17" s="91" t="s">
        <v>119</v>
      </c>
      <c r="E17" s="93">
        <v>100</v>
      </c>
      <c r="F17" s="94" t="s">
        <v>43</v>
      </c>
      <c r="G17" s="96">
        <f>SUM(G18:G21)</f>
        <v>42922555930.490005</v>
      </c>
      <c r="H17" s="93">
        <v>100</v>
      </c>
      <c r="I17" s="96">
        <f>SUM(I18:I21)</f>
        <v>19433927260</v>
      </c>
      <c r="J17" s="95">
        <f>SUM(J19:J21)</f>
        <v>14</v>
      </c>
      <c r="K17" s="96">
        <f>SUM(K18:K21)</f>
        <v>8845924732</v>
      </c>
      <c r="L17" s="95">
        <f>SUM(L19:L21)</f>
        <v>4</v>
      </c>
      <c r="M17" s="96">
        <f>SUM(M18:M21)</f>
        <v>1637458505</v>
      </c>
      <c r="N17" s="95">
        <f>SUM(N19:N21)</f>
        <v>4</v>
      </c>
      <c r="O17" s="96">
        <f>SUM(O18:O21)</f>
        <v>1958667277</v>
      </c>
      <c r="P17" s="95">
        <f>SUM(P19:P21)</f>
        <v>3</v>
      </c>
      <c r="Q17" s="96">
        <f>SUM(Q18:Q21)</f>
        <v>1847308189</v>
      </c>
      <c r="R17" s="95">
        <v>3</v>
      </c>
      <c r="S17" s="96">
        <f>SUM(S18:S21)</f>
        <v>1670877531</v>
      </c>
      <c r="T17" s="97">
        <f t="shared" si="6"/>
        <v>14</v>
      </c>
      <c r="U17" s="98">
        <f t="shared" si="0"/>
        <v>100</v>
      </c>
      <c r="V17" s="99" t="s">
        <v>43</v>
      </c>
      <c r="W17" s="100">
        <f t="shared" si="7"/>
        <v>7114311502</v>
      </c>
      <c r="X17" s="98">
        <f t="shared" si="1"/>
        <v>80.424734751179656</v>
      </c>
      <c r="Y17" s="99" t="s">
        <v>43</v>
      </c>
      <c r="Z17" s="97">
        <f t="shared" si="2"/>
        <v>114</v>
      </c>
      <c r="AA17" s="100">
        <f t="shared" si="3"/>
        <v>26548238762</v>
      </c>
      <c r="AB17" s="98"/>
      <c r="AC17" s="99" t="s">
        <v>43</v>
      </c>
      <c r="AD17" s="98"/>
      <c r="AE17" s="101"/>
      <c r="AH17" s="103">
        <f>M17+O17+Q17+S17</f>
        <v>7114311502</v>
      </c>
    </row>
    <row r="18" spans="1:34" ht="58.5" customHeight="1" x14ac:dyDescent="0.3">
      <c r="A18" s="12"/>
      <c r="B18" s="13"/>
      <c r="C18" s="22" t="s">
        <v>60</v>
      </c>
      <c r="D18" s="22" t="s">
        <v>178</v>
      </c>
      <c r="E18" s="15">
        <v>153</v>
      </c>
      <c r="F18" s="23" t="s">
        <v>44</v>
      </c>
      <c r="G18" s="115">
        <v>42907556630.490005</v>
      </c>
      <c r="H18" s="15">
        <v>51</v>
      </c>
      <c r="I18" s="18">
        <v>19428927260</v>
      </c>
      <c r="J18" s="38">
        <v>50</v>
      </c>
      <c r="K18" s="19">
        <v>8841914532</v>
      </c>
      <c r="L18" s="38">
        <v>50</v>
      </c>
      <c r="M18" s="19">
        <v>1636134005</v>
      </c>
      <c r="N18" s="38">
        <v>50</v>
      </c>
      <c r="O18" s="19">
        <v>1958667277</v>
      </c>
      <c r="P18" s="38">
        <v>50</v>
      </c>
      <c r="Q18" s="19">
        <v>1845745989</v>
      </c>
      <c r="R18" s="38">
        <v>50</v>
      </c>
      <c r="S18" s="19">
        <v>1670483331</v>
      </c>
      <c r="T18" s="84">
        <f>AVERAGE(L18,N18,P18,R18)</f>
        <v>50</v>
      </c>
      <c r="U18" s="47">
        <f t="shared" si="0"/>
        <v>100</v>
      </c>
      <c r="V18" s="30" t="s">
        <v>43</v>
      </c>
      <c r="W18" s="35">
        <f t="shared" si="7"/>
        <v>7111030602</v>
      </c>
      <c r="X18" s="47">
        <f t="shared" si="1"/>
        <v>80.424104714700491</v>
      </c>
      <c r="Y18" s="30" t="s">
        <v>43</v>
      </c>
      <c r="Z18" s="48">
        <f t="shared" si="2"/>
        <v>101</v>
      </c>
      <c r="AA18" s="35">
        <f t="shared" si="3"/>
        <v>26539957862</v>
      </c>
      <c r="AB18" s="47"/>
      <c r="AC18" s="30" t="s">
        <v>43</v>
      </c>
      <c r="AD18" s="47"/>
      <c r="AE18" s="11"/>
      <c r="AH18" s="21">
        <f>M18+O18+Q18+S18</f>
        <v>7111030602</v>
      </c>
    </row>
    <row r="19" spans="1:34" ht="124" x14ac:dyDescent="0.3">
      <c r="A19" s="12"/>
      <c r="B19" s="13"/>
      <c r="C19" s="104" t="s">
        <v>61</v>
      </c>
      <c r="D19" s="25" t="s">
        <v>179</v>
      </c>
      <c r="E19" s="15">
        <v>3</v>
      </c>
      <c r="F19" s="23" t="s">
        <v>79</v>
      </c>
      <c r="G19" s="116">
        <v>5999900</v>
      </c>
      <c r="H19" s="15">
        <v>1</v>
      </c>
      <c r="I19" s="18">
        <v>2000000</v>
      </c>
      <c r="J19" s="39">
        <v>1</v>
      </c>
      <c r="K19" s="19">
        <v>1600250</v>
      </c>
      <c r="L19" s="39">
        <v>1</v>
      </c>
      <c r="M19" s="19">
        <v>1324500</v>
      </c>
      <c r="N19" s="39">
        <v>0</v>
      </c>
      <c r="O19" s="19">
        <v>0</v>
      </c>
      <c r="P19" s="39">
        <v>0</v>
      </c>
      <c r="Q19" s="19">
        <v>0</v>
      </c>
      <c r="R19" s="39">
        <v>0</v>
      </c>
      <c r="S19" s="19">
        <v>0</v>
      </c>
      <c r="T19" s="48">
        <f t="shared" si="6"/>
        <v>1</v>
      </c>
      <c r="U19" s="47">
        <f t="shared" si="0"/>
        <v>100</v>
      </c>
      <c r="V19" s="30" t="s">
        <v>43</v>
      </c>
      <c r="W19" s="35">
        <f t="shared" si="7"/>
        <v>1324500</v>
      </c>
      <c r="X19" s="47">
        <f t="shared" si="1"/>
        <v>82.768317450398371</v>
      </c>
      <c r="Y19" s="30" t="s">
        <v>43</v>
      </c>
      <c r="Z19" s="48">
        <f t="shared" si="2"/>
        <v>2</v>
      </c>
      <c r="AA19" s="35">
        <f t="shared" si="3"/>
        <v>3324500</v>
      </c>
      <c r="AB19" s="47"/>
      <c r="AC19" s="30" t="s">
        <v>43</v>
      </c>
      <c r="AD19" s="47"/>
      <c r="AE19" s="11"/>
      <c r="AH19" s="21">
        <f>M19+O19+Q19+S19</f>
        <v>1324500</v>
      </c>
    </row>
    <row r="20" spans="1:34" ht="155" x14ac:dyDescent="0.3">
      <c r="A20" s="12"/>
      <c r="B20" s="13"/>
      <c r="C20" s="22" t="s">
        <v>62</v>
      </c>
      <c r="D20" s="25" t="s">
        <v>180</v>
      </c>
      <c r="E20" s="15">
        <v>36</v>
      </c>
      <c r="F20" s="23" t="s">
        <v>79</v>
      </c>
      <c r="G20" s="116">
        <v>4499500</v>
      </c>
      <c r="H20" s="15">
        <v>12</v>
      </c>
      <c r="I20" s="18">
        <v>1500000</v>
      </c>
      <c r="J20" s="38">
        <v>12</v>
      </c>
      <c r="K20" s="19">
        <v>1199800</v>
      </c>
      <c r="L20" s="38">
        <v>3</v>
      </c>
      <c r="M20" s="19">
        <v>0</v>
      </c>
      <c r="N20" s="38">
        <v>3</v>
      </c>
      <c r="O20" s="19">
        <v>0</v>
      </c>
      <c r="P20" s="38">
        <v>3</v>
      </c>
      <c r="Q20" s="19">
        <v>427050</v>
      </c>
      <c r="R20" s="15">
        <v>3</v>
      </c>
      <c r="S20" s="19">
        <v>394200</v>
      </c>
      <c r="T20" s="48">
        <f t="shared" si="6"/>
        <v>12</v>
      </c>
      <c r="U20" s="48">
        <f t="shared" si="0"/>
        <v>100</v>
      </c>
      <c r="V20" s="30" t="s">
        <v>43</v>
      </c>
      <c r="W20" s="35">
        <f t="shared" si="7"/>
        <v>821250</v>
      </c>
      <c r="X20" s="47">
        <f t="shared" si="1"/>
        <v>68.448908151358552</v>
      </c>
      <c r="Y20" s="30" t="s">
        <v>43</v>
      </c>
      <c r="Z20" s="48">
        <f t="shared" si="2"/>
        <v>24</v>
      </c>
      <c r="AA20" s="35">
        <f t="shared" si="3"/>
        <v>2321250</v>
      </c>
      <c r="AB20" s="47"/>
      <c r="AC20" s="30" t="s">
        <v>43</v>
      </c>
      <c r="AD20" s="47"/>
      <c r="AE20" s="11"/>
      <c r="AH20" s="21">
        <f>M20+O20+Q20+S20</f>
        <v>821250</v>
      </c>
    </row>
    <row r="21" spans="1:34" ht="69.75" customHeight="1" x14ac:dyDescent="0.3">
      <c r="A21" s="12"/>
      <c r="B21" s="13"/>
      <c r="C21" s="22" t="s">
        <v>63</v>
      </c>
      <c r="D21" s="25" t="s">
        <v>181</v>
      </c>
      <c r="E21" s="15">
        <v>3</v>
      </c>
      <c r="F21" s="23" t="s">
        <v>42</v>
      </c>
      <c r="G21" s="116">
        <v>4499900</v>
      </c>
      <c r="H21" s="15">
        <v>1</v>
      </c>
      <c r="I21" s="18">
        <v>1500000</v>
      </c>
      <c r="J21" s="38">
        <v>1</v>
      </c>
      <c r="K21" s="19">
        <v>1210150</v>
      </c>
      <c r="L21" s="38">
        <v>0</v>
      </c>
      <c r="M21" s="19">
        <v>0</v>
      </c>
      <c r="N21" s="38">
        <v>1</v>
      </c>
      <c r="O21" s="19">
        <v>0</v>
      </c>
      <c r="P21" s="38">
        <v>0</v>
      </c>
      <c r="Q21" s="19">
        <v>1135150</v>
      </c>
      <c r="R21" s="15">
        <v>0</v>
      </c>
      <c r="S21" s="19">
        <v>0</v>
      </c>
      <c r="T21" s="48">
        <f t="shared" si="6"/>
        <v>1</v>
      </c>
      <c r="U21" s="47">
        <f t="shared" si="0"/>
        <v>100</v>
      </c>
      <c r="V21" s="30" t="s">
        <v>43</v>
      </c>
      <c r="W21" s="35">
        <f t="shared" si="7"/>
        <v>1135150</v>
      </c>
      <c r="X21" s="47">
        <f t="shared" si="1"/>
        <v>93.802421187456105</v>
      </c>
      <c r="Y21" s="30" t="s">
        <v>43</v>
      </c>
      <c r="Z21" s="48">
        <f t="shared" si="2"/>
        <v>2</v>
      </c>
      <c r="AA21" s="35">
        <f t="shared" si="3"/>
        <v>2635150</v>
      </c>
      <c r="AB21" s="47"/>
      <c r="AC21" s="30" t="s">
        <v>43</v>
      </c>
      <c r="AD21" s="47"/>
      <c r="AE21" s="11"/>
      <c r="AH21" s="21">
        <f>M21+O21+Q21+S21</f>
        <v>1135150</v>
      </c>
    </row>
    <row r="22" spans="1:34" s="102" customFormat="1" ht="81" customHeight="1" x14ac:dyDescent="0.3">
      <c r="A22" s="76"/>
      <c r="B22" s="77"/>
      <c r="C22" s="77" t="s">
        <v>168</v>
      </c>
      <c r="D22" s="138" t="s">
        <v>248</v>
      </c>
      <c r="E22" s="93">
        <v>100</v>
      </c>
      <c r="F22" s="105" t="s">
        <v>43</v>
      </c>
      <c r="G22" s="96">
        <f>SUM(G23)</f>
        <v>0</v>
      </c>
      <c r="H22" s="93"/>
      <c r="I22" s="96"/>
      <c r="J22" s="95">
        <v>100</v>
      </c>
      <c r="K22" s="96">
        <f>SUM(K23)</f>
        <v>10536500</v>
      </c>
      <c r="L22" s="95">
        <v>0</v>
      </c>
      <c r="M22" s="96">
        <f>SUM(M23)</f>
        <v>0</v>
      </c>
      <c r="N22" s="95">
        <f>N23</f>
        <v>0</v>
      </c>
      <c r="O22" s="96">
        <f>SUM(O23)</f>
        <v>0</v>
      </c>
      <c r="P22" s="95">
        <f>P23</f>
        <v>0</v>
      </c>
      <c r="Q22" s="96">
        <f>SUM(Q23)</f>
        <v>0</v>
      </c>
      <c r="R22" s="93">
        <v>72</v>
      </c>
      <c r="S22" s="96">
        <f>SUM(S23)</f>
        <v>5800000</v>
      </c>
      <c r="T22" s="97">
        <f>AVERAGE(L22,N22,P22,R22)</f>
        <v>18</v>
      </c>
      <c r="U22" s="98">
        <f t="shared" si="0"/>
        <v>18</v>
      </c>
      <c r="V22" s="99" t="s">
        <v>43</v>
      </c>
      <c r="W22" s="100">
        <f t="shared" si="7"/>
        <v>5800000</v>
      </c>
      <c r="X22" s="98">
        <f t="shared" si="1"/>
        <v>55.046742276847148</v>
      </c>
      <c r="Y22" s="99" t="s">
        <v>43</v>
      </c>
      <c r="Z22" s="97">
        <f t="shared" si="2"/>
        <v>18</v>
      </c>
      <c r="AA22" s="100">
        <f t="shared" si="3"/>
        <v>5800000</v>
      </c>
      <c r="AB22" s="98"/>
      <c r="AC22" s="99" t="s">
        <v>43</v>
      </c>
      <c r="AD22" s="98"/>
      <c r="AE22" s="106"/>
      <c r="AH22" s="103"/>
    </row>
    <row r="23" spans="1:34" ht="127.5" customHeight="1" x14ac:dyDescent="0.3">
      <c r="A23" s="12"/>
      <c r="B23" s="13"/>
      <c r="C23" s="25" t="s">
        <v>169</v>
      </c>
      <c r="D23" s="126" t="s">
        <v>182</v>
      </c>
      <c r="E23" s="15"/>
      <c r="F23" s="16" t="s">
        <v>44</v>
      </c>
      <c r="G23" s="117"/>
      <c r="H23" s="15"/>
      <c r="I23" s="19"/>
      <c r="J23" s="15">
        <v>51</v>
      </c>
      <c r="K23" s="19">
        <v>10536500</v>
      </c>
      <c r="L23" s="15">
        <v>0</v>
      </c>
      <c r="M23" s="19">
        <v>0</v>
      </c>
      <c r="N23" s="15">
        <v>0</v>
      </c>
      <c r="O23" s="19">
        <v>0</v>
      </c>
      <c r="P23" s="15">
        <v>0</v>
      </c>
      <c r="Q23" s="19">
        <v>0</v>
      </c>
      <c r="R23" s="15">
        <v>51</v>
      </c>
      <c r="S23" s="19">
        <v>5800000</v>
      </c>
      <c r="T23" s="48">
        <f>SUM(L23,N23,P23,R23)</f>
        <v>51</v>
      </c>
      <c r="U23" s="48">
        <f t="shared" si="0"/>
        <v>100</v>
      </c>
      <c r="V23" s="30" t="s">
        <v>43</v>
      </c>
      <c r="W23" s="35">
        <f t="shared" si="7"/>
        <v>5800000</v>
      </c>
      <c r="X23" s="47">
        <f t="shared" si="1"/>
        <v>55.046742276847148</v>
      </c>
      <c r="Y23" s="30" t="s">
        <v>43</v>
      </c>
      <c r="Z23" s="48">
        <f t="shared" si="2"/>
        <v>51</v>
      </c>
      <c r="AA23" s="35">
        <f t="shared" si="3"/>
        <v>5800000</v>
      </c>
      <c r="AB23" s="47"/>
      <c r="AC23" s="30" t="s">
        <v>43</v>
      </c>
      <c r="AD23" s="47"/>
      <c r="AE23" s="11"/>
      <c r="AH23" s="21"/>
    </row>
    <row r="24" spans="1:34" s="102" customFormat="1" ht="62" x14ac:dyDescent="0.3">
      <c r="A24" s="76"/>
      <c r="B24" s="77"/>
      <c r="C24" s="77" t="s">
        <v>64</v>
      </c>
      <c r="D24" s="138" t="s">
        <v>141</v>
      </c>
      <c r="E24" s="93">
        <v>100</v>
      </c>
      <c r="F24" s="105" t="s">
        <v>43</v>
      </c>
      <c r="G24" s="96">
        <f>SUM(G25:G31)</f>
        <v>2557497823</v>
      </c>
      <c r="H24" s="93">
        <v>100</v>
      </c>
      <c r="I24" s="96">
        <f>SUM(I25:I31)</f>
        <v>880926275</v>
      </c>
      <c r="J24" s="95">
        <v>100</v>
      </c>
      <c r="K24" s="96">
        <f>SUM(K25:K31)</f>
        <v>909102500</v>
      </c>
      <c r="L24" s="95">
        <v>100</v>
      </c>
      <c r="M24" s="96">
        <f>SUM(M25:M30)</f>
        <v>65200100</v>
      </c>
      <c r="N24" s="95">
        <v>100</v>
      </c>
      <c r="O24" s="96">
        <f>SUM(O25:O30)</f>
        <v>125284387</v>
      </c>
      <c r="P24" s="95">
        <v>100</v>
      </c>
      <c r="Q24" s="96">
        <f>SUM(Q25:Q30)</f>
        <v>122266414</v>
      </c>
      <c r="R24" s="95">
        <v>100</v>
      </c>
      <c r="S24" s="96">
        <f>SUM(S25:S30)</f>
        <v>518112042</v>
      </c>
      <c r="T24" s="97">
        <f>AVERAGE(L24,N24,P24,R24)</f>
        <v>100</v>
      </c>
      <c r="U24" s="97">
        <f t="shared" si="0"/>
        <v>100</v>
      </c>
      <c r="V24" s="99" t="s">
        <v>43</v>
      </c>
      <c r="W24" s="100">
        <f t="shared" si="7"/>
        <v>830862943</v>
      </c>
      <c r="X24" s="98">
        <f t="shared" si="1"/>
        <v>91.393758459579644</v>
      </c>
      <c r="Y24" s="99" t="s">
        <v>43</v>
      </c>
      <c r="Z24" s="97">
        <f t="shared" si="2"/>
        <v>200</v>
      </c>
      <c r="AA24" s="100">
        <f t="shared" si="3"/>
        <v>1711789218</v>
      </c>
      <c r="AB24" s="98"/>
      <c r="AC24" s="99" t="s">
        <v>43</v>
      </c>
      <c r="AD24" s="98"/>
      <c r="AE24" s="106"/>
      <c r="AH24" s="103"/>
    </row>
    <row r="25" spans="1:34" ht="77.5" x14ac:dyDescent="0.3">
      <c r="A25" s="12"/>
      <c r="B25" s="13"/>
      <c r="C25" s="25" t="s">
        <v>65</v>
      </c>
      <c r="D25" s="25" t="s">
        <v>184</v>
      </c>
      <c r="E25" s="15">
        <v>36</v>
      </c>
      <c r="F25" s="16" t="s">
        <v>183</v>
      </c>
      <c r="G25" s="117">
        <v>21594400</v>
      </c>
      <c r="H25" s="15">
        <v>12</v>
      </c>
      <c r="I25" s="19">
        <v>5854400</v>
      </c>
      <c r="J25" s="15">
        <v>12</v>
      </c>
      <c r="K25" s="19">
        <v>6614000</v>
      </c>
      <c r="L25" s="15">
        <v>3</v>
      </c>
      <c r="M25" s="19">
        <v>224000</v>
      </c>
      <c r="N25" s="15">
        <v>3</v>
      </c>
      <c r="O25" s="19">
        <v>1758000</v>
      </c>
      <c r="P25" s="15">
        <v>3</v>
      </c>
      <c r="Q25" s="19">
        <v>1025100</v>
      </c>
      <c r="R25" s="15">
        <v>3</v>
      </c>
      <c r="S25" s="19">
        <v>3296700</v>
      </c>
      <c r="T25" s="48">
        <f t="shared" ref="T25:T30" si="8">SUM(L25,N25,P25,R25)</f>
        <v>12</v>
      </c>
      <c r="U25" s="48">
        <f t="shared" si="0"/>
        <v>100</v>
      </c>
      <c r="V25" s="30" t="s">
        <v>43</v>
      </c>
      <c r="W25" s="35">
        <f t="shared" si="7"/>
        <v>6303800</v>
      </c>
      <c r="X25" s="47">
        <f t="shared" si="1"/>
        <v>95.309948593891747</v>
      </c>
      <c r="Y25" s="30" t="s">
        <v>43</v>
      </c>
      <c r="Z25" s="48">
        <f t="shared" si="2"/>
        <v>24</v>
      </c>
      <c r="AA25" s="35">
        <f t="shared" si="3"/>
        <v>12158200</v>
      </c>
      <c r="AB25" s="47"/>
      <c r="AC25" s="30" t="s">
        <v>43</v>
      </c>
      <c r="AD25" s="47"/>
      <c r="AE25" s="11"/>
      <c r="AH25" s="21"/>
    </row>
    <row r="26" spans="1:34" ht="62" x14ac:dyDescent="0.3">
      <c r="A26" s="12"/>
      <c r="B26" s="13"/>
      <c r="C26" s="25" t="s">
        <v>66</v>
      </c>
      <c r="D26" s="25" t="s">
        <v>185</v>
      </c>
      <c r="E26" s="15">
        <v>36</v>
      </c>
      <c r="F26" s="16" t="s">
        <v>183</v>
      </c>
      <c r="G26" s="118">
        <v>773501023</v>
      </c>
      <c r="H26" s="15">
        <v>12</v>
      </c>
      <c r="I26" s="18">
        <v>295759350</v>
      </c>
      <c r="J26" s="15">
        <v>12</v>
      </c>
      <c r="K26" s="19">
        <v>345199300</v>
      </c>
      <c r="L26" s="15">
        <v>3</v>
      </c>
      <c r="M26" s="19">
        <v>3762000</v>
      </c>
      <c r="N26" s="15">
        <v>3</v>
      </c>
      <c r="O26" s="19">
        <v>39532000</v>
      </c>
      <c r="P26" s="15">
        <v>3</v>
      </c>
      <c r="Q26" s="19">
        <v>1943000</v>
      </c>
      <c r="R26" s="15">
        <v>3</v>
      </c>
      <c r="S26" s="19">
        <v>263417900</v>
      </c>
      <c r="T26" s="48">
        <f t="shared" si="8"/>
        <v>12</v>
      </c>
      <c r="U26" s="48">
        <f t="shared" si="0"/>
        <v>100</v>
      </c>
      <c r="V26" s="30" t="s">
        <v>43</v>
      </c>
      <c r="W26" s="35">
        <f t="shared" si="7"/>
        <v>308654900</v>
      </c>
      <c r="X26" s="47">
        <f t="shared" si="1"/>
        <v>89.413535890715892</v>
      </c>
      <c r="Y26" s="30" t="s">
        <v>43</v>
      </c>
      <c r="Z26" s="48">
        <f t="shared" si="2"/>
        <v>24</v>
      </c>
      <c r="AA26" s="35">
        <f t="shared" si="3"/>
        <v>604414250</v>
      </c>
      <c r="AB26" s="47"/>
      <c r="AC26" s="30" t="s">
        <v>43</v>
      </c>
      <c r="AD26" s="47"/>
      <c r="AE26" s="11"/>
      <c r="AH26" s="21"/>
    </row>
    <row r="27" spans="1:34" ht="46.5" x14ac:dyDescent="0.3">
      <c r="A27" s="12"/>
      <c r="B27" s="13"/>
      <c r="C27" s="25" t="s">
        <v>67</v>
      </c>
      <c r="D27" s="22" t="s">
        <v>186</v>
      </c>
      <c r="E27" s="15">
        <v>36</v>
      </c>
      <c r="F27" s="16" t="s">
        <v>183</v>
      </c>
      <c r="G27" s="119">
        <v>191043400</v>
      </c>
      <c r="H27" s="15">
        <v>12</v>
      </c>
      <c r="I27" s="18">
        <v>13197500</v>
      </c>
      <c r="J27" s="15">
        <v>12</v>
      </c>
      <c r="K27" s="19">
        <v>74759200</v>
      </c>
      <c r="L27" s="15">
        <v>3</v>
      </c>
      <c r="M27" s="19">
        <v>3287500</v>
      </c>
      <c r="N27" s="15">
        <v>3</v>
      </c>
      <c r="O27" s="19">
        <v>5387500</v>
      </c>
      <c r="P27" s="15">
        <v>3</v>
      </c>
      <c r="Q27" s="19">
        <v>7075000</v>
      </c>
      <c r="R27" s="15">
        <v>3</v>
      </c>
      <c r="S27" s="19">
        <v>33309000</v>
      </c>
      <c r="T27" s="48">
        <f t="shared" si="8"/>
        <v>12</v>
      </c>
      <c r="U27" s="48">
        <f t="shared" si="0"/>
        <v>100</v>
      </c>
      <c r="V27" s="30" t="s">
        <v>43</v>
      </c>
      <c r="W27" s="35">
        <f t="shared" si="7"/>
        <v>49059000</v>
      </c>
      <c r="X27" s="47">
        <f t="shared" si="1"/>
        <v>65.622692591681016</v>
      </c>
      <c r="Y27" s="30" t="s">
        <v>43</v>
      </c>
      <c r="Z27" s="48">
        <f t="shared" si="2"/>
        <v>24</v>
      </c>
      <c r="AA27" s="35">
        <f t="shared" si="3"/>
        <v>62256500</v>
      </c>
      <c r="AB27" s="47"/>
      <c r="AC27" s="30" t="s">
        <v>43</v>
      </c>
      <c r="AD27" s="47"/>
      <c r="AE27" s="11"/>
      <c r="AH27" s="21"/>
    </row>
    <row r="28" spans="1:34" ht="62" x14ac:dyDescent="0.3">
      <c r="A28" s="12"/>
      <c r="B28" s="13"/>
      <c r="C28" s="25" t="s">
        <v>68</v>
      </c>
      <c r="D28" s="22" t="s">
        <v>187</v>
      </c>
      <c r="E28" s="15">
        <v>36</v>
      </c>
      <c r="F28" s="16" t="s">
        <v>183</v>
      </c>
      <c r="G28" s="119">
        <v>181233500</v>
      </c>
      <c r="H28" s="15">
        <v>12</v>
      </c>
      <c r="I28" s="18">
        <v>50105370</v>
      </c>
      <c r="J28" s="15">
        <v>12</v>
      </c>
      <c r="K28" s="19">
        <v>67976000</v>
      </c>
      <c r="L28" s="15">
        <v>3</v>
      </c>
      <c r="M28" s="19">
        <v>6750000</v>
      </c>
      <c r="N28" s="15">
        <v>3</v>
      </c>
      <c r="O28" s="19">
        <v>22358400</v>
      </c>
      <c r="P28" s="15">
        <v>3</v>
      </c>
      <c r="Q28" s="19">
        <v>7385000</v>
      </c>
      <c r="R28" s="15">
        <v>3</v>
      </c>
      <c r="S28" s="19">
        <v>19700450</v>
      </c>
      <c r="T28" s="48">
        <f t="shared" si="8"/>
        <v>12</v>
      </c>
      <c r="U28" s="48">
        <f t="shared" si="0"/>
        <v>100</v>
      </c>
      <c r="V28" s="30" t="s">
        <v>43</v>
      </c>
      <c r="W28" s="35">
        <f t="shared" si="7"/>
        <v>56193850</v>
      </c>
      <c r="X28" s="47">
        <f t="shared" si="1"/>
        <v>82.667191361657061</v>
      </c>
      <c r="Y28" s="30" t="s">
        <v>43</v>
      </c>
      <c r="Z28" s="48">
        <f t="shared" si="2"/>
        <v>24</v>
      </c>
      <c r="AA28" s="35">
        <f t="shared" si="3"/>
        <v>106299220</v>
      </c>
      <c r="AB28" s="47"/>
      <c r="AC28" s="30" t="s">
        <v>43</v>
      </c>
      <c r="AD28" s="47"/>
      <c r="AE28" s="11"/>
      <c r="AH28" s="21"/>
    </row>
    <row r="29" spans="1:34" ht="93" customHeight="1" x14ac:dyDescent="0.3">
      <c r="A29" s="12"/>
      <c r="B29" s="13"/>
      <c r="C29" s="25" t="s">
        <v>69</v>
      </c>
      <c r="D29" s="126" t="s">
        <v>188</v>
      </c>
      <c r="E29" s="15">
        <v>36</v>
      </c>
      <c r="F29" s="16" t="s">
        <v>42</v>
      </c>
      <c r="G29" s="118">
        <v>18828000</v>
      </c>
      <c r="H29" s="15">
        <v>12</v>
      </c>
      <c r="I29" s="18">
        <v>5400000</v>
      </c>
      <c r="J29" s="15">
        <v>12</v>
      </c>
      <c r="K29" s="19">
        <v>5454000</v>
      </c>
      <c r="L29" s="15">
        <v>3</v>
      </c>
      <c r="M29" s="19">
        <v>510000</v>
      </c>
      <c r="N29" s="15">
        <v>3</v>
      </c>
      <c r="O29" s="19">
        <v>855000</v>
      </c>
      <c r="P29" s="15">
        <v>3</v>
      </c>
      <c r="Q29" s="19">
        <v>570000</v>
      </c>
      <c r="R29" s="15">
        <v>3</v>
      </c>
      <c r="S29" s="19">
        <v>1425000</v>
      </c>
      <c r="T29" s="48">
        <f t="shared" si="8"/>
        <v>12</v>
      </c>
      <c r="U29" s="48">
        <f t="shared" si="0"/>
        <v>100</v>
      </c>
      <c r="V29" s="30" t="s">
        <v>43</v>
      </c>
      <c r="W29" s="35">
        <f t="shared" si="7"/>
        <v>3360000</v>
      </c>
      <c r="X29" s="47">
        <f t="shared" si="1"/>
        <v>61.606160616061615</v>
      </c>
      <c r="Y29" s="30" t="s">
        <v>43</v>
      </c>
      <c r="Z29" s="48">
        <f t="shared" si="2"/>
        <v>24</v>
      </c>
      <c r="AA29" s="35">
        <f t="shared" si="3"/>
        <v>8760000</v>
      </c>
      <c r="AB29" s="47"/>
      <c r="AC29" s="30" t="s">
        <v>43</v>
      </c>
      <c r="AD29" s="47"/>
      <c r="AE29" s="11"/>
      <c r="AH29" s="21"/>
    </row>
    <row r="30" spans="1:34" ht="77.5" x14ac:dyDescent="0.3">
      <c r="A30" s="12"/>
      <c r="B30" s="13"/>
      <c r="C30" s="25" t="s">
        <v>70</v>
      </c>
      <c r="D30" s="126" t="s">
        <v>189</v>
      </c>
      <c r="E30" s="15">
        <v>36</v>
      </c>
      <c r="F30" s="16" t="s">
        <v>79</v>
      </c>
      <c r="G30" s="118">
        <v>1371297500</v>
      </c>
      <c r="H30" s="15">
        <v>12</v>
      </c>
      <c r="I30" s="18">
        <v>446759655</v>
      </c>
      <c r="J30" s="15">
        <v>12</v>
      </c>
      <c r="K30" s="19">
        <v>409100000</v>
      </c>
      <c r="L30" s="15">
        <v>3</v>
      </c>
      <c r="M30" s="19">
        <v>50666600</v>
      </c>
      <c r="N30" s="15">
        <v>3</v>
      </c>
      <c r="O30" s="19">
        <v>55393487</v>
      </c>
      <c r="P30" s="15">
        <v>3</v>
      </c>
      <c r="Q30" s="19">
        <v>104268314</v>
      </c>
      <c r="R30" s="15">
        <v>3</v>
      </c>
      <c r="S30" s="19">
        <v>196962992</v>
      </c>
      <c r="T30" s="48">
        <f t="shared" si="8"/>
        <v>12</v>
      </c>
      <c r="U30" s="48">
        <f t="shared" si="0"/>
        <v>100</v>
      </c>
      <c r="V30" s="30" t="s">
        <v>43</v>
      </c>
      <c r="W30" s="35">
        <f>SUM(M30,O30,Q30,S30)</f>
        <v>407291393</v>
      </c>
      <c r="X30" s="47">
        <f t="shared" si="1"/>
        <v>99.557905890980209</v>
      </c>
      <c r="Y30" s="30" t="s">
        <v>43</v>
      </c>
      <c r="Z30" s="48">
        <f t="shared" si="2"/>
        <v>24</v>
      </c>
      <c r="AA30" s="35">
        <f t="shared" si="3"/>
        <v>854051048</v>
      </c>
      <c r="AB30" s="47"/>
      <c r="AC30" s="30" t="s">
        <v>43</v>
      </c>
      <c r="AD30" s="47"/>
      <c r="AE30" s="11"/>
      <c r="AH30" s="21"/>
    </row>
    <row r="31" spans="1:34" s="89" customFormat="1" ht="62" x14ac:dyDescent="0.3">
      <c r="A31" s="76"/>
      <c r="B31" s="77"/>
      <c r="C31" s="153" t="s">
        <v>80</v>
      </c>
      <c r="D31" s="153" t="s">
        <v>190</v>
      </c>
      <c r="E31" s="15">
        <v>36</v>
      </c>
      <c r="F31" s="16" t="s">
        <v>183</v>
      </c>
      <c r="G31" s="119">
        <f>K31</f>
        <v>0</v>
      </c>
      <c r="H31" s="15">
        <v>12</v>
      </c>
      <c r="I31" s="81">
        <v>63850000</v>
      </c>
      <c r="J31" s="78"/>
      <c r="K31" s="83"/>
      <c r="L31" s="78"/>
      <c r="M31" s="83"/>
      <c r="N31" s="78"/>
      <c r="O31" s="83"/>
      <c r="P31" s="78"/>
      <c r="Q31" s="83"/>
      <c r="R31" s="78"/>
      <c r="S31" s="83"/>
      <c r="T31" s="84"/>
      <c r="U31" s="84"/>
      <c r="V31" s="86"/>
      <c r="W31" s="87"/>
      <c r="X31" s="85"/>
      <c r="Y31" s="86"/>
      <c r="Z31" s="84">
        <f t="shared" si="2"/>
        <v>12</v>
      </c>
      <c r="AA31" s="87">
        <f t="shared" si="3"/>
        <v>63850000</v>
      </c>
      <c r="AB31" s="85"/>
      <c r="AC31" s="86" t="s">
        <v>43</v>
      </c>
      <c r="AD31" s="85"/>
      <c r="AE31" s="88"/>
      <c r="AH31" s="90"/>
    </row>
    <row r="32" spans="1:34" s="102" customFormat="1" ht="101.25" customHeight="1" x14ac:dyDescent="0.3">
      <c r="A32" s="76"/>
      <c r="B32" s="77"/>
      <c r="C32" s="91" t="s">
        <v>71</v>
      </c>
      <c r="D32" s="92" t="s">
        <v>142</v>
      </c>
      <c r="E32" s="93">
        <v>100</v>
      </c>
      <c r="F32" s="105" t="s">
        <v>43</v>
      </c>
      <c r="G32" s="96">
        <f>SUM(G33:G35)</f>
        <v>702966000</v>
      </c>
      <c r="H32" s="93">
        <v>100</v>
      </c>
      <c r="I32" s="96">
        <f>SUM(I33:I35)</f>
        <v>170913931</v>
      </c>
      <c r="J32" s="95">
        <v>100</v>
      </c>
      <c r="K32" s="96">
        <f>SUM(K33:K35)</f>
        <v>250005654</v>
      </c>
      <c r="L32" s="95">
        <v>100</v>
      </c>
      <c r="M32" s="96">
        <f>SUM(M33:M35)</f>
        <v>42843727</v>
      </c>
      <c r="N32" s="95">
        <v>100</v>
      </c>
      <c r="O32" s="96">
        <f>SUM(O33:O35)</f>
        <v>41405066</v>
      </c>
      <c r="P32" s="95">
        <v>100</v>
      </c>
      <c r="Q32" s="96">
        <f>SUM(Q33:Q35)</f>
        <v>46408669</v>
      </c>
      <c r="R32" s="95">
        <v>100</v>
      </c>
      <c r="S32" s="96">
        <f>SUM(S33:S35)</f>
        <v>68838051</v>
      </c>
      <c r="T32" s="97">
        <f>AVERAGE(L32,N32,P32,R32)</f>
        <v>100</v>
      </c>
      <c r="U32" s="97">
        <f t="shared" ref="U32:U67" si="9">T32/J32*100</f>
        <v>100</v>
      </c>
      <c r="V32" s="99" t="s">
        <v>43</v>
      </c>
      <c r="W32" s="100">
        <f>SUM(M32,O33,Q32,S32)</f>
        <v>158381982</v>
      </c>
      <c r="X32" s="98">
        <f t="shared" ref="X32:X67" si="10">W32/K32*100</f>
        <v>63.351360045641201</v>
      </c>
      <c r="Y32" s="99" t="s">
        <v>43</v>
      </c>
      <c r="Z32" s="98">
        <f t="shared" si="2"/>
        <v>200</v>
      </c>
      <c r="AA32" s="100">
        <f t="shared" si="3"/>
        <v>329295913</v>
      </c>
      <c r="AB32" s="98"/>
      <c r="AC32" s="99" t="s">
        <v>43</v>
      </c>
      <c r="AD32" s="98"/>
      <c r="AE32" s="106"/>
      <c r="AH32" s="103"/>
    </row>
    <row r="33" spans="1:34" ht="46.5" x14ac:dyDescent="0.3">
      <c r="A33" s="12"/>
      <c r="B33" s="13"/>
      <c r="C33" s="25" t="s">
        <v>72</v>
      </c>
      <c r="D33" s="25" t="s">
        <v>191</v>
      </c>
      <c r="E33" s="15">
        <v>36</v>
      </c>
      <c r="F33" s="16" t="s">
        <v>79</v>
      </c>
      <c r="G33" s="119">
        <v>3200000</v>
      </c>
      <c r="H33" s="15">
        <v>12</v>
      </c>
      <c r="I33" s="18">
        <v>436000</v>
      </c>
      <c r="J33" s="15">
        <v>12</v>
      </c>
      <c r="K33" s="19">
        <v>1100000</v>
      </c>
      <c r="L33" s="15">
        <v>3</v>
      </c>
      <c r="M33" s="19">
        <v>0</v>
      </c>
      <c r="N33" s="15">
        <v>3</v>
      </c>
      <c r="O33" s="83">
        <v>291535</v>
      </c>
      <c r="P33" s="15">
        <v>3</v>
      </c>
      <c r="Q33" s="83">
        <v>0</v>
      </c>
      <c r="R33" s="15">
        <v>3</v>
      </c>
      <c r="S33" s="19">
        <v>377210</v>
      </c>
      <c r="T33" s="48">
        <f>SUM(L33,N33,P33,R33)</f>
        <v>12</v>
      </c>
      <c r="U33" s="48">
        <f t="shared" si="9"/>
        <v>100</v>
      </c>
      <c r="V33" s="30" t="s">
        <v>43</v>
      </c>
      <c r="W33" s="35">
        <f>SUM(M33,O33,Q33,S33)</f>
        <v>668745</v>
      </c>
      <c r="X33" s="47">
        <f t="shared" si="10"/>
        <v>60.795000000000002</v>
      </c>
      <c r="Y33" s="30" t="s">
        <v>43</v>
      </c>
      <c r="Z33" s="48">
        <f t="shared" si="2"/>
        <v>24</v>
      </c>
      <c r="AA33" s="35">
        <f t="shared" si="3"/>
        <v>1104745</v>
      </c>
      <c r="AB33" s="47"/>
      <c r="AC33" s="30" t="s">
        <v>43</v>
      </c>
      <c r="AD33" s="47"/>
      <c r="AE33" s="11"/>
      <c r="AH33" s="21"/>
    </row>
    <row r="34" spans="1:34" ht="77.5" x14ac:dyDescent="0.3">
      <c r="A34" s="12"/>
      <c r="B34" s="13"/>
      <c r="C34" s="25" t="s">
        <v>73</v>
      </c>
      <c r="D34" s="25" t="s">
        <v>192</v>
      </c>
      <c r="E34" s="15">
        <v>36</v>
      </c>
      <c r="F34" s="16" t="s">
        <v>79</v>
      </c>
      <c r="G34" s="118">
        <v>480400000</v>
      </c>
      <c r="H34" s="15">
        <v>12</v>
      </c>
      <c r="I34" s="18">
        <v>103900923</v>
      </c>
      <c r="J34" s="15">
        <v>12</v>
      </c>
      <c r="K34" s="19">
        <v>175783654</v>
      </c>
      <c r="L34" s="15">
        <v>3</v>
      </c>
      <c r="M34" s="19">
        <v>26039775</v>
      </c>
      <c r="N34" s="15">
        <v>3</v>
      </c>
      <c r="O34" s="19">
        <v>23559579</v>
      </c>
      <c r="P34" s="15">
        <v>3</v>
      </c>
      <c r="Q34" s="19">
        <v>29104717</v>
      </c>
      <c r="R34" s="15">
        <v>3</v>
      </c>
      <c r="S34" s="19">
        <v>51156081</v>
      </c>
      <c r="T34" s="48">
        <f>SUM(L34,N34,P34,R34)</f>
        <v>12</v>
      </c>
      <c r="U34" s="48">
        <f t="shared" si="9"/>
        <v>100</v>
      </c>
      <c r="V34" s="30" t="s">
        <v>43</v>
      </c>
      <c r="W34" s="35">
        <f>SUM(M34,O34,Q34,S34)</f>
        <v>129860152</v>
      </c>
      <c r="X34" s="47">
        <f t="shared" si="10"/>
        <v>73.874987261329778</v>
      </c>
      <c r="Y34" s="30" t="s">
        <v>43</v>
      </c>
      <c r="Z34" s="48">
        <f t="shared" si="2"/>
        <v>24</v>
      </c>
      <c r="AA34" s="35">
        <f t="shared" si="3"/>
        <v>233761075</v>
      </c>
      <c r="AB34" s="47"/>
      <c r="AC34" s="30" t="s">
        <v>43</v>
      </c>
      <c r="AD34" s="47"/>
      <c r="AE34" s="11"/>
      <c r="AH34" s="21"/>
    </row>
    <row r="35" spans="1:34" ht="77.5" x14ac:dyDescent="0.3">
      <c r="A35" s="12"/>
      <c r="B35" s="13"/>
      <c r="C35" s="25" t="s">
        <v>74</v>
      </c>
      <c r="D35" s="25" t="s">
        <v>193</v>
      </c>
      <c r="E35" s="15">
        <v>36</v>
      </c>
      <c r="F35" s="16" t="s">
        <v>79</v>
      </c>
      <c r="G35" s="118">
        <v>219366000</v>
      </c>
      <c r="H35" s="15">
        <v>12</v>
      </c>
      <c r="I35" s="18">
        <v>66577008</v>
      </c>
      <c r="J35" s="15">
        <v>12</v>
      </c>
      <c r="K35" s="19">
        <v>73122000</v>
      </c>
      <c r="L35" s="15">
        <v>3</v>
      </c>
      <c r="M35" s="19">
        <v>16803952</v>
      </c>
      <c r="N35" s="15">
        <v>3</v>
      </c>
      <c r="O35" s="19">
        <v>17553952</v>
      </c>
      <c r="P35" s="15">
        <v>3</v>
      </c>
      <c r="Q35" s="19">
        <v>17303952</v>
      </c>
      <c r="R35" s="15">
        <v>3</v>
      </c>
      <c r="S35" s="19">
        <v>17304760</v>
      </c>
      <c r="T35" s="48">
        <f>SUM(L35,N35,P35,R35)</f>
        <v>12</v>
      </c>
      <c r="U35" s="48">
        <f t="shared" si="9"/>
        <v>100</v>
      </c>
      <c r="V35" s="30" t="s">
        <v>43</v>
      </c>
      <c r="W35" s="35">
        <f>SUM(M35,O35,Q35+S35)</f>
        <v>68966616</v>
      </c>
      <c r="X35" s="47">
        <f t="shared" si="10"/>
        <v>94.317190448838929</v>
      </c>
      <c r="Y35" s="30" t="s">
        <v>43</v>
      </c>
      <c r="Z35" s="48">
        <f t="shared" si="2"/>
        <v>24</v>
      </c>
      <c r="AA35" s="35">
        <f t="shared" si="3"/>
        <v>135543624</v>
      </c>
      <c r="AB35" s="47"/>
      <c r="AC35" s="30" t="s">
        <v>43</v>
      </c>
      <c r="AD35" s="47"/>
      <c r="AE35" s="11"/>
      <c r="AH35" s="21"/>
    </row>
    <row r="36" spans="1:34" s="102" customFormat="1" ht="132.75" customHeight="1" x14ac:dyDescent="0.3">
      <c r="A36" s="76"/>
      <c r="B36" s="77"/>
      <c r="C36" s="91" t="s">
        <v>75</v>
      </c>
      <c r="D36" s="92" t="s">
        <v>143</v>
      </c>
      <c r="E36" s="93">
        <v>100</v>
      </c>
      <c r="F36" s="105" t="s">
        <v>43</v>
      </c>
      <c r="G36" s="96">
        <f>SUM(G37:G40)</f>
        <v>2093155700</v>
      </c>
      <c r="H36" s="93">
        <v>100</v>
      </c>
      <c r="I36" s="96">
        <f>SUM(I37:I40)</f>
        <v>993798812</v>
      </c>
      <c r="J36" s="95">
        <v>100</v>
      </c>
      <c r="K36" s="96">
        <f>SUM(K37:K40)</f>
        <v>277884900</v>
      </c>
      <c r="L36" s="95">
        <v>100</v>
      </c>
      <c r="M36" s="96">
        <f>SUM(M37:M39)</f>
        <v>17713927</v>
      </c>
      <c r="N36" s="95">
        <v>100</v>
      </c>
      <c r="O36" s="96">
        <f>SUM(O37:O39)</f>
        <v>26503000</v>
      </c>
      <c r="P36" s="95">
        <v>100</v>
      </c>
      <c r="Q36" s="96">
        <f>SUM(Q37:Q39)</f>
        <v>67032300</v>
      </c>
      <c r="R36" s="95">
        <v>100</v>
      </c>
      <c r="S36" s="96">
        <f>SUM(S37:S39)</f>
        <v>85406427</v>
      </c>
      <c r="T36" s="97">
        <f>AVERAGE(L36,N36,P36,R36)</f>
        <v>100</v>
      </c>
      <c r="U36" s="97">
        <f t="shared" si="9"/>
        <v>100</v>
      </c>
      <c r="V36" s="99" t="s">
        <v>43</v>
      </c>
      <c r="W36" s="100">
        <f>SUM(M36,O37,Q36,S36)</f>
        <v>181072654</v>
      </c>
      <c r="X36" s="98">
        <f t="shared" si="10"/>
        <v>65.161026741647348</v>
      </c>
      <c r="Y36" s="99" t="s">
        <v>43</v>
      </c>
      <c r="Z36" s="98">
        <f t="shared" si="2"/>
        <v>200</v>
      </c>
      <c r="AA36" s="100">
        <f t="shared" si="3"/>
        <v>1174871466</v>
      </c>
      <c r="AB36" s="98"/>
      <c r="AC36" s="99" t="s">
        <v>43</v>
      </c>
      <c r="AD36" s="98"/>
      <c r="AE36" s="106"/>
      <c r="AH36" s="103"/>
    </row>
    <row r="37" spans="1:34" ht="114" customHeight="1" x14ac:dyDescent="0.3">
      <c r="A37" s="12"/>
      <c r="B37" s="13"/>
      <c r="C37" s="25" t="s">
        <v>76</v>
      </c>
      <c r="D37" s="25" t="s">
        <v>194</v>
      </c>
      <c r="E37" s="15">
        <v>36</v>
      </c>
      <c r="F37" s="16" t="s">
        <v>195</v>
      </c>
      <c r="G37" s="118">
        <v>512480000</v>
      </c>
      <c r="H37" s="15">
        <v>12</v>
      </c>
      <c r="I37" s="18">
        <v>71101497</v>
      </c>
      <c r="J37" s="15">
        <v>48</v>
      </c>
      <c r="K37" s="19">
        <v>154140000</v>
      </c>
      <c r="L37" s="15">
        <v>5</v>
      </c>
      <c r="M37" s="19">
        <v>7164227</v>
      </c>
      <c r="N37" s="15">
        <v>2</v>
      </c>
      <c r="O37" s="83">
        <v>10920000</v>
      </c>
      <c r="P37" s="15">
        <v>5</v>
      </c>
      <c r="Q37" s="83">
        <v>34782300</v>
      </c>
      <c r="R37" s="15">
        <v>36</v>
      </c>
      <c r="S37" s="19">
        <v>57459427</v>
      </c>
      <c r="T37" s="48">
        <f>SUM(L37,N37,P37,R37)</f>
        <v>48</v>
      </c>
      <c r="U37" s="48">
        <f t="shared" si="9"/>
        <v>100</v>
      </c>
      <c r="V37" s="30" t="s">
        <v>43</v>
      </c>
      <c r="W37" s="35">
        <f>SUM(M37,O38,Q37,S37)</f>
        <v>103905954</v>
      </c>
      <c r="X37" s="47">
        <f t="shared" si="10"/>
        <v>67.410116776956016</v>
      </c>
      <c r="Y37" s="30" t="s">
        <v>43</v>
      </c>
      <c r="Z37" s="48">
        <f t="shared" si="2"/>
        <v>60</v>
      </c>
      <c r="AA37" s="35">
        <f t="shared" si="3"/>
        <v>175007451</v>
      </c>
      <c r="AB37" s="47"/>
      <c r="AC37" s="30" t="s">
        <v>43</v>
      </c>
      <c r="AD37" s="47"/>
      <c r="AE37" s="11"/>
      <c r="AH37" s="21"/>
    </row>
    <row r="38" spans="1:34" ht="93" x14ac:dyDescent="0.3">
      <c r="A38" s="12"/>
      <c r="B38" s="13"/>
      <c r="C38" s="22" t="s">
        <v>77</v>
      </c>
      <c r="D38" s="25" t="s">
        <v>236</v>
      </c>
      <c r="E38" s="15">
        <v>36</v>
      </c>
      <c r="F38" s="16" t="s">
        <v>195</v>
      </c>
      <c r="G38" s="118">
        <v>1363925000</v>
      </c>
      <c r="H38" s="15">
        <v>12</v>
      </c>
      <c r="I38" s="18">
        <v>890984815</v>
      </c>
      <c r="J38" s="15">
        <v>4</v>
      </c>
      <c r="K38" s="19">
        <v>56450000</v>
      </c>
      <c r="L38" s="15">
        <v>4</v>
      </c>
      <c r="M38" s="19">
        <v>4500000</v>
      </c>
      <c r="N38" s="15">
        <v>4</v>
      </c>
      <c r="O38" s="19">
        <v>4500000</v>
      </c>
      <c r="P38" s="15">
        <v>4</v>
      </c>
      <c r="Q38" s="19">
        <v>26650000</v>
      </c>
      <c r="R38" s="15">
        <v>4</v>
      </c>
      <c r="S38" s="19">
        <v>5767000</v>
      </c>
      <c r="T38" s="48">
        <f>AVERAGE(J38,N38,P38,R38)</f>
        <v>4</v>
      </c>
      <c r="U38" s="48">
        <f t="shared" si="9"/>
        <v>100</v>
      </c>
      <c r="V38" s="30" t="s">
        <v>43</v>
      </c>
      <c r="W38" s="35">
        <f>SUM(M38,O39,Q38,S38)</f>
        <v>48000000</v>
      </c>
      <c r="X38" s="47">
        <f t="shared" si="10"/>
        <v>85.031000885739587</v>
      </c>
      <c r="Y38" s="30" t="s">
        <v>43</v>
      </c>
      <c r="Z38" s="62">
        <f t="shared" si="2"/>
        <v>16</v>
      </c>
      <c r="AA38" s="35">
        <f t="shared" si="3"/>
        <v>938984815</v>
      </c>
      <c r="AB38" s="47"/>
      <c r="AC38" s="30" t="s">
        <v>43</v>
      </c>
      <c r="AD38" s="47"/>
      <c r="AE38" s="11"/>
      <c r="AH38" s="21"/>
    </row>
    <row r="39" spans="1:34" ht="108.5" x14ac:dyDescent="0.3">
      <c r="A39" s="12"/>
      <c r="B39" s="13"/>
      <c r="C39" s="22" t="s">
        <v>78</v>
      </c>
      <c r="D39" s="126" t="s">
        <v>196</v>
      </c>
      <c r="E39" s="15">
        <v>36</v>
      </c>
      <c r="F39" s="16" t="s">
        <v>195</v>
      </c>
      <c r="G39" s="118">
        <v>209250700</v>
      </c>
      <c r="H39" s="15">
        <v>12</v>
      </c>
      <c r="I39" s="18">
        <v>26102500</v>
      </c>
      <c r="J39" s="15">
        <v>94</v>
      </c>
      <c r="K39" s="19">
        <v>67294900</v>
      </c>
      <c r="L39" s="15">
        <v>20</v>
      </c>
      <c r="M39" s="19">
        <v>6049700</v>
      </c>
      <c r="N39" s="15">
        <v>28</v>
      </c>
      <c r="O39" s="19">
        <v>11083000</v>
      </c>
      <c r="P39" s="15">
        <v>16</v>
      </c>
      <c r="Q39" s="19">
        <v>5600000</v>
      </c>
      <c r="R39" s="15">
        <v>30</v>
      </c>
      <c r="S39" s="19">
        <v>22180000</v>
      </c>
      <c r="T39" s="48">
        <f t="shared" ref="T39:T67" si="11">SUM(L39,N39,P39,R39)</f>
        <v>94</v>
      </c>
      <c r="U39" s="48">
        <f t="shared" si="9"/>
        <v>100</v>
      </c>
      <c r="V39" s="30" t="s">
        <v>43</v>
      </c>
      <c r="W39" s="35">
        <f>SUM(M39,O40,Q39,S39)</f>
        <v>33829700</v>
      </c>
      <c r="X39" s="47">
        <f t="shared" si="10"/>
        <v>50.270822900398095</v>
      </c>
      <c r="Y39" s="30" t="s">
        <v>43</v>
      </c>
      <c r="Z39" s="48">
        <f t="shared" si="2"/>
        <v>106</v>
      </c>
      <c r="AA39" s="35">
        <f t="shared" si="3"/>
        <v>59932200</v>
      </c>
      <c r="AB39" s="47"/>
      <c r="AC39" s="30" t="s">
        <v>43</v>
      </c>
      <c r="AD39" s="47"/>
      <c r="AE39" s="11"/>
      <c r="AH39" s="21"/>
    </row>
    <row r="40" spans="1:34" s="89" customFormat="1" ht="72.75" customHeight="1" x14ac:dyDescent="0.3">
      <c r="A40" s="76"/>
      <c r="B40" s="77"/>
      <c r="C40" s="154" t="s">
        <v>81</v>
      </c>
      <c r="D40" s="154" t="s">
        <v>197</v>
      </c>
      <c r="E40" s="15">
        <v>36</v>
      </c>
      <c r="F40" s="16" t="s">
        <v>195</v>
      </c>
      <c r="G40" s="134">
        <v>7500000</v>
      </c>
      <c r="H40" s="15"/>
      <c r="I40" s="81">
        <v>5610000</v>
      </c>
      <c r="J40" s="78">
        <v>0</v>
      </c>
      <c r="K40" s="83">
        <v>0</v>
      </c>
      <c r="L40" s="78">
        <v>0</v>
      </c>
      <c r="M40" s="83">
        <v>0</v>
      </c>
      <c r="N40" s="78">
        <v>0</v>
      </c>
      <c r="O40" s="83">
        <v>0</v>
      </c>
      <c r="P40" s="78">
        <v>0</v>
      </c>
      <c r="Q40" s="83">
        <v>0</v>
      </c>
      <c r="R40" s="78"/>
      <c r="S40" s="83"/>
      <c r="T40" s="108">
        <f t="shared" si="11"/>
        <v>0</v>
      </c>
      <c r="U40" s="84"/>
      <c r="V40" s="86" t="s">
        <v>43</v>
      </c>
      <c r="W40" s="87">
        <f t="shared" ref="W40:W44" si="12">SUM(M40,O40,Q40,S40)</f>
        <v>0</v>
      </c>
      <c r="X40" s="85"/>
      <c r="Y40" s="86" t="s">
        <v>43</v>
      </c>
      <c r="Z40" s="109">
        <f t="shared" si="2"/>
        <v>0</v>
      </c>
      <c r="AA40" s="87">
        <f t="shared" si="3"/>
        <v>5610000</v>
      </c>
      <c r="AB40" s="85"/>
      <c r="AC40" s="86" t="s">
        <v>43</v>
      </c>
      <c r="AD40" s="85"/>
      <c r="AE40" s="88"/>
      <c r="AH40" s="90"/>
    </row>
    <row r="41" spans="1:34" s="68" customFormat="1" ht="87.75" customHeight="1" x14ac:dyDescent="0.3">
      <c r="A41" s="42">
        <v>29</v>
      </c>
      <c r="B41" s="43" t="s">
        <v>162</v>
      </c>
      <c r="C41" s="186" t="s">
        <v>121</v>
      </c>
      <c r="D41" s="135" t="s">
        <v>144</v>
      </c>
      <c r="E41" s="40">
        <v>100</v>
      </c>
      <c r="F41" s="41" t="s">
        <v>43</v>
      </c>
      <c r="G41" s="59">
        <f>G44+G55+G62+G69</f>
        <v>610122989848</v>
      </c>
      <c r="H41" s="40"/>
      <c r="I41" s="59">
        <f>I44+I55+I62+I69</f>
        <v>76380676018</v>
      </c>
      <c r="J41" s="40">
        <v>100</v>
      </c>
      <c r="K41" s="59">
        <f>K44+K55+K62+K69+K73</f>
        <v>206874354619</v>
      </c>
      <c r="L41" s="40">
        <v>0</v>
      </c>
      <c r="M41" s="59">
        <f>M44+M55+M62+M69</f>
        <v>28271685236</v>
      </c>
      <c r="N41" s="40">
        <v>0</v>
      </c>
      <c r="O41" s="59">
        <f>O44+O55+O62+O69</f>
        <v>40967654850</v>
      </c>
      <c r="P41" s="40">
        <f>5/6*100</f>
        <v>83.333333333333343</v>
      </c>
      <c r="Q41" s="59">
        <f>Q44+Q55+Q62+Q69</f>
        <v>85341993230</v>
      </c>
      <c r="R41" s="40">
        <f>1/6*100</f>
        <v>16.666666666666664</v>
      </c>
      <c r="S41" s="59">
        <f>S44+S55+S62+S69</f>
        <v>40003294420</v>
      </c>
      <c r="T41" s="71">
        <f t="shared" si="11"/>
        <v>100</v>
      </c>
      <c r="U41" s="52">
        <f t="shared" si="9"/>
        <v>100</v>
      </c>
      <c r="V41" s="51" t="s">
        <v>43</v>
      </c>
      <c r="W41" s="50">
        <f t="shared" si="12"/>
        <v>194584627736</v>
      </c>
      <c r="X41" s="49">
        <f t="shared" si="10"/>
        <v>94.059327988897437</v>
      </c>
      <c r="Y41" s="51" t="s">
        <v>43</v>
      </c>
      <c r="Z41" s="52">
        <f t="shared" si="2"/>
        <v>100</v>
      </c>
      <c r="AA41" s="50">
        <f t="shared" si="3"/>
        <v>270965303754</v>
      </c>
      <c r="AB41" s="49"/>
      <c r="AC41" s="51" t="s">
        <v>43</v>
      </c>
      <c r="AD41" s="49"/>
      <c r="AE41" s="70"/>
      <c r="AH41" s="69"/>
    </row>
    <row r="42" spans="1:34" s="68" customFormat="1" ht="117" customHeight="1" x14ac:dyDescent="0.3">
      <c r="A42" s="12"/>
      <c r="B42" s="13"/>
      <c r="C42" s="187"/>
      <c r="D42" s="43" t="s">
        <v>145</v>
      </c>
      <c r="E42" s="40">
        <v>100</v>
      </c>
      <c r="F42" s="41" t="s">
        <v>43</v>
      </c>
      <c r="G42" s="149"/>
      <c r="H42" s="46"/>
      <c r="I42" s="149"/>
      <c r="J42" s="113">
        <v>100</v>
      </c>
      <c r="K42" s="149"/>
      <c r="L42" s="45">
        <f>1863/12050*100</f>
        <v>15.460580912863071</v>
      </c>
      <c r="M42" s="149"/>
      <c r="N42" s="45">
        <f>3501/12050*100</f>
        <v>29.053941908713693</v>
      </c>
      <c r="O42" s="149"/>
      <c r="P42" s="45">
        <f>4250/12050*100</f>
        <v>35.269709543568467</v>
      </c>
      <c r="Q42" s="149"/>
      <c r="R42" s="45">
        <f>7305/12050*100</f>
        <v>60.622406639004147</v>
      </c>
      <c r="S42" s="37"/>
      <c r="T42" s="49">
        <f t="shared" si="11"/>
        <v>140.40663900414938</v>
      </c>
      <c r="U42" s="52">
        <f t="shared" si="9"/>
        <v>140.40663900414938</v>
      </c>
      <c r="V42" s="51" t="s">
        <v>43</v>
      </c>
      <c r="W42" s="50">
        <f t="shared" si="12"/>
        <v>0</v>
      </c>
      <c r="X42" s="49"/>
      <c r="Y42" s="51" t="s">
        <v>43</v>
      </c>
      <c r="Z42" s="52">
        <f t="shared" si="2"/>
        <v>140.40663900414938</v>
      </c>
      <c r="AA42" s="50">
        <f t="shared" si="3"/>
        <v>0</v>
      </c>
      <c r="AB42" s="49"/>
      <c r="AC42" s="51"/>
      <c r="AD42" s="49"/>
      <c r="AE42" s="70"/>
      <c r="AH42" s="69"/>
    </row>
    <row r="43" spans="1:34" s="68" customFormat="1" ht="63.75" customHeight="1" x14ac:dyDescent="0.3">
      <c r="A43" s="12"/>
      <c r="B43" s="13"/>
      <c r="C43" s="188"/>
      <c r="D43" s="131" t="s">
        <v>146</v>
      </c>
      <c r="E43" s="40">
        <v>100</v>
      </c>
      <c r="F43" s="41" t="s">
        <v>43</v>
      </c>
      <c r="G43" s="36"/>
      <c r="H43" s="40"/>
      <c r="I43" s="36"/>
      <c r="J43" s="40">
        <v>100</v>
      </c>
      <c r="K43" s="36"/>
      <c r="L43" s="40">
        <v>100</v>
      </c>
      <c r="M43" s="36"/>
      <c r="N43" s="40">
        <v>100</v>
      </c>
      <c r="O43" s="36"/>
      <c r="P43" s="40">
        <v>100</v>
      </c>
      <c r="Q43" s="36"/>
      <c r="R43" s="40">
        <v>100</v>
      </c>
      <c r="S43" s="37"/>
      <c r="T43" s="52">
        <f>AVERAGE(L43,N43,P43,R43)</f>
        <v>100</v>
      </c>
      <c r="U43" s="52">
        <f t="shared" si="9"/>
        <v>100</v>
      </c>
      <c r="V43" s="51" t="s">
        <v>43</v>
      </c>
      <c r="W43" s="50">
        <f t="shared" si="12"/>
        <v>0</v>
      </c>
      <c r="X43" s="49"/>
      <c r="Y43" s="51" t="s">
        <v>43</v>
      </c>
      <c r="Z43" s="52">
        <f t="shared" si="2"/>
        <v>100</v>
      </c>
      <c r="AA43" s="50">
        <f t="shared" si="3"/>
        <v>0</v>
      </c>
      <c r="AB43" s="49"/>
      <c r="AC43" s="51"/>
      <c r="AD43" s="49"/>
      <c r="AE43" s="70"/>
      <c r="AH43" s="69"/>
    </row>
    <row r="44" spans="1:34" s="68" customFormat="1" ht="62" x14ac:dyDescent="0.3">
      <c r="A44" s="12"/>
      <c r="B44" s="13"/>
      <c r="C44" s="130" t="s">
        <v>82</v>
      </c>
      <c r="D44" s="136" t="s">
        <v>147</v>
      </c>
      <c r="E44" s="40">
        <v>100</v>
      </c>
      <c r="F44" s="41" t="s">
        <v>43</v>
      </c>
      <c r="G44" s="59">
        <f>SUM(G47:G54)</f>
        <v>2379331400</v>
      </c>
      <c r="H44" s="40"/>
      <c r="I44" s="59">
        <f>SUM(I47:I54)</f>
        <v>586966500</v>
      </c>
      <c r="J44" s="40">
        <v>100</v>
      </c>
      <c r="K44" s="59">
        <f>SUM(K47:K54)</f>
        <v>754495100</v>
      </c>
      <c r="L44" s="40">
        <v>0</v>
      </c>
      <c r="M44" s="59">
        <f>SUM(M47:M54)</f>
        <v>142662600</v>
      </c>
      <c r="N44" s="40">
        <v>0</v>
      </c>
      <c r="O44" s="59">
        <f>SUM(O47:O54)</f>
        <v>141508900</v>
      </c>
      <c r="P44" s="40">
        <f>4/4*100</f>
        <v>100</v>
      </c>
      <c r="Q44" s="59">
        <f>SUM(Q47:Q54)</f>
        <v>191252000</v>
      </c>
      <c r="R44" s="40">
        <v>0</v>
      </c>
      <c r="S44" s="59">
        <f>SUM(S47:S54)</f>
        <v>79673200</v>
      </c>
      <c r="T44" s="71">
        <f t="shared" si="11"/>
        <v>100</v>
      </c>
      <c r="U44" s="52">
        <f t="shared" si="9"/>
        <v>100</v>
      </c>
      <c r="V44" s="51" t="s">
        <v>43</v>
      </c>
      <c r="W44" s="50">
        <f t="shared" si="12"/>
        <v>555096700</v>
      </c>
      <c r="X44" s="49">
        <f t="shared" si="10"/>
        <v>73.571942349261107</v>
      </c>
      <c r="Y44" s="51" t="s">
        <v>43</v>
      </c>
      <c r="Z44" s="52">
        <f t="shared" si="2"/>
        <v>100</v>
      </c>
      <c r="AA44" s="50">
        <f t="shared" si="3"/>
        <v>1142063200</v>
      </c>
      <c r="AB44" s="49"/>
      <c r="AC44" s="51" t="s">
        <v>43</v>
      </c>
      <c r="AD44" s="49"/>
      <c r="AE44" s="70"/>
      <c r="AH44" s="69"/>
    </row>
    <row r="45" spans="1:34" s="68" customFormat="1" ht="95.25" customHeight="1" x14ac:dyDescent="0.3">
      <c r="A45" s="12"/>
      <c r="B45" s="13"/>
      <c r="C45" s="77"/>
      <c r="D45" s="137" t="s">
        <v>148</v>
      </c>
      <c r="E45" s="40">
        <v>100</v>
      </c>
      <c r="F45" s="41" t="s">
        <v>43</v>
      </c>
      <c r="G45" s="149"/>
      <c r="H45" s="40"/>
      <c r="I45" s="149"/>
      <c r="J45" s="40">
        <v>100</v>
      </c>
      <c r="K45" s="149"/>
      <c r="L45" s="40">
        <v>0</v>
      </c>
      <c r="M45" s="149"/>
      <c r="N45" s="40">
        <v>0</v>
      </c>
      <c r="O45" s="149"/>
      <c r="P45" s="40">
        <f>3/4*100</f>
        <v>75</v>
      </c>
      <c r="Q45" s="149"/>
      <c r="R45" s="40">
        <f>1/4*100</f>
        <v>25</v>
      </c>
      <c r="S45" s="37"/>
      <c r="T45" s="71">
        <f t="shared" si="11"/>
        <v>100</v>
      </c>
      <c r="U45" s="52">
        <f t="shared" si="9"/>
        <v>100</v>
      </c>
      <c r="V45" s="51" t="s">
        <v>43</v>
      </c>
      <c r="W45" s="50">
        <f t="shared" ref="W45:W62" si="13">SUM(M45,O47,Q45,S45)</f>
        <v>0</v>
      </c>
      <c r="X45" s="49"/>
      <c r="Y45" s="51" t="s">
        <v>43</v>
      </c>
      <c r="Z45" s="52">
        <f t="shared" ref="Z45:Z75" si="14">SUM(H45,T45)</f>
        <v>100</v>
      </c>
      <c r="AA45" s="50">
        <f t="shared" ref="AA45:AA75" si="15">SUM(I45,W45)</f>
        <v>0</v>
      </c>
      <c r="AB45" s="49"/>
      <c r="AC45" s="51"/>
      <c r="AD45" s="49"/>
      <c r="AE45" s="70"/>
      <c r="AH45" s="69"/>
    </row>
    <row r="46" spans="1:34" s="68" customFormat="1" ht="96.75" customHeight="1" x14ac:dyDescent="0.3">
      <c r="A46" s="12"/>
      <c r="B46" s="13"/>
      <c r="C46" s="92"/>
      <c r="D46" s="137" t="s">
        <v>149</v>
      </c>
      <c r="E46" s="40">
        <v>100</v>
      </c>
      <c r="F46" s="41" t="s">
        <v>43</v>
      </c>
      <c r="G46" s="36"/>
      <c r="H46" s="40"/>
      <c r="I46" s="36"/>
      <c r="J46" s="40">
        <v>100</v>
      </c>
      <c r="K46" s="36"/>
      <c r="L46" s="40">
        <v>0</v>
      </c>
      <c r="M46" s="36"/>
      <c r="N46" s="40">
        <v>0</v>
      </c>
      <c r="O46" s="36"/>
      <c r="P46" s="40">
        <f>1/2*100</f>
        <v>50</v>
      </c>
      <c r="Q46" s="36"/>
      <c r="R46" s="40">
        <f>1/2*100</f>
        <v>50</v>
      </c>
      <c r="S46" s="37"/>
      <c r="T46" s="71">
        <f t="shared" si="11"/>
        <v>100</v>
      </c>
      <c r="U46" s="52">
        <f t="shared" si="9"/>
        <v>100</v>
      </c>
      <c r="V46" s="51" t="s">
        <v>43</v>
      </c>
      <c r="W46" s="50">
        <f>SUM(M46,O48,Q46,S46)</f>
        <v>0</v>
      </c>
      <c r="X46" s="49"/>
      <c r="Y46" s="51" t="s">
        <v>43</v>
      </c>
      <c r="Z46" s="52">
        <f t="shared" si="14"/>
        <v>100</v>
      </c>
      <c r="AA46" s="50">
        <f t="shared" si="15"/>
        <v>0</v>
      </c>
      <c r="AB46" s="49"/>
      <c r="AC46" s="51"/>
      <c r="AD46" s="49"/>
      <c r="AE46" s="70"/>
      <c r="AH46" s="69"/>
    </row>
    <row r="47" spans="1:34" ht="60" customHeight="1" x14ac:dyDescent="0.3">
      <c r="A47" s="12"/>
      <c r="B47" s="13"/>
      <c r="C47" s="22" t="s">
        <v>83</v>
      </c>
      <c r="D47" s="128" t="s">
        <v>198</v>
      </c>
      <c r="E47" s="15">
        <v>6</v>
      </c>
      <c r="F47" s="16" t="s">
        <v>42</v>
      </c>
      <c r="G47" s="120">
        <v>33450200</v>
      </c>
      <c r="H47" s="15">
        <v>2</v>
      </c>
      <c r="I47" s="19">
        <v>8475000</v>
      </c>
      <c r="J47" s="15">
        <v>2</v>
      </c>
      <c r="K47" s="19">
        <v>8925050</v>
      </c>
      <c r="L47" s="15">
        <v>0</v>
      </c>
      <c r="M47" s="19">
        <v>0</v>
      </c>
      <c r="N47" s="15">
        <v>0</v>
      </c>
      <c r="O47" s="37">
        <v>0</v>
      </c>
      <c r="P47" s="15">
        <v>2</v>
      </c>
      <c r="Q47" s="37">
        <v>6747900</v>
      </c>
      <c r="R47" s="15">
        <v>0</v>
      </c>
      <c r="S47" s="19">
        <v>0</v>
      </c>
      <c r="T47" s="48">
        <f t="shared" si="11"/>
        <v>2</v>
      </c>
      <c r="U47" s="47">
        <f t="shared" si="9"/>
        <v>100</v>
      </c>
      <c r="V47" s="30" t="s">
        <v>43</v>
      </c>
      <c r="W47" s="35">
        <f>SUM(M47,O47,Q47,S47)</f>
        <v>6747900</v>
      </c>
      <c r="X47" s="47">
        <f t="shared" si="10"/>
        <v>75.606299124374658</v>
      </c>
      <c r="Y47" s="30" t="s">
        <v>43</v>
      </c>
      <c r="Z47" s="48">
        <f t="shared" si="14"/>
        <v>4</v>
      </c>
      <c r="AA47" s="35">
        <f t="shared" si="15"/>
        <v>15222900</v>
      </c>
      <c r="AB47" s="47"/>
      <c r="AC47" s="30" t="s">
        <v>43</v>
      </c>
      <c r="AD47" s="47"/>
      <c r="AE47" s="11"/>
      <c r="AH47" s="21"/>
    </row>
    <row r="48" spans="1:34" ht="62" x14ac:dyDescent="0.3">
      <c r="A48" s="12"/>
      <c r="B48" s="13"/>
      <c r="C48" s="22" t="s">
        <v>84</v>
      </c>
      <c r="D48" s="128" t="s">
        <v>199</v>
      </c>
      <c r="E48" s="15">
        <v>6</v>
      </c>
      <c r="F48" s="16" t="s">
        <v>42</v>
      </c>
      <c r="G48" s="121">
        <v>33450200</v>
      </c>
      <c r="H48" s="15">
        <v>2</v>
      </c>
      <c r="I48" s="18">
        <v>7250000</v>
      </c>
      <c r="J48" s="15">
        <v>2</v>
      </c>
      <c r="K48" s="19">
        <v>8925050</v>
      </c>
      <c r="L48" s="15">
        <v>0</v>
      </c>
      <c r="M48" s="19">
        <v>0</v>
      </c>
      <c r="N48" s="15">
        <v>0</v>
      </c>
      <c r="O48" s="37">
        <v>0</v>
      </c>
      <c r="P48" s="15">
        <v>2</v>
      </c>
      <c r="Q48" s="37">
        <v>7017800</v>
      </c>
      <c r="R48" s="15">
        <v>0</v>
      </c>
      <c r="S48" s="19">
        <v>775100</v>
      </c>
      <c r="T48" s="48">
        <f t="shared" si="11"/>
        <v>2</v>
      </c>
      <c r="U48" s="47">
        <f t="shared" si="9"/>
        <v>100</v>
      </c>
      <c r="V48" s="30" t="s">
        <v>43</v>
      </c>
      <c r="W48" s="35">
        <f t="shared" ref="W48:W53" si="16">SUM(M48,O48,Q48,S48)</f>
        <v>7792900</v>
      </c>
      <c r="X48" s="47">
        <f t="shared" si="10"/>
        <v>87.314917003266089</v>
      </c>
      <c r="Y48" s="30" t="s">
        <v>43</v>
      </c>
      <c r="Z48" s="48">
        <f t="shared" si="14"/>
        <v>4</v>
      </c>
      <c r="AA48" s="35">
        <f t="shared" si="15"/>
        <v>15042900</v>
      </c>
      <c r="AB48" s="47"/>
      <c r="AC48" s="30" t="s">
        <v>43</v>
      </c>
      <c r="AD48" s="47"/>
      <c r="AE48" s="11"/>
      <c r="AH48" s="21"/>
    </row>
    <row r="49" spans="1:34" ht="46.5" x14ac:dyDescent="0.3">
      <c r="A49" s="12"/>
      <c r="B49" s="13"/>
      <c r="C49" s="22" t="s">
        <v>85</v>
      </c>
      <c r="D49" s="129" t="s">
        <v>200</v>
      </c>
      <c r="E49" s="15">
        <v>118</v>
      </c>
      <c r="F49" s="16" t="s">
        <v>42</v>
      </c>
      <c r="G49" s="120">
        <v>379850200</v>
      </c>
      <c r="H49" s="39">
        <v>38</v>
      </c>
      <c r="I49" s="18">
        <v>68100000</v>
      </c>
      <c r="J49" s="15">
        <v>40</v>
      </c>
      <c r="K49" s="19">
        <v>86497500</v>
      </c>
      <c r="L49" s="15">
        <v>0</v>
      </c>
      <c r="M49" s="19"/>
      <c r="N49" s="15">
        <v>40</v>
      </c>
      <c r="O49" s="19">
        <v>1000000</v>
      </c>
      <c r="P49" s="15">
        <v>40</v>
      </c>
      <c r="Q49" s="19">
        <v>15125000</v>
      </c>
      <c r="R49" s="15">
        <v>0</v>
      </c>
      <c r="S49" s="19">
        <v>23075000</v>
      </c>
      <c r="T49" s="48">
        <v>40</v>
      </c>
      <c r="U49" s="47">
        <f t="shared" si="9"/>
        <v>100</v>
      </c>
      <c r="V49" s="30" t="s">
        <v>43</v>
      </c>
      <c r="W49" s="35">
        <f t="shared" si="16"/>
        <v>39200000</v>
      </c>
      <c r="X49" s="47">
        <f t="shared" si="10"/>
        <v>45.31922887944738</v>
      </c>
      <c r="Y49" s="30" t="s">
        <v>43</v>
      </c>
      <c r="Z49" s="48">
        <f t="shared" si="14"/>
        <v>78</v>
      </c>
      <c r="AA49" s="35">
        <f t="shared" si="15"/>
        <v>107300000</v>
      </c>
      <c r="AB49" s="47"/>
      <c r="AC49" s="30" t="s">
        <v>43</v>
      </c>
      <c r="AD49" s="47"/>
      <c r="AE49" s="11"/>
      <c r="AH49" s="21"/>
    </row>
    <row r="50" spans="1:34" ht="62" x14ac:dyDescent="0.3">
      <c r="A50" s="12"/>
      <c r="B50" s="13"/>
      <c r="C50" s="22" t="s">
        <v>170</v>
      </c>
      <c r="D50" s="129" t="s">
        <v>201</v>
      </c>
      <c r="E50" s="15"/>
      <c r="F50" s="16" t="s">
        <v>42</v>
      </c>
      <c r="G50" s="120"/>
      <c r="H50" s="39"/>
      <c r="I50" s="18"/>
      <c r="J50" s="15">
        <v>40</v>
      </c>
      <c r="K50" s="19">
        <v>25997500</v>
      </c>
      <c r="L50" s="15">
        <v>0</v>
      </c>
      <c r="M50" s="19">
        <v>6000000</v>
      </c>
      <c r="N50" s="15">
        <v>40</v>
      </c>
      <c r="O50" s="19">
        <v>12725000</v>
      </c>
      <c r="P50" s="15">
        <v>40</v>
      </c>
      <c r="Q50" s="19">
        <v>0</v>
      </c>
      <c r="R50" s="15">
        <v>0</v>
      </c>
      <c r="S50" s="19">
        <v>1437500</v>
      </c>
      <c r="T50" s="48">
        <v>40</v>
      </c>
      <c r="U50" s="47">
        <f t="shared" si="9"/>
        <v>100</v>
      </c>
      <c r="V50" s="30" t="s">
        <v>43</v>
      </c>
      <c r="W50" s="35">
        <f t="shared" si="16"/>
        <v>20162500</v>
      </c>
      <c r="X50" s="47">
        <f t="shared" si="10"/>
        <v>77.555534185979425</v>
      </c>
      <c r="Y50" s="30" t="s">
        <v>43</v>
      </c>
      <c r="Z50" s="48">
        <f t="shared" si="14"/>
        <v>40</v>
      </c>
      <c r="AA50" s="35">
        <f t="shared" si="15"/>
        <v>20162500</v>
      </c>
      <c r="AB50" s="47"/>
      <c r="AC50" s="30" t="s">
        <v>43</v>
      </c>
      <c r="AD50" s="47"/>
      <c r="AE50" s="11"/>
      <c r="AH50" s="21"/>
    </row>
    <row r="51" spans="1:34" ht="46.5" x14ac:dyDescent="0.3">
      <c r="A51" s="12"/>
      <c r="B51" s="13"/>
      <c r="C51" s="22" t="s">
        <v>86</v>
      </c>
      <c r="D51" s="129" t="s">
        <v>202</v>
      </c>
      <c r="E51" s="15">
        <v>118</v>
      </c>
      <c r="F51" s="16" t="s">
        <v>42</v>
      </c>
      <c r="G51" s="121">
        <v>87830000</v>
      </c>
      <c r="H51" s="15">
        <v>38</v>
      </c>
      <c r="I51" s="19">
        <v>26152500</v>
      </c>
      <c r="J51" s="15">
        <v>40</v>
      </c>
      <c r="K51" s="19">
        <v>13150000</v>
      </c>
      <c r="L51" s="15">
        <v>0</v>
      </c>
      <c r="M51" s="19"/>
      <c r="N51" s="15">
        <v>40</v>
      </c>
      <c r="O51" s="19">
        <v>9895400</v>
      </c>
      <c r="P51" s="15">
        <v>40</v>
      </c>
      <c r="Q51" s="19">
        <v>0</v>
      </c>
      <c r="R51" s="15">
        <v>0</v>
      </c>
      <c r="S51" s="19">
        <v>0</v>
      </c>
      <c r="T51" s="48">
        <v>40</v>
      </c>
      <c r="U51" s="47">
        <f t="shared" si="9"/>
        <v>100</v>
      </c>
      <c r="V51" s="30" t="s">
        <v>43</v>
      </c>
      <c r="W51" s="35">
        <f t="shared" si="16"/>
        <v>9895400</v>
      </c>
      <c r="X51" s="47">
        <f t="shared" si="10"/>
        <v>75.250190114068431</v>
      </c>
      <c r="Y51" s="30" t="s">
        <v>43</v>
      </c>
      <c r="Z51" s="48">
        <f t="shared" si="14"/>
        <v>78</v>
      </c>
      <c r="AA51" s="35">
        <f t="shared" si="15"/>
        <v>36047900</v>
      </c>
      <c r="AB51" s="47"/>
      <c r="AC51" s="30" t="s">
        <v>43</v>
      </c>
      <c r="AD51" s="47"/>
      <c r="AE51" s="11"/>
      <c r="AH51" s="21"/>
    </row>
    <row r="52" spans="1:34" ht="62" x14ac:dyDescent="0.3">
      <c r="A52" s="12"/>
      <c r="B52" s="13"/>
      <c r="C52" s="22" t="s">
        <v>171</v>
      </c>
      <c r="D52" s="129" t="s">
        <v>203</v>
      </c>
      <c r="E52" s="15"/>
      <c r="F52" s="16"/>
      <c r="G52" s="121"/>
      <c r="H52" s="15"/>
      <c r="I52" s="19"/>
      <c r="J52" s="15">
        <v>40</v>
      </c>
      <c r="K52" s="19">
        <v>13150000</v>
      </c>
      <c r="L52" s="15">
        <v>0</v>
      </c>
      <c r="M52" s="19"/>
      <c r="N52" s="15">
        <v>40</v>
      </c>
      <c r="O52" s="19">
        <v>0</v>
      </c>
      <c r="P52" s="15">
        <v>40</v>
      </c>
      <c r="Q52" s="19">
        <v>0</v>
      </c>
      <c r="R52" s="15">
        <v>0</v>
      </c>
      <c r="S52" s="19">
        <v>11900000</v>
      </c>
      <c r="T52" s="48">
        <v>40</v>
      </c>
      <c r="U52" s="47">
        <f t="shared" si="9"/>
        <v>100</v>
      </c>
      <c r="V52" s="30" t="s">
        <v>43</v>
      </c>
      <c r="W52" s="35">
        <f t="shared" si="16"/>
        <v>11900000</v>
      </c>
      <c r="X52" s="47">
        <f t="shared" si="10"/>
        <v>90.49429657794677</v>
      </c>
      <c r="Y52" s="30" t="s">
        <v>43</v>
      </c>
      <c r="Z52" s="48">
        <f t="shared" si="14"/>
        <v>40</v>
      </c>
      <c r="AA52" s="35">
        <f t="shared" si="15"/>
        <v>11900000</v>
      </c>
      <c r="AB52" s="47"/>
      <c r="AC52" s="30" t="s">
        <v>43</v>
      </c>
      <c r="AD52" s="47"/>
      <c r="AE52" s="11"/>
      <c r="AH52" s="21"/>
    </row>
    <row r="53" spans="1:34" ht="93" x14ac:dyDescent="0.3">
      <c r="A53" s="12"/>
      <c r="B53" s="13"/>
      <c r="C53" s="22" t="s">
        <v>87</v>
      </c>
      <c r="D53" s="129" t="s">
        <v>204</v>
      </c>
      <c r="E53" s="15">
        <v>6</v>
      </c>
      <c r="F53" s="16" t="s">
        <v>42</v>
      </c>
      <c r="G53" s="121">
        <v>908450300</v>
      </c>
      <c r="H53" s="15">
        <v>2</v>
      </c>
      <c r="I53" s="19">
        <v>225720000</v>
      </c>
      <c r="J53" s="15">
        <v>2</v>
      </c>
      <c r="K53" s="19">
        <v>292325000</v>
      </c>
      <c r="L53" s="15">
        <v>0</v>
      </c>
      <c r="M53" s="19">
        <v>22100100</v>
      </c>
      <c r="N53" s="15">
        <v>0</v>
      </c>
      <c r="O53" s="19">
        <v>300000</v>
      </c>
      <c r="P53" s="15">
        <v>0</v>
      </c>
      <c r="Q53" s="19">
        <v>133925000</v>
      </c>
      <c r="R53" s="15">
        <v>2</v>
      </c>
      <c r="S53" s="19">
        <v>12946800</v>
      </c>
      <c r="T53" s="48">
        <f t="shared" si="11"/>
        <v>2</v>
      </c>
      <c r="U53" s="47">
        <f t="shared" si="9"/>
        <v>100</v>
      </c>
      <c r="V53" s="30" t="s">
        <v>43</v>
      </c>
      <c r="W53" s="35">
        <f t="shared" si="16"/>
        <v>169271900</v>
      </c>
      <c r="X53" s="47">
        <f t="shared" si="10"/>
        <v>57.905379286752755</v>
      </c>
      <c r="Y53" s="30" t="s">
        <v>43</v>
      </c>
      <c r="Z53" s="48">
        <f t="shared" si="14"/>
        <v>4</v>
      </c>
      <c r="AA53" s="35">
        <f t="shared" si="15"/>
        <v>394991900</v>
      </c>
      <c r="AB53" s="47"/>
      <c r="AC53" s="30" t="s">
        <v>43</v>
      </c>
      <c r="AD53" s="47"/>
      <c r="AE53" s="11"/>
      <c r="AH53" s="21"/>
    </row>
    <row r="54" spans="1:34" ht="124" x14ac:dyDescent="0.3">
      <c r="A54" s="12"/>
      <c r="B54" s="13"/>
      <c r="C54" s="22" t="s">
        <v>88</v>
      </c>
      <c r="D54" s="129" t="s">
        <v>205</v>
      </c>
      <c r="E54" s="15">
        <v>6</v>
      </c>
      <c r="F54" s="16" t="s">
        <v>42</v>
      </c>
      <c r="G54" s="121">
        <v>936300500</v>
      </c>
      <c r="H54" s="15">
        <v>2</v>
      </c>
      <c r="I54" s="19">
        <v>251269000</v>
      </c>
      <c r="J54" s="15">
        <v>2</v>
      </c>
      <c r="K54" s="19">
        <v>305525000</v>
      </c>
      <c r="L54" s="15">
        <v>0</v>
      </c>
      <c r="M54" s="19">
        <v>114562500</v>
      </c>
      <c r="N54" s="15">
        <v>0</v>
      </c>
      <c r="O54" s="19">
        <v>117588500</v>
      </c>
      <c r="P54" s="15">
        <v>0</v>
      </c>
      <c r="Q54" s="19">
        <v>28436300</v>
      </c>
      <c r="R54" s="15">
        <v>2</v>
      </c>
      <c r="S54" s="19">
        <v>29538800</v>
      </c>
      <c r="T54" s="48">
        <f t="shared" si="11"/>
        <v>2</v>
      </c>
      <c r="U54" s="47">
        <f t="shared" si="9"/>
        <v>100</v>
      </c>
      <c r="V54" s="30" t="s">
        <v>43</v>
      </c>
      <c r="W54" s="35">
        <f>SUM(M54,O54,Q54,S54)</f>
        <v>290126100</v>
      </c>
      <c r="X54" s="47">
        <f t="shared" si="10"/>
        <v>94.959855985598566</v>
      </c>
      <c r="Y54" s="30" t="s">
        <v>43</v>
      </c>
      <c r="Z54" s="48">
        <f t="shared" si="14"/>
        <v>4</v>
      </c>
      <c r="AA54" s="35">
        <f t="shared" si="15"/>
        <v>541395100</v>
      </c>
      <c r="AB54" s="47"/>
      <c r="AC54" s="30" t="s">
        <v>43</v>
      </c>
      <c r="AD54" s="47"/>
      <c r="AE54" s="11"/>
      <c r="AH54" s="21"/>
    </row>
    <row r="55" spans="1:34" s="68" customFormat="1" ht="93" x14ac:dyDescent="0.3">
      <c r="A55" s="12"/>
      <c r="B55" s="13"/>
      <c r="C55" s="130" t="s">
        <v>89</v>
      </c>
      <c r="D55" s="91" t="s">
        <v>150</v>
      </c>
      <c r="E55" s="93">
        <v>100</v>
      </c>
      <c r="F55" s="105" t="s">
        <v>43</v>
      </c>
      <c r="G55" s="150">
        <f>SUM(G58:G61)</f>
        <v>259080500</v>
      </c>
      <c r="H55" s="93"/>
      <c r="I55" s="150">
        <f>SUM(I58:I61)</f>
        <v>63659600</v>
      </c>
      <c r="J55" s="93">
        <v>100</v>
      </c>
      <c r="K55" s="150">
        <f>SUM(K58:K61)</f>
        <v>47224800</v>
      </c>
      <c r="L55" s="147">
        <f>3/12*100</f>
        <v>25</v>
      </c>
      <c r="M55" s="150">
        <f>SUM(M58:M61)</f>
        <v>1500000</v>
      </c>
      <c r="N55" s="147">
        <f>3/12*100</f>
        <v>25</v>
      </c>
      <c r="O55" s="150">
        <f>SUM(O58:O61)</f>
        <v>6687500</v>
      </c>
      <c r="P55" s="147">
        <f>3/12*100</f>
        <v>25</v>
      </c>
      <c r="Q55" s="150">
        <f>SUM(Q58:Q61)</f>
        <v>16812300</v>
      </c>
      <c r="R55" s="147">
        <f>3/12*100</f>
        <v>25</v>
      </c>
      <c r="S55" s="150">
        <f>SUM(S58:S61)</f>
        <v>7537500</v>
      </c>
      <c r="T55" s="52">
        <f t="shared" si="11"/>
        <v>100</v>
      </c>
      <c r="U55" s="52">
        <f t="shared" si="9"/>
        <v>100</v>
      </c>
      <c r="V55" s="51" t="s">
        <v>43</v>
      </c>
      <c r="W55" s="50">
        <f t="shared" si="13"/>
        <v>25849800</v>
      </c>
      <c r="X55" s="49">
        <f t="shared" si="10"/>
        <v>54.737764903186459</v>
      </c>
      <c r="Y55" s="51" t="s">
        <v>43</v>
      </c>
      <c r="Z55" s="52">
        <f t="shared" si="14"/>
        <v>100</v>
      </c>
      <c r="AA55" s="50">
        <f t="shared" si="15"/>
        <v>89509400</v>
      </c>
      <c r="AB55" s="49"/>
      <c r="AC55" s="51" t="s">
        <v>43</v>
      </c>
      <c r="AD55" s="49"/>
      <c r="AE55" s="70"/>
      <c r="AH55" s="69"/>
    </row>
    <row r="56" spans="1:34" s="68" customFormat="1" ht="62" x14ac:dyDescent="0.3">
      <c r="A56" s="12"/>
      <c r="B56" s="13"/>
      <c r="C56" s="77"/>
      <c r="D56" s="91" t="s">
        <v>151</v>
      </c>
      <c r="E56" s="93">
        <v>100</v>
      </c>
      <c r="F56" s="105" t="s">
        <v>43</v>
      </c>
      <c r="G56" s="151"/>
      <c r="H56" s="93"/>
      <c r="I56" s="151"/>
      <c r="J56" s="93">
        <v>100</v>
      </c>
      <c r="K56" s="151"/>
      <c r="L56" s="147">
        <f>1/4*100</f>
        <v>25</v>
      </c>
      <c r="M56" s="151"/>
      <c r="N56" s="147">
        <f>1/4*100</f>
        <v>25</v>
      </c>
      <c r="O56" s="151"/>
      <c r="P56" s="147">
        <f>1/4*100</f>
        <v>25</v>
      </c>
      <c r="Q56" s="151"/>
      <c r="R56" s="147">
        <f>1/4*100</f>
        <v>25</v>
      </c>
      <c r="S56" s="37"/>
      <c r="T56" s="52">
        <f t="shared" si="11"/>
        <v>100</v>
      </c>
      <c r="U56" s="52">
        <f t="shared" si="9"/>
        <v>100</v>
      </c>
      <c r="V56" s="51" t="s">
        <v>43</v>
      </c>
      <c r="W56" s="50">
        <f t="shared" si="13"/>
        <v>0</v>
      </c>
      <c r="X56" s="49"/>
      <c r="Y56" s="51" t="s">
        <v>43</v>
      </c>
      <c r="Z56" s="52">
        <f t="shared" si="14"/>
        <v>100</v>
      </c>
      <c r="AA56" s="50">
        <f t="shared" si="15"/>
        <v>0</v>
      </c>
      <c r="AB56" s="49"/>
      <c r="AC56" s="51"/>
      <c r="AD56" s="49"/>
      <c r="AE56" s="70"/>
      <c r="AH56" s="69"/>
    </row>
    <row r="57" spans="1:34" s="68" customFormat="1" ht="46.5" x14ac:dyDescent="0.3">
      <c r="A57" s="12"/>
      <c r="B57" s="13"/>
      <c r="C57" s="92"/>
      <c r="D57" s="130" t="s">
        <v>152</v>
      </c>
      <c r="E57" s="93">
        <v>100</v>
      </c>
      <c r="F57" s="105" t="s">
        <v>43</v>
      </c>
      <c r="G57" s="152"/>
      <c r="H57" s="93"/>
      <c r="I57" s="152"/>
      <c r="J57" s="93">
        <v>100</v>
      </c>
      <c r="K57" s="152"/>
      <c r="L57" s="107">
        <v>25</v>
      </c>
      <c r="M57" s="152"/>
      <c r="N57" s="107">
        <v>25</v>
      </c>
      <c r="O57" s="152"/>
      <c r="P57" s="107">
        <v>25</v>
      </c>
      <c r="Q57" s="152"/>
      <c r="R57" s="107">
        <v>25</v>
      </c>
      <c r="S57" s="37"/>
      <c r="T57" s="49">
        <f t="shared" si="11"/>
        <v>100</v>
      </c>
      <c r="U57" s="49">
        <f t="shared" si="9"/>
        <v>100</v>
      </c>
      <c r="V57" s="51" t="s">
        <v>43</v>
      </c>
      <c r="W57" s="50">
        <f>SUM(M57,O57,Q57,S57)</f>
        <v>0</v>
      </c>
      <c r="X57" s="49"/>
      <c r="Y57" s="51" t="s">
        <v>43</v>
      </c>
      <c r="Z57" s="52">
        <f t="shared" si="14"/>
        <v>100</v>
      </c>
      <c r="AA57" s="50">
        <f t="shared" si="15"/>
        <v>0</v>
      </c>
      <c r="AB57" s="49"/>
      <c r="AC57" s="51"/>
      <c r="AD57" s="49"/>
      <c r="AE57" s="70"/>
      <c r="AH57" s="69"/>
    </row>
    <row r="58" spans="1:34" ht="46.5" x14ac:dyDescent="0.3">
      <c r="A58" s="12"/>
      <c r="B58" s="13"/>
      <c r="C58" s="22" t="s">
        <v>90</v>
      </c>
      <c r="D58" s="25" t="s">
        <v>206</v>
      </c>
      <c r="E58" s="15">
        <v>3</v>
      </c>
      <c r="F58" s="16" t="s">
        <v>42</v>
      </c>
      <c r="G58" s="121">
        <v>13559600</v>
      </c>
      <c r="H58" s="39"/>
      <c r="I58" s="18">
        <v>3257300</v>
      </c>
      <c r="J58" s="15">
        <v>1</v>
      </c>
      <c r="K58" s="19">
        <v>3019700</v>
      </c>
      <c r="L58" s="15">
        <v>0</v>
      </c>
      <c r="M58" s="19">
        <v>0</v>
      </c>
      <c r="N58" s="15">
        <v>0</v>
      </c>
      <c r="O58" s="37">
        <v>0</v>
      </c>
      <c r="P58" s="15">
        <v>0</v>
      </c>
      <c r="Q58" s="37">
        <v>2269700</v>
      </c>
      <c r="R58" s="15">
        <v>1</v>
      </c>
      <c r="S58" s="19">
        <v>0</v>
      </c>
      <c r="T58" s="48">
        <f t="shared" si="11"/>
        <v>1</v>
      </c>
      <c r="U58" s="47">
        <f t="shared" si="9"/>
        <v>100</v>
      </c>
      <c r="V58" s="30" t="s">
        <v>43</v>
      </c>
      <c r="W58" s="35">
        <f>SUM(M58,O58,Q58,S58)</f>
        <v>2269700</v>
      </c>
      <c r="X58" s="47">
        <f t="shared" si="10"/>
        <v>75.163095671755471</v>
      </c>
      <c r="Y58" s="30" t="s">
        <v>43</v>
      </c>
      <c r="Z58" s="48">
        <f t="shared" si="14"/>
        <v>1</v>
      </c>
      <c r="AA58" s="35">
        <f t="shared" si="15"/>
        <v>5527000</v>
      </c>
      <c r="AB58" s="47"/>
      <c r="AC58" s="30" t="s">
        <v>43</v>
      </c>
      <c r="AD58" s="47"/>
      <c r="AE58" s="11"/>
      <c r="AH58" s="21"/>
    </row>
    <row r="59" spans="1:34" ht="155" x14ac:dyDescent="0.3">
      <c r="A59" s="12"/>
      <c r="B59" s="13"/>
      <c r="C59" s="22" t="s">
        <v>91</v>
      </c>
      <c r="D59" s="25" t="s">
        <v>207</v>
      </c>
      <c r="E59" s="15">
        <v>36</v>
      </c>
      <c r="F59" s="16" t="s">
        <v>42</v>
      </c>
      <c r="G59" s="121">
        <v>154020300</v>
      </c>
      <c r="H59" s="39"/>
      <c r="I59" s="18">
        <v>16622500</v>
      </c>
      <c r="J59" s="15">
        <v>12</v>
      </c>
      <c r="K59" s="19">
        <v>24330100</v>
      </c>
      <c r="L59" s="15">
        <v>3</v>
      </c>
      <c r="M59" s="19">
        <v>0</v>
      </c>
      <c r="N59" s="15">
        <v>3</v>
      </c>
      <c r="O59" s="19">
        <v>2625000</v>
      </c>
      <c r="P59" s="15">
        <v>3</v>
      </c>
      <c r="Q59" s="19">
        <v>5892600</v>
      </c>
      <c r="R59" s="15">
        <v>3</v>
      </c>
      <c r="S59" s="19">
        <v>3750000</v>
      </c>
      <c r="T59" s="48">
        <f t="shared" si="11"/>
        <v>12</v>
      </c>
      <c r="U59" s="47">
        <f t="shared" si="9"/>
        <v>100</v>
      </c>
      <c r="V59" s="30" t="s">
        <v>43</v>
      </c>
      <c r="W59" s="35">
        <f t="shared" ref="W59:W61" si="17">SUM(M59,O59,Q59,S59)</f>
        <v>12267600</v>
      </c>
      <c r="X59" s="47">
        <f t="shared" si="10"/>
        <v>50.421494362949595</v>
      </c>
      <c r="Y59" s="30" t="s">
        <v>43</v>
      </c>
      <c r="Z59" s="48">
        <f t="shared" si="14"/>
        <v>12</v>
      </c>
      <c r="AA59" s="35">
        <f t="shared" si="15"/>
        <v>28890100</v>
      </c>
      <c r="AB59" s="47"/>
      <c r="AC59" s="30" t="s">
        <v>43</v>
      </c>
      <c r="AD59" s="47"/>
      <c r="AE59" s="11"/>
      <c r="AH59" s="21"/>
    </row>
    <row r="60" spans="1:34" ht="170.5" x14ac:dyDescent="0.3">
      <c r="A60" s="12"/>
      <c r="B60" s="13"/>
      <c r="C60" s="22" t="s">
        <v>92</v>
      </c>
      <c r="D60" s="25" t="s">
        <v>208</v>
      </c>
      <c r="E60" s="15">
        <v>3</v>
      </c>
      <c r="F60" s="16" t="s">
        <v>42</v>
      </c>
      <c r="G60" s="121">
        <v>27830500</v>
      </c>
      <c r="H60" s="39"/>
      <c r="I60" s="18">
        <v>20360000</v>
      </c>
      <c r="J60" s="15">
        <v>1</v>
      </c>
      <c r="K60" s="19">
        <v>1875000</v>
      </c>
      <c r="L60" s="15"/>
      <c r="M60" s="19"/>
      <c r="N60" s="15">
        <v>0</v>
      </c>
      <c r="O60" s="19">
        <v>0</v>
      </c>
      <c r="P60" s="15">
        <v>0</v>
      </c>
      <c r="Q60" s="19">
        <v>0</v>
      </c>
      <c r="R60" s="15">
        <v>1</v>
      </c>
      <c r="S60" s="19">
        <v>0</v>
      </c>
      <c r="T60" s="48">
        <f t="shared" si="11"/>
        <v>1</v>
      </c>
      <c r="U60" s="47">
        <f t="shared" si="9"/>
        <v>100</v>
      </c>
      <c r="V60" s="30" t="s">
        <v>43</v>
      </c>
      <c r="W60" s="35">
        <f t="shared" si="17"/>
        <v>0</v>
      </c>
      <c r="X60" s="47">
        <f t="shared" si="10"/>
        <v>0</v>
      </c>
      <c r="Y60" s="30" t="s">
        <v>43</v>
      </c>
      <c r="Z60" s="48">
        <f t="shared" si="14"/>
        <v>1</v>
      </c>
      <c r="AA60" s="35">
        <f t="shared" si="15"/>
        <v>20360000</v>
      </c>
      <c r="AB60" s="47"/>
      <c r="AC60" s="30" t="s">
        <v>43</v>
      </c>
      <c r="AD60" s="47"/>
      <c r="AE60" s="11"/>
      <c r="AH60" s="21"/>
    </row>
    <row r="61" spans="1:34" ht="139.5" x14ac:dyDescent="0.3">
      <c r="A61" s="12"/>
      <c r="B61" s="13"/>
      <c r="C61" s="22" t="s">
        <v>93</v>
      </c>
      <c r="D61" s="25" t="s">
        <v>209</v>
      </c>
      <c r="E61" s="65">
        <v>12</v>
      </c>
      <c r="F61" s="16" t="s">
        <v>42</v>
      </c>
      <c r="G61" s="121">
        <v>63670100</v>
      </c>
      <c r="H61" s="15">
        <v>4</v>
      </c>
      <c r="I61" s="19">
        <v>23419800</v>
      </c>
      <c r="J61" s="65">
        <v>4</v>
      </c>
      <c r="K61" s="19">
        <v>18000000</v>
      </c>
      <c r="L61" s="65">
        <v>1</v>
      </c>
      <c r="M61" s="19">
        <v>1500000</v>
      </c>
      <c r="N61" s="15">
        <v>1</v>
      </c>
      <c r="O61" s="19">
        <v>4062500</v>
      </c>
      <c r="P61" s="15">
        <v>1</v>
      </c>
      <c r="Q61" s="19">
        <v>8650000</v>
      </c>
      <c r="R61" s="15">
        <v>1</v>
      </c>
      <c r="S61" s="19">
        <v>3787500</v>
      </c>
      <c r="T61" s="48">
        <f t="shared" si="11"/>
        <v>4</v>
      </c>
      <c r="U61" s="47">
        <f t="shared" si="9"/>
        <v>100</v>
      </c>
      <c r="V61" s="30" t="s">
        <v>43</v>
      </c>
      <c r="W61" s="35">
        <f t="shared" si="17"/>
        <v>18000000</v>
      </c>
      <c r="X61" s="47">
        <f t="shared" si="10"/>
        <v>100</v>
      </c>
      <c r="Y61" s="30" t="s">
        <v>43</v>
      </c>
      <c r="Z61" s="48">
        <f t="shared" si="14"/>
        <v>8</v>
      </c>
      <c r="AA61" s="35">
        <f t="shared" si="15"/>
        <v>41419800</v>
      </c>
      <c r="AB61" s="47"/>
      <c r="AC61" s="30" t="s">
        <v>43</v>
      </c>
      <c r="AD61" s="47"/>
      <c r="AE61" s="11"/>
      <c r="AH61" s="21"/>
    </row>
    <row r="62" spans="1:34" s="102" customFormat="1" ht="77.5" x14ac:dyDescent="0.3">
      <c r="A62" s="76"/>
      <c r="B62" s="77"/>
      <c r="C62" s="130" t="s">
        <v>94</v>
      </c>
      <c r="D62" s="91" t="s">
        <v>153</v>
      </c>
      <c r="E62" s="93">
        <v>100</v>
      </c>
      <c r="F62" s="105" t="s">
        <v>43</v>
      </c>
      <c r="G62" s="150">
        <f>SUM(G65:G68)</f>
        <v>919138500</v>
      </c>
      <c r="H62" s="93"/>
      <c r="I62" s="150">
        <f>SUM(I65:I68)</f>
        <v>213376000</v>
      </c>
      <c r="J62" s="93">
        <f>J65/J65*100</f>
        <v>100</v>
      </c>
      <c r="K62" s="150">
        <f>SUM(K65:K68)</f>
        <v>280004650</v>
      </c>
      <c r="L62" s="147">
        <v>100</v>
      </c>
      <c r="M62" s="150">
        <f>SUM(M65:M67)</f>
        <v>7875000</v>
      </c>
      <c r="N62" s="147">
        <v>100</v>
      </c>
      <c r="O62" s="150">
        <f>SUM(O65:O67)</f>
        <v>54963550</v>
      </c>
      <c r="P62" s="147">
        <v>100</v>
      </c>
      <c r="Q62" s="150">
        <f>SUM(Q65:Q67)</f>
        <v>104103650</v>
      </c>
      <c r="R62" s="147">
        <v>100</v>
      </c>
      <c r="S62" s="150">
        <f>SUM(S65:S67)</f>
        <v>50160500</v>
      </c>
      <c r="T62" s="97">
        <f>AVERAGE(L62,N62,P62,R62)</f>
        <v>100</v>
      </c>
      <c r="U62" s="97">
        <f t="shared" si="9"/>
        <v>100</v>
      </c>
      <c r="V62" s="99" t="s">
        <v>43</v>
      </c>
      <c r="W62" s="100">
        <f t="shared" si="13"/>
        <v>162139150</v>
      </c>
      <c r="X62" s="98">
        <f t="shared" si="10"/>
        <v>57.905877634532146</v>
      </c>
      <c r="Y62" s="99" t="s">
        <v>43</v>
      </c>
      <c r="Z62" s="97">
        <f t="shared" si="14"/>
        <v>100</v>
      </c>
      <c r="AA62" s="100">
        <f t="shared" si="15"/>
        <v>375515150</v>
      </c>
      <c r="AB62" s="98"/>
      <c r="AC62" s="99" t="s">
        <v>43</v>
      </c>
      <c r="AD62" s="98"/>
      <c r="AE62" s="106"/>
      <c r="AH62" s="103"/>
    </row>
    <row r="63" spans="1:34" s="102" customFormat="1" ht="62" x14ac:dyDescent="0.3">
      <c r="A63" s="76"/>
      <c r="B63" s="77"/>
      <c r="C63" s="77"/>
      <c r="D63" s="91" t="s">
        <v>154</v>
      </c>
      <c r="E63" s="93">
        <v>100</v>
      </c>
      <c r="F63" s="105" t="s">
        <v>43</v>
      </c>
      <c r="G63" s="151"/>
      <c r="H63" s="93"/>
      <c r="I63" s="151"/>
      <c r="J63" s="93">
        <f>J66/J66*100</f>
        <v>100</v>
      </c>
      <c r="K63" s="151"/>
      <c r="L63" s="93">
        <v>0</v>
      </c>
      <c r="M63" s="151"/>
      <c r="N63" s="93">
        <v>0</v>
      </c>
      <c r="O63" s="151"/>
      <c r="P63" s="93">
        <f>2/2*100</f>
        <v>100</v>
      </c>
      <c r="Q63" s="151"/>
      <c r="R63" s="93"/>
      <c r="S63" s="96"/>
      <c r="T63" s="97">
        <f t="shared" si="11"/>
        <v>100</v>
      </c>
      <c r="U63" s="98">
        <f t="shared" si="9"/>
        <v>100</v>
      </c>
      <c r="V63" s="99" t="s">
        <v>43</v>
      </c>
      <c r="W63" s="100">
        <f>SUM(M63,O63,Q63,S63)</f>
        <v>0</v>
      </c>
      <c r="X63" s="98" t="e">
        <f>W63/K63*100</f>
        <v>#DIV/0!</v>
      </c>
      <c r="Y63" s="99" t="s">
        <v>43</v>
      </c>
      <c r="Z63" s="97">
        <f t="shared" si="14"/>
        <v>100</v>
      </c>
      <c r="AA63" s="100">
        <f t="shared" si="15"/>
        <v>0</v>
      </c>
      <c r="AB63" s="98"/>
      <c r="AC63" s="99"/>
      <c r="AD63" s="98"/>
      <c r="AE63" s="106"/>
      <c r="AH63" s="103"/>
    </row>
    <row r="64" spans="1:34" s="102" customFormat="1" ht="144" customHeight="1" x14ac:dyDescent="0.3">
      <c r="A64" s="76"/>
      <c r="B64" s="77"/>
      <c r="C64" s="92"/>
      <c r="D64" s="91" t="s">
        <v>155</v>
      </c>
      <c r="E64" s="93">
        <v>100</v>
      </c>
      <c r="F64" s="105" t="s">
        <v>43</v>
      </c>
      <c r="G64" s="152"/>
      <c r="H64" s="93"/>
      <c r="I64" s="152"/>
      <c r="J64" s="93">
        <f>(22+22+275+22+22+275)/(22+22+275+22+22+275)*100</f>
        <v>100</v>
      </c>
      <c r="K64" s="152"/>
      <c r="L64" s="107">
        <f>(22)/(22+22+275+22+22+275)*100</f>
        <v>3.4482758620689653</v>
      </c>
      <c r="M64" s="152"/>
      <c r="N64" s="107">
        <f>(22)/(22+22+275+22+22+275)*100</f>
        <v>3.4482758620689653</v>
      </c>
      <c r="O64" s="152"/>
      <c r="P64" s="107">
        <f>(22+275)/(22+22+275+22+22+275)*100</f>
        <v>46.551724137931032</v>
      </c>
      <c r="Q64" s="152"/>
      <c r="R64" s="107">
        <f>(22+275)/(22+22+275+22+22+275)*100</f>
        <v>46.551724137931032</v>
      </c>
      <c r="S64" s="96"/>
      <c r="T64" s="98">
        <f t="shared" si="11"/>
        <v>100</v>
      </c>
      <c r="U64" s="98">
        <f t="shared" si="9"/>
        <v>100</v>
      </c>
      <c r="V64" s="99" t="s">
        <v>43</v>
      </c>
      <c r="W64" s="100">
        <f>SUM(M64,O64,Q64,S64)</f>
        <v>0</v>
      </c>
      <c r="X64" s="98" t="e">
        <f t="shared" si="10"/>
        <v>#DIV/0!</v>
      </c>
      <c r="Y64" s="99" t="s">
        <v>43</v>
      </c>
      <c r="Z64" s="98">
        <f t="shared" si="14"/>
        <v>100</v>
      </c>
      <c r="AA64" s="100">
        <f t="shared" si="15"/>
        <v>0</v>
      </c>
      <c r="AB64" s="98"/>
      <c r="AC64" s="99"/>
      <c r="AD64" s="98"/>
      <c r="AE64" s="106"/>
      <c r="AH64" s="103"/>
    </row>
    <row r="65" spans="1:34" ht="162.75" customHeight="1" x14ac:dyDescent="0.3">
      <c r="A65" s="12"/>
      <c r="B65" s="13"/>
      <c r="C65" s="22" t="s">
        <v>95</v>
      </c>
      <c r="D65" s="25" t="s">
        <v>210</v>
      </c>
      <c r="E65" s="15">
        <v>6</v>
      </c>
      <c r="F65" s="16" t="s">
        <v>79</v>
      </c>
      <c r="G65" s="121">
        <v>371944900</v>
      </c>
      <c r="H65" s="39"/>
      <c r="I65" s="18">
        <v>31825000</v>
      </c>
      <c r="J65" s="15">
        <v>6</v>
      </c>
      <c r="K65" s="19">
        <v>128499950</v>
      </c>
      <c r="L65" s="15">
        <v>0</v>
      </c>
      <c r="M65" s="19">
        <v>4500000</v>
      </c>
      <c r="N65" s="15"/>
      <c r="O65" s="83">
        <v>4900000</v>
      </c>
      <c r="P65" s="15">
        <v>4</v>
      </c>
      <c r="Q65" s="83">
        <v>32012500</v>
      </c>
      <c r="R65" s="15">
        <v>2</v>
      </c>
      <c r="S65" s="19">
        <v>37660500</v>
      </c>
      <c r="T65" s="48">
        <f t="shared" si="11"/>
        <v>6</v>
      </c>
      <c r="U65" s="47">
        <f t="shared" si="9"/>
        <v>100</v>
      </c>
      <c r="V65" s="30" t="s">
        <v>43</v>
      </c>
      <c r="W65" s="35">
        <f>SUM(M65,O65,Q65,S65)</f>
        <v>79073000</v>
      </c>
      <c r="X65" s="47">
        <f t="shared" si="10"/>
        <v>61.535432504059337</v>
      </c>
      <c r="Y65" s="30" t="s">
        <v>43</v>
      </c>
      <c r="Z65" s="48">
        <f t="shared" si="14"/>
        <v>6</v>
      </c>
      <c r="AA65" s="35">
        <f t="shared" si="15"/>
        <v>110898000</v>
      </c>
      <c r="AB65" s="47"/>
      <c r="AC65" s="30" t="s">
        <v>43</v>
      </c>
      <c r="AD65" s="47"/>
      <c r="AE65" s="11"/>
      <c r="AH65" s="21"/>
    </row>
    <row r="66" spans="1:34" ht="93" x14ac:dyDescent="0.3">
      <c r="A66" s="12"/>
      <c r="B66" s="13"/>
      <c r="C66" s="22" t="s">
        <v>96</v>
      </c>
      <c r="D66" s="25" t="s">
        <v>211</v>
      </c>
      <c r="E66" s="15">
        <v>18</v>
      </c>
      <c r="F66" s="16" t="s">
        <v>124</v>
      </c>
      <c r="G66" s="121">
        <v>192401000</v>
      </c>
      <c r="H66" s="15">
        <v>2</v>
      </c>
      <c r="I66" s="19">
        <v>54908500</v>
      </c>
      <c r="J66" s="15">
        <v>18</v>
      </c>
      <c r="K66" s="19">
        <v>60321250</v>
      </c>
      <c r="L66" s="15">
        <v>5</v>
      </c>
      <c r="M66" s="19">
        <v>3375000</v>
      </c>
      <c r="N66" s="15">
        <v>4</v>
      </c>
      <c r="O66" s="83">
        <v>29321250</v>
      </c>
      <c r="P66" s="15">
        <v>5</v>
      </c>
      <c r="Q66" s="83">
        <v>2450000</v>
      </c>
      <c r="R66" s="15">
        <v>4</v>
      </c>
      <c r="S66" s="19">
        <v>12000000</v>
      </c>
      <c r="T66" s="48">
        <f t="shared" si="11"/>
        <v>18</v>
      </c>
      <c r="U66" s="47">
        <f t="shared" si="9"/>
        <v>100</v>
      </c>
      <c r="V66" s="30" t="s">
        <v>43</v>
      </c>
      <c r="W66" s="35">
        <f t="shared" ref="W66:W67" si="18">SUM(M66,O66,Q66,S66)</f>
        <v>47146250</v>
      </c>
      <c r="X66" s="47">
        <f t="shared" si="10"/>
        <v>78.158609113703719</v>
      </c>
      <c r="Y66" s="30" t="s">
        <v>43</v>
      </c>
      <c r="Z66" s="48">
        <f t="shared" si="14"/>
        <v>20</v>
      </c>
      <c r="AA66" s="35">
        <f t="shared" si="15"/>
        <v>102054750</v>
      </c>
      <c r="AB66" s="47"/>
      <c r="AC66" s="30" t="s">
        <v>43</v>
      </c>
      <c r="AD66" s="47"/>
      <c r="AE66" s="11"/>
      <c r="AH66" s="21"/>
    </row>
    <row r="67" spans="1:34" ht="201.5" x14ac:dyDescent="0.3">
      <c r="A67" s="12"/>
      <c r="B67" s="13"/>
      <c r="C67" s="22" t="s">
        <v>98</v>
      </c>
      <c r="D67" s="25" t="s">
        <v>212</v>
      </c>
      <c r="E67" s="15">
        <f>4*3</f>
        <v>12</v>
      </c>
      <c r="F67" s="16" t="s">
        <v>42</v>
      </c>
      <c r="G67" s="121">
        <v>336637600</v>
      </c>
      <c r="H67" s="39"/>
      <c r="I67" s="18">
        <v>108487500</v>
      </c>
      <c r="J67" s="15">
        <v>2</v>
      </c>
      <c r="K67" s="19">
        <v>91183450</v>
      </c>
      <c r="L67" s="15">
        <v>0</v>
      </c>
      <c r="M67" s="19">
        <v>0</v>
      </c>
      <c r="N67" s="15">
        <v>0</v>
      </c>
      <c r="O67" s="19">
        <v>20742300</v>
      </c>
      <c r="P67" s="15">
        <v>2</v>
      </c>
      <c r="Q67" s="19">
        <v>69641150</v>
      </c>
      <c r="R67" s="15">
        <v>0</v>
      </c>
      <c r="S67" s="19">
        <v>500000</v>
      </c>
      <c r="T67" s="48">
        <f t="shared" si="11"/>
        <v>2</v>
      </c>
      <c r="U67" s="47">
        <f t="shared" si="9"/>
        <v>100</v>
      </c>
      <c r="V67" s="30" t="s">
        <v>43</v>
      </c>
      <c r="W67" s="35">
        <f t="shared" si="18"/>
        <v>90883450</v>
      </c>
      <c r="X67" s="47">
        <f t="shared" si="10"/>
        <v>99.670992926896275</v>
      </c>
      <c r="Y67" s="30" t="s">
        <v>43</v>
      </c>
      <c r="Z67" s="48">
        <f t="shared" si="14"/>
        <v>2</v>
      </c>
      <c r="AA67" s="35">
        <f t="shared" si="15"/>
        <v>199370950</v>
      </c>
      <c r="AB67" s="47"/>
      <c r="AC67" s="30" t="s">
        <v>43</v>
      </c>
      <c r="AD67" s="47"/>
      <c r="AE67" s="11"/>
      <c r="AH67" s="21"/>
    </row>
    <row r="68" spans="1:34" s="89" customFormat="1" ht="93" x14ac:dyDescent="0.3">
      <c r="A68" s="76"/>
      <c r="B68" s="77"/>
      <c r="C68" s="154" t="s">
        <v>97</v>
      </c>
      <c r="D68" s="153" t="s">
        <v>213</v>
      </c>
      <c r="E68" s="78">
        <v>51</v>
      </c>
      <c r="F68" s="79" t="s">
        <v>79</v>
      </c>
      <c r="G68" s="134">
        <v>18155000</v>
      </c>
      <c r="H68" s="80"/>
      <c r="I68" s="81">
        <v>18155000</v>
      </c>
      <c r="J68" s="78"/>
      <c r="K68" s="83"/>
      <c r="L68" s="78"/>
      <c r="M68" s="83"/>
      <c r="N68" s="78"/>
      <c r="O68" s="19"/>
      <c r="P68" s="78"/>
      <c r="Q68" s="19"/>
      <c r="R68" s="78"/>
      <c r="S68" s="83"/>
      <c r="T68" s="84"/>
      <c r="U68" s="85"/>
      <c r="V68" s="86"/>
      <c r="W68" s="87"/>
      <c r="X68" s="85"/>
      <c r="Y68" s="86"/>
      <c r="Z68" s="84">
        <f t="shared" si="14"/>
        <v>0</v>
      </c>
      <c r="AA68" s="87">
        <f t="shared" si="15"/>
        <v>18155000</v>
      </c>
      <c r="AB68" s="85"/>
      <c r="AC68" s="86" t="s">
        <v>43</v>
      </c>
      <c r="AD68" s="85"/>
      <c r="AE68" s="88"/>
      <c r="AH68" s="90"/>
    </row>
    <row r="69" spans="1:34" s="89" customFormat="1" ht="77.5" x14ac:dyDescent="0.3">
      <c r="A69" s="76"/>
      <c r="B69" s="77"/>
      <c r="C69" s="92" t="s">
        <v>99</v>
      </c>
      <c r="D69" s="91" t="s">
        <v>122</v>
      </c>
      <c r="E69" s="40">
        <v>100</v>
      </c>
      <c r="F69" s="41" t="s">
        <v>43</v>
      </c>
      <c r="G69" s="96">
        <f>SUM(G70:G72)</f>
        <v>606565439448</v>
      </c>
      <c r="H69" s="93"/>
      <c r="I69" s="96">
        <f>SUM(I70:I72)</f>
        <v>75516673918</v>
      </c>
      <c r="J69" s="93">
        <v>100</v>
      </c>
      <c r="K69" s="96">
        <f>SUM(K70:K72)</f>
        <v>205726630069</v>
      </c>
      <c r="L69" s="107">
        <v>25</v>
      </c>
      <c r="M69" s="96">
        <f>SUM(M70:M72)</f>
        <v>28119647636</v>
      </c>
      <c r="N69" s="107">
        <v>25</v>
      </c>
      <c r="O69" s="96">
        <f>SUM(O70:O72)</f>
        <v>40764494900</v>
      </c>
      <c r="P69" s="107">
        <v>25</v>
      </c>
      <c r="Q69" s="96">
        <f>SUM(Q70:Q72)</f>
        <v>85029825280</v>
      </c>
      <c r="R69" s="107">
        <v>25</v>
      </c>
      <c r="S69" s="96">
        <f>SUM(S70:S72)</f>
        <v>39865923220</v>
      </c>
      <c r="T69" s="98">
        <f t="shared" ref="T69:T94" si="19">SUM(L69,N69,P69,R69)</f>
        <v>100</v>
      </c>
      <c r="U69" s="98">
        <f t="shared" ref="U69:U94" si="20">T69/J69*100</f>
        <v>100</v>
      </c>
      <c r="V69" s="99" t="s">
        <v>43</v>
      </c>
      <c r="W69" s="100">
        <f>SUM(M69,O71,Q69,O69+S69)</f>
        <v>193900430036</v>
      </c>
      <c r="X69" s="98">
        <f t="shared" ref="X69:X103" si="21">W69/K69*100</f>
        <v>94.251497713721591</v>
      </c>
      <c r="Y69" s="99" t="s">
        <v>43</v>
      </c>
      <c r="Z69" s="97">
        <f t="shared" si="14"/>
        <v>100</v>
      </c>
      <c r="AA69" s="100">
        <f t="shared" si="15"/>
        <v>269417103954</v>
      </c>
      <c r="AB69" s="98"/>
      <c r="AC69" s="99" t="s">
        <v>43</v>
      </c>
      <c r="AD69" s="98"/>
      <c r="AE69" s="88"/>
      <c r="AH69" s="90"/>
    </row>
    <row r="70" spans="1:34" ht="77.5" x14ac:dyDescent="0.3">
      <c r="A70" s="12"/>
      <c r="B70" s="13"/>
      <c r="C70" s="22" t="s">
        <v>100</v>
      </c>
      <c r="D70" s="25" t="s">
        <v>214</v>
      </c>
      <c r="E70" s="15">
        <v>100</v>
      </c>
      <c r="F70" s="16" t="s">
        <v>79</v>
      </c>
      <c r="G70" s="44">
        <v>565003532000</v>
      </c>
      <c r="H70" s="39"/>
      <c r="I70" s="18">
        <v>64400000000</v>
      </c>
      <c r="J70" s="15">
        <v>12</v>
      </c>
      <c r="K70" s="19">
        <v>188998562000</v>
      </c>
      <c r="L70" s="142">
        <v>3</v>
      </c>
      <c r="M70" s="19">
        <v>26339122886</v>
      </c>
      <c r="N70" s="17">
        <v>3</v>
      </c>
      <c r="O70" s="83">
        <v>39198080150</v>
      </c>
      <c r="P70" s="17">
        <v>3</v>
      </c>
      <c r="Q70" s="83">
        <v>84382455280</v>
      </c>
      <c r="R70" s="17">
        <v>3</v>
      </c>
      <c r="S70" s="19">
        <v>38716106720</v>
      </c>
      <c r="T70" s="47">
        <f t="shared" si="19"/>
        <v>12</v>
      </c>
      <c r="U70" s="47">
        <f t="shared" si="20"/>
        <v>100</v>
      </c>
      <c r="V70" s="30" t="s">
        <v>43</v>
      </c>
      <c r="W70" s="35">
        <f>SUM(M70,O70,Q70,S70)</f>
        <v>188635765036</v>
      </c>
      <c r="X70" s="47">
        <f t="shared" si="21"/>
        <v>99.808042473889302</v>
      </c>
      <c r="Y70" s="30" t="s">
        <v>43</v>
      </c>
      <c r="Z70" s="48">
        <f t="shared" si="14"/>
        <v>12</v>
      </c>
      <c r="AA70" s="35">
        <f t="shared" si="15"/>
        <v>253035765036</v>
      </c>
      <c r="AB70" s="47"/>
      <c r="AC70" s="30" t="s">
        <v>43</v>
      </c>
      <c r="AD70" s="47"/>
      <c r="AE70" s="11"/>
      <c r="AH70" s="21"/>
    </row>
    <row r="71" spans="1:34" ht="62" x14ac:dyDescent="0.3">
      <c r="A71" s="12"/>
      <c r="B71" s="13"/>
      <c r="C71" s="22" t="s">
        <v>101</v>
      </c>
      <c r="D71" s="25" t="s">
        <v>215</v>
      </c>
      <c r="E71" s="15">
        <v>100</v>
      </c>
      <c r="F71" s="16" t="s">
        <v>79</v>
      </c>
      <c r="G71" s="44">
        <v>33675312448</v>
      </c>
      <c r="H71" s="39"/>
      <c r="I71" s="18">
        <v>8487808918</v>
      </c>
      <c r="J71" s="15">
        <v>12</v>
      </c>
      <c r="K71" s="19">
        <v>14099203069</v>
      </c>
      <c r="L71" s="17">
        <v>3</v>
      </c>
      <c r="M71" s="19">
        <v>860422000</v>
      </c>
      <c r="N71" s="17">
        <v>3</v>
      </c>
      <c r="O71" s="83">
        <v>120539000</v>
      </c>
      <c r="P71" s="17">
        <v>3</v>
      </c>
      <c r="Q71" s="83">
        <v>647370000</v>
      </c>
      <c r="R71" s="17">
        <v>3</v>
      </c>
      <c r="S71" s="19">
        <v>886930000</v>
      </c>
      <c r="T71" s="47">
        <f t="shared" si="19"/>
        <v>12</v>
      </c>
      <c r="U71" s="47">
        <f t="shared" si="20"/>
        <v>100</v>
      </c>
      <c r="V71" s="30" t="s">
        <v>43</v>
      </c>
      <c r="W71" s="35">
        <f>SUM(M71,O71,Q71,S71)</f>
        <v>2515261000</v>
      </c>
      <c r="X71" s="47">
        <f t="shared" si="21"/>
        <v>17.83973879722549</v>
      </c>
      <c r="Y71" s="30" t="s">
        <v>43</v>
      </c>
      <c r="Z71" s="48">
        <f t="shared" si="14"/>
        <v>12</v>
      </c>
      <c r="AA71" s="35">
        <f t="shared" si="15"/>
        <v>11003069918</v>
      </c>
      <c r="AB71" s="47"/>
      <c r="AC71" s="30" t="s">
        <v>43</v>
      </c>
      <c r="AD71" s="47"/>
      <c r="AE71" s="11"/>
      <c r="AH71" s="21"/>
    </row>
    <row r="72" spans="1:34" ht="62" x14ac:dyDescent="0.3">
      <c r="A72" s="12"/>
      <c r="B72" s="13"/>
      <c r="C72" s="22" t="s">
        <v>102</v>
      </c>
      <c r="D72" s="25" t="s">
        <v>216</v>
      </c>
      <c r="E72" s="15">
        <v>100</v>
      </c>
      <c r="F72" s="16" t="s">
        <v>79</v>
      </c>
      <c r="G72" s="44">
        <v>7886595000</v>
      </c>
      <c r="H72" s="39"/>
      <c r="I72" s="18">
        <v>2628865000</v>
      </c>
      <c r="J72" s="15">
        <v>12</v>
      </c>
      <c r="K72" s="19">
        <v>2628865000</v>
      </c>
      <c r="L72" s="17">
        <v>3</v>
      </c>
      <c r="M72" s="19">
        <v>920102750</v>
      </c>
      <c r="N72" s="17">
        <v>3</v>
      </c>
      <c r="O72" s="19">
        <v>1445875750</v>
      </c>
      <c r="P72" s="17">
        <v>3</v>
      </c>
      <c r="Q72" s="19">
        <v>0</v>
      </c>
      <c r="R72" s="17">
        <v>3</v>
      </c>
      <c r="S72" s="19">
        <v>262886500</v>
      </c>
      <c r="T72" s="48">
        <f t="shared" si="19"/>
        <v>12</v>
      </c>
      <c r="U72" s="48">
        <f t="shared" si="20"/>
        <v>100</v>
      </c>
      <c r="V72" s="30" t="s">
        <v>43</v>
      </c>
      <c r="W72" s="35">
        <f>SUM(M72,O72,Q72,S72)</f>
        <v>2628865000</v>
      </c>
      <c r="X72" s="47">
        <f t="shared" si="21"/>
        <v>100</v>
      </c>
      <c r="Y72" s="30" t="s">
        <v>43</v>
      </c>
      <c r="Z72" s="48">
        <f t="shared" si="14"/>
        <v>12</v>
      </c>
      <c r="AA72" s="35">
        <f t="shared" si="15"/>
        <v>5257730000</v>
      </c>
      <c r="AB72" s="47"/>
      <c r="AC72" s="30" t="s">
        <v>43</v>
      </c>
      <c r="AD72" s="47"/>
      <c r="AE72" s="11"/>
      <c r="AH72" s="21"/>
    </row>
    <row r="73" spans="1:34" s="89" customFormat="1" ht="111" customHeight="1" x14ac:dyDescent="0.3">
      <c r="A73" s="76"/>
      <c r="B73" s="77"/>
      <c r="C73" s="92" t="s">
        <v>172</v>
      </c>
      <c r="D73" s="91" t="s">
        <v>249</v>
      </c>
      <c r="E73" s="40">
        <v>100</v>
      </c>
      <c r="F73" s="41" t="s">
        <v>43</v>
      </c>
      <c r="G73" s="96">
        <f>SUM(G74)</f>
        <v>0</v>
      </c>
      <c r="H73" s="93"/>
      <c r="I73" s="96"/>
      <c r="J73" s="93">
        <v>100</v>
      </c>
      <c r="K73" s="96">
        <f>SUM(K74)</f>
        <v>66000000</v>
      </c>
      <c r="L73" s="107">
        <v>0</v>
      </c>
      <c r="M73" s="96">
        <f>SUM(M74)</f>
        <v>0</v>
      </c>
      <c r="N73" s="107">
        <v>0</v>
      </c>
      <c r="O73" s="96">
        <f>SUM(O74)</f>
        <v>0</v>
      </c>
      <c r="P73" s="107">
        <v>0</v>
      </c>
      <c r="Q73" s="96">
        <f>SUM(Q74)</f>
        <v>0</v>
      </c>
      <c r="R73" s="107">
        <v>100</v>
      </c>
      <c r="S73" s="96">
        <v>0</v>
      </c>
      <c r="T73" s="98">
        <f t="shared" si="19"/>
        <v>100</v>
      </c>
      <c r="U73" s="98">
        <f t="shared" si="20"/>
        <v>100</v>
      </c>
      <c r="V73" s="99" t="s">
        <v>43</v>
      </c>
      <c r="W73" s="100">
        <f t="shared" ref="W73:W92" si="22">SUM(M73,O75,Q73,S73)</f>
        <v>105404890</v>
      </c>
      <c r="X73" s="98">
        <f t="shared" si="21"/>
        <v>159.7043787878788</v>
      </c>
      <c r="Y73" s="99" t="s">
        <v>43</v>
      </c>
      <c r="Z73" s="97">
        <f t="shared" si="14"/>
        <v>100</v>
      </c>
      <c r="AA73" s="100">
        <f t="shared" si="15"/>
        <v>105404890</v>
      </c>
      <c r="AB73" s="98"/>
      <c r="AC73" s="99" t="s">
        <v>43</v>
      </c>
      <c r="AD73" s="98"/>
      <c r="AE73" s="88"/>
      <c r="AH73" s="90"/>
    </row>
    <row r="74" spans="1:34" ht="156.75" customHeight="1" x14ac:dyDescent="0.3">
      <c r="A74" s="12"/>
      <c r="B74" s="13"/>
      <c r="C74" s="22" t="s">
        <v>173</v>
      </c>
      <c r="D74" s="25" t="s">
        <v>217</v>
      </c>
      <c r="E74" s="15"/>
      <c r="F74" s="16" t="s">
        <v>44</v>
      </c>
      <c r="G74" s="44"/>
      <c r="H74" s="39"/>
      <c r="I74" s="18"/>
      <c r="J74" s="15">
        <v>40</v>
      </c>
      <c r="K74" s="19">
        <v>66000000</v>
      </c>
      <c r="L74" s="142">
        <v>0</v>
      </c>
      <c r="M74" s="19"/>
      <c r="N74" s="17">
        <v>0</v>
      </c>
      <c r="O74" s="19">
        <v>0</v>
      </c>
      <c r="P74" s="17">
        <v>0</v>
      </c>
      <c r="Q74" s="19">
        <v>0</v>
      </c>
      <c r="R74" s="17">
        <v>40</v>
      </c>
      <c r="S74" s="19">
        <v>0</v>
      </c>
      <c r="T74" s="47">
        <f t="shared" si="19"/>
        <v>40</v>
      </c>
      <c r="U74" s="47">
        <f t="shared" si="20"/>
        <v>100</v>
      </c>
      <c r="V74" s="30" t="s">
        <v>43</v>
      </c>
      <c r="W74" s="35">
        <f>SUM(M74+O74,Q74,S74)</f>
        <v>0</v>
      </c>
      <c r="X74" s="47">
        <f t="shared" si="21"/>
        <v>0</v>
      </c>
      <c r="Y74" s="30" t="s">
        <v>43</v>
      </c>
      <c r="Z74" s="48">
        <f t="shared" si="14"/>
        <v>40</v>
      </c>
      <c r="AA74" s="35">
        <f t="shared" si="15"/>
        <v>0</v>
      </c>
      <c r="AB74" s="47"/>
      <c r="AC74" s="30" t="s">
        <v>43</v>
      </c>
      <c r="AD74" s="47"/>
      <c r="AE74" s="11"/>
      <c r="AH74" s="21"/>
    </row>
    <row r="75" spans="1:34" s="68" customFormat="1" ht="108.75" customHeight="1" x14ac:dyDescent="0.3">
      <c r="A75" s="12"/>
      <c r="B75" s="13"/>
      <c r="C75" s="43" t="s">
        <v>103</v>
      </c>
      <c r="D75" s="131" t="s">
        <v>244</v>
      </c>
      <c r="E75" s="40">
        <v>100</v>
      </c>
      <c r="F75" s="41" t="s">
        <v>43</v>
      </c>
      <c r="G75" s="59">
        <f>G76</f>
        <v>5841087950</v>
      </c>
      <c r="H75" s="40">
        <v>100</v>
      </c>
      <c r="I75" s="59">
        <f>I76</f>
        <v>722587300</v>
      </c>
      <c r="J75" s="40">
        <v>100</v>
      </c>
      <c r="K75" s="59">
        <f>K76</f>
        <v>1767990550</v>
      </c>
      <c r="L75" s="40">
        <v>34.83</v>
      </c>
      <c r="M75" s="59">
        <f>M76</f>
        <v>48709820</v>
      </c>
      <c r="N75" s="40">
        <v>54.98</v>
      </c>
      <c r="O75" s="59">
        <f>O76</f>
        <v>105404890</v>
      </c>
      <c r="P75" s="40">
        <v>85.31</v>
      </c>
      <c r="Q75" s="59">
        <f>Q76</f>
        <v>146884150</v>
      </c>
      <c r="R75" s="40">
        <v>95.3</v>
      </c>
      <c r="S75" s="37"/>
      <c r="T75" s="49">
        <f>R75</f>
        <v>95.3</v>
      </c>
      <c r="U75" s="49">
        <f t="shared" si="20"/>
        <v>95.3</v>
      </c>
      <c r="V75" s="51" t="s">
        <v>43</v>
      </c>
      <c r="W75" s="50">
        <f>SUM(M75,O76,Q75,S75)</f>
        <v>300998860</v>
      </c>
      <c r="X75" s="49">
        <f t="shared" si="21"/>
        <v>17.024913396737329</v>
      </c>
      <c r="Y75" s="51" t="s">
        <v>43</v>
      </c>
      <c r="Z75" s="52">
        <f t="shared" si="14"/>
        <v>195.3</v>
      </c>
      <c r="AA75" s="50">
        <f t="shared" si="15"/>
        <v>1023586160</v>
      </c>
      <c r="AB75" s="49"/>
      <c r="AC75" s="51" t="s">
        <v>43</v>
      </c>
      <c r="AD75" s="49"/>
      <c r="AE75" s="70"/>
      <c r="AH75" s="69"/>
    </row>
    <row r="76" spans="1:34" s="68" customFormat="1" ht="93" customHeight="1" x14ac:dyDescent="0.3">
      <c r="A76" s="12"/>
      <c r="B76" s="13"/>
      <c r="C76" s="130" t="s">
        <v>104</v>
      </c>
      <c r="D76" s="130" t="s">
        <v>245</v>
      </c>
      <c r="E76" s="40">
        <v>100</v>
      </c>
      <c r="F76" s="41" t="s">
        <v>43</v>
      </c>
      <c r="G76" s="59">
        <f>SUM(G79:G85)</f>
        <v>5841087950</v>
      </c>
      <c r="H76" s="40"/>
      <c r="I76" s="59">
        <f>SUM(I79:I85)</f>
        <v>722587300</v>
      </c>
      <c r="J76" s="40">
        <v>2</v>
      </c>
      <c r="K76" s="59">
        <f>SUM(K79:K85)</f>
        <v>1767990550</v>
      </c>
      <c r="L76" s="40">
        <v>1</v>
      </c>
      <c r="M76" s="59">
        <f>SUM(M79:M85)</f>
        <v>48709820</v>
      </c>
      <c r="N76" s="40">
        <v>0</v>
      </c>
      <c r="O76" s="59">
        <f>SUM(O79:O85)</f>
        <v>105404890</v>
      </c>
      <c r="P76" s="40">
        <v>1</v>
      </c>
      <c r="Q76" s="59">
        <f>SUM(Q79:Q85)</f>
        <v>146884150</v>
      </c>
      <c r="R76" s="40">
        <v>0</v>
      </c>
      <c r="S76" s="37"/>
      <c r="T76" s="49">
        <f t="shared" si="19"/>
        <v>2</v>
      </c>
      <c r="U76" s="49">
        <f t="shared" si="20"/>
        <v>100</v>
      </c>
      <c r="V76" s="51" t="s">
        <v>43</v>
      </c>
      <c r="W76" s="50">
        <f t="shared" si="22"/>
        <v>195593970</v>
      </c>
      <c r="X76" s="49">
        <f t="shared" si="21"/>
        <v>11.063066485281837</v>
      </c>
      <c r="Y76" s="51" t="s">
        <v>43</v>
      </c>
      <c r="Z76" s="52">
        <f t="shared" ref="Z76:Z103" si="23">SUM(H76,T76)</f>
        <v>2</v>
      </c>
      <c r="AA76" s="50">
        <f t="shared" ref="AA76:AA100" si="24">SUM(I76,W76)</f>
        <v>918181270</v>
      </c>
      <c r="AB76" s="49"/>
      <c r="AC76" s="30" t="s">
        <v>43</v>
      </c>
      <c r="AD76" s="47"/>
      <c r="AE76" s="70"/>
      <c r="AH76" s="69"/>
    </row>
    <row r="77" spans="1:34" s="68" customFormat="1" ht="87" customHeight="1" x14ac:dyDescent="0.3">
      <c r="A77" s="12"/>
      <c r="B77" s="13"/>
      <c r="C77" s="77"/>
      <c r="D77" s="130" t="s">
        <v>139</v>
      </c>
      <c r="E77" s="40">
        <v>100</v>
      </c>
      <c r="F77" s="41" t="s">
        <v>43</v>
      </c>
      <c r="G77" s="149"/>
      <c r="H77" s="40">
        <v>1</v>
      </c>
      <c r="I77" s="149"/>
      <c r="J77" s="40">
        <v>100</v>
      </c>
      <c r="K77" s="149"/>
      <c r="L77" s="40">
        <f>1/5*100</f>
        <v>20</v>
      </c>
      <c r="M77" s="149"/>
      <c r="N77" s="45">
        <f>1/5*100</f>
        <v>20</v>
      </c>
      <c r="O77" s="149"/>
      <c r="P77" s="45">
        <f>1/5*100</f>
        <v>20</v>
      </c>
      <c r="Q77" s="149"/>
      <c r="R77" s="40">
        <v>40</v>
      </c>
      <c r="S77" s="37"/>
      <c r="T77" s="49">
        <f t="shared" si="19"/>
        <v>100</v>
      </c>
      <c r="U77" s="49">
        <f t="shared" si="20"/>
        <v>100</v>
      </c>
      <c r="V77" s="51" t="s">
        <v>43</v>
      </c>
      <c r="W77" s="50">
        <f t="shared" si="22"/>
        <v>47041800</v>
      </c>
      <c r="X77" s="49"/>
      <c r="Y77" s="51" t="s">
        <v>43</v>
      </c>
      <c r="Z77" s="52">
        <f t="shared" si="23"/>
        <v>101</v>
      </c>
      <c r="AA77" s="50">
        <f t="shared" si="24"/>
        <v>47041800</v>
      </c>
      <c r="AB77" s="49"/>
      <c r="AC77" s="30"/>
      <c r="AD77" s="47"/>
      <c r="AE77" s="70"/>
      <c r="AH77" s="69"/>
    </row>
    <row r="78" spans="1:34" s="68" customFormat="1" ht="162.75" customHeight="1" x14ac:dyDescent="0.3">
      <c r="A78" s="12"/>
      <c r="B78" s="13"/>
      <c r="C78" s="92"/>
      <c r="D78" s="139" t="s">
        <v>246</v>
      </c>
      <c r="E78" s="40">
        <v>100</v>
      </c>
      <c r="F78" s="41" t="s">
        <v>43</v>
      </c>
      <c r="G78" s="36"/>
      <c r="H78" s="40">
        <v>100</v>
      </c>
      <c r="I78" s="36"/>
      <c r="J78" s="40">
        <v>100</v>
      </c>
      <c r="K78" s="36"/>
      <c r="L78" s="45">
        <f>L82/(J82+J83)*100</f>
        <v>23.076923076923077</v>
      </c>
      <c r="M78" s="36"/>
      <c r="N78" s="45">
        <f>N82/(J82+J83)*100</f>
        <v>23.076923076923077</v>
      </c>
      <c r="O78" s="36"/>
      <c r="P78" s="45">
        <f>P82/(J82+J83)*100</f>
        <v>23.076923076923077</v>
      </c>
      <c r="Q78" s="36"/>
      <c r="R78" s="45">
        <v>30.77</v>
      </c>
      <c r="S78" s="37"/>
      <c r="T78" s="52">
        <f t="shared" si="19"/>
        <v>100.00076923076922</v>
      </c>
      <c r="U78" s="49">
        <f>T78/J78*100</f>
        <v>100.00076923076921</v>
      </c>
      <c r="V78" s="51" t="s">
        <v>43</v>
      </c>
      <c r="W78" s="50">
        <f t="shared" si="22"/>
        <v>7232850</v>
      </c>
      <c r="X78" s="49"/>
      <c r="Y78" s="51" t="s">
        <v>43</v>
      </c>
      <c r="Z78" s="52">
        <f t="shared" si="23"/>
        <v>200.00076923076921</v>
      </c>
      <c r="AA78" s="50">
        <f t="shared" si="24"/>
        <v>7232850</v>
      </c>
      <c r="AB78" s="49"/>
      <c r="AC78" s="30"/>
      <c r="AD78" s="47"/>
      <c r="AE78" s="70"/>
      <c r="AH78" s="69"/>
    </row>
    <row r="79" spans="1:34" ht="60" customHeight="1" x14ac:dyDescent="0.3">
      <c r="A79" s="12"/>
      <c r="B79" s="13"/>
      <c r="C79" s="22" t="s">
        <v>105</v>
      </c>
      <c r="D79" s="25" t="s">
        <v>218</v>
      </c>
      <c r="E79" s="15">
        <v>12</v>
      </c>
      <c r="F79" s="16" t="s">
        <v>42</v>
      </c>
      <c r="G79" s="119">
        <f>380779950*2+K79</f>
        <v>1104983650</v>
      </c>
      <c r="H79" s="39"/>
      <c r="I79" s="18">
        <v>308428600</v>
      </c>
      <c r="J79" s="15">
        <v>1</v>
      </c>
      <c r="K79" s="19">
        <v>343423750</v>
      </c>
      <c r="L79" s="15">
        <v>0</v>
      </c>
      <c r="M79" s="19">
        <v>17012500</v>
      </c>
      <c r="N79" s="15">
        <v>1</v>
      </c>
      <c r="O79" s="19">
        <v>47041800</v>
      </c>
      <c r="P79" s="15">
        <v>0</v>
      </c>
      <c r="Q79" s="19">
        <v>90786500</v>
      </c>
      <c r="R79" s="15">
        <v>0</v>
      </c>
      <c r="S79" s="19">
        <v>77490900</v>
      </c>
      <c r="T79" s="48">
        <f t="shared" si="19"/>
        <v>1</v>
      </c>
      <c r="U79" s="47">
        <f t="shared" si="20"/>
        <v>100</v>
      </c>
      <c r="V79" s="30" t="s">
        <v>43</v>
      </c>
      <c r="W79" s="35">
        <f>SUM(M79,O79,Q79,S79)</f>
        <v>232331700</v>
      </c>
      <c r="X79" s="47">
        <f t="shared" si="21"/>
        <v>67.651611165506182</v>
      </c>
      <c r="Y79" s="30" t="s">
        <v>43</v>
      </c>
      <c r="Z79" s="48">
        <f t="shared" si="23"/>
        <v>1</v>
      </c>
      <c r="AA79" s="35">
        <f t="shared" si="24"/>
        <v>540760300</v>
      </c>
      <c r="AB79" s="47"/>
      <c r="AC79" s="30" t="s">
        <v>43</v>
      </c>
      <c r="AD79" s="47"/>
      <c r="AE79" s="11"/>
      <c r="AH79" s="21"/>
    </row>
    <row r="80" spans="1:34" ht="82.5" customHeight="1" x14ac:dyDescent="0.3">
      <c r="A80" s="12"/>
      <c r="B80" s="13"/>
      <c r="C80" s="22" t="s">
        <v>106</v>
      </c>
      <c r="D80" s="25" t="s">
        <v>219</v>
      </c>
      <c r="E80" s="15">
        <v>6</v>
      </c>
      <c r="F80" s="16" t="s">
        <v>42</v>
      </c>
      <c r="G80" s="121">
        <f>31805000*2+K80</f>
        <v>89053650</v>
      </c>
      <c r="H80" s="15">
        <v>2</v>
      </c>
      <c r="I80" s="19">
        <v>23923800</v>
      </c>
      <c r="J80" s="15">
        <v>2</v>
      </c>
      <c r="K80" s="19">
        <v>25443650</v>
      </c>
      <c r="L80" s="15">
        <v>1</v>
      </c>
      <c r="M80" s="19">
        <v>0</v>
      </c>
      <c r="N80" s="15">
        <v>0</v>
      </c>
      <c r="O80" s="19">
        <v>7232850</v>
      </c>
      <c r="P80" s="15">
        <v>1</v>
      </c>
      <c r="Q80" s="19">
        <v>819300</v>
      </c>
      <c r="R80" s="15">
        <v>0</v>
      </c>
      <c r="S80" s="19">
        <v>6449400</v>
      </c>
      <c r="T80" s="48">
        <f t="shared" si="19"/>
        <v>2</v>
      </c>
      <c r="U80" s="47">
        <f t="shared" si="20"/>
        <v>100</v>
      </c>
      <c r="V80" s="30" t="s">
        <v>43</v>
      </c>
      <c r="W80" s="35">
        <f t="shared" ref="W80:W85" si="25">SUM(M80,O80,Q80,S80)</f>
        <v>14501550</v>
      </c>
      <c r="X80" s="47">
        <f t="shared" si="21"/>
        <v>56.994770797428828</v>
      </c>
      <c r="Y80" s="30" t="s">
        <v>43</v>
      </c>
      <c r="Z80" s="48">
        <f t="shared" si="23"/>
        <v>4</v>
      </c>
      <c r="AA80" s="35">
        <f t="shared" si="24"/>
        <v>38425350</v>
      </c>
      <c r="AB80" s="47"/>
      <c r="AC80" s="30" t="s">
        <v>43</v>
      </c>
      <c r="AD80" s="47"/>
      <c r="AE80" s="11"/>
      <c r="AH80" s="21"/>
    </row>
    <row r="81" spans="1:34" ht="50.25" customHeight="1" x14ac:dyDescent="0.3">
      <c r="A81" s="12"/>
      <c r="B81" s="13"/>
      <c r="C81" s="22" t="s">
        <v>107</v>
      </c>
      <c r="D81" s="25" t="s">
        <v>220</v>
      </c>
      <c r="E81" s="15">
        <v>3</v>
      </c>
      <c r="F81" s="16" t="s">
        <v>79</v>
      </c>
      <c r="G81" s="121">
        <f>136788200*2+K81</f>
        <v>401964600</v>
      </c>
      <c r="H81" s="15">
        <v>1</v>
      </c>
      <c r="I81" s="19">
        <v>70541250</v>
      </c>
      <c r="J81" s="15">
        <v>1</v>
      </c>
      <c r="K81" s="19">
        <v>128388200</v>
      </c>
      <c r="L81" s="15">
        <v>0</v>
      </c>
      <c r="M81" s="19">
        <v>10472500</v>
      </c>
      <c r="N81" s="15">
        <v>0</v>
      </c>
      <c r="O81" s="19">
        <v>13828600</v>
      </c>
      <c r="P81" s="15">
        <v>0</v>
      </c>
      <c r="Q81" s="19">
        <v>33513100</v>
      </c>
      <c r="R81" s="15">
        <v>1</v>
      </c>
      <c r="S81" s="19">
        <v>62767800</v>
      </c>
      <c r="T81" s="48">
        <f t="shared" si="19"/>
        <v>1</v>
      </c>
      <c r="U81" s="47">
        <f t="shared" si="20"/>
        <v>100</v>
      </c>
      <c r="V81" s="30" t="s">
        <v>43</v>
      </c>
      <c r="W81" s="35">
        <f t="shared" si="25"/>
        <v>120582000</v>
      </c>
      <c r="X81" s="47">
        <f t="shared" si="21"/>
        <v>93.919846216396834</v>
      </c>
      <c r="Y81" s="30" t="s">
        <v>43</v>
      </c>
      <c r="Z81" s="48">
        <f t="shared" si="23"/>
        <v>2</v>
      </c>
      <c r="AA81" s="35">
        <f t="shared" si="24"/>
        <v>191123250</v>
      </c>
      <c r="AB81" s="47"/>
      <c r="AC81" s="30" t="s">
        <v>43</v>
      </c>
      <c r="AD81" s="47"/>
      <c r="AE81" s="11"/>
      <c r="AH81" s="21"/>
    </row>
    <row r="82" spans="1:34" ht="98.25" customHeight="1" x14ac:dyDescent="0.3">
      <c r="A82" s="12"/>
      <c r="B82" s="13"/>
      <c r="C82" s="22" t="s">
        <v>108</v>
      </c>
      <c r="D82" s="25" t="s">
        <v>221</v>
      </c>
      <c r="E82" s="66">
        <f>600+300+155</f>
        <v>1055</v>
      </c>
      <c r="F82" s="16" t="s">
        <v>79</v>
      </c>
      <c r="G82" s="120">
        <f>1357175200*2+K82</f>
        <v>3858985600</v>
      </c>
      <c r="H82" s="15">
        <v>100</v>
      </c>
      <c r="I82" s="19">
        <v>257296800</v>
      </c>
      <c r="J82" s="15">
        <v>12</v>
      </c>
      <c r="K82" s="19">
        <v>1144635200</v>
      </c>
      <c r="L82" s="15">
        <v>3</v>
      </c>
      <c r="M82" s="19">
        <v>17704820</v>
      </c>
      <c r="N82" s="15">
        <v>3</v>
      </c>
      <c r="O82" s="19">
        <v>20706440</v>
      </c>
      <c r="P82" s="15">
        <v>3</v>
      </c>
      <c r="Q82" s="19">
        <v>16340000</v>
      </c>
      <c r="R82" s="15">
        <v>3</v>
      </c>
      <c r="S82" s="19">
        <v>277537500</v>
      </c>
      <c r="T82" s="48">
        <f t="shared" si="19"/>
        <v>12</v>
      </c>
      <c r="U82" s="47">
        <f t="shared" si="20"/>
        <v>100</v>
      </c>
      <c r="V82" s="30" t="s">
        <v>43</v>
      </c>
      <c r="W82" s="35">
        <f t="shared" si="25"/>
        <v>332288760</v>
      </c>
      <c r="X82" s="47">
        <f t="shared" si="21"/>
        <v>29.030101468135872</v>
      </c>
      <c r="Y82" s="30" t="s">
        <v>43</v>
      </c>
      <c r="Z82" s="48">
        <f t="shared" si="23"/>
        <v>112</v>
      </c>
      <c r="AA82" s="35">
        <f t="shared" si="24"/>
        <v>589585560</v>
      </c>
      <c r="AB82" s="47"/>
      <c r="AC82" s="30" t="s">
        <v>43</v>
      </c>
      <c r="AD82" s="47"/>
      <c r="AE82" s="11"/>
      <c r="AH82" s="21"/>
    </row>
    <row r="83" spans="1:34" ht="124" x14ac:dyDescent="0.3">
      <c r="A83" s="12"/>
      <c r="B83" s="13"/>
      <c r="C83" s="22" t="s">
        <v>109</v>
      </c>
      <c r="D83" s="25" t="s">
        <v>222</v>
      </c>
      <c r="E83" s="15">
        <v>100</v>
      </c>
      <c r="F83" s="16" t="s">
        <v>42</v>
      </c>
      <c r="G83" s="121">
        <f>70800300*2+K83</f>
        <v>209500600</v>
      </c>
      <c r="H83" s="15">
        <v>100</v>
      </c>
      <c r="I83" s="19">
        <v>25236000</v>
      </c>
      <c r="J83" s="15">
        <v>1</v>
      </c>
      <c r="K83" s="19">
        <v>67900000</v>
      </c>
      <c r="L83" s="15">
        <v>0</v>
      </c>
      <c r="M83" s="19">
        <v>2520000</v>
      </c>
      <c r="N83" s="15">
        <v>0</v>
      </c>
      <c r="O83" s="19">
        <v>12100000</v>
      </c>
      <c r="P83" s="15">
        <v>0</v>
      </c>
      <c r="Q83" s="19">
        <v>1125000</v>
      </c>
      <c r="R83" s="15">
        <v>1</v>
      </c>
      <c r="S83" s="19">
        <v>1550000</v>
      </c>
      <c r="T83" s="48">
        <f t="shared" si="19"/>
        <v>1</v>
      </c>
      <c r="U83" s="47">
        <f t="shared" si="20"/>
        <v>100</v>
      </c>
      <c r="V83" s="30" t="s">
        <v>43</v>
      </c>
      <c r="W83" s="35">
        <f t="shared" si="25"/>
        <v>17295000</v>
      </c>
      <c r="X83" s="47">
        <f t="shared" si="21"/>
        <v>25.471281296023562</v>
      </c>
      <c r="Y83" s="30" t="s">
        <v>43</v>
      </c>
      <c r="Z83" s="48">
        <f t="shared" si="23"/>
        <v>101</v>
      </c>
      <c r="AA83" s="35">
        <f t="shared" si="24"/>
        <v>42531000</v>
      </c>
      <c r="AB83" s="47"/>
      <c r="AC83" s="30" t="s">
        <v>43</v>
      </c>
      <c r="AD83" s="47"/>
      <c r="AE83" s="11"/>
      <c r="AH83" s="21"/>
    </row>
    <row r="84" spans="1:34" ht="77.5" x14ac:dyDescent="0.3">
      <c r="A84" s="12"/>
      <c r="B84" s="13"/>
      <c r="C84" s="22" t="s">
        <v>110</v>
      </c>
      <c r="D84" s="25" t="s">
        <v>223</v>
      </c>
      <c r="E84" s="15">
        <v>9</v>
      </c>
      <c r="F84" s="16" t="s">
        <v>79</v>
      </c>
      <c r="G84" s="121">
        <f>20000000*2+K84</f>
        <v>60000000</v>
      </c>
      <c r="H84" s="39"/>
      <c r="I84" s="18">
        <v>18610850</v>
      </c>
      <c r="J84" s="15">
        <v>4</v>
      </c>
      <c r="K84" s="19">
        <v>20000000</v>
      </c>
      <c r="L84" s="15">
        <v>1</v>
      </c>
      <c r="M84" s="19">
        <v>1000000</v>
      </c>
      <c r="N84" s="15">
        <v>1</v>
      </c>
      <c r="O84" s="19">
        <v>4495200</v>
      </c>
      <c r="P84" s="15">
        <v>1</v>
      </c>
      <c r="Q84" s="19">
        <v>4300250</v>
      </c>
      <c r="R84" s="15">
        <v>1</v>
      </c>
      <c r="S84" s="19">
        <v>9675600</v>
      </c>
      <c r="T84" s="48">
        <f t="shared" si="19"/>
        <v>4</v>
      </c>
      <c r="U84" s="47">
        <f t="shared" si="20"/>
        <v>100</v>
      </c>
      <c r="V84" s="30" t="s">
        <v>43</v>
      </c>
      <c r="W84" s="35">
        <f t="shared" si="25"/>
        <v>19471050</v>
      </c>
      <c r="X84" s="47">
        <f t="shared" si="21"/>
        <v>97.355249999999998</v>
      </c>
      <c r="Y84" s="30" t="s">
        <v>43</v>
      </c>
      <c r="Z84" s="48">
        <f t="shared" si="23"/>
        <v>4</v>
      </c>
      <c r="AA84" s="35">
        <f t="shared" si="24"/>
        <v>38081900</v>
      </c>
      <c r="AB84" s="47"/>
      <c r="AC84" s="30" t="s">
        <v>43</v>
      </c>
      <c r="AD84" s="47"/>
      <c r="AE84" s="11"/>
      <c r="AH84" s="21"/>
    </row>
    <row r="85" spans="1:34" ht="108.5" x14ac:dyDescent="0.3">
      <c r="A85" s="12"/>
      <c r="B85" s="13"/>
      <c r="C85" s="22" t="s">
        <v>111</v>
      </c>
      <c r="D85" s="25" t="s">
        <v>224</v>
      </c>
      <c r="E85" s="15">
        <v>300</v>
      </c>
      <c r="F85" s="16" t="s">
        <v>44</v>
      </c>
      <c r="G85" s="121">
        <f>39200050*2+K85</f>
        <v>116599850</v>
      </c>
      <c r="H85" s="39"/>
      <c r="I85" s="18">
        <v>18550000</v>
      </c>
      <c r="J85" s="15">
        <v>100</v>
      </c>
      <c r="K85" s="19">
        <v>38199750</v>
      </c>
      <c r="L85" s="15">
        <v>0</v>
      </c>
      <c r="M85" s="19">
        <v>0</v>
      </c>
      <c r="N85" s="15">
        <v>50</v>
      </c>
      <c r="O85" s="19"/>
      <c r="P85" s="15">
        <v>50</v>
      </c>
      <c r="Q85" s="19"/>
      <c r="R85" s="15">
        <v>0</v>
      </c>
      <c r="S85" s="19">
        <v>30222300</v>
      </c>
      <c r="T85" s="48">
        <f t="shared" si="19"/>
        <v>100</v>
      </c>
      <c r="U85" s="47">
        <f t="shared" si="20"/>
        <v>100</v>
      </c>
      <c r="V85" s="30" t="s">
        <v>43</v>
      </c>
      <c r="W85" s="35">
        <f t="shared" si="25"/>
        <v>30222300</v>
      </c>
      <c r="X85" s="47">
        <f t="shared" si="21"/>
        <v>79.116486364439552</v>
      </c>
      <c r="Y85" s="30" t="s">
        <v>43</v>
      </c>
      <c r="Z85" s="48">
        <f t="shared" si="23"/>
        <v>100</v>
      </c>
      <c r="AA85" s="35">
        <f t="shared" si="24"/>
        <v>48772300</v>
      </c>
      <c r="AB85" s="47"/>
      <c r="AC85" s="30" t="s">
        <v>43</v>
      </c>
      <c r="AD85" s="47"/>
      <c r="AE85" s="11"/>
      <c r="AH85" s="21"/>
    </row>
    <row r="86" spans="1:34" s="68" customFormat="1" ht="72.75" customHeight="1" x14ac:dyDescent="0.3">
      <c r="A86" s="12"/>
      <c r="B86" s="13"/>
      <c r="C86" s="43" t="s">
        <v>112</v>
      </c>
      <c r="D86" s="131" t="s">
        <v>134</v>
      </c>
      <c r="E86" s="73">
        <v>100</v>
      </c>
      <c r="F86" s="41" t="s">
        <v>43</v>
      </c>
      <c r="G86" s="59">
        <f>G89</f>
        <v>3044960675</v>
      </c>
      <c r="H86" s="73">
        <v>100</v>
      </c>
      <c r="I86" s="59">
        <f>I89</f>
        <v>640649836</v>
      </c>
      <c r="J86" s="73">
        <v>100</v>
      </c>
      <c r="K86" s="59">
        <f>K89</f>
        <v>1190738450</v>
      </c>
      <c r="L86" s="166">
        <f>36489962379.32/228196140000*100</f>
        <v>15.990613329094874</v>
      </c>
      <c r="M86" s="59">
        <f>M89</f>
        <v>93103750</v>
      </c>
      <c r="N86" s="167">
        <f>45354205295.03/228196140000*100</f>
        <v>19.875097490706896</v>
      </c>
      <c r="O86" s="59">
        <f>O89</f>
        <v>105815750</v>
      </c>
      <c r="P86" s="165">
        <f>38928092264.36/228196140000*100</f>
        <v>17.0590494056385</v>
      </c>
      <c r="Q86" s="59">
        <f>Q89</f>
        <v>184277400</v>
      </c>
      <c r="R86" s="40">
        <v>21.68</v>
      </c>
      <c r="S86" s="59">
        <f>S89</f>
        <v>659470300</v>
      </c>
      <c r="T86" s="75">
        <f>SUM(L86,N86,P86,R86)</f>
        <v>74.604760225440259</v>
      </c>
      <c r="U86" s="49">
        <f>T86/J86*100</f>
        <v>74.604760225440259</v>
      </c>
      <c r="V86" s="51" t="s">
        <v>43</v>
      </c>
      <c r="W86" s="50">
        <f>SUM(M86,O89,Q86,S86)</f>
        <v>1042667200</v>
      </c>
      <c r="X86" s="49">
        <f>W86/K86*100</f>
        <v>87.564754459722025</v>
      </c>
      <c r="Y86" s="51" t="s">
        <v>43</v>
      </c>
      <c r="Z86" s="52">
        <f t="shared" si="23"/>
        <v>174.60476022544026</v>
      </c>
      <c r="AA86" s="50">
        <f t="shared" si="24"/>
        <v>1683317036</v>
      </c>
      <c r="AB86" s="49"/>
      <c r="AC86" s="51" t="s">
        <v>43</v>
      </c>
      <c r="AD86" s="49"/>
      <c r="AE86" s="70"/>
      <c r="AH86" s="69"/>
    </row>
    <row r="87" spans="1:34" s="68" customFormat="1" ht="72.75" customHeight="1" x14ac:dyDescent="0.3">
      <c r="A87" s="12"/>
      <c r="B87" s="13"/>
      <c r="C87" s="13"/>
      <c r="D87" s="163" t="s">
        <v>247</v>
      </c>
      <c r="E87" s="73"/>
      <c r="F87" s="41"/>
      <c r="G87" s="149"/>
      <c r="H87" s="73"/>
      <c r="I87" s="149"/>
      <c r="J87" s="164">
        <v>81.819999999999993</v>
      </c>
      <c r="K87" s="149">
        <v>0</v>
      </c>
      <c r="L87" s="74">
        <f>8/11*100</f>
        <v>72.727272727272734</v>
      </c>
      <c r="M87" s="149"/>
      <c r="N87" s="74">
        <f>8/11*100</f>
        <v>72.727272727272734</v>
      </c>
      <c r="O87" s="149"/>
      <c r="P87" s="74">
        <f>8/11*100</f>
        <v>72.727272727272734</v>
      </c>
      <c r="Q87" s="149"/>
      <c r="R87" s="40">
        <v>81.819999999999993</v>
      </c>
      <c r="S87" s="37"/>
      <c r="T87" s="75">
        <f>R87</f>
        <v>81.819999999999993</v>
      </c>
      <c r="U87" s="49">
        <f t="shared" ref="U87" si="26">T87/J87*100</f>
        <v>100</v>
      </c>
      <c r="V87" s="51" t="s">
        <v>43</v>
      </c>
      <c r="W87" s="50">
        <f>SUM(M87,O90,Q87,S87)</f>
        <v>0</v>
      </c>
      <c r="X87" s="49">
        <f>W87/J87*100</f>
        <v>0</v>
      </c>
      <c r="Y87" s="51" t="s">
        <v>43</v>
      </c>
      <c r="Z87" s="52">
        <f t="shared" ref="Z87" si="27">SUM(H87,T87)</f>
        <v>81.819999999999993</v>
      </c>
      <c r="AA87" s="50">
        <f t="shared" ref="AA87" si="28">SUM(I87,W87)</f>
        <v>0</v>
      </c>
      <c r="AB87" s="49"/>
      <c r="AC87" s="51" t="s">
        <v>43</v>
      </c>
      <c r="AD87" s="49"/>
      <c r="AE87" s="70"/>
      <c r="AH87" s="69"/>
    </row>
    <row r="88" spans="1:34" s="68" customFormat="1" ht="89.25" customHeight="1" x14ac:dyDescent="0.3">
      <c r="A88" s="12"/>
      <c r="B88" s="13"/>
      <c r="C88" s="158"/>
      <c r="D88" s="131" t="s">
        <v>135</v>
      </c>
      <c r="E88" s="73">
        <v>100</v>
      </c>
      <c r="F88" s="41" t="s">
        <v>43</v>
      </c>
      <c r="G88" s="36"/>
      <c r="H88" s="73">
        <v>100</v>
      </c>
      <c r="I88" s="36"/>
      <c r="J88" s="73">
        <v>100</v>
      </c>
      <c r="K88" s="36"/>
      <c r="L88" s="74">
        <v>15.07</v>
      </c>
      <c r="M88" s="36"/>
      <c r="N88" s="74">
        <v>38.1</v>
      </c>
      <c r="O88" s="36"/>
      <c r="P88" s="74">
        <v>0</v>
      </c>
      <c r="Q88" s="36"/>
      <c r="R88" s="40">
        <v>46.24</v>
      </c>
      <c r="S88" s="37"/>
      <c r="T88" s="75">
        <f t="shared" si="19"/>
        <v>99.41</v>
      </c>
      <c r="U88" s="49">
        <f t="shared" si="20"/>
        <v>99.41</v>
      </c>
      <c r="V88" s="51"/>
      <c r="W88" s="50">
        <f t="shared" si="22"/>
        <v>0</v>
      </c>
      <c r="X88" s="49">
        <f>W88/J88*100</f>
        <v>0</v>
      </c>
      <c r="Y88" s="51" t="s">
        <v>43</v>
      </c>
      <c r="Z88" s="52">
        <f t="shared" si="23"/>
        <v>199.41</v>
      </c>
      <c r="AA88" s="50">
        <f t="shared" si="24"/>
        <v>0</v>
      </c>
      <c r="AB88" s="49"/>
      <c r="AC88" s="51"/>
      <c r="AD88" s="49"/>
      <c r="AE88" s="70"/>
      <c r="AH88" s="69"/>
    </row>
    <row r="89" spans="1:34" s="68" customFormat="1" ht="54.75" customHeight="1" x14ac:dyDescent="0.3">
      <c r="A89" s="12"/>
      <c r="B89" s="13"/>
      <c r="C89" s="138" t="s">
        <v>127</v>
      </c>
      <c r="D89" s="130" t="s">
        <v>128</v>
      </c>
      <c r="E89" s="73">
        <v>48</v>
      </c>
      <c r="F89" s="41" t="s">
        <v>43</v>
      </c>
      <c r="G89" s="59">
        <f>SUM(G95:G103)</f>
        <v>3044960675</v>
      </c>
      <c r="H89" s="40"/>
      <c r="I89" s="59">
        <f>SUM(I95:I103)</f>
        <v>640649836</v>
      </c>
      <c r="J89" s="73">
        <v>5</v>
      </c>
      <c r="K89" s="59">
        <f>SUM(K95:K103)</f>
        <v>1190738450</v>
      </c>
      <c r="L89" s="143">
        <v>0</v>
      </c>
      <c r="M89" s="59">
        <f>SUM(M95:M103)</f>
        <v>93103750</v>
      </c>
      <c r="N89" s="143">
        <v>0</v>
      </c>
      <c r="O89" s="59">
        <f>SUM(O95:O103)</f>
        <v>105815750</v>
      </c>
      <c r="P89" s="143">
        <v>0</v>
      </c>
      <c r="Q89" s="59">
        <f>SUM(Q95:Q103)</f>
        <v>184277400</v>
      </c>
      <c r="R89" s="40">
        <v>2.0099999999999998</v>
      </c>
      <c r="S89" s="59">
        <f>SUM(S95:S103)</f>
        <v>659470300</v>
      </c>
      <c r="T89" s="75">
        <f t="shared" si="19"/>
        <v>2.0099999999999998</v>
      </c>
      <c r="U89" s="49">
        <f t="shared" si="20"/>
        <v>40.199999999999996</v>
      </c>
      <c r="V89" s="51" t="s">
        <v>43</v>
      </c>
      <c r="W89" s="50">
        <f t="shared" si="22"/>
        <v>936851450</v>
      </c>
      <c r="X89" s="49">
        <f t="shared" si="21"/>
        <v>78.678189152286123</v>
      </c>
      <c r="Y89" s="51" t="s">
        <v>43</v>
      </c>
      <c r="Z89" s="52">
        <f t="shared" si="23"/>
        <v>2.0099999999999998</v>
      </c>
      <c r="AA89" s="50">
        <f t="shared" si="24"/>
        <v>1577501286</v>
      </c>
      <c r="AB89" s="49"/>
      <c r="AC89" s="51" t="s">
        <v>43</v>
      </c>
      <c r="AD89" s="49"/>
      <c r="AE89" s="70"/>
      <c r="AH89" s="69"/>
    </row>
    <row r="90" spans="1:34" s="68" customFormat="1" ht="114.75" customHeight="1" x14ac:dyDescent="0.35">
      <c r="A90" s="12"/>
      <c r="B90" s="13"/>
      <c r="C90" s="140"/>
      <c r="D90" s="138" t="s">
        <v>129</v>
      </c>
      <c r="E90" s="73">
        <v>100</v>
      </c>
      <c r="F90" s="41" t="s">
        <v>43</v>
      </c>
      <c r="G90" s="149"/>
      <c r="H90" s="40"/>
      <c r="I90" s="149"/>
      <c r="J90" s="73">
        <v>100</v>
      </c>
      <c r="K90" s="149"/>
      <c r="L90" s="143">
        <f>255/3197*100</f>
        <v>7.9762277134813893</v>
      </c>
      <c r="M90" s="149"/>
      <c r="N90" s="143">
        <f>255/3197*100</f>
        <v>7.9762277134813893</v>
      </c>
      <c r="O90" s="149"/>
      <c r="P90" s="143">
        <f>2432/3197*100</f>
        <v>76.071316859555836</v>
      </c>
      <c r="Q90" s="149"/>
      <c r="R90" s="143">
        <f>255/3197*100</f>
        <v>7.9762277134813893</v>
      </c>
      <c r="S90" s="37"/>
      <c r="T90" s="75">
        <f t="shared" si="19"/>
        <v>100</v>
      </c>
      <c r="U90" s="49">
        <f t="shared" si="20"/>
        <v>100</v>
      </c>
      <c r="V90" s="51" t="s">
        <v>43</v>
      </c>
      <c r="W90" s="50">
        <f t="shared" si="22"/>
        <v>0</v>
      </c>
      <c r="X90" s="49">
        <f>W90/J90*100</f>
        <v>0</v>
      </c>
      <c r="Y90" s="51" t="s">
        <v>43</v>
      </c>
      <c r="Z90" s="52">
        <f t="shared" si="23"/>
        <v>100</v>
      </c>
      <c r="AA90" s="50">
        <f t="shared" si="24"/>
        <v>0</v>
      </c>
      <c r="AB90" s="49"/>
      <c r="AC90" s="51"/>
      <c r="AD90" s="49"/>
      <c r="AE90" s="70"/>
      <c r="AH90" s="69"/>
    </row>
    <row r="91" spans="1:34" s="68" customFormat="1" ht="102" customHeight="1" x14ac:dyDescent="0.3">
      <c r="A91" s="12"/>
      <c r="B91" s="13"/>
      <c r="C91" s="141"/>
      <c r="D91" s="130" t="s">
        <v>130</v>
      </c>
      <c r="E91" s="73">
        <v>100</v>
      </c>
      <c r="F91" s="41" t="s">
        <v>43</v>
      </c>
      <c r="G91" s="149"/>
      <c r="H91" s="40"/>
      <c r="I91" s="149"/>
      <c r="J91" s="73">
        <v>100</v>
      </c>
      <c r="K91" s="149"/>
      <c r="L91" s="74">
        <f>1607/77850*100</f>
        <v>2.0642260757867694</v>
      </c>
      <c r="M91" s="149"/>
      <c r="N91" s="74">
        <f>71038/77850*100</f>
        <v>91.249839434810525</v>
      </c>
      <c r="O91" s="149"/>
      <c r="P91" s="74">
        <f>3029/77850*100</f>
        <v>3.8908156711624917</v>
      </c>
      <c r="Q91" s="149"/>
      <c r="R91" s="40">
        <v>2.8</v>
      </c>
      <c r="S91" s="37"/>
      <c r="T91" s="75">
        <f t="shared" si="19"/>
        <v>100.00488118175977</v>
      </c>
      <c r="U91" s="49">
        <f t="shared" si="20"/>
        <v>100.00488118175977</v>
      </c>
      <c r="V91" s="51" t="s">
        <v>43</v>
      </c>
      <c r="W91" s="50">
        <f t="shared" si="22"/>
        <v>0</v>
      </c>
      <c r="X91" s="49">
        <f>W91/J91*100</f>
        <v>0</v>
      </c>
      <c r="Y91" s="51" t="s">
        <v>43</v>
      </c>
      <c r="Z91" s="52">
        <f t="shared" si="23"/>
        <v>100.00488118175977</v>
      </c>
      <c r="AA91" s="50">
        <f t="shared" si="24"/>
        <v>0</v>
      </c>
      <c r="AB91" s="49"/>
      <c r="AC91" s="51"/>
      <c r="AD91" s="49"/>
      <c r="AE91" s="70"/>
      <c r="AH91" s="69"/>
    </row>
    <row r="92" spans="1:34" s="68" customFormat="1" ht="117.75" customHeight="1" x14ac:dyDescent="0.3">
      <c r="A92" s="12"/>
      <c r="B92" s="13"/>
      <c r="C92" s="141"/>
      <c r="D92" s="91" t="s">
        <v>131</v>
      </c>
      <c r="E92" s="73">
        <v>100</v>
      </c>
      <c r="F92" s="41" t="s">
        <v>43</v>
      </c>
      <c r="G92" s="149"/>
      <c r="H92" s="40"/>
      <c r="I92" s="149"/>
      <c r="J92" s="73">
        <v>100</v>
      </c>
      <c r="K92" s="149"/>
      <c r="L92" s="143">
        <f>(40+600)/(200+2400)*100</f>
        <v>24.615384615384617</v>
      </c>
      <c r="M92" s="149"/>
      <c r="N92" s="143">
        <f>(40+600)/(200+2400)*100</f>
        <v>24.615384615384617</v>
      </c>
      <c r="O92" s="149"/>
      <c r="P92" s="143">
        <f>(120+600)/(200+2400)*100</f>
        <v>27.692307692307693</v>
      </c>
      <c r="Q92" s="149"/>
      <c r="R92" s="143">
        <f>(600)/(200+2400)*100</f>
        <v>23.076923076923077</v>
      </c>
      <c r="S92" s="37"/>
      <c r="T92" s="75">
        <f>SUM(L92+N92+P92+R92)</f>
        <v>100.00000000000001</v>
      </c>
      <c r="U92" s="49">
        <f t="shared" si="20"/>
        <v>100.00000000000003</v>
      </c>
      <c r="V92" s="51" t="s">
        <v>43</v>
      </c>
      <c r="W92" s="50">
        <f t="shared" si="22"/>
        <v>0</v>
      </c>
      <c r="X92" s="49">
        <f>W92/J92*100</f>
        <v>0</v>
      </c>
      <c r="Y92" s="51" t="s">
        <v>43</v>
      </c>
      <c r="Z92" s="52">
        <f t="shared" si="23"/>
        <v>100.00000000000001</v>
      </c>
      <c r="AA92" s="50">
        <f t="shared" si="24"/>
        <v>0</v>
      </c>
      <c r="AB92" s="49"/>
      <c r="AC92" s="51"/>
      <c r="AD92" s="49"/>
      <c r="AE92" s="70"/>
      <c r="AH92" s="69"/>
    </row>
    <row r="93" spans="1:34" s="68" customFormat="1" ht="73.5" customHeight="1" x14ac:dyDescent="0.3">
      <c r="A93" s="12"/>
      <c r="B93" s="13"/>
      <c r="C93" s="141"/>
      <c r="D93" s="91" t="s">
        <v>132</v>
      </c>
      <c r="E93" s="73">
        <v>100</v>
      </c>
      <c r="F93" s="41" t="s">
        <v>43</v>
      </c>
      <c r="G93" s="149"/>
      <c r="H93" s="40"/>
      <c r="I93" s="149"/>
      <c r="J93" s="73">
        <v>100</v>
      </c>
      <c r="K93" s="149"/>
      <c r="L93" s="144">
        <f>375/1241*100</f>
        <v>30.217566478646251</v>
      </c>
      <c r="M93" s="149"/>
      <c r="N93" s="144">
        <f>282/1241*100</f>
        <v>22.723609991941981</v>
      </c>
      <c r="O93" s="149"/>
      <c r="P93" s="144">
        <f>342/1241*100</f>
        <v>27.558420628525383</v>
      </c>
      <c r="Q93" s="149"/>
      <c r="R93" s="144">
        <f>486/1241*100</f>
        <v>39.161966156325548</v>
      </c>
      <c r="S93" s="37"/>
      <c r="T93" s="75">
        <f>SUM(L93,N93,P93,R93)</f>
        <v>119.66156325543916</v>
      </c>
      <c r="U93" s="49">
        <f t="shared" si="20"/>
        <v>119.66156325543915</v>
      </c>
      <c r="V93" s="51" t="s">
        <v>43</v>
      </c>
      <c r="W93" s="50">
        <f>SUM(M93,O93,Q93,S93)</f>
        <v>0</v>
      </c>
      <c r="X93" s="49">
        <f t="shared" ref="X93:X94" si="29">W93/J93*100</f>
        <v>0</v>
      </c>
      <c r="Y93" s="51" t="s">
        <v>43</v>
      </c>
      <c r="Z93" s="52">
        <f t="shared" si="23"/>
        <v>119.66156325543916</v>
      </c>
      <c r="AA93" s="50">
        <f t="shared" si="24"/>
        <v>0</v>
      </c>
      <c r="AB93" s="49"/>
      <c r="AC93" s="51"/>
      <c r="AD93" s="49"/>
      <c r="AE93" s="70"/>
      <c r="AH93" s="69"/>
    </row>
    <row r="94" spans="1:34" s="68" customFormat="1" ht="108" customHeight="1" x14ac:dyDescent="0.3">
      <c r="A94" s="12"/>
      <c r="B94" s="13"/>
      <c r="C94" s="158"/>
      <c r="D94" s="91" t="s">
        <v>133</v>
      </c>
      <c r="E94" s="73">
        <v>100</v>
      </c>
      <c r="F94" s="41" t="s">
        <v>43</v>
      </c>
      <c r="G94" s="36"/>
      <c r="H94" s="40"/>
      <c r="I94" s="36"/>
      <c r="J94" s="73">
        <v>100</v>
      </c>
      <c r="K94" s="36"/>
      <c r="L94" s="143">
        <f>30/91*100</f>
        <v>32.967032967032964</v>
      </c>
      <c r="M94" s="36"/>
      <c r="N94" s="143">
        <f>20/91*100</f>
        <v>21.978021978021978</v>
      </c>
      <c r="O94" s="36"/>
      <c r="P94" s="143">
        <f>20/91*100</f>
        <v>21.978021978021978</v>
      </c>
      <c r="Q94" s="36"/>
      <c r="R94" s="143">
        <v>39</v>
      </c>
      <c r="S94" s="37"/>
      <c r="T94" s="75">
        <f t="shared" si="19"/>
        <v>115.92307692307692</v>
      </c>
      <c r="U94" s="49">
        <f t="shared" si="20"/>
        <v>115.92307692307693</v>
      </c>
      <c r="V94" s="51" t="s">
        <v>43</v>
      </c>
      <c r="W94" s="50">
        <f>SUM(M94,O94,Q94,S94)</f>
        <v>0</v>
      </c>
      <c r="X94" s="49">
        <f t="shared" si="29"/>
        <v>0</v>
      </c>
      <c r="Y94" s="51" t="s">
        <v>43</v>
      </c>
      <c r="Z94" s="52">
        <f t="shared" si="23"/>
        <v>115.92307692307692</v>
      </c>
      <c r="AA94" s="50">
        <f t="shared" si="24"/>
        <v>0</v>
      </c>
      <c r="AB94" s="49"/>
      <c r="AC94" s="51"/>
      <c r="AD94" s="49"/>
      <c r="AE94" s="70"/>
      <c r="AH94" s="69"/>
    </row>
    <row r="95" spans="1:34" ht="62" x14ac:dyDescent="0.3">
      <c r="A95" s="12"/>
      <c r="B95" s="13"/>
      <c r="C95" s="132" t="s">
        <v>113</v>
      </c>
      <c r="D95" s="127" t="s">
        <v>225</v>
      </c>
      <c r="E95" s="62">
        <v>621884111405</v>
      </c>
      <c r="F95" s="16" t="s">
        <v>42</v>
      </c>
      <c r="G95" s="44">
        <v>348199000</v>
      </c>
      <c r="H95" s="66">
        <v>203906048913</v>
      </c>
      <c r="I95" s="18">
        <v>85651000</v>
      </c>
      <c r="J95" s="157">
        <v>2</v>
      </c>
      <c r="K95" s="19">
        <v>65225000</v>
      </c>
      <c r="L95" s="15">
        <v>1</v>
      </c>
      <c r="M95" s="19">
        <v>11405000</v>
      </c>
      <c r="N95" s="15">
        <v>0</v>
      </c>
      <c r="O95" s="19">
        <v>9500000</v>
      </c>
      <c r="P95" s="15">
        <v>1</v>
      </c>
      <c r="Q95" s="19">
        <v>7500000</v>
      </c>
      <c r="R95" s="15">
        <v>0</v>
      </c>
      <c r="S95" s="19">
        <v>25125000</v>
      </c>
      <c r="T95" s="145">
        <f t="shared" ref="T95:T103" si="30">SUM(L95,N95,P95,R95)</f>
        <v>2</v>
      </c>
      <c r="U95" s="47">
        <f t="shared" ref="U95:U103" si="31">T95/J95*100</f>
        <v>100</v>
      </c>
      <c r="V95" s="30" t="s">
        <v>43</v>
      </c>
      <c r="W95" s="35">
        <f t="shared" ref="W95" si="32">SUM(M95,O95,Q95,S95)</f>
        <v>53530000</v>
      </c>
      <c r="X95" s="47">
        <f t="shared" si="21"/>
        <v>82.069758528171704</v>
      </c>
      <c r="Y95" s="30" t="s">
        <v>43</v>
      </c>
      <c r="Z95" s="145">
        <f t="shared" si="23"/>
        <v>203906048915</v>
      </c>
      <c r="AA95" s="35">
        <f t="shared" si="24"/>
        <v>139181000</v>
      </c>
      <c r="AB95" s="47"/>
      <c r="AC95" s="30" t="s">
        <v>43</v>
      </c>
      <c r="AD95" s="47"/>
      <c r="AE95" s="11"/>
      <c r="AH95" s="21"/>
    </row>
    <row r="96" spans="1:34" ht="93" x14ac:dyDescent="0.3">
      <c r="A96" s="12"/>
      <c r="B96" s="13"/>
      <c r="C96" s="25" t="s">
        <v>126</v>
      </c>
      <c r="D96" s="25" t="s">
        <v>226</v>
      </c>
      <c r="E96" s="15">
        <f>240*3</f>
        <v>720</v>
      </c>
      <c r="F96" s="16" t="s">
        <v>79</v>
      </c>
      <c r="G96" s="122">
        <v>234765225</v>
      </c>
      <c r="H96" s="39">
        <v>0</v>
      </c>
      <c r="I96" s="18">
        <v>40761200</v>
      </c>
      <c r="J96" s="15">
        <v>4</v>
      </c>
      <c r="K96" s="19">
        <v>58246450</v>
      </c>
      <c r="L96" s="15">
        <v>1</v>
      </c>
      <c r="M96" s="19">
        <v>9253750</v>
      </c>
      <c r="N96" s="15">
        <v>1</v>
      </c>
      <c r="O96" s="19">
        <v>8135250</v>
      </c>
      <c r="P96" s="15">
        <v>1</v>
      </c>
      <c r="Q96" s="19">
        <v>10839500</v>
      </c>
      <c r="R96" s="15">
        <v>1</v>
      </c>
      <c r="S96" s="19">
        <v>21248000</v>
      </c>
      <c r="T96" s="48">
        <f t="shared" si="30"/>
        <v>4</v>
      </c>
      <c r="U96" s="47">
        <f t="shared" si="31"/>
        <v>100</v>
      </c>
      <c r="V96" s="30" t="s">
        <v>43</v>
      </c>
      <c r="W96" s="35">
        <f>SUM(M96,O96,Q96,S96)</f>
        <v>49476500</v>
      </c>
      <c r="X96" s="47">
        <f t="shared" si="21"/>
        <v>84.943374231390919</v>
      </c>
      <c r="Y96" s="30" t="s">
        <v>43</v>
      </c>
      <c r="Z96" s="48">
        <f t="shared" si="23"/>
        <v>4</v>
      </c>
      <c r="AA96" s="35">
        <f t="shared" si="24"/>
        <v>90237700</v>
      </c>
      <c r="AB96" s="47"/>
      <c r="AC96" s="30" t="s">
        <v>43</v>
      </c>
      <c r="AD96" s="47"/>
      <c r="AE96" s="11"/>
      <c r="AH96" s="21"/>
    </row>
    <row r="97" spans="1:34" ht="108.5" x14ac:dyDescent="0.3">
      <c r="A97" s="12"/>
      <c r="B97" s="13"/>
      <c r="C97" s="25" t="s">
        <v>174</v>
      </c>
      <c r="D97" s="25" t="s">
        <v>227</v>
      </c>
      <c r="E97" s="65"/>
      <c r="F97" s="16" t="s">
        <v>237</v>
      </c>
      <c r="G97" s="44"/>
      <c r="H97" s="39"/>
      <c r="I97" s="18"/>
      <c r="J97" s="65">
        <v>3</v>
      </c>
      <c r="K97" s="19">
        <v>142701600</v>
      </c>
      <c r="L97" s="15">
        <v>0</v>
      </c>
      <c r="M97" s="19">
        <v>0</v>
      </c>
      <c r="N97" s="15">
        <v>0</v>
      </c>
      <c r="O97" s="19">
        <v>562500</v>
      </c>
      <c r="P97" s="15">
        <v>0</v>
      </c>
      <c r="Q97" s="19">
        <v>5600000</v>
      </c>
      <c r="R97" s="15">
        <v>3</v>
      </c>
      <c r="S97" s="19">
        <v>99458900</v>
      </c>
      <c r="T97" s="48">
        <f t="shared" si="30"/>
        <v>3</v>
      </c>
      <c r="U97" s="47">
        <f t="shared" si="31"/>
        <v>100</v>
      </c>
      <c r="V97" s="30" t="s">
        <v>43</v>
      </c>
      <c r="W97" s="35">
        <f t="shared" ref="W97:W102" si="33">SUM(M97,O97,Q97,S97)</f>
        <v>105621400</v>
      </c>
      <c r="X97" s="47">
        <f t="shared" si="21"/>
        <v>74.015568150602377</v>
      </c>
      <c r="Y97" s="30" t="s">
        <v>43</v>
      </c>
      <c r="Z97" s="48">
        <f t="shared" si="23"/>
        <v>3</v>
      </c>
      <c r="AA97" s="35">
        <f t="shared" si="24"/>
        <v>105621400</v>
      </c>
      <c r="AB97" s="47"/>
      <c r="AC97" s="30" t="s">
        <v>43</v>
      </c>
      <c r="AD97" s="47"/>
      <c r="AE97" s="11"/>
      <c r="AH97" s="21"/>
    </row>
    <row r="98" spans="1:34" ht="93" x14ac:dyDescent="0.3">
      <c r="A98" s="12"/>
      <c r="B98" s="13"/>
      <c r="C98" s="25" t="s">
        <v>125</v>
      </c>
      <c r="D98" s="25" t="s">
        <v>228</v>
      </c>
      <c r="E98" s="65">
        <f>7100*3</f>
        <v>21300</v>
      </c>
      <c r="F98" s="16" t="s">
        <v>79</v>
      </c>
      <c r="G98" s="44">
        <v>362446350</v>
      </c>
      <c r="H98" s="39">
        <v>478</v>
      </c>
      <c r="I98" s="18">
        <v>88643870</v>
      </c>
      <c r="J98" s="65">
        <v>12</v>
      </c>
      <c r="K98" s="19">
        <v>86101650</v>
      </c>
      <c r="L98" s="15">
        <v>3</v>
      </c>
      <c r="M98" s="19">
        <v>21000000</v>
      </c>
      <c r="N98" s="15">
        <v>3</v>
      </c>
      <c r="O98" s="19">
        <v>13375000</v>
      </c>
      <c r="P98" s="15">
        <v>3</v>
      </c>
      <c r="Q98" s="19">
        <v>33708500</v>
      </c>
      <c r="R98" s="15">
        <v>3</v>
      </c>
      <c r="S98" s="19">
        <v>15000000</v>
      </c>
      <c r="T98" s="48">
        <f t="shared" si="30"/>
        <v>12</v>
      </c>
      <c r="U98" s="47">
        <f t="shared" si="31"/>
        <v>100</v>
      </c>
      <c r="V98" s="30" t="s">
        <v>43</v>
      </c>
      <c r="W98" s="35">
        <f t="shared" si="33"/>
        <v>83083500</v>
      </c>
      <c r="X98" s="47">
        <f t="shared" si="21"/>
        <v>96.494666478516962</v>
      </c>
      <c r="Y98" s="30" t="s">
        <v>43</v>
      </c>
      <c r="Z98" s="48">
        <f t="shared" si="23"/>
        <v>490</v>
      </c>
      <c r="AA98" s="35">
        <f t="shared" si="24"/>
        <v>171727370</v>
      </c>
      <c r="AB98" s="47"/>
      <c r="AC98" s="30" t="s">
        <v>43</v>
      </c>
      <c r="AD98" s="47"/>
      <c r="AE98" s="11"/>
      <c r="AH98" s="21"/>
    </row>
    <row r="99" spans="1:34" ht="123.75" customHeight="1" x14ac:dyDescent="0.3">
      <c r="A99" s="12"/>
      <c r="B99" s="13"/>
      <c r="C99" s="25" t="s">
        <v>175</v>
      </c>
      <c r="D99" s="25" t="s">
        <v>229</v>
      </c>
      <c r="E99" s="66"/>
      <c r="F99" s="67"/>
      <c r="G99" s="123"/>
      <c r="H99" s="66"/>
      <c r="I99" s="124"/>
      <c r="J99" s="66">
        <v>12</v>
      </c>
      <c r="K99" s="19">
        <v>188605400</v>
      </c>
      <c r="L99" s="66">
        <v>3</v>
      </c>
      <c r="M99" s="19">
        <v>0</v>
      </c>
      <c r="N99" s="66">
        <v>3</v>
      </c>
      <c r="O99" s="19">
        <v>0</v>
      </c>
      <c r="P99" s="66">
        <v>3</v>
      </c>
      <c r="Q99" s="19">
        <v>937500</v>
      </c>
      <c r="R99" s="15">
        <v>3</v>
      </c>
      <c r="S99" s="19">
        <v>0</v>
      </c>
      <c r="T99" s="145">
        <f t="shared" si="30"/>
        <v>12</v>
      </c>
      <c r="U99" s="47">
        <f t="shared" si="31"/>
        <v>100</v>
      </c>
      <c r="V99" s="30" t="s">
        <v>43</v>
      </c>
      <c r="W99" s="35">
        <f t="shared" si="33"/>
        <v>937500</v>
      </c>
      <c r="X99" s="47">
        <f t="shared" si="21"/>
        <v>0.49706954307776979</v>
      </c>
      <c r="Y99" s="30" t="s">
        <v>43</v>
      </c>
      <c r="Z99" s="48">
        <f t="shared" si="23"/>
        <v>12</v>
      </c>
      <c r="AA99" s="35">
        <f t="shared" si="24"/>
        <v>937500</v>
      </c>
      <c r="AB99" s="47"/>
      <c r="AC99" s="30" t="s">
        <v>43</v>
      </c>
      <c r="AD99" s="47"/>
      <c r="AE99" s="11"/>
      <c r="AH99" s="21"/>
    </row>
    <row r="100" spans="1:34" ht="60" customHeight="1" x14ac:dyDescent="0.3">
      <c r="A100" s="12"/>
      <c r="B100" s="13"/>
      <c r="C100" s="25" t="s">
        <v>114</v>
      </c>
      <c r="D100" s="25" t="s">
        <v>230</v>
      </c>
      <c r="E100" s="66">
        <f>70000*3</f>
        <v>210000</v>
      </c>
      <c r="F100" s="16" t="s">
        <v>42</v>
      </c>
      <c r="G100" s="123">
        <v>429350400</v>
      </c>
      <c r="H100" s="66">
        <v>68104</v>
      </c>
      <c r="I100" s="44">
        <v>10662500</v>
      </c>
      <c r="J100" s="66">
        <v>77850</v>
      </c>
      <c r="K100" s="19">
        <v>119006900</v>
      </c>
      <c r="L100" s="66">
        <v>1607</v>
      </c>
      <c r="M100" s="19">
        <v>1500000</v>
      </c>
      <c r="N100" s="66">
        <v>71038</v>
      </c>
      <c r="O100" s="19">
        <v>4005000</v>
      </c>
      <c r="P100" s="66">
        <v>3029</v>
      </c>
      <c r="Q100" s="19">
        <v>4015000</v>
      </c>
      <c r="R100" s="15">
        <v>2217</v>
      </c>
      <c r="S100" s="19">
        <v>171487500</v>
      </c>
      <c r="T100" s="145">
        <f t="shared" si="30"/>
        <v>77891</v>
      </c>
      <c r="U100" s="47">
        <f t="shared" si="31"/>
        <v>100.05266538214515</v>
      </c>
      <c r="V100" s="30" t="s">
        <v>43</v>
      </c>
      <c r="W100" s="35">
        <f t="shared" si="33"/>
        <v>181007500</v>
      </c>
      <c r="X100" s="47">
        <f t="shared" si="21"/>
        <v>152.09832371064198</v>
      </c>
      <c r="Y100" s="30" t="s">
        <v>43</v>
      </c>
      <c r="Z100" s="48">
        <f t="shared" si="23"/>
        <v>145995</v>
      </c>
      <c r="AA100" s="35">
        <f t="shared" si="24"/>
        <v>191670000</v>
      </c>
      <c r="AB100" s="47"/>
      <c r="AC100" s="30" t="s">
        <v>43</v>
      </c>
      <c r="AD100" s="47"/>
      <c r="AE100" s="11"/>
      <c r="AH100" s="21"/>
    </row>
    <row r="101" spans="1:34" ht="63.75" customHeight="1" x14ac:dyDescent="0.3">
      <c r="A101" s="12"/>
      <c r="B101" s="13"/>
      <c r="C101" s="25" t="s">
        <v>115</v>
      </c>
      <c r="D101" s="25" t="s">
        <v>231</v>
      </c>
      <c r="E101" s="15">
        <f>60*3</f>
        <v>180</v>
      </c>
      <c r="F101" s="67" t="s">
        <v>232</v>
      </c>
      <c r="G101" s="123">
        <v>320349400</v>
      </c>
      <c r="H101" s="39"/>
      <c r="I101" s="18">
        <v>63743866</v>
      </c>
      <c r="J101" s="15">
        <v>11</v>
      </c>
      <c r="K101" s="19">
        <v>58246450</v>
      </c>
      <c r="L101" s="15">
        <v>11</v>
      </c>
      <c r="M101" s="19">
        <v>27000000</v>
      </c>
      <c r="N101" s="15">
        <v>11</v>
      </c>
      <c r="O101" s="19">
        <v>36905000</v>
      </c>
      <c r="P101" s="15">
        <v>11</v>
      </c>
      <c r="Q101" s="19">
        <v>6390500</v>
      </c>
      <c r="R101" s="15">
        <v>11</v>
      </c>
      <c r="S101" s="19">
        <v>48511000</v>
      </c>
      <c r="T101" s="48">
        <f>SUM(L101)</f>
        <v>11</v>
      </c>
      <c r="U101" s="47">
        <f t="shared" si="31"/>
        <v>100</v>
      </c>
      <c r="V101" s="30" t="s">
        <v>43</v>
      </c>
      <c r="W101" s="35">
        <f t="shared" si="33"/>
        <v>118806500</v>
      </c>
      <c r="X101" s="47">
        <f t="shared" si="21"/>
        <v>203.97208756928532</v>
      </c>
      <c r="Y101" s="30" t="s">
        <v>43</v>
      </c>
      <c r="Z101" s="48">
        <f t="shared" si="23"/>
        <v>11</v>
      </c>
      <c r="AA101" s="35">
        <f>SUM(I101,W101)</f>
        <v>182550366</v>
      </c>
      <c r="AB101" s="47"/>
      <c r="AC101" s="30" t="s">
        <v>43</v>
      </c>
      <c r="AD101" s="47"/>
      <c r="AE101" s="11"/>
      <c r="AH101" s="21"/>
    </row>
    <row r="102" spans="1:34" s="89" customFormat="1" ht="72.75" customHeight="1" x14ac:dyDescent="0.3">
      <c r="A102" s="76"/>
      <c r="B102" s="77"/>
      <c r="C102" s="125" t="s">
        <v>116</v>
      </c>
      <c r="D102" s="125" t="s">
        <v>233</v>
      </c>
      <c r="E102" s="82">
        <f>69050*3</f>
        <v>207150</v>
      </c>
      <c r="F102" s="16" t="s">
        <v>42</v>
      </c>
      <c r="G102" s="123">
        <v>987553000</v>
      </c>
      <c r="H102" s="80"/>
      <c r="I102" s="81">
        <v>252247500</v>
      </c>
      <c r="J102" s="82">
        <v>12</v>
      </c>
      <c r="K102" s="83">
        <v>358348900</v>
      </c>
      <c r="L102" s="78">
        <v>3</v>
      </c>
      <c r="M102" s="83">
        <v>21820000</v>
      </c>
      <c r="N102" s="82">
        <v>3</v>
      </c>
      <c r="O102" s="19">
        <v>32340000</v>
      </c>
      <c r="P102" s="82">
        <v>3</v>
      </c>
      <c r="Q102" s="19">
        <v>112776000</v>
      </c>
      <c r="R102" s="78">
        <v>3</v>
      </c>
      <c r="S102" s="83">
        <v>169507500</v>
      </c>
      <c r="T102" s="146">
        <f t="shared" si="30"/>
        <v>12</v>
      </c>
      <c r="U102" s="85">
        <f t="shared" si="31"/>
        <v>100</v>
      </c>
      <c r="V102" s="86" t="s">
        <v>43</v>
      </c>
      <c r="W102" s="35">
        <f t="shared" si="33"/>
        <v>336443500</v>
      </c>
      <c r="X102" s="85">
        <f t="shared" si="21"/>
        <v>93.887130670695512</v>
      </c>
      <c r="Y102" s="86" t="s">
        <v>43</v>
      </c>
      <c r="Z102" s="84">
        <f t="shared" si="23"/>
        <v>12</v>
      </c>
      <c r="AA102" s="87">
        <f>SUM(I102,W102)</f>
        <v>588691000</v>
      </c>
      <c r="AB102" s="85"/>
      <c r="AC102" s="86" t="s">
        <v>43</v>
      </c>
      <c r="AD102" s="85"/>
      <c r="AE102" s="88"/>
      <c r="AH102" s="90"/>
    </row>
    <row r="103" spans="1:34" ht="101.25" customHeight="1" x14ac:dyDescent="0.3">
      <c r="A103" s="12"/>
      <c r="B103" s="13"/>
      <c r="C103" s="25" t="s">
        <v>117</v>
      </c>
      <c r="D103" s="25" t="s">
        <v>234</v>
      </c>
      <c r="E103" s="15">
        <f>25+20+25</f>
        <v>70</v>
      </c>
      <c r="F103" s="16" t="s">
        <v>42</v>
      </c>
      <c r="G103" s="123">
        <v>362297300</v>
      </c>
      <c r="H103" s="39"/>
      <c r="I103" s="18">
        <v>98939900</v>
      </c>
      <c r="J103" s="15">
        <v>12</v>
      </c>
      <c r="K103" s="19">
        <v>114256100</v>
      </c>
      <c r="L103" s="15">
        <v>3</v>
      </c>
      <c r="M103" s="19">
        <v>1125000</v>
      </c>
      <c r="N103" s="15">
        <v>3</v>
      </c>
      <c r="O103" s="19">
        <v>993000</v>
      </c>
      <c r="P103" s="15">
        <v>3</v>
      </c>
      <c r="Q103" s="19">
        <v>2510400</v>
      </c>
      <c r="R103" s="15">
        <v>3</v>
      </c>
      <c r="S103" s="19">
        <v>109132400</v>
      </c>
      <c r="T103" s="48">
        <f t="shared" si="30"/>
        <v>12</v>
      </c>
      <c r="U103" s="47">
        <f t="shared" si="31"/>
        <v>100</v>
      </c>
      <c r="V103" s="30" t="s">
        <v>43</v>
      </c>
      <c r="W103" s="35">
        <f>SUM(M103,O103,Q103,S103)</f>
        <v>113760800</v>
      </c>
      <c r="X103" s="47">
        <f t="shared" si="21"/>
        <v>99.566500169356388</v>
      </c>
      <c r="Y103" s="30" t="s">
        <v>43</v>
      </c>
      <c r="Z103" s="48">
        <f t="shared" si="23"/>
        <v>12</v>
      </c>
      <c r="AA103" s="35">
        <f>SUM(I103,W103)</f>
        <v>212700700</v>
      </c>
      <c r="AB103" s="47"/>
      <c r="AC103" s="30" t="s">
        <v>43</v>
      </c>
      <c r="AD103" s="47"/>
      <c r="AE103" s="11"/>
      <c r="AH103" s="21"/>
    </row>
    <row r="104" spans="1:34" ht="15.5" x14ac:dyDescent="0.35">
      <c r="A104" s="159" t="s">
        <v>45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2"/>
      <c r="P104" s="160"/>
      <c r="Q104" s="160"/>
      <c r="R104" s="160"/>
      <c r="S104" s="160"/>
      <c r="T104" s="160"/>
      <c r="U104" s="64">
        <f>AVERAGE(U13:U103)</f>
        <v>98.904140400031608</v>
      </c>
      <c r="V104" s="54"/>
      <c r="W104" s="53"/>
      <c r="X104" s="64">
        <f>AVERAGE(X13,X41,X75,X86)</f>
        <v>69.924312787030203</v>
      </c>
      <c r="Y104" s="54"/>
      <c r="Z104" s="53"/>
      <c r="AA104" s="53"/>
      <c r="AB104" s="53"/>
      <c r="AC104" s="54"/>
      <c r="AD104" s="55"/>
      <c r="AE104" s="11"/>
    </row>
    <row r="105" spans="1:34" ht="15.5" x14ac:dyDescent="0.35">
      <c r="A105" s="161" t="s">
        <v>23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26" t="str">
        <f>IF(U104&gt;=91,"Sangat Tinggi",IF(U104&gt;=76,"Tinggi",IF(U104&gt;=66,"Sedang",IF(U104&gt;=51,"Rendah",IF(U104&lt;=50,"Sangat Rendah")))))</f>
        <v>Sangat Tinggi</v>
      </c>
      <c r="V105" s="54"/>
      <c r="W105" s="56"/>
      <c r="X105" s="171" t="str">
        <f>IF(X104&gt;=91,"Sangat Tinggi",IF(X104&gt;=76,"Tinggi",IF(X104&gt;=66,"Sedang",IF(X104&gt;=51,"Rendah",IF(X104&lt;=50,"Sangat Rendah")))))</f>
        <v>Sedang</v>
      </c>
      <c r="Y105" s="54"/>
      <c r="Z105" s="57"/>
      <c r="AA105" s="56"/>
      <c r="AB105" s="57"/>
      <c r="AC105" s="54"/>
      <c r="AD105" s="58"/>
      <c r="AE105" s="11"/>
    </row>
    <row r="106" spans="1:34" ht="15.5" x14ac:dyDescent="0.3">
      <c r="A106" s="172" t="s">
        <v>253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1"/>
    </row>
    <row r="107" spans="1:34" ht="17.25" customHeight="1" x14ac:dyDescent="0.3">
      <c r="A107" s="172" t="s">
        <v>250</v>
      </c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1"/>
    </row>
    <row r="108" spans="1:34" ht="20.25" customHeight="1" x14ac:dyDescent="0.3">
      <c r="A108" s="172" t="s">
        <v>251</v>
      </c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1"/>
    </row>
    <row r="109" spans="1:34" ht="21" customHeight="1" x14ac:dyDescent="0.3">
      <c r="A109" s="172" t="s">
        <v>252</v>
      </c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27"/>
    </row>
    <row r="110" spans="1:34" ht="15.5" x14ac:dyDescent="0.3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9"/>
      <c r="W110" s="28"/>
      <c r="X110" s="28"/>
      <c r="Y110" s="29"/>
      <c r="Z110" s="28"/>
      <c r="AA110" s="28"/>
      <c r="AB110" s="28"/>
      <c r="AC110" s="29"/>
      <c r="AD110" s="28"/>
    </row>
    <row r="111" spans="1:34" ht="15.5" x14ac:dyDescent="0.3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14" t="s">
        <v>49</v>
      </c>
      <c r="U111" s="214"/>
      <c r="V111" s="214"/>
      <c r="W111" s="214"/>
      <c r="X111" s="214"/>
      <c r="Y111" s="29"/>
      <c r="Z111" s="28"/>
      <c r="AA111" s="214"/>
      <c r="AB111" s="214"/>
      <c r="AC111" s="214"/>
      <c r="AD111" s="214"/>
      <c r="AE111" s="214"/>
    </row>
    <row r="112" spans="1:34" ht="15.5" x14ac:dyDescent="0.35">
      <c r="A112" s="34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14" t="s">
        <v>243</v>
      </c>
      <c r="U112" s="214"/>
      <c r="V112" s="214"/>
      <c r="W112" s="214"/>
      <c r="X112" s="214"/>
      <c r="Y112" s="29"/>
      <c r="Z112" s="28"/>
      <c r="AA112" s="214"/>
      <c r="AB112" s="214"/>
      <c r="AC112" s="214"/>
      <c r="AD112" s="214"/>
      <c r="AE112" s="214"/>
    </row>
    <row r="113" spans="1:31" ht="15.75" customHeight="1" x14ac:dyDescent="0.35">
      <c r="S113" s="28"/>
      <c r="T113" s="214" t="s">
        <v>54</v>
      </c>
      <c r="U113" s="214"/>
      <c r="V113" s="214"/>
      <c r="W113" s="214"/>
      <c r="X113" s="214"/>
      <c r="Y113" s="28"/>
      <c r="Z113" s="28"/>
      <c r="AA113" s="214"/>
      <c r="AB113" s="214"/>
      <c r="AC113" s="214"/>
      <c r="AD113" s="214"/>
      <c r="AE113" s="214"/>
    </row>
    <row r="114" spans="1:31" ht="15.5" x14ac:dyDescent="0.35">
      <c r="G114" s="2">
        <v>2</v>
      </c>
      <c r="T114" s="214" t="s">
        <v>50</v>
      </c>
      <c r="U114" s="214"/>
      <c r="V114" s="214"/>
      <c r="W114" s="214"/>
      <c r="X114" s="214"/>
      <c r="AA114" s="214"/>
      <c r="AB114" s="214"/>
      <c r="AC114" s="214"/>
      <c r="AD114" s="214"/>
      <c r="AE114" s="214"/>
    </row>
    <row r="115" spans="1:31" ht="26" x14ac:dyDescent="0.35">
      <c r="A115" s="31" t="s">
        <v>24</v>
      </c>
      <c r="B115" s="31" t="s">
        <v>25</v>
      </c>
      <c r="C115" s="31" t="s">
        <v>26</v>
      </c>
      <c r="K115" s="170"/>
      <c r="T115" s="28"/>
      <c r="U115" s="28"/>
      <c r="V115" s="29"/>
      <c r="W115" s="28"/>
      <c r="AA115" s="29"/>
      <c r="AB115" s="28"/>
      <c r="AC115" s="29"/>
      <c r="AD115" s="28"/>
    </row>
    <row r="116" spans="1:31" ht="26" x14ac:dyDescent="0.35">
      <c r="A116" s="32" t="s">
        <v>27</v>
      </c>
      <c r="B116" s="32" t="s">
        <v>28</v>
      </c>
      <c r="C116" s="32" t="s">
        <v>29</v>
      </c>
      <c r="K116" s="169"/>
      <c r="T116" s="215" t="s">
        <v>51</v>
      </c>
      <c r="U116" s="215"/>
      <c r="V116" s="215"/>
      <c r="W116" s="215"/>
      <c r="X116" s="215"/>
      <c r="AA116" s="215"/>
      <c r="AB116" s="215"/>
      <c r="AC116" s="215"/>
      <c r="AD116" s="215"/>
      <c r="AE116" s="215"/>
    </row>
    <row r="117" spans="1:31" ht="26" x14ac:dyDescent="0.3">
      <c r="A117" s="32" t="s">
        <v>30</v>
      </c>
      <c r="B117" s="32" t="s">
        <v>31</v>
      </c>
      <c r="C117" s="32" t="s">
        <v>32</v>
      </c>
      <c r="K117" s="169"/>
      <c r="T117" s="216" t="s">
        <v>52</v>
      </c>
      <c r="U117" s="216"/>
      <c r="V117" s="216"/>
      <c r="W117" s="216"/>
      <c r="X117" s="216"/>
      <c r="AA117" s="216"/>
      <c r="AB117" s="216"/>
      <c r="AC117" s="216"/>
      <c r="AD117" s="216"/>
      <c r="AE117" s="216"/>
    </row>
    <row r="118" spans="1:31" ht="26" x14ac:dyDescent="0.3">
      <c r="A118" s="32" t="s">
        <v>33</v>
      </c>
      <c r="B118" s="32" t="s">
        <v>34</v>
      </c>
      <c r="C118" s="32" t="s">
        <v>35</v>
      </c>
    </row>
    <row r="119" spans="1:31" ht="26" x14ac:dyDescent="0.3">
      <c r="A119" s="32" t="s">
        <v>36</v>
      </c>
      <c r="B119" s="32" t="s">
        <v>37</v>
      </c>
      <c r="C119" s="32" t="s">
        <v>38</v>
      </c>
    </row>
    <row r="120" spans="1:31" ht="26" x14ac:dyDescent="0.3">
      <c r="A120" s="32" t="s">
        <v>39</v>
      </c>
      <c r="B120" s="33" t="s">
        <v>40</v>
      </c>
      <c r="C120" s="32" t="s">
        <v>41</v>
      </c>
    </row>
  </sheetData>
  <mergeCells count="77">
    <mergeCell ref="T114:X114"/>
    <mergeCell ref="AA114:AE114"/>
    <mergeCell ref="T116:X116"/>
    <mergeCell ref="AA116:AE116"/>
    <mergeCell ref="T117:X117"/>
    <mergeCell ref="AA117:AE117"/>
    <mergeCell ref="T111:X111"/>
    <mergeCell ref="AA111:AE111"/>
    <mergeCell ref="T112:X112"/>
    <mergeCell ref="AA112:AE112"/>
    <mergeCell ref="AA113:AE113"/>
    <mergeCell ref="T113:X113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AB10:AD10"/>
    <mergeCell ref="J10:K10"/>
    <mergeCell ref="L10:M10"/>
    <mergeCell ref="N10:O10"/>
    <mergeCell ref="P10:Q10"/>
    <mergeCell ref="R10:S10"/>
    <mergeCell ref="T10:Y10"/>
    <mergeCell ref="A109:AD109"/>
    <mergeCell ref="A106:AD106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B11:AC11"/>
    <mergeCell ref="U11:V11"/>
    <mergeCell ref="X11:Y11"/>
    <mergeCell ref="C41:C43"/>
    <mergeCell ref="A107:AD107"/>
    <mergeCell ref="A108:AD108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  <mergeCell ref="Z10:AA10"/>
  </mergeCells>
  <printOptions horizontalCentered="1"/>
  <pageMargins left="0.23622047244094491" right="0.23622047244094491" top="3.937007874015748E-2" bottom="3.937007874015748E-2" header="0" footer="0"/>
  <pageSetup paperSize="5" scale="30" fitToHeight="0" orientation="landscape" horizontalDpi="4294967293" r:id="rId1"/>
  <rowBreaks count="5" manualBreakCount="5">
    <brk id="26" max="38" man="1"/>
    <brk id="43" max="38" man="1"/>
    <brk id="57" max="38" man="1"/>
    <brk id="67" max="38" man="1"/>
    <brk id="82" max="3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K120"/>
  <sheetViews>
    <sheetView showRuler="0" view="pageBreakPreview" topLeftCell="E7" zoomScale="60" zoomScaleNormal="40" zoomScalePageLayoutView="55" workbookViewId="0">
      <pane ySplit="6" topLeftCell="A13" activePane="bottomLeft" state="frozen"/>
      <selection activeCell="A7" sqref="A7"/>
      <selection pane="bottomLeft" activeCell="T15" sqref="T15"/>
    </sheetView>
  </sheetViews>
  <sheetFormatPr defaultColWidth="9.1796875" defaultRowHeight="14" x14ac:dyDescent="0.3"/>
  <cols>
    <col min="1" max="1" width="6.453125" style="2" customWidth="1"/>
    <col min="2" max="2" width="21.54296875" style="2" customWidth="1"/>
    <col min="3" max="3" width="24.453125" style="2" customWidth="1"/>
    <col min="4" max="4" width="22.26953125" style="2" customWidth="1"/>
    <col min="5" max="5" width="19.7265625" style="2" customWidth="1"/>
    <col min="6" max="6" width="7.7265625" style="2" customWidth="1"/>
    <col min="7" max="7" width="28" style="2" bestFit="1" customWidth="1"/>
    <col min="8" max="8" width="20.7265625" style="2" bestFit="1" customWidth="1"/>
    <col min="9" max="9" width="21.453125" style="2" customWidth="1"/>
    <col min="10" max="10" width="18.7265625" style="2" bestFit="1" customWidth="1"/>
    <col min="11" max="11" width="27.54296875" style="2" bestFit="1" customWidth="1"/>
    <col min="12" max="12" width="18.81640625" style="2" customWidth="1"/>
    <col min="13" max="13" width="25.54296875" style="2" customWidth="1"/>
    <col min="14" max="14" width="18.54296875" style="2" bestFit="1" customWidth="1"/>
    <col min="15" max="15" width="24" style="2" customWidth="1"/>
    <col min="16" max="16" width="7.7265625" style="2" customWidth="1"/>
    <col min="17" max="17" width="18.26953125" style="2" customWidth="1"/>
    <col min="18" max="18" width="9" style="2" customWidth="1"/>
    <col min="19" max="19" width="17.81640625" style="2" customWidth="1"/>
    <col min="20" max="20" width="17.1796875" style="2" customWidth="1"/>
    <col min="21" max="21" width="9.453125" style="2" customWidth="1"/>
    <col min="22" max="22" width="5.7265625" style="4" customWidth="1"/>
    <col min="23" max="23" width="21" style="2" customWidth="1"/>
    <col min="24" max="24" width="16.81640625" style="2" bestFit="1" customWidth="1"/>
    <col min="25" max="25" width="5.7265625" style="4" customWidth="1"/>
    <col min="26" max="26" width="18.7265625" style="2" bestFit="1" customWidth="1"/>
    <col min="27" max="27" width="19.453125" style="2" customWidth="1"/>
    <col min="28" max="28" width="11.453125" style="2" customWidth="1"/>
    <col min="29" max="29" width="5.7265625" style="4" customWidth="1"/>
    <col min="30" max="30" width="10" style="2" customWidth="1"/>
    <col min="31" max="31" width="15" style="2" customWidth="1"/>
    <col min="32" max="32" width="9.1796875" style="2"/>
    <col min="33" max="37" width="19.54296875" style="2" customWidth="1"/>
    <col min="38" max="16384" width="9.1796875" style="2"/>
  </cols>
  <sheetData>
    <row r="1" spans="1:37" ht="23" x14ac:dyDescent="0.5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1"/>
    </row>
    <row r="2" spans="1:37" ht="23" x14ac:dyDescent="0.5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3"/>
    </row>
    <row r="3" spans="1:37" ht="23" x14ac:dyDescent="0.5">
      <c r="A3" s="208" t="s">
        <v>53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3"/>
    </row>
    <row r="4" spans="1:37" ht="23" x14ac:dyDescent="0.45">
      <c r="A4" s="209" t="s">
        <v>167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1"/>
    </row>
    <row r="5" spans="1:37" ht="18" x14ac:dyDescent="0.3">
      <c r="A5" s="210" t="s">
        <v>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37" ht="18" x14ac:dyDescent="0.4">
      <c r="A6" s="207" t="s">
        <v>53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</row>
    <row r="7" spans="1:37" ht="81" customHeight="1" x14ac:dyDescent="0.3">
      <c r="A7" s="211" t="s">
        <v>3</v>
      </c>
      <c r="B7" s="211" t="s">
        <v>4</v>
      </c>
      <c r="C7" s="212" t="s">
        <v>161</v>
      </c>
      <c r="D7" s="212" t="s">
        <v>5</v>
      </c>
      <c r="E7" s="199" t="s">
        <v>6</v>
      </c>
      <c r="F7" s="200"/>
      <c r="G7" s="203"/>
      <c r="H7" s="199" t="s">
        <v>166</v>
      </c>
      <c r="I7" s="203"/>
      <c r="J7" s="199" t="s">
        <v>163</v>
      </c>
      <c r="K7" s="200"/>
      <c r="L7" s="199" t="s">
        <v>7</v>
      </c>
      <c r="M7" s="200"/>
      <c r="N7" s="200"/>
      <c r="O7" s="200"/>
      <c r="P7" s="200"/>
      <c r="Q7" s="200"/>
      <c r="R7" s="200"/>
      <c r="S7" s="203"/>
      <c r="T7" s="199" t="s">
        <v>46</v>
      </c>
      <c r="U7" s="200"/>
      <c r="V7" s="200"/>
      <c r="W7" s="200"/>
      <c r="X7" s="200"/>
      <c r="Y7" s="203"/>
      <c r="Z7" s="199" t="s">
        <v>164</v>
      </c>
      <c r="AA7" s="203"/>
      <c r="AB7" s="199" t="s">
        <v>165</v>
      </c>
      <c r="AC7" s="200"/>
      <c r="AD7" s="200"/>
      <c r="AE7" s="192" t="s">
        <v>8</v>
      </c>
      <c r="AG7" s="4"/>
      <c r="AH7" s="4"/>
      <c r="AI7" s="4"/>
      <c r="AJ7" s="4"/>
      <c r="AK7" s="4"/>
    </row>
    <row r="8" spans="1:37" ht="18" customHeight="1" x14ac:dyDescent="0.3">
      <c r="A8" s="211"/>
      <c r="B8" s="211"/>
      <c r="C8" s="212"/>
      <c r="D8" s="212"/>
      <c r="E8" s="205"/>
      <c r="F8" s="213"/>
      <c r="G8" s="206"/>
      <c r="H8" s="205"/>
      <c r="I8" s="206"/>
      <c r="J8" s="201"/>
      <c r="K8" s="202"/>
      <c r="L8" s="201"/>
      <c r="M8" s="202"/>
      <c r="N8" s="202"/>
      <c r="O8" s="202"/>
      <c r="P8" s="202"/>
      <c r="Q8" s="202"/>
      <c r="R8" s="202"/>
      <c r="S8" s="204"/>
      <c r="T8" s="201"/>
      <c r="U8" s="202"/>
      <c r="V8" s="202"/>
      <c r="W8" s="202"/>
      <c r="X8" s="202"/>
      <c r="Y8" s="204"/>
      <c r="Z8" s="201"/>
      <c r="AA8" s="204"/>
      <c r="AB8" s="201"/>
      <c r="AC8" s="202"/>
      <c r="AD8" s="202"/>
      <c r="AE8" s="193"/>
    </row>
    <row r="9" spans="1:37" ht="15.75" customHeight="1" x14ac:dyDescent="0.3">
      <c r="A9" s="211"/>
      <c r="B9" s="211"/>
      <c r="C9" s="212"/>
      <c r="D9" s="212"/>
      <c r="E9" s="201"/>
      <c r="F9" s="202"/>
      <c r="G9" s="204"/>
      <c r="H9" s="201"/>
      <c r="I9" s="204"/>
      <c r="J9" s="194">
        <v>2022</v>
      </c>
      <c r="K9" s="195"/>
      <c r="L9" s="196" t="s">
        <v>9</v>
      </c>
      <c r="M9" s="197"/>
      <c r="N9" s="196" t="s">
        <v>10</v>
      </c>
      <c r="O9" s="197"/>
      <c r="P9" s="196" t="s">
        <v>11</v>
      </c>
      <c r="Q9" s="197"/>
      <c r="R9" s="196" t="s">
        <v>12</v>
      </c>
      <c r="S9" s="197"/>
      <c r="T9" s="196">
        <v>2022</v>
      </c>
      <c r="U9" s="198"/>
      <c r="V9" s="198"/>
      <c r="W9" s="198"/>
      <c r="X9" s="198"/>
      <c r="Y9" s="197"/>
      <c r="Z9" s="196">
        <v>2022</v>
      </c>
      <c r="AA9" s="197"/>
      <c r="AB9" s="196">
        <v>2022</v>
      </c>
      <c r="AC9" s="198"/>
      <c r="AD9" s="197"/>
      <c r="AE9" s="5"/>
    </row>
    <row r="10" spans="1:37" s="7" customFormat="1" ht="15.5" x14ac:dyDescent="0.35">
      <c r="A10" s="175">
        <v>1</v>
      </c>
      <c r="B10" s="175">
        <v>2</v>
      </c>
      <c r="C10" s="175">
        <v>3</v>
      </c>
      <c r="D10" s="175">
        <v>4</v>
      </c>
      <c r="E10" s="179">
        <v>5</v>
      </c>
      <c r="F10" s="180"/>
      <c r="G10" s="181"/>
      <c r="H10" s="179">
        <v>6</v>
      </c>
      <c r="I10" s="181"/>
      <c r="J10" s="190">
        <v>7</v>
      </c>
      <c r="K10" s="191"/>
      <c r="L10" s="190">
        <v>8</v>
      </c>
      <c r="M10" s="191"/>
      <c r="N10" s="190">
        <v>9</v>
      </c>
      <c r="O10" s="191"/>
      <c r="P10" s="190">
        <v>10</v>
      </c>
      <c r="Q10" s="191"/>
      <c r="R10" s="190">
        <v>11</v>
      </c>
      <c r="S10" s="191"/>
      <c r="T10" s="182">
        <v>12</v>
      </c>
      <c r="U10" s="189"/>
      <c r="V10" s="189"/>
      <c r="W10" s="189"/>
      <c r="X10" s="189"/>
      <c r="Y10" s="183"/>
      <c r="Z10" s="182">
        <v>13</v>
      </c>
      <c r="AA10" s="183"/>
      <c r="AB10" s="182">
        <v>14</v>
      </c>
      <c r="AC10" s="189"/>
      <c r="AD10" s="183"/>
      <c r="AE10" s="6">
        <v>15</v>
      </c>
    </row>
    <row r="11" spans="1:37" s="7" customFormat="1" ht="77.5" x14ac:dyDescent="0.3">
      <c r="A11" s="177"/>
      <c r="B11" s="177"/>
      <c r="C11" s="177"/>
      <c r="D11" s="177"/>
      <c r="E11" s="173" t="s">
        <v>13</v>
      </c>
      <c r="F11" s="184"/>
      <c r="G11" s="176" t="s">
        <v>14</v>
      </c>
      <c r="H11" s="173" t="s">
        <v>13</v>
      </c>
      <c r="I11" s="176" t="s">
        <v>14</v>
      </c>
      <c r="J11" s="173" t="s">
        <v>13</v>
      </c>
      <c r="K11" s="175" t="s">
        <v>14</v>
      </c>
      <c r="L11" s="173" t="s">
        <v>13</v>
      </c>
      <c r="M11" s="175" t="s">
        <v>14</v>
      </c>
      <c r="N11" s="173" t="s">
        <v>13</v>
      </c>
      <c r="O11" s="175" t="s">
        <v>14</v>
      </c>
      <c r="P11" s="173" t="s">
        <v>13</v>
      </c>
      <c r="Q11" s="175" t="s">
        <v>14</v>
      </c>
      <c r="R11" s="173" t="s">
        <v>13</v>
      </c>
      <c r="S11" s="175" t="s">
        <v>14</v>
      </c>
      <c r="T11" s="156" t="s">
        <v>15</v>
      </c>
      <c r="U11" s="179" t="s">
        <v>47</v>
      </c>
      <c r="V11" s="181"/>
      <c r="W11" s="8" t="s">
        <v>16</v>
      </c>
      <c r="X11" s="179" t="s">
        <v>48</v>
      </c>
      <c r="Y11" s="181"/>
      <c r="Z11" s="156" t="s">
        <v>17</v>
      </c>
      <c r="AA11" s="8" t="s">
        <v>18</v>
      </c>
      <c r="AB11" s="179" t="s">
        <v>19</v>
      </c>
      <c r="AC11" s="181"/>
      <c r="AD11" s="8" t="s">
        <v>20</v>
      </c>
      <c r="AE11" s="9"/>
    </row>
    <row r="12" spans="1:37" s="7" customFormat="1" ht="15.5" x14ac:dyDescent="0.3">
      <c r="A12" s="176"/>
      <c r="B12" s="176"/>
      <c r="C12" s="176"/>
      <c r="D12" s="176"/>
      <c r="E12" s="174"/>
      <c r="F12" s="178"/>
      <c r="G12" s="185"/>
      <c r="H12" s="174"/>
      <c r="I12" s="185"/>
      <c r="J12" s="174"/>
      <c r="K12" s="176"/>
      <c r="L12" s="174"/>
      <c r="M12" s="176"/>
      <c r="N12" s="174"/>
      <c r="O12" s="176"/>
      <c r="P12" s="174"/>
      <c r="Q12" s="176"/>
      <c r="R12" s="174"/>
      <c r="S12" s="176"/>
      <c r="T12" s="155" t="s">
        <v>13</v>
      </c>
      <c r="U12" s="174" t="s">
        <v>13</v>
      </c>
      <c r="V12" s="178"/>
      <c r="W12" s="10" t="s">
        <v>14</v>
      </c>
      <c r="X12" s="174" t="s">
        <v>14</v>
      </c>
      <c r="Y12" s="178"/>
      <c r="Z12" s="155" t="s">
        <v>13</v>
      </c>
      <c r="AA12" s="10" t="s">
        <v>14</v>
      </c>
      <c r="AB12" s="174" t="s">
        <v>13</v>
      </c>
      <c r="AC12" s="178"/>
      <c r="AD12" s="10" t="s">
        <v>14</v>
      </c>
      <c r="AE12" s="63"/>
    </row>
    <row r="13" spans="1:37" ht="93" x14ac:dyDescent="0.3">
      <c r="A13" s="42">
        <v>1</v>
      </c>
      <c r="B13" s="13" t="s">
        <v>21</v>
      </c>
      <c r="C13" s="43" t="s">
        <v>123</v>
      </c>
      <c r="D13" s="14" t="s">
        <v>120</v>
      </c>
      <c r="E13" s="113">
        <v>100</v>
      </c>
      <c r="F13" s="41" t="s">
        <v>43</v>
      </c>
      <c r="G13" s="59">
        <f>G14+G17+G24+G32+G36</f>
        <v>48315174853.490005</v>
      </c>
      <c r="H13" s="113">
        <v>100</v>
      </c>
      <c r="I13" s="59">
        <f>I14+I17+I22+I24+I32+I36</f>
        <v>21488528278</v>
      </c>
      <c r="J13" s="40">
        <v>100</v>
      </c>
      <c r="K13" s="59">
        <f>K14+K17+K22+K24+K32+K36</f>
        <v>9528493577</v>
      </c>
      <c r="L13" s="40">
        <v>100</v>
      </c>
      <c r="M13" s="59">
        <f>M14+M17+M24+M32+M36</f>
        <v>1764116259</v>
      </c>
      <c r="N13" s="40"/>
      <c r="O13" s="59"/>
      <c r="P13" s="148"/>
      <c r="Q13" s="59"/>
      <c r="R13" s="148"/>
      <c r="S13" s="59"/>
      <c r="T13" s="52">
        <f>AVERAGE(L13,N13,P13,R13)</f>
        <v>100</v>
      </c>
      <c r="U13" s="49">
        <f t="shared" ref="U13:U30" si="0">T13/J13*100</f>
        <v>100</v>
      </c>
      <c r="V13" s="40" t="s">
        <v>43</v>
      </c>
      <c r="W13" s="60">
        <f t="shared" ref="W13:W30" si="1">SUM(M13,O13,Q13,S13)</f>
        <v>1764116259</v>
      </c>
      <c r="X13" s="61">
        <f t="shared" ref="X13:X30" si="2">W13/K13*100</f>
        <v>18.51411500405737</v>
      </c>
      <c r="Y13" s="40" t="s">
        <v>43</v>
      </c>
      <c r="Z13" s="49">
        <f t="shared" ref="Z13:Z76" si="3">SUM(H13,T13)</f>
        <v>200</v>
      </c>
      <c r="AA13" s="60">
        <f t="shared" ref="AA13:AA76" si="4">SUM(I13,W13)</f>
        <v>23252644537</v>
      </c>
      <c r="AB13" s="49"/>
      <c r="AC13" s="51" t="s">
        <v>43</v>
      </c>
      <c r="AD13" s="61"/>
      <c r="AE13" s="20" t="s">
        <v>55</v>
      </c>
      <c r="AH13" s="21">
        <f>M13+O13+Q13+S13</f>
        <v>1764116259</v>
      </c>
    </row>
    <row r="14" spans="1:37" s="68" customFormat="1" ht="62" x14ac:dyDescent="0.3">
      <c r="A14" s="42">
        <v>2</v>
      </c>
      <c r="B14" s="43" t="s">
        <v>22</v>
      </c>
      <c r="C14" s="91" t="s">
        <v>56</v>
      </c>
      <c r="D14" s="91" t="s">
        <v>118</v>
      </c>
      <c r="E14" s="40">
        <v>45</v>
      </c>
      <c r="F14" s="41" t="s">
        <v>124</v>
      </c>
      <c r="G14" s="37">
        <f>SUM(G15:G16)</f>
        <v>38999400</v>
      </c>
      <c r="H14" s="40">
        <v>15</v>
      </c>
      <c r="I14" s="37">
        <f>SUM(I15:I16)</f>
        <v>8962000</v>
      </c>
      <c r="J14" s="40">
        <f>SUM(J15:J16)</f>
        <v>15</v>
      </c>
      <c r="K14" s="37">
        <f>SUM(K15:K16)</f>
        <v>7199850</v>
      </c>
      <c r="L14" s="40">
        <f>SUM(L15:L16)</f>
        <v>7</v>
      </c>
      <c r="M14" s="37">
        <f>SUM(M15:M16)</f>
        <v>900000</v>
      </c>
      <c r="N14" s="40"/>
      <c r="O14" s="37"/>
      <c r="P14" s="40"/>
      <c r="Q14" s="37"/>
      <c r="R14" s="40"/>
      <c r="S14" s="37"/>
      <c r="T14" s="52">
        <f t="shared" ref="T14:T21" si="5">SUM(L14,N14,P14,R14)</f>
        <v>7</v>
      </c>
      <c r="U14" s="49">
        <f t="shared" si="0"/>
        <v>46.666666666666664</v>
      </c>
      <c r="V14" s="51" t="s">
        <v>43</v>
      </c>
      <c r="W14" s="50">
        <f t="shared" si="1"/>
        <v>900000</v>
      </c>
      <c r="X14" s="49">
        <f t="shared" si="2"/>
        <v>12.500260422092127</v>
      </c>
      <c r="Y14" s="51" t="s">
        <v>43</v>
      </c>
      <c r="Z14" s="52">
        <f t="shared" si="3"/>
        <v>22</v>
      </c>
      <c r="AA14" s="50">
        <f t="shared" si="4"/>
        <v>9862000</v>
      </c>
      <c r="AB14" s="49"/>
      <c r="AC14" s="51" t="s">
        <v>43</v>
      </c>
      <c r="AD14" s="49"/>
      <c r="AE14" s="70"/>
      <c r="AH14" s="69"/>
    </row>
    <row r="15" spans="1:37" ht="57" customHeight="1" x14ac:dyDescent="0.3">
      <c r="A15" s="12"/>
      <c r="B15" s="13"/>
      <c r="C15" s="22" t="s">
        <v>57</v>
      </c>
      <c r="D15" s="25" t="s">
        <v>176</v>
      </c>
      <c r="E15" s="15">
        <v>15</v>
      </c>
      <c r="F15" s="16" t="s">
        <v>42</v>
      </c>
      <c r="G15" s="114">
        <v>22499700</v>
      </c>
      <c r="H15" s="48">
        <v>15</v>
      </c>
      <c r="I15" s="35">
        <v>7499800</v>
      </c>
      <c r="J15" s="15">
        <v>10</v>
      </c>
      <c r="K15" s="19">
        <v>5999800</v>
      </c>
      <c r="L15" s="15">
        <v>5</v>
      </c>
      <c r="M15" s="19">
        <v>900000</v>
      </c>
      <c r="N15" s="15"/>
      <c r="O15" s="19"/>
      <c r="P15" s="15"/>
      <c r="Q15" s="19"/>
      <c r="R15" s="15"/>
      <c r="S15" s="19"/>
      <c r="T15" s="48">
        <f t="shared" si="5"/>
        <v>5</v>
      </c>
      <c r="U15" s="47">
        <f t="shared" si="0"/>
        <v>50</v>
      </c>
      <c r="V15" s="30" t="s">
        <v>43</v>
      </c>
      <c r="W15" s="35">
        <f t="shared" si="1"/>
        <v>900000</v>
      </c>
      <c r="X15" s="47">
        <f t="shared" si="2"/>
        <v>15.000500016667223</v>
      </c>
      <c r="Y15" s="30" t="s">
        <v>43</v>
      </c>
      <c r="Z15" s="48">
        <f t="shared" si="3"/>
        <v>20</v>
      </c>
      <c r="AA15" s="35">
        <f t="shared" si="4"/>
        <v>8399800</v>
      </c>
      <c r="AB15" s="47"/>
      <c r="AC15" s="30" t="s">
        <v>43</v>
      </c>
      <c r="AD15" s="47"/>
      <c r="AE15" s="11"/>
      <c r="AH15" s="21"/>
    </row>
    <row r="16" spans="1:37" ht="46.5" x14ac:dyDescent="0.3">
      <c r="A16" s="12"/>
      <c r="B16" s="13"/>
      <c r="C16" s="22" t="s">
        <v>58</v>
      </c>
      <c r="D16" s="25" t="s">
        <v>177</v>
      </c>
      <c r="E16" s="15">
        <v>30</v>
      </c>
      <c r="F16" s="16" t="s">
        <v>79</v>
      </c>
      <c r="G16" s="114">
        <v>16499700</v>
      </c>
      <c r="H16" s="15"/>
      <c r="I16" s="24">
        <v>1462200</v>
      </c>
      <c r="J16" s="15">
        <v>5</v>
      </c>
      <c r="K16" s="24">
        <v>1200050</v>
      </c>
      <c r="L16" s="15">
        <v>2</v>
      </c>
      <c r="M16" s="24">
        <v>0</v>
      </c>
      <c r="N16" s="15"/>
      <c r="O16" s="24"/>
      <c r="P16" s="15"/>
      <c r="Q16" s="24"/>
      <c r="R16" s="15"/>
      <c r="S16" s="24"/>
      <c r="T16" s="48">
        <f t="shared" si="5"/>
        <v>2</v>
      </c>
      <c r="U16" s="47">
        <f t="shared" si="0"/>
        <v>40</v>
      </c>
      <c r="V16" s="30" t="s">
        <v>43</v>
      </c>
      <c r="W16" s="35">
        <f t="shared" si="1"/>
        <v>0</v>
      </c>
      <c r="X16" s="47">
        <f t="shared" si="2"/>
        <v>0</v>
      </c>
      <c r="Y16" s="30" t="s">
        <v>43</v>
      </c>
      <c r="Z16" s="48">
        <f t="shared" si="3"/>
        <v>2</v>
      </c>
      <c r="AA16" s="35">
        <f t="shared" si="4"/>
        <v>1462200</v>
      </c>
      <c r="AB16" s="47"/>
      <c r="AC16" s="30" t="s">
        <v>43</v>
      </c>
      <c r="AD16" s="47"/>
      <c r="AE16" s="11"/>
      <c r="AH16" s="21"/>
    </row>
    <row r="17" spans="1:34" s="102" customFormat="1" ht="62" x14ac:dyDescent="0.3">
      <c r="A17" s="76"/>
      <c r="B17" s="77"/>
      <c r="C17" s="92" t="s">
        <v>59</v>
      </c>
      <c r="D17" s="91" t="s">
        <v>119</v>
      </c>
      <c r="E17" s="93">
        <v>100</v>
      </c>
      <c r="F17" s="94" t="s">
        <v>43</v>
      </c>
      <c r="G17" s="96">
        <f>SUM(G18:G21)</f>
        <v>42922555930.490005</v>
      </c>
      <c r="H17" s="93">
        <v>100</v>
      </c>
      <c r="I17" s="96">
        <f>SUM(I18:I21)</f>
        <v>19433927260</v>
      </c>
      <c r="J17" s="95">
        <f>SUM(J19:J21)</f>
        <v>14</v>
      </c>
      <c r="K17" s="96">
        <f>SUM(K18:K21)</f>
        <v>8536856873</v>
      </c>
      <c r="L17" s="95">
        <f>SUM(L19:L21)</f>
        <v>1</v>
      </c>
      <c r="M17" s="96">
        <f>SUM(M18:M21)</f>
        <v>1637458505</v>
      </c>
      <c r="N17" s="95"/>
      <c r="O17" s="96"/>
      <c r="P17" s="95"/>
      <c r="Q17" s="96"/>
      <c r="R17" s="95"/>
      <c r="S17" s="96"/>
      <c r="T17" s="97">
        <f t="shared" si="5"/>
        <v>1</v>
      </c>
      <c r="U17" s="98">
        <f t="shared" si="0"/>
        <v>7.1428571428571423</v>
      </c>
      <c r="V17" s="99" t="s">
        <v>43</v>
      </c>
      <c r="W17" s="100">
        <f t="shared" si="1"/>
        <v>1637458505</v>
      </c>
      <c r="X17" s="98">
        <f t="shared" si="2"/>
        <v>19.181046717309773</v>
      </c>
      <c r="Y17" s="99" t="s">
        <v>43</v>
      </c>
      <c r="Z17" s="97">
        <f t="shared" si="3"/>
        <v>101</v>
      </c>
      <c r="AA17" s="100">
        <f t="shared" si="4"/>
        <v>21071385765</v>
      </c>
      <c r="AB17" s="98"/>
      <c r="AC17" s="99" t="s">
        <v>43</v>
      </c>
      <c r="AD17" s="98"/>
      <c r="AE17" s="101"/>
      <c r="AH17" s="103">
        <f>M17+O17+Q17+S17</f>
        <v>1637458505</v>
      </c>
    </row>
    <row r="18" spans="1:34" ht="58.5" customHeight="1" x14ac:dyDescent="0.3">
      <c r="A18" s="12"/>
      <c r="B18" s="13"/>
      <c r="C18" s="22" t="s">
        <v>60</v>
      </c>
      <c r="D18" s="22" t="s">
        <v>178</v>
      </c>
      <c r="E18" s="15">
        <v>153</v>
      </c>
      <c r="F18" s="23" t="s">
        <v>44</v>
      </c>
      <c r="G18" s="115">
        <v>42907556630.490005</v>
      </c>
      <c r="H18" s="15">
        <v>51</v>
      </c>
      <c r="I18" s="18">
        <v>19428927260</v>
      </c>
      <c r="J18" s="38">
        <v>50</v>
      </c>
      <c r="K18" s="19">
        <v>8532846323</v>
      </c>
      <c r="L18" s="38">
        <v>50</v>
      </c>
      <c r="M18" s="19">
        <v>1636134005</v>
      </c>
      <c r="N18" s="38"/>
      <c r="O18" s="19"/>
      <c r="P18" s="38"/>
      <c r="Q18" s="19"/>
      <c r="R18" s="38"/>
      <c r="S18" s="19"/>
      <c r="T18" s="97">
        <f t="shared" si="5"/>
        <v>50</v>
      </c>
      <c r="U18" s="48">
        <f t="shared" si="0"/>
        <v>100</v>
      </c>
      <c r="V18" s="30" t="s">
        <v>43</v>
      </c>
      <c r="W18" s="35">
        <f t="shared" si="1"/>
        <v>1636134005</v>
      </c>
      <c r="X18" s="47">
        <f t="shared" si="2"/>
        <v>19.174539691285144</v>
      </c>
      <c r="Y18" s="30" t="s">
        <v>43</v>
      </c>
      <c r="Z18" s="48">
        <f t="shared" si="3"/>
        <v>101</v>
      </c>
      <c r="AA18" s="35">
        <f t="shared" si="4"/>
        <v>21065061265</v>
      </c>
      <c r="AB18" s="47"/>
      <c r="AC18" s="30" t="s">
        <v>43</v>
      </c>
      <c r="AD18" s="47"/>
      <c r="AE18" s="11"/>
      <c r="AH18" s="21">
        <f>M18+O18+Q18+S18</f>
        <v>1636134005</v>
      </c>
    </row>
    <row r="19" spans="1:34" ht="124" x14ac:dyDescent="0.3">
      <c r="A19" s="12"/>
      <c r="B19" s="13"/>
      <c r="C19" s="104" t="s">
        <v>61</v>
      </c>
      <c r="D19" s="25" t="s">
        <v>179</v>
      </c>
      <c r="E19" s="15">
        <v>3</v>
      </c>
      <c r="F19" s="23" t="s">
        <v>79</v>
      </c>
      <c r="G19" s="116">
        <v>5999900</v>
      </c>
      <c r="H19" s="15">
        <v>1</v>
      </c>
      <c r="I19" s="18">
        <v>2000000</v>
      </c>
      <c r="J19" s="39">
        <v>1</v>
      </c>
      <c r="K19" s="19">
        <v>1600250</v>
      </c>
      <c r="L19" s="39">
        <v>1</v>
      </c>
      <c r="M19" s="19">
        <v>1324500</v>
      </c>
      <c r="N19" s="39"/>
      <c r="O19" s="19"/>
      <c r="P19" s="15"/>
      <c r="Q19" s="19"/>
      <c r="R19" s="15"/>
      <c r="S19" s="19"/>
      <c r="T19" s="48">
        <f t="shared" si="5"/>
        <v>1</v>
      </c>
      <c r="U19" s="47">
        <f t="shared" si="0"/>
        <v>100</v>
      </c>
      <c r="V19" s="30" t="s">
        <v>43</v>
      </c>
      <c r="W19" s="35">
        <f t="shared" si="1"/>
        <v>1324500</v>
      </c>
      <c r="X19" s="47">
        <f t="shared" si="2"/>
        <v>82.768317450398371</v>
      </c>
      <c r="Y19" s="30" t="s">
        <v>43</v>
      </c>
      <c r="Z19" s="48">
        <f t="shared" si="3"/>
        <v>2</v>
      </c>
      <c r="AA19" s="35">
        <f t="shared" si="4"/>
        <v>3324500</v>
      </c>
      <c r="AB19" s="47"/>
      <c r="AC19" s="30" t="s">
        <v>43</v>
      </c>
      <c r="AD19" s="47"/>
      <c r="AE19" s="11"/>
      <c r="AH19" s="21">
        <f>M19+O19+Q19+S19</f>
        <v>1324500</v>
      </c>
    </row>
    <row r="20" spans="1:34" ht="155" x14ac:dyDescent="0.3">
      <c r="A20" s="12"/>
      <c r="B20" s="13"/>
      <c r="C20" s="22" t="s">
        <v>62</v>
      </c>
      <c r="D20" s="25" t="s">
        <v>180</v>
      </c>
      <c r="E20" s="15">
        <v>36</v>
      </c>
      <c r="F20" s="23" t="s">
        <v>79</v>
      </c>
      <c r="G20" s="116">
        <v>4499500</v>
      </c>
      <c r="H20" s="15">
        <v>12</v>
      </c>
      <c r="I20" s="18">
        <v>1500000</v>
      </c>
      <c r="J20" s="38">
        <v>12</v>
      </c>
      <c r="K20" s="19">
        <v>1199800</v>
      </c>
      <c r="L20" s="38">
        <v>0</v>
      </c>
      <c r="M20" s="19">
        <v>0</v>
      </c>
      <c r="N20" s="38"/>
      <c r="O20" s="19"/>
      <c r="P20" s="15"/>
      <c r="Q20" s="19"/>
      <c r="R20" s="15"/>
      <c r="S20" s="19"/>
      <c r="T20" s="48">
        <f t="shared" si="5"/>
        <v>0</v>
      </c>
      <c r="U20" s="48">
        <f t="shared" si="0"/>
        <v>0</v>
      </c>
      <c r="V20" s="30" t="s">
        <v>43</v>
      </c>
      <c r="W20" s="35">
        <f t="shared" si="1"/>
        <v>0</v>
      </c>
      <c r="X20" s="47">
        <f t="shared" si="2"/>
        <v>0</v>
      </c>
      <c r="Y20" s="30" t="s">
        <v>43</v>
      </c>
      <c r="Z20" s="48">
        <f t="shared" si="3"/>
        <v>12</v>
      </c>
      <c r="AA20" s="35">
        <f t="shared" si="4"/>
        <v>1500000</v>
      </c>
      <c r="AB20" s="47"/>
      <c r="AC20" s="30" t="s">
        <v>43</v>
      </c>
      <c r="AD20" s="47"/>
      <c r="AE20" s="11"/>
      <c r="AH20" s="21">
        <f>M20+O20+Q20+S20</f>
        <v>0</v>
      </c>
    </row>
    <row r="21" spans="1:34" ht="69.75" customHeight="1" x14ac:dyDescent="0.3">
      <c r="A21" s="12"/>
      <c r="B21" s="13"/>
      <c r="C21" s="22" t="s">
        <v>63</v>
      </c>
      <c r="D21" s="25" t="s">
        <v>181</v>
      </c>
      <c r="E21" s="15">
        <v>3</v>
      </c>
      <c r="F21" s="23" t="s">
        <v>42</v>
      </c>
      <c r="G21" s="116">
        <v>4499900</v>
      </c>
      <c r="H21" s="15">
        <v>1</v>
      </c>
      <c r="I21" s="18">
        <v>1500000</v>
      </c>
      <c r="J21" s="38">
        <v>1</v>
      </c>
      <c r="K21" s="19">
        <v>1210500</v>
      </c>
      <c r="L21" s="38">
        <v>0</v>
      </c>
      <c r="M21" s="19">
        <v>0</v>
      </c>
      <c r="N21" s="38"/>
      <c r="O21" s="19"/>
      <c r="P21" s="15"/>
      <c r="Q21" s="19"/>
      <c r="R21" s="15"/>
      <c r="S21" s="19"/>
      <c r="T21" s="48">
        <f t="shared" si="5"/>
        <v>0</v>
      </c>
      <c r="U21" s="47">
        <f t="shared" si="0"/>
        <v>0</v>
      </c>
      <c r="V21" s="30" t="s">
        <v>43</v>
      </c>
      <c r="W21" s="35">
        <f t="shared" si="1"/>
        <v>0</v>
      </c>
      <c r="X21" s="47">
        <f t="shared" si="2"/>
        <v>0</v>
      </c>
      <c r="Y21" s="30" t="s">
        <v>43</v>
      </c>
      <c r="Z21" s="48">
        <f t="shared" si="3"/>
        <v>1</v>
      </c>
      <c r="AA21" s="35">
        <f t="shared" si="4"/>
        <v>1500000</v>
      </c>
      <c r="AB21" s="47"/>
      <c r="AC21" s="30" t="s">
        <v>43</v>
      </c>
      <c r="AD21" s="47"/>
      <c r="AE21" s="11"/>
      <c r="AH21" s="21">
        <f>M21+O21+Q21+S21</f>
        <v>0</v>
      </c>
    </row>
    <row r="22" spans="1:34" s="102" customFormat="1" ht="46.5" x14ac:dyDescent="0.3">
      <c r="A22" s="76"/>
      <c r="B22" s="77"/>
      <c r="C22" s="77" t="s">
        <v>168</v>
      </c>
      <c r="D22" s="138"/>
      <c r="E22" s="93">
        <v>100</v>
      </c>
      <c r="F22" s="105" t="s">
        <v>43</v>
      </c>
      <c r="G22" s="96">
        <f>SUM(G23)</f>
        <v>0</v>
      </c>
      <c r="H22" s="93"/>
      <c r="I22" s="96"/>
      <c r="J22" s="95">
        <v>100</v>
      </c>
      <c r="K22" s="96">
        <f>SUM(K23)</f>
        <v>10536500</v>
      </c>
      <c r="L22" s="95">
        <v>0</v>
      </c>
      <c r="M22" s="96">
        <f>SUM(M23:M28)</f>
        <v>79223600</v>
      </c>
      <c r="N22" s="95"/>
      <c r="O22" s="96"/>
      <c r="P22" s="93"/>
      <c r="Q22" s="96"/>
      <c r="R22" s="93"/>
      <c r="S22" s="96"/>
      <c r="T22" s="97">
        <f>AVERAGE(L22,N22,P22,R22)</f>
        <v>0</v>
      </c>
      <c r="U22" s="98">
        <f t="shared" si="0"/>
        <v>0</v>
      </c>
      <c r="V22" s="99" t="s">
        <v>43</v>
      </c>
      <c r="W22" s="100">
        <f t="shared" si="1"/>
        <v>79223600</v>
      </c>
      <c r="X22" s="98">
        <f t="shared" si="2"/>
        <v>751.89673990414269</v>
      </c>
      <c r="Y22" s="99" t="s">
        <v>43</v>
      </c>
      <c r="Z22" s="97">
        <f t="shared" si="3"/>
        <v>0</v>
      </c>
      <c r="AA22" s="100">
        <f t="shared" si="4"/>
        <v>79223600</v>
      </c>
      <c r="AB22" s="98"/>
      <c r="AC22" s="99" t="s">
        <v>43</v>
      </c>
      <c r="AD22" s="98"/>
      <c r="AE22" s="106"/>
      <c r="AH22" s="103"/>
    </row>
    <row r="23" spans="1:34" ht="108.5" x14ac:dyDescent="0.3">
      <c r="A23" s="12"/>
      <c r="B23" s="13"/>
      <c r="C23" s="25" t="s">
        <v>169</v>
      </c>
      <c r="D23" s="126" t="s">
        <v>182</v>
      </c>
      <c r="E23" s="15"/>
      <c r="F23" s="16" t="s">
        <v>44</v>
      </c>
      <c r="G23" s="117"/>
      <c r="H23" s="15"/>
      <c r="I23" s="19"/>
      <c r="J23" s="15">
        <v>51</v>
      </c>
      <c r="K23" s="19">
        <v>10536500</v>
      </c>
      <c r="L23" s="15">
        <v>0</v>
      </c>
      <c r="M23" s="19">
        <v>0</v>
      </c>
      <c r="N23" s="15"/>
      <c r="O23" s="19"/>
      <c r="P23" s="15"/>
      <c r="Q23" s="19"/>
      <c r="R23" s="15"/>
      <c r="S23" s="19"/>
      <c r="T23" s="48">
        <f>SUM(L23,N23,P23,R23)</f>
        <v>0</v>
      </c>
      <c r="U23" s="48">
        <f t="shared" si="0"/>
        <v>0</v>
      </c>
      <c r="V23" s="30" t="s">
        <v>43</v>
      </c>
      <c r="W23" s="35">
        <f t="shared" si="1"/>
        <v>0</v>
      </c>
      <c r="X23" s="47">
        <f t="shared" si="2"/>
        <v>0</v>
      </c>
      <c r="Y23" s="30" t="s">
        <v>43</v>
      </c>
      <c r="Z23" s="48">
        <f t="shared" si="3"/>
        <v>0</v>
      </c>
      <c r="AA23" s="35">
        <f t="shared" si="4"/>
        <v>0</v>
      </c>
      <c r="AB23" s="47"/>
      <c r="AC23" s="30" t="s">
        <v>43</v>
      </c>
      <c r="AD23" s="47"/>
      <c r="AE23" s="11"/>
      <c r="AH23" s="21"/>
    </row>
    <row r="24" spans="1:34" s="102" customFormat="1" ht="62" x14ac:dyDescent="0.3">
      <c r="A24" s="76"/>
      <c r="B24" s="77"/>
      <c r="C24" s="77" t="s">
        <v>64</v>
      </c>
      <c r="D24" s="138" t="s">
        <v>141</v>
      </c>
      <c r="E24" s="93">
        <v>100</v>
      </c>
      <c r="F24" s="105" t="s">
        <v>43</v>
      </c>
      <c r="G24" s="96">
        <f>SUM(G25:G31)</f>
        <v>2557497823</v>
      </c>
      <c r="H24" s="93">
        <v>100</v>
      </c>
      <c r="I24" s="96">
        <f>SUM(I25:I31)</f>
        <v>880926275</v>
      </c>
      <c r="J24" s="95">
        <v>100</v>
      </c>
      <c r="K24" s="96">
        <f>SUM(K25:K31)</f>
        <v>469256600</v>
      </c>
      <c r="L24" s="95">
        <v>25</v>
      </c>
      <c r="M24" s="96">
        <f>SUM(M25:M30)</f>
        <v>65200100</v>
      </c>
      <c r="N24" s="95"/>
      <c r="O24" s="96"/>
      <c r="P24" s="93"/>
      <c r="Q24" s="96"/>
      <c r="R24" s="93"/>
      <c r="S24" s="96"/>
      <c r="T24" s="97">
        <f>AVERAGE(L24,N24,P24,R24)</f>
        <v>25</v>
      </c>
      <c r="U24" s="98">
        <f t="shared" si="0"/>
        <v>25</v>
      </c>
      <c r="V24" s="99" t="s">
        <v>43</v>
      </c>
      <c r="W24" s="100">
        <f t="shared" si="1"/>
        <v>65200100</v>
      </c>
      <c r="X24" s="98">
        <f t="shared" si="2"/>
        <v>13.894338406748036</v>
      </c>
      <c r="Y24" s="99" t="s">
        <v>43</v>
      </c>
      <c r="Z24" s="97">
        <f t="shared" si="3"/>
        <v>125</v>
      </c>
      <c r="AA24" s="100">
        <f t="shared" si="4"/>
        <v>946126375</v>
      </c>
      <c r="AB24" s="98"/>
      <c r="AC24" s="99" t="s">
        <v>43</v>
      </c>
      <c r="AD24" s="98"/>
      <c r="AE24" s="106"/>
      <c r="AH24" s="103"/>
    </row>
    <row r="25" spans="1:34" ht="77.5" x14ac:dyDescent="0.3">
      <c r="A25" s="12"/>
      <c r="B25" s="13"/>
      <c r="C25" s="25" t="s">
        <v>65</v>
      </c>
      <c r="D25" s="25" t="s">
        <v>184</v>
      </c>
      <c r="E25" s="15">
        <v>36</v>
      </c>
      <c r="F25" s="16" t="s">
        <v>183</v>
      </c>
      <c r="G25" s="117">
        <v>21594400</v>
      </c>
      <c r="H25" s="15">
        <v>12</v>
      </c>
      <c r="I25" s="19">
        <v>5854400</v>
      </c>
      <c r="J25" s="15">
        <v>12</v>
      </c>
      <c r="K25" s="19">
        <v>6614000</v>
      </c>
      <c r="L25" s="15">
        <v>3</v>
      </c>
      <c r="M25" s="19">
        <v>224000</v>
      </c>
      <c r="N25" s="15"/>
      <c r="O25" s="19"/>
      <c r="P25" s="15"/>
      <c r="Q25" s="19"/>
      <c r="R25" s="15"/>
      <c r="S25" s="19"/>
      <c r="T25" s="48">
        <f t="shared" ref="T25:T30" si="6">SUM(L25,N25,P25,R25)</f>
        <v>3</v>
      </c>
      <c r="U25" s="48">
        <f t="shared" si="0"/>
        <v>25</v>
      </c>
      <c r="V25" s="30" t="s">
        <v>43</v>
      </c>
      <c r="W25" s="35">
        <f t="shared" si="1"/>
        <v>224000</v>
      </c>
      <c r="X25" s="47">
        <f t="shared" si="2"/>
        <v>3.3867553674024795</v>
      </c>
      <c r="Y25" s="30" t="s">
        <v>43</v>
      </c>
      <c r="Z25" s="48">
        <f t="shared" si="3"/>
        <v>15</v>
      </c>
      <c r="AA25" s="35">
        <f t="shared" si="4"/>
        <v>6078400</v>
      </c>
      <c r="AB25" s="47"/>
      <c r="AC25" s="30" t="s">
        <v>43</v>
      </c>
      <c r="AD25" s="47"/>
      <c r="AE25" s="11"/>
      <c r="AH25" s="21"/>
    </row>
    <row r="26" spans="1:34" ht="62" x14ac:dyDescent="0.3">
      <c r="A26" s="12"/>
      <c r="B26" s="13"/>
      <c r="C26" s="25" t="s">
        <v>66</v>
      </c>
      <c r="D26" s="25" t="s">
        <v>185</v>
      </c>
      <c r="E26" s="15">
        <v>36</v>
      </c>
      <c r="F26" s="16" t="s">
        <v>183</v>
      </c>
      <c r="G26" s="118">
        <v>773501023</v>
      </c>
      <c r="H26" s="15">
        <v>12</v>
      </c>
      <c r="I26" s="18">
        <v>295759350</v>
      </c>
      <c r="J26" s="15">
        <v>12</v>
      </c>
      <c r="K26" s="19">
        <v>115997400</v>
      </c>
      <c r="L26" s="15">
        <v>3</v>
      </c>
      <c r="M26" s="19">
        <v>3762000</v>
      </c>
      <c r="N26" s="15"/>
      <c r="O26" s="19"/>
      <c r="P26" s="15"/>
      <c r="Q26" s="19"/>
      <c r="R26" s="15"/>
      <c r="S26" s="19"/>
      <c r="T26" s="48">
        <f t="shared" si="6"/>
        <v>3</v>
      </c>
      <c r="U26" s="48">
        <f t="shared" si="0"/>
        <v>25</v>
      </c>
      <c r="V26" s="30" t="s">
        <v>43</v>
      </c>
      <c r="W26" s="35">
        <f t="shared" si="1"/>
        <v>3762000</v>
      </c>
      <c r="X26" s="47">
        <f t="shared" si="2"/>
        <v>3.243176140154866</v>
      </c>
      <c r="Y26" s="30" t="s">
        <v>43</v>
      </c>
      <c r="Z26" s="48">
        <f t="shared" si="3"/>
        <v>15</v>
      </c>
      <c r="AA26" s="35">
        <f t="shared" si="4"/>
        <v>299521350</v>
      </c>
      <c r="AB26" s="47"/>
      <c r="AC26" s="30" t="s">
        <v>43</v>
      </c>
      <c r="AD26" s="47"/>
      <c r="AE26" s="11"/>
      <c r="AH26" s="21"/>
    </row>
    <row r="27" spans="1:34" ht="46.5" x14ac:dyDescent="0.3">
      <c r="A27" s="12"/>
      <c r="B27" s="13"/>
      <c r="C27" s="25" t="s">
        <v>67</v>
      </c>
      <c r="D27" s="22" t="s">
        <v>186</v>
      </c>
      <c r="E27" s="15">
        <v>36</v>
      </c>
      <c r="F27" s="16" t="s">
        <v>183</v>
      </c>
      <c r="G27" s="119">
        <v>191043400</v>
      </c>
      <c r="H27" s="15">
        <v>12</v>
      </c>
      <c r="I27" s="18">
        <v>13197500</v>
      </c>
      <c r="J27" s="15">
        <v>12</v>
      </c>
      <c r="K27" s="19">
        <v>64959200</v>
      </c>
      <c r="L27" s="15">
        <v>3</v>
      </c>
      <c r="M27" s="19">
        <v>3287500</v>
      </c>
      <c r="N27" s="15"/>
      <c r="O27" s="19"/>
      <c r="P27" s="15"/>
      <c r="Q27" s="19"/>
      <c r="R27" s="15"/>
      <c r="S27" s="19"/>
      <c r="T27" s="48">
        <f t="shared" si="6"/>
        <v>3</v>
      </c>
      <c r="U27" s="48">
        <f t="shared" si="0"/>
        <v>25</v>
      </c>
      <c r="V27" s="30" t="s">
        <v>43</v>
      </c>
      <c r="W27" s="35">
        <f t="shared" si="1"/>
        <v>3287500</v>
      </c>
      <c r="X27" s="47">
        <f t="shared" si="2"/>
        <v>5.0608689762189192</v>
      </c>
      <c r="Y27" s="30" t="s">
        <v>43</v>
      </c>
      <c r="Z27" s="48">
        <f t="shared" si="3"/>
        <v>15</v>
      </c>
      <c r="AA27" s="35">
        <f t="shared" si="4"/>
        <v>16485000</v>
      </c>
      <c r="AB27" s="47"/>
      <c r="AC27" s="30" t="s">
        <v>43</v>
      </c>
      <c r="AD27" s="47"/>
      <c r="AE27" s="11"/>
      <c r="AH27" s="21"/>
    </row>
    <row r="28" spans="1:34" ht="62" x14ac:dyDescent="0.3">
      <c r="A28" s="12"/>
      <c r="B28" s="13"/>
      <c r="C28" s="25" t="s">
        <v>68</v>
      </c>
      <c r="D28" s="22" t="s">
        <v>187</v>
      </c>
      <c r="E28" s="15">
        <v>36</v>
      </c>
      <c r="F28" s="16" t="s">
        <v>183</v>
      </c>
      <c r="G28" s="119">
        <v>181233500</v>
      </c>
      <c r="H28" s="15">
        <v>12</v>
      </c>
      <c r="I28" s="18">
        <v>50105370</v>
      </c>
      <c r="J28" s="15">
        <v>12</v>
      </c>
      <c r="K28" s="19">
        <v>51232000</v>
      </c>
      <c r="L28" s="15">
        <v>3</v>
      </c>
      <c r="M28" s="19">
        <v>6750000</v>
      </c>
      <c r="N28" s="15"/>
      <c r="O28" s="19"/>
      <c r="P28" s="15"/>
      <c r="Q28" s="19"/>
      <c r="R28" s="15"/>
      <c r="S28" s="19"/>
      <c r="T28" s="48">
        <f t="shared" si="6"/>
        <v>3</v>
      </c>
      <c r="U28" s="48">
        <f t="shared" si="0"/>
        <v>25</v>
      </c>
      <c r="V28" s="30" t="s">
        <v>43</v>
      </c>
      <c r="W28" s="35">
        <f t="shared" si="1"/>
        <v>6750000</v>
      </c>
      <c r="X28" s="47">
        <f t="shared" si="2"/>
        <v>13.17535915053092</v>
      </c>
      <c r="Y28" s="30" t="s">
        <v>43</v>
      </c>
      <c r="Z28" s="48">
        <f t="shared" si="3"/>
        <v>15</v>
      </c>
      <c r="AA28" s="35">
        <f t="shared" si="4"/>
        <v>56855370</v>
      </c>
      <c r="AB28" s="47"/>
      <c r="AC28" s="30" t="s">
        <v>43</v>
      </c>
      <c r="AD28" s="47"/>
      <c r="AE28" s="11"/>
      <c r="AH28" s="21"/>
    </row>
    <row r="29" spans="1:34" ht="93" customHeight="1" x14ac:dyDescent="0.3">
      <c r="A29" s="12"/>
      <c r="B29" s="13"/>
      <c r="C29" s="25" t="s">
        <v>69</v>
      </c>
      <c r="D29" s="126" t="s">
        <v>188</v>
      </c>
      <c r="E29" s="15">
        <v>36</v>
      </c>
      <c r="F29" s="16" t="s">
        <v>42</v>
      </c>
      <c r="G29" s="118">
        <v>18828000</v>
      </c>
      <c r="H29" s="15">
        <v>12</v>
      </c>
      <c r="I29" s="18">
        <v>5400000</v>
      </c>
      <c r="J29" s="15">
        <v>12</v>
      </c>
      <c r="K29" s="19">
        <v>5454000</v>
      </c>
      <c r="L29" s="15">
        <v>3</v>
      </c>
      <c r="M29" s="19">
        <v>510000</v>
      </c>
      <c r="N29" s="15"/>
      <c r="O29" s="19"/>
      <c r="P29" s="15"/>
      <c r="Q29" s="19"/>
      <c r="R29" s="15"/>
      <c r="S29" s="19"/>
      <c r="T29" s="48">
        <f t="shared" si="6"/>
        <v>3</v>
      </c>
      <c r="U29" s="48">
        <f t="shared" si="0"/>
        <v>25</v>
      </c>
      <c r="V29" s="30" t="s">
        <v>43</v>
      </c>
      <c r="W29" s="35">
        <f t="shared" si="1"/>
        <v>510000</v>
      </c>
      <c r="X29" s="47">
        <f t="shared" si="2"/>
        <v>9.3509350935093511</v>
      </c>
      <c r="Y29" s="30" t="s">
        <v>43</v>
      </c>
      <c r="Z29" s="48">
        <f t="shared" si="3"/>
        <v>15</v>
      </c>
      <c r="AA29" s="35">
        <f t="shared" si="4"/>
        <v>5910000</v>
      </c>
      <c r="AB29" s="47"/>
      <c r="AC29" s="30" t="s">
        <v>43</v>
      </c>
      <c r="AD29" s="47"/>
      <c r="AE29" s="11"/>
      <c r="AH29" s="21"/>
    </row>
    <row r="30" spans="1:34" ht="77.5" x14ac:dyDescent="0.3">
      <c r="A30" s="12"/>
      <c r="B30" s="13"/>
      <c r="C30" s="25" t="s">
        <v>70</v>
      </c>
      <c r="D30" s="126" t="s">
        <v>189</v>
      </c>
      <c r="E30" s="15">
        <v>36</v>
      </c>
      <c r="F30" s="16" t="s">
        <v>79</v>
      </c>
      <c r="G30" s="118">
        <v>1371297500</v>
      </c>
      <c r="H30" s="15">
        <v>12</v>
      </c>
      <c r="I30" s="18">
        <v>446759655</v>
      </c>
      <c r="J30" s="15">
        <v>12</v>
      </c>
      <c r="K30" s="19">
        <v>225000000</v>
      </c>
      <c r="L30" s="15">
        <v>3</v>
      </c>
      <c r="M30" s="19">
        <v>50666600</v>
      </c>
      <c r="N30" s="15"/>
      <c r="O30" s="19"/>
      <c r="P30" s="15"/>
      <c r="Q30" s="19"/>
      <c r="R30" s="15"/>
      <c r="S30" s="19"/>
      <c r="T30" s="48">
        <f t="shared" si="6"/>
        <v>3</v>
      </c>
      <c r="U30" s="48">
        <f t="shared" si="0"/>
        <v>25</v>
      </c>
      <c r="V30" s="30" t="s">
        <v>43</v>
      </c>
      <c r="W30" s="35">
        <f t="shared" si="1"/>
        <v>50666600</v>
      </c>
      <c r="X30" s="47">
        <f t="shared" si="2"/>
        <v>22.518488888888889</v>
      </c>
      <c r="Y30" s="30" t="s">
        <v>43</v>
      </c>
      <c r="Z30" s="48">
        <f t="shared" si="3"/>
        <v>15</v>
      </c>
      <c r="AA30" s="35">
        <f t="shared" si="4"/>
        <v>497426255</v>
      </c>
      <c r="AB30" s="47"/>
      <c r="AC30" s="30" t="s">
        <v>43</v>
      </c>
      <c r="AD30" s="47"/>
      <c r="AE30" s="11"/>
      <c r="AH30" s="21"/>
    </row>
    <row r="31" spans="1:34" s="89" customFormat="1" ht="62" x14ac:dyDescent="0.3">
      <c r="A31" s="76"/>
      <c r="B31" s="77"/>
      <c r="C31" s="153" t="s">
        <v>80</v>
      </c>
      <c r="D31" s="153" t="s">
        <v>190</v>
      </c>
      <c r="E31" s="15">
        <v>36</v>
      </c>
      <c r="F31" s="16" t="s">
        <v>183</v>
      </c>
      <c r="G31" s="119">
        <f>K31</f>
        <v>0</v>
      </c>
      <c r="H31" s="15">
        <v>12</v>
      </c>
      <c r="I31" s="81">
        <v>63850000</v>
      </c>
      <c r="J31" s="78"/>
      <c r="K31" s="83"/>
      <c r="L31" s="78"/>
      <c r="M31" s="83"/>
      <c r="N31" s="78"/>
      <c r="O31" s="83"/>
      <c r="P31" s="78"/>
      <c r="Q31" s="83"/>
      <c r="R31" s="78"/>
      <c r="S31" s="83"/>
      <c r="T31" s="84"/>
      <c r="U31" s="84"/>
      <c r="V31" s="86"/>
      <c r="W31" s="87"/>
      <c r="X31" s="85"/>
      <c r="Y31" s="86"/>
      <c r="Z31" s="84">
        <f t="shared" si="3"/>
        <v>12</v>
      </c>
      <c r="AA31" s="87">
        <f t="shared" si="4"/>
        <v>63850000</v>
      </c>
      <c r="AB31" s="85"/>
      <c r="AC31" s="86" t="s">
        <v>43</v>
      </c>
      <c r="AD31" s="85"/>
      <c r="AE31" s="88"/>
      <c r="AH31" s="90"/>
    </row>
    <row r="32" spans="1:34" s="102" customFormat="1" ht="101.25" customHeight="1" x14ac:dyDescent="0.3">
      <c r="A32" s="76"/>
      <c r="B32" s="77"/>
      <c r="C32" s="91" t="s">
        <v>71</v>
      </c>
      <c r="D32" s="92" t="s">
        <v>142</v>
      </c>
      <c r="E32" s="93">
        <v>100</v>
      </c>
      <c r="F32" s="105" t="s">
        <v>43</v>
      </c>
      <c r="G32" s="96">
        <f>SUM(G33:G35)</f>
        <v>702966000</v>
      </c>
      <c r="H32" s="93">
        <v>100</v>
      </c>
      <c r="I32" s="96">
        <f>SUM(I33:I35)</f>
        <v>170913931</v>
      </c>
      <c r="J32" s="95">
        <v>100</v>
      </c>
      <c r="K32" s="96">
        <f>SUM(K33:K35)</f>
        <v>230005654</v>
      </c>
      <c r="L32" s="95">
        <v>25</v>
      </c>
      <c r="M32" s="96">
        <f>SUM(M33:M35)</f>
        <v>42843727</v>
      </c>
      <c r="N32" s="95"/>
      <c r="O32" s="96"/>
      <c r="P32" s="93"/>
      <c r="Q32" s="96"/>
      <c r="R32" s="93"/>
      <c r="S32" s="96"/>
      <c r="T32" s="97">
        <f>AVERAGE(L32,N32,P32,R32)</f>
        <v>25</v>
      </c>
      <c r="U32" s="97">
        <f t="shared" ref="U32:U67" si="7">T32/J32*100</f>
        <v>25</v>
      </c>
      <c r="V32" s="99" t="s">
        <v>43</v>
      </c>
      <c r="W32" s="100">
        <f t="shared" ref="W32:W67" si="8">SUM(M32,O32,Q32,S32)</f>
        <v>42843727</v>
      </c>
      <c r="X32" s="98">
        <f t="shared" ref="X32:X67" si="9">W32/K32*100</f>
        <v>18.627249484919183</v>
      </c>
      <c r="Y32" s="99" t="s">
        <v>43</v>
      </c>
      <c r="Z32" s="98">
        <f t="shared" si="3"/>
        <v>125</v>
      </c>
      <c r="AA32" s="100">
        <f t="shared" si="4"/>
        <v>213757658</v>
      </c>
      <c r="AB32" s="98"/>
      <c r="AC32" s="99" t="s">
        <v>43</v>
      </c>
      <c r="AD32" s="98"/>
      <c r="AE32" s="106"/>
      <c r="AH32" s="103"/>
    </row>
    <row r="33" spans="1:34" ht="46.5" x14ac:dyDescent="0.3">
      <c r="A33" s="12"/>
      <c r="B33" s="13"/>
      <c r="C33" s="25" t="s">
        <v>72</v>
      </c>
      <c r="D33" s="25" t="s">
        <v>191</v>
      </c>
      <c r="E33" s="15">
        <v>36</v>
      </c>
      <c r="F33" s="16" t="s">
        <v>79</v>
      </c>
      <c r="G33" s="119">
        <v>3200000</v>
      </c>
      <c r="H33" s="15">
        <v>12</v>
      </c>
      <c r="I33" s="18">
        <v>436000</v>
      </c>
      <c r="J33" s="15">
        <v>12</v>
      </c>
      <c r="K33" s="19">
        <v>1100000</v>
      </c>
      <c r="L33" s="15">
        <v>3</v>
      </c>
      <c r="M33" s="19">
        <v>0</v>
      </c>
      <c r="N33" s="15"/>
      <c r="O33" s="19"/>
      <c r="P33" s="15"/>
      <c r="Q33" s="19"/>
      <c r="R33" s="15"/>
      <c r="S33" s="19"/>
      <c r="T33" s="48">
        <f>SUM(L33,N33,P33,R33)</f>
        <v>3</v>
      </c>
      <c r="U33" s="48">
        <f t="shared" si="7"/>
        <v>25</v>
      </c>
      <c r="V33" s="30" t="s">
        <v>43</v>
      </c>
      <c r="W33" s="35">
        <f t="shared" si="8"/>
        <v>0</v>
      </c>
      <c r="X33" s="47">
        <f t="shared" si="9"/>
        <v>0</v>
      </c>
      <c r="Y33" s="30" t="s">
        <v>43</v>
      </c>
      <c r="Z33" s="48">
        <f t="shared" si="3"/>
        <v>15</v>
      </c>
      <c r="AA33" s="35">
        <f t="shared" si="4"/>
        <v>436000</v>
      </c>
      <c r="AB33" s="47"/>
      <c r="AC33" s="30" t="s">
        <v>43</v>
      </c>
      <c r="AD33" s="47"/>
      <c r="AE33" s="11"/>
      <c r="AH33" s="21"/>
    </row>
    <row r="34" spans="1:34" ht="77.5" x14ac:dyDescent="0.3">
      <c r="A34" s="12"/>
      <c r="B34" s="13"/>
      <c r="C34" s="25" t="s">
        <v>73</v>
      </c>
      <c r="D34" s="25" t="s">
        <v>192</v>
      </c>
      <c r="E34" s="15">
        <v>36</v>
      </c>
      <c r="F34" s="16" t="s">
        <v>79</v>
      </c>
      <c r="G34" s="118">
        <v>480400000</v>
      </c>
      <c r="H34" s="15">
        <v>12</v>
      </c>
      <c r="I34" s="18">
        <v>103900923</v>
      </c>
      <c r="J34" s="15">
        <v>12</v>
      </c>
      <c r="K34" s="19">
        <v>155783654</v>
      </c>
      <c r="L34" s="15">
        <v>3</v>
      </c>
      <c r="M34" s="19">
        <v>26039775</v>
      </c>
      <c r="N34" s="15"/>
      <c r="O34" s="19"/>
      <c r="P34" s="15"/>
      <c r="Q34" s="19"/>
      <c r="R34" s="15"/>
      <c r="S34" s="19"/>
      <c r="T34" s="48">
        <f>SUM(L34,N34,P34,R34)</f>
        <v>3</v>
      </c>
      <c r="U34" s="48">
        <f t="shared" si="7"/>
        <v>25</v>
      </c>
      <c r="V34" s="30" t="s">
        <v>43</v>
      </c>
      <c r="W34" s="35">
        <f t="shared" si="8"/>
        <v>26039775</v>
      </c>
      <c r="X34" s="47">
        <f t="shared" si="9"/>
        <v>16.715344858967036</v>
      </c>
      <c r="Y34" s="30" t="s">
        <v>43</v>
      </c>
      <c r="Z34" s="48">
        <f t="shared" si="3"/>
        <v>15</v>
      </c>
      <c r="AA34" s="35">
        <f t="shared" si="4"/>
        <v>129940698</v>
      </c>
      <c r="AB34" s="47"/>
      <c r="AC34" s="30" t="s">
        <v>43</v>
      </c>
      <c r="AD34" s="47"/>
      <c r="AE34" s="11"/>
      <c r="AH34" s="21"/>
    </row>
    <row r="35" spans="1:34" ht="77.5" x14ac:dyDescent="0.3">
      <c r="A35" s="12"/>
      <c r="B35" s="13"/>
      <c r="C35" s="25" t="s">
        <v>74</v>
      </c>
      <c r="D35" s="25" t="s">
        <v>193</v>
      </c>
      <c r="E35" s="15">
        <v>36</v>
      </c>
      <c r="F35" s="16" t="s">
        <v>79</v>
      </c>
      <c r="G35" s="118">
        <v>219366000</v>
      </c>
      <c r="H35" s="15">
        <v>12</v>
      </c>
      <c r="I35" s="18">
        <v>66577008</v>
      </c>
      <c r="J35" s="15">
        <v>12</v>
      </c>
      <c r="K35" s="19">
        <v>73122000</v>
      </c>
      <c r="L35" s="15">
        <v>3</v>
      </c>
      <c r="M35" s="19">
        <v>16803952</v>
      </c>
      <c r="N35" s="15"/>
      <c r="O35" s="19"/>
      <c r="P35" s="15"/>
      <c r="Q35" s="19"/>
      <c r="R35" s="15"/>
      <c r="S35" s="19"/>
      <c r="T35" s="48">
        <f>SUM(L35,N35,P35,R35)</f>
        <v>3</v>
      </c>
      <c r="U35" s="48">
        <f t="shared" si="7"/>
        <v>25</v>
      </c>
      <c r="V35" s="30" t="s">
        <v>43</v>
      </c>
      <c r="W35" s="35">
        <f t="shared" si="8"/>
        <v>16803952</v>
      </c>
      <c r="X35" s="47">
        <f t="shared" si="9"/>
        <v>22.980706217007192</v>
      </c>
      <c r="Y35" s="30" t="s">
        <v>43</v>
      </c>
      <c r="Z35" s="48">
        <f t="shared" si="3"/>
        <v>15</v>
      </c>
      <c r="AA35" s="35">
        <f t="shared" si="4"/>
        <v>83380960</v>
      </c>
      <c r="AB35" s="47"/>
      <c r="AC35" s="30" t="s">
        <v>43</v>
      </c>
      <c r="AD35" s="47"/>
      <c r="AE35" s="11"/>
      <c r="AH35" s="21"/>
    </row>
    <row r="36" spans="1:34" s="102" customFormat="1" ht="77.5" x14ac:dyDescent="0.3">
      <c r="A36" s="76"/>
      <c r="B36" s="77"/>
      <c r="C36" s="91" t="s">
        <v>75</v>
      </c>
      <c r="D36" s="92" t="s">
        <v>143</v>
      </c>
      <c r="E36" s="93">
        <v>100</v>
      </c>
      <c r="F36" s="105" t="s">
        <v>43</v>
      </c>
      <c r="G36" s="96">
        <f>SUM(G37:G40)</f>
        <v>2093155700</v>
      </c>
      <c r="H36" s="93">
        <v>100</v>
      </c>
      <c r="I36" s="96">
        <f>SUM(I37:I40)</f>
        <v>993798812</v>
      </c>
      <c r="J36" s="95">
        <v>100</v>
      </c>
      <c r="K36" s="96">
        <f>SUM(K37:K40)</f>
        <v>274638100</v>
      </c>
      <c r="L36" s="95">
        <v>25</v>
      </c>
      <c r="M36" s="96">
        <f>SUM(M37:M39)</f>
        <v>17713927</v>
      </c>
      <c r="N36" s="95"/>
      <c r="O36" s="96"/>
      <c r="P36" s="93"/>
      <c r="Q36" s="96"/>
      <c r="R36" s="93"/>
      <c r="S36" s="96"/>
      <c r="T36" s="97">
        <f>AVERAGE(L36,N36,P36,R36)</f>
        <v>25</v>
      </c>
      <c r="U36" s="97">
        <f t="shared" si="7"/>
        <v>25</v>
      </c>
      <c r="V36" s="99" t="s">
        <v>43</v>
      </c>
      <c r="W36" s="100">
        <f t="shared" si="8"/>
        <v>17713927</v>
      </c>
      <c r="X36" s="98">
        <f t="shared" si="9"/>
        <v>6.449916089573879</v>
      </c>
      <c r="Y36" s="99" t="s">
        <v>43</v>
      </c>
      <c r="Z36" s="98">
        <f t="shared" si="3"/>
        <v>125</v>
      </c>
      <c r="AA36" s="100">
        <f t="shared" si="4"/>
        <v>1011512739</v>
      </c>
      <c r="AB36" s="98"/>
      <c r="AC36" s="99" t="s">
        <v>43</v>
      </c>
      <c r="AD36" s="98"/>
      <c r="AE36" s="106"/>
      <c r="AH36" s="103"/>
    </row>
    <row r="37" spans="1:34" ht="108.5" x14ac:dyDescent="0.3">
      <c r="A37" s="12"/>
      <c r="B37" s="13"/>
      <c r="C37" s="25" t="s">
        <v>76</v>
      </c>
      <c r="D37" s="25" t="s">
        <v>194</v>
      </c>
      <c r="E37" s="15">
        <v>36</v>
      </c>
      <c r="F37" s="16" t="s">
        <v>195</v>
      </c>
      <c r="G37" s="118">
        <v>512480000</v>
      </c>
      <c r="H37" s="15">
        <v>12</v>
      </c>
      <c r="I37" s="18">
        <v>71101497</v>
      </c>
      <c r="J37" s="15">
        <v>48</v>
      </c>
      <c r="K37" s="19">
        <v>142540000</v>
      </c>
      <c r="L37" s="15">
        <v>5</v>
      </c>
      <c r="M37" s="19">
        <v>7164227</v>
      </c>
      <c r="N37" s="15"/>
      <c r="O37" s="19"/>
      <c r="P37" s="15"/>
      <c r="Q37" s="19"/>
      <c r="R37" s="15"/>
      <c r="S37" s="19"/>
      <c r="T37" s="48">
        <f>SUM(J37,N37,P37,R37)</f>
        <v>48</v>
      </c>
      <c r="U37" s="48" t="e">
        <f>T37/#REF!*100</f>
        <v>#REF!</v>
      </c>
      <c r="V37" s="30" t="s">
        <v>43</v>
      </c>
      <c r="W37" s="35">
        <f t="shared" si="8"/>
        <v>7164227</v>
      </c>
      <c r="X37" s="47">
        <f t="shared" si="9"/>
        <v>5.0261168794724291</v>
      </c>
      <c r="Y37" s="30" t="s">
        <v>43</v>
      </c>
      <c r="Z37" s="48">
        <f t="shared" si="3"/>
        <v>60</v>
      </c>
      <c r="AA37" s="35">
        <f t="shared" si="4"/>
        <v>78265724</v>
      </c>
      <c r="AB37" s="47"/>
      <c r="AC37" s="30" t="s">
        <v>43</v>
      </c>
      <c r="AD37" s="47"/>
      <c r="AE37" s="11"/>
      <c r="AH37" s="21"/>
    </row>
    <row r="38" spans="1:34" ht="93" x14ac:dyDescent="0.3">
      <c r="A38" s="12"/>
      <c r="B38" s="13"/>
      <c r="C38" s="22" t="s">
        <v>77</v>
      </c>
      <c r="D38" s="25" t="s">
        <v>236</v>
      </c>
      <c r="E38" s="15">
        <v>36</v>
      </c>
      <c r="F38" s="16" t="s">
        <v>195</v>
      </c>
      <c r="G38" s="118">
        <v>1363925000</v>
      </c>
      <c r="H38" s="15">
        <v>12</v>
      </c>
      <c r="I38" s="18">
        <v>890984815</v>
      </c>
      <c r="J38" s="15">
        <v>4</v>
      </c>
      <c r="K38" s="19">
        <v>68200000</v>
      </c>
      <c r="L38" s="15">
        <v>4</v>
      </c>
      <c r="M38" s="19">
        <v>4500000</v>
      </c>
      <c r="N38" s="15"/>
      <c r="O38" s="19"/>
      <c r="P38" s="15"/>
      <c r="Q38" s="19"/>
      <c r="R38" s="15"/>
      <c r="S38" s="19"/>
      <c r="T38" s="72">
        <f t="shared" ref="T38:T67" si="10">SUM(L38,N38,P38,R38)</f>
        <v>4</v>
      </c>
      <c r="U38" s="48">
        <f t="shared" si="7"/>
        <v>100</v>
      </c>
      <c r="V38" s="30" t="s">
        <v>43</v>
      </c>
      <c r="W38" s="35">
        <f t="shared" si="8"/>
        <v>4500000</v>
      </c>
      <c r="X38" s="47">
        <f t="shared" si="9"/>
        <v>6.5982404692082106</v>
      </c>
      <c r="Y38" s="30" t="s">
        <v>43</v>
      </c>
      <c r="Z38" s="62">
        <f t="shared" si="3"/>
        <v>16</v>
      </c>
      <c r="AA38" s="35">
        <f t="shared" si="4"/>
        <v>895484815</v>
      </c>
      <c r="AB38" s="47"/>
      <c r="AC38" s="30" t="s">
        <v>43</v>
      </c>
      <c r="AD38" s="47"/>
      <c r="AE38" s="11"/>
      <c r="AH38" s="21"/>
    </row>
    <row r="39" spans="1:34" ht="108.5" x14ac:dyDescent="0.3">
      <c r="A39" s="12"/>
      <c r="B39" s="13"/>
      <c r="C39" s="22" t="s">
        <v>78</v>
      </c>
      <c r="D39" s="126" t="s">
        <v>196</v>
      </c>
      <c r="E39" s="15">
        <v>36</v>
      </c>
      <c r="F39" s="16" t="s">
        <v>195</v>
      </c>
      <c r="G39" s="118">
        <v>209250700</v>
      </c>
      <c r="H39" s="15">
        <v>12</v>
      </c>
      <c r="I39" s="18">
        <v>26102500</v>
      </c>
      <c r="J39" s="15">
        <v>12</v>
      </c>
      <c r="K39" s="19">
        <v>63898100</v>
      </c>
      <c r="L39" s="15">
        <v>0</v>
      </c>
      <c r="M39" s="19">
        <v>6049700</v>
      </c>
      <c r="N39" s="15"/>
      <c r="O39" s="19"/>
      <c r="P39" s="15"/>
      <c r="Q39" s="19"/>
      <c r="R39" s="15"/>
      <c r="S39" s="19"/>
      <c r="T39" s="48">
        <f t="shared" si="10"/>
        <v>0</v>
      </c>
      <c r="U39" s="48">
        <f t="shared" si="7"/>
        <v>0</v>
      </c>
      <c r="V39" s="30" t="s">
        <v>43</v>
      </c>
      <c r="W39" s="35">
        <f t="shared" si="8"/>
        <v>6049700</v>
      </c>
      <c r="X39" s="47">
        <f t="shared" si="9"/>
        <v>9.4677306523981155</v>
      </c>
      <c r="Y39" s="30" t="s">
        <v>43</v>
      </c>
      <c r="Z39" s="48">
        <f t="shared" si="3"/>
        <v>12</v>
      </c>
      <c r="AA39" s="35">
        <f t="shared" si="4"/>
        <v>32152200</v>
      </c>
      <c r="AB39" s="47"/>
      <c r="AC39" s="30" t="s">
        <v>43</v>
      </c>
      <c r="AD39" s="47"/>
      <c r="AE39" s="11"/>
      <c r="AH39" s="21"/>
    </row>
    <row r="40" spans="1:34" s="89" customFormat="1" ht="72.75" customHeight="1" x14ac:dyDescent="0.3">
      <c r="A40" s="76"/>
      <c r="B40" s="77"/>
      <c r="C40" s="154" t="s">
        <v>81</v>
      </c>
      <c r="D40" s="154" t="s">
        <v>197</v>
      </c>
      <c r="E40" s="15">
        <v>36</v>
      </c>
      <c r="F40" s="16" t="s">
        <v>195</v>
      </c>
      <c r="G40" s="134">
        <v>7500000</v>
      </c>
      <c r="H40" s="15"/>
      <c r="I40" s="81">
        <v>5610000</v>
      </c>
      <c r="J40" s="78"/>
      <c r="K40" s="83"/>
      <c r="L40" s="78"/>
      <c r="M40" s="83"/>
      <c r="N40" s="78"/>
      <c r="O40" s="83"/>
      <c r="P40" s="78"/>
      <c r="Q40" s="83"/>
      <c r="R40" s="78"/>
      <c r="S40" s="83"/>
      <c r="T40" s="108">
        <f t="shared" si="10"/>
        <v>0</v>
      </c>
      <c r="U40" s="84" t="e">
        <f t="shared" si="7"/>
        <v>#DIV/0!</v>
      </c>
      <c r="V40" s="86" t="s">
        <v>43</v>
      </c>
      <c r="W40" s="87">
        <f t="shared" si="8"/>
        <v>0</v>
      </c>
      <c r="X40" s="85" t="e">
        <f t="shared" si="9"/>
        <v>#DIV/0!</v>
      </c>
      <c r="Y40" s="86" t="s">
        <v>43</v>
      </c>
      <c r="Z40" s="109">
        <f t="shared" si="3"/>
        <v>0</v>
      </c>
      <c r="AA40" s="87">
        <f t="shared" si="4"/>
        <v>5610000</v>
      </c>
      <c r="AB40" s="85"/>
      <c r="AC40" s="86" t="s">
        <v>43</v>
      </c>
      <c r="AD40" s="85"/>
      <c r="AE40" s="88"/>
      <c r="AH40" s="90"/>
    </row>
    <row r="41" spans="1:34" s="68" customFormat="1" ht="87.75" customHeight="1" x14ac:dyDescent="0.3">
      <c r="A41" s="42">
        <v>29</v>
      </c>
      <c r="B41" s="43" t="s">
        <v>162</v>
      </c>
      <c r="C41" s="186" t="s">
        <v>121</v>
      </c>
      <c r="D41" s="135" t="s">
        <v>144</v>
      </c>
      <c r="E41" s="40">
        <v>100</v>
      </c>
      <c r="F41" s="41" t="s">
        <v>43</v>
      </c>
      <c r="G41" s="59">
        <f>G44+G55+G62+G69</f>
        <v>610122989848</v>
      </c>
      <c r="H41" s="40"/>
      <c r="I41" s="59">
        <f>I44+I55+I62+I69</f>
        <v>76380676018</v>
      </c>
      <c r="J41" s="40">
        <v>100</v>
      </c>
      <c r="K41" s="59">
        <f>K44+K55+K62+K69</f>
        <v>195964834550</v>
      </c>
      <c r="L41" s="40">
        <v>0</v>
      </c>
      <c r="M41" s="59">
        <f>M44+M55+M62+M69</f>
        <v>28271685236</v>
      </c>
      <c r="N41" s="113"/>
      <c r="O41" s="37"/>
      <c r="P41" s="40"/>
      <c r="Q41" s="37"/>
      <c r="R41" s="40"/>
      <c r="S41" s="37"/>
      <c r="T41" s="71">
        <f t="shared" si="10"/>
        <v>0</v>
      </c>
      <c r="U41" s="52">
        <f t="shared" si="7"/>
        <v>0</v>
      </c>
      <c r="V41" s="51" t="s">
        <v>43</v>
      </c>
      <c r="W41" s="50">
        <f t="shared" si="8"/>
        <v>28271685236</v>
      </c>
      <c r="X41" s="49">
        <f t="shared" si="9"/>
        <v>14.426917615561552</v>
      </c>
      <c r="Y41" s="51" t="s">
        <v>43</v>
      </c>
      <c r="Z41" s="52">
        <f t="shared" si="3"/>
        <v>0</v>
      </c>
      <c r="AA41" s="50">
        <f t="shared" si="4"/>
        <v>104652361254</v>
      </c>
      <c r="AB41" s="49"/>
      <c r="AC41" s="51" t="s">
        <v>43</v>
      </c>
      <c r="AD41" s="49"/>
      <c r="AE41" s="70"/>
      <c r="AH41" s="69"/>
    </row>
    <row r="42" spans="1:34" s="68" customFormat="1" ht="117" customHeight="1" x14ac:dyDescent="0.3">
      <c r="A42" s="12"/>
      <c r="B42" s="13"/>
      <c r="C42" s="187"/>
      <c r="D42" s="43" t="s">
        <v>145</v>
      </c>
      <c r="E42" s="40">
        <v>100</v>
      </c>
      <c r="F42" s="41" t="s">
        <v>43</v>
      </c>
      <c r="G42" s="149"/>
      <c r="H42" s="46"/>
      <c r="I42" s="149"/>
      <c r="J42" s="113">
        <v>100</v>
      </c>
      <c r="K42" s="149"/>
      <c r="L42" s="45">
        <f>1398/7200*100</f>
        <v>19.416666666666664</v>
      </c>
      <c r="M42" s="149"/>
      <c r="N42" s="45"/>
      <c r="O42" s="37"/>
      <c r="P42" s="40"/>
      <c r="Q42" s="37"/>
      <c r="R42" s="40"/>
      <c r="S42" s="37"/>
      <c r="T42" s="49">
        <f t="shared" si="10"/>
        <v>19.416666666666664</v>
      </c>
      <c r="U42" s="52">
        <f t="shared" si="7"/>
        <v>19.416666666666664</v>
      </c>
      <c r="V42" s="51" t="s">
        <v>43</v>
      </c>
      <c r="W42" s="50">
        <f t="shared" si="8"/>
        <v>0</v>
      </c>
      <c r="X42" s="49" t="e">
        <f t="shared" si="9"/>
        <v>#DIV/0!</v>
      </c>
      <c r="Y42" s="51" t="s">
        <v>43</v>
      </c>
      <c r="Z42" s="52">
        <f t="shared" si="3"/>
        <v>19.416666666666664</v>
      </c>
      <c r="AA42" s="50">
        <f t="shared" si="4"/>
        <v>0</v>
      </c>
      <c r="AB42" s="49"/>
      <c r="AC42" s="51"/>
      <c r="AD42" s="49"/>
      <c r="AE42" s="70"/>
      <c r="AH42" s="69"/>
    </row>
    <row r="43" spans="1:34" s="68" customFormat="1" ht="63.75" customHeight="1" x14ac:dyDescent="0.3">
      <c r="A43" s="12"/>
      <c r="B43" s="13"/>
      <c r="C43" s="188"/>
      <c r="D43" s="131" t="s">
        <v>146</v>
      </c>
      <c r="E43" s="40">
        <v>100</v>
      </c>
      <c r="F43" s="41" t="s">
        <v>43</v>
      </c>
      <c r="G43" s="36"/>
      <c r="H43" s="40"/>
      <c r="I43" s="36"/>
      <c r="J43" s="40">
        <v>100</v>
      </c>
      <c r="K43" s="36"/>
      <c r="L43" s="40">
        <v>100</v>
      </c>
      <c r="M43" s="36"/>
      <c r="N43" s="113"/>
      <c r="O43" s="37"/>
      <c r="P43" s="40"/>
      <c r="Q43" s="37"/>
      <c r="R43" s="40"/>
      <c r="S43" s="37"/>
      <c r="T43" s="52">
        <f t="shared" si="10"/>
        <v>100</v>
      </c>
      <c r="U43" s="52">
        <f t="shared" si="7"/>
        <v>100</v>
      </c>
      <c r="V43" s="51" t="s">
        <v>43</v>
      </c>
      <c r="W43" s="50">
        <f t="shared" si="8"/>
        <v>0</v>
      </c>
      <c r="X43" s="49" t="e">
        <f t="shared" si="9"/>
        <v>#DIV/0!</v>
      </c>
      <c r="Y43" s="51" t="s">
        <v>43</v>
      </c>
      <c r="Z43" s="52">
        <f t="shared" si="3"/>
        <v>100</v>
      </c>
      <c r="AA43" s="50">
        <f t="shared" si="4"/>
        <v>0</v>
      </c>
      <c r="AB43" s="49"/>
      <c r="AC43" s="51"/>
      <c r="AD43" s="49"/>
      <c r="AE43" s="70"/>
      <c r="AH43" s="69"/>
    </row>
    <row r="44" spans="1:34" s="68" customFormat="1" ht="62" x14ac:dyDescent="0.3">
      <c r="A44" s="12"/>
      <c r="B44" s="13"/>
      <c r="C44" s="130" t="s">
        <v>82</v>
      </c>
      <c r="D44" s="136" t="s">
        <v>147</v>
      </c>
      <c r="E44" s="40">
        <v>100</v>
      </c>
      <c r="F44" s="41" t="s">
        <v>43</v>
      </c>
      <c r="G44" s="59">
        <f>SUM(G47:G54)</f>
        <v>2379331400</v>
      </c>
      <c r="H44" s="40"/>
      <c r="I44" s="59">
        <f>SUM(I47:I54)</f>
        <v>586966500</v>
      </c>
      <c r="J44" s="40">
        <v>100</v>
      </c>
      <c r="K44" s="59">
        <f>SUM(K47:K54)</f>
        <v>776845100</v>
      </c>
      <c r="L44" s="40">
        <v>0</v>
      </c>
      <c r="M44" s="59">
        <f>SUM(M47:M54)</f>
        <v>142662600</v>
      </c>
      <c r="N44" s="40"/>
      <c r="O44" s="37"/>
      <c r="P44" s="40"/>
      <c r="Q44" s="37"/>
      <c r="R44" s="40"/>
      <c r="S44" s="37"/>
      <c r="T44" s="71">
        <f t="shared" si="10"/>
        <v>0</v>
      </c>
      <c r="U44" s="52">
        <f t="shared" si="7"/>
        <v>0</v>
      </c>
      <c r="V44" s="51" t="s">
        <v>43</v>
      </c>
      <c r="W44" s="50">
        <f t="shared" si="8"/>
        <v>142662600</v>
      </c>
      <c r="X44" s="49">
        <f t="shared" si="9"/>
        <v>18.36435603442694</v>
      </c>
      <c r="Y44" s="51" t="s">
        <v>43</v>
      </c>
      <c r="Z44" s="52">
        <f t="shared" si="3"/>
        <v>0</v>
      </c>
      <c r="AA44" s="50">
        <f t="shared" si="4"/>
        <v>729629100</v>
      </c>
      <c r="AB44" s="49"/>
      <c r="AC44" s="51" t="s">
        <v>43</v>
      </c>
      <c r="AD44" s="49"/>
      <c r="AE44" s="70"/>
      <c r="AH44" s="69"/>
    </row>
    <row r="45" spans="1:34" s="68" customFormat="1" ht="62" x14ac:dyDescent="0.3">
      <c r="A45" s="12"/>
      <c r="B45" s="13"/>
      <c r="C45" s="77"/>
      <c r="D45" s="137" t="s">
        <v>148</v>
      </c>
      <c r="E45" s="40">
        <v>100</v>
      </c>
      <c r="F45" s="41" t="s">
        <v>43</v>
      </c>
      <c r="G45" s="149"/>
      <c r="H45" s="40"/>
      <c r="I45" s="149"/>
      <c r="J45" s="40">
        <v>100</v>
      </c>
      <c r="K45" s="149"/>
      <c r="L45" s="40">
        <v>0</v>
      </c>
      <c r="M45" s="149"/>
      <c r="N45" s="40"/>
      <c r="O45" s="37"/>
      <c r="P45" s="40"/>
      <c r="Q45" s="37"/>
      <c r="R45" s="40"/>
      <c r="S45" s="37"/>
      <c r="T45" s="71">
        <f t="shared" si="10"/>
        <v>0</v>
      </c>
      <c r="U45" s="52">
        <f t="shared" si="7"/>
        <v>0</v>
      </c>
      <c r="V45" s="51" t="s">
        <v>43</v>
      </c>
      <c r="W45" s="50">
        <f t="shared" si="8"/>
        <v>0</v>
      </c>
      <c r="X45" s="49" t="e">
        <f t="shared" si="9"/>
        <v>#DIV/0!</v>
      </c>
      <c r="Y45" s="51" t="s">
        <v>43</v>
      </c>
      <c r="Z45" s="52">
        <f t="shared" si="3"/>
        <v>0</v>
      </c>
      <c r="AA45" s="50">
        <f t="shared" si="4"/>
        <v>0</v>
      </c>
      <c r="AB45" s="49"/>
      <c r="AC45" s="51"/>
      <c r="AD45" s="49"/>
      <c r="AE45" s="70"/>
      <c r="AH45" s="69"/>
    </row>
    <row r="46" spans="1:34" s="68" customFormat="1" ht="46.5" x14ac:dyDescent="0.3">
      <c r="A46" s="12"/>
      <c r="B46" s="13"/>
      <c r="C46" s="92"/>
      <c r="D46" s="137" t="s">
        <v>149</v>
      </c>
      <c r="E46" s="40">
        <v>100</v>
      </c>
      <c r="F46" s="41" t="s">
        <v>43</v>
      </c>
      <c r="G46" s="36"/>
      <c r="H46" s="40"/>
      <c r="I46" s="36"/>
      <c r="J46" s="40">
        <v>100</v>
      </c>
      <c r="K46" s="36"/>
      <c r="L46" s="40">
        <v>0</v>
      </c>
      <c r="M46" s="36"/>
      <c r="N46" s="40"/>
      <c r="O46" s="37"/>
      <c r="P46" s="40"/>
      <c r="Q46" s="37"/>
      <c r="R46" s="40"/>
      <c r="S46" s="37"/>
      <c r="T46" s="71">
        <f t="shared" si="10"/>
        <v>0</v>
      </c>
      <c r="U46" s="52">
        <f t="shared" si="7"/>
        <v>0</v>
      </c>
      <c r="V46" s="51" t="s">
        <v>43</v>
      </c>
      <c r="W46" s="50">
        <f t="shared" si="8"/>
        <v>0</v>
      </c>
      <c r="X46" s="49" t="e">
        <f t="shared" si="9"/>
        <v>#DIV/0!</v>
      </c>
      <c r="Y46" s="51" t="s">
        <v>43</v>
      </c>
      <c r="Z46" s="52">
        <f t="shared" si="3"/>
        <v>0</v>
      </c>
      <c r="AA46" s="50">
        <f t="shared" si="4"/>
        <v>0</v>
      </c>
      <c r="AB46" s="49"/>
      <c r="AC46" s="51"/>
      <c r="AD46" s="49"/>
      <c r="AE46" s="70"/>
      <c r="AH46" s="69"/>
    </row>
    <row r="47" spans="1:34" ht="60" customHeight="1" x14ac:dyDescent="0.3">
      <c r="A47" s="12"/>
      <c r="B47" s="13"/>
      <c r="C47" s="22" t="s">
        <v>83</v>
      </c>
      <c r="D47" s="128" t="s">
        <v>198</v>
      </c>
      <c r="E47" s="15">
        <v>6</v>
      </c>
      <c r="F47" s="16" t="s">
        <v>42</v>
      </c>
      <c r="G47" s="120">
        <v>33450200</v>
      </c>
      <c r="H47" s="15">
        <v>4</v>
      </c>
      <c r="I47" s="19">
        <v>8475000</v>
      </c>
      <c r="J47" s="15">
        <v>2</v>
      </c>
      <c r="K47" s="19">
        <v>8925050</v>
      </c>
      <c r="L47" s="15">
        <v>0</v>
      </c>
      <c r="M47" s="19">
        <v>0</v>
      </c>
      <c r="N47" s="15"/>
      <c r="O47" s="19"/>
      <c r="P47" s="15"/>
      <c r="Q47" s="19"/>
      <c r="R47" s="15"/>
      <c r="S47" s="19"/>
      <c r="T47" s="48">
        <f t="shared" si="10"/>
        <v>0</v>
      </c>
      <c r="U47" s="47">
        <f t="shared" si="7"/>
        <v>0</v>
      </c>
      <c r="V47" s="30" t="s">
        <v>43</v>
      </c>
      <c r="W47" s="35">
        <f t="shared" si="8"/>
        <v>0</v>
      </c>
      <c r="X47" s="47">
        <f t="shared" si="9"/>
        <v>0</v>
      </c>
      <c r="Y47" s="30" t="s">
        <v>43</v>
      </c>
      <c r="Z47" s="48">
        <f t="shared" si="3"/>
        <v>4</v>
      </c>
      <c r="AA47" s="35">
        <f t="shared" si="4"/>
        <v>8475000</v>
      </c>
      <c r="AB47" s="47"/>
      <c r="AC47" s="30" t="s">
        <v>43</v>
      </c>
      <c r="AD47" s="47"/>
      <c r="AE47" s="11"/>
      <c r="AH47" s="21"/>
    </row>
    <row r="48" spans="1:34" ht="62" x14ac:dyDescent="0.3">
      <c r="A48" s="12"/>
      <c r="B48" s="13"/>
      <c r="C48" s="22" t="s">
        <v>84</v>
      </c>
      <c r="D48" s="128" t="s">
        <v>199</v>
      </c>
      <c r="E48" s="15">
        <v>6</v>
      </c>
      <c r="F48" s="16" t="s">
        <v>42</v>
      </c>
      <c r="G48" s="121">
        <v>33450200</v>
      </c>
      <c r="H48" s="15"/>
      <c r="I48" s="18">
        <v>7250000</v>
      </c>
      <c r="J48" s="15">
        <v>2</v>
      </c>
      <c r="K48" s="19">
        <v>8925050</v>
      </c>
      <c r="L48" s="15">
        <v>0</v>
      </c>
      <c r="M48" s="19">
        <v>0</v>
      </c>
      <c r="N48" s="15"/>
      <c r="O48" s="19"/>
      <c r="P48" s="15"/>
      <c r="Q48" s="19"/>
      <c r="R48" s="15"/>
      <c r="S48" s="19"/>
      <c r="T48" s="48">
        <f t="shared" si="10"/>
        <v>0</v>
      </c>
      <c r="U48" s="47">
        <f t="shared" si="7"/>
        <v>0</v>
      </c>
      <c r="V48" s="30" t="s">
        <v>43</v>
      </c>
      <c r="W48" s="35">
        <f t="shared" si="8"/>
        <v>0</v>
      </c>
      <c r="X48" s="47">
        <f t="shared" si="9"/>
        <v>0</v>
      </c>
      <c r="Y48" s="30" t="s">
        <v>43</v>
      </c>
      <c r="Z48" s="48">
        <f t="shared" si="3"/>
        <v>0</v>
      </c>
      <c r="AA48" s="35">
        <f t="shared" si="4"/>
        <v>7250000</v>
      </c>
      <c r="AB48" s="47"/>
      <c r="AC48" s="30" t="s">
        <v>43</v>
      </c>
      <c r="AD48" s="47"/>
      <c r="AE48" s="11"/>
      <c r="AH48" s="21"/>
    </row>
    <row r="49" spans="1:34" ht="46.5" x14ac:dyDescent="0.3">
      <c r="A49" s="12"/>
      <c r="B49" s="13"/>
      <c r="C49" s="22" t="s">
        <v>85</v>
      </c>
      <c r="D49" s="129" t="s">
        <v>200</v>
      </c>
      <c r="E49" s="15">
        <v>118</v>
      </c>
      <c r="F49" s="16" t="s">
        <v>42</v>
      </c>
      <c r="G49" s="120">
        <v>379850200</v>
      </c>
      <c r="H49" s="39"/>
      <c r="I49" s="18">
        <v>68100000</v>
      </c>
      <c r="J49" s="15">
        <v>38</v>
      </c>
      <c r="K49" s="19">
        <v>86497500</v>
      </c>
      <c r="L49" s="15">
        <v>0</v>
      </c>
      <c r="M49" s="19"/>
      <c r="N49" s="15"/>
      <c r="O49" s="19"/>
      <c r="P49" s="15"/>
      <c r="Q49" s="19"/>
      <c r="R49" s="15"/>
      <c r="S49" s="19"/>
      <c r="T49" s="48">
        <f t="shared" si="10"/>
        <v>0</v>
      </c>
      <c r="U49" s="47">
        <f t="shared" si="7"/>
        <v>0</v>
      </c>
      <c r="V49" s="30" t="s">
        <v>43</v>
      </c>
      <c r="W49" s="35">
        <f t="shared" si="8"/>
        <v>0</v>
      </c>
      <c r="X49" s="47">
        <f t="shared" si="9"/>
        <v>0</v>
      </c>
      <c r="Y49" s="30" t="s">
        <v>43</v>
      </c>
      <c r="Z49" s="48">
        <f t="shared" si="3"/>
        <v>0</v>
      </c>
      <c r="AA49" s="35">
        <f t="shared" si="4"/>
        <v>68100000</v>
      </c>
      <c r="AB49" s="47"/>
      <c r="AC49" s="30" t="s">
        <v>43</v>
      </c>
      <c r="AD49" s="47"/>
      <c r="AE49" s="11"/>
      <c r="AH49" s="21"/>
    </row>
    <row r="50" spans="1:34" ht="62" x14ac:dyDescent="0.3">
      <c r="A50" s="12"/>
      <c r="B50" s="13"/>
      <c r="C50" s="22" t="s">
        <v>170</v>
      </c>
      <c r="D50" s="129" t="s">
        <v>201</v>
      </c>
      <c r="E50" s="15"/>
      <c r="F50" s="16" t="s">
        <v>42</v>
      </c>
      <c r="G50" s="120"/>
      <c r="H50" s="39"/>
      <c r="I50" s="18"/>
      <c r="J50" s="15">
        <v>38</v>
      </c>
      <c r="K50" s="19">
        <v>25997500</v>
      </c>
      <c r="L50" s="15">
        <v>0</v>
      </c>
      <c r="M50" s="19">
        <v>6000000</v>
      </c>
      <c r="N50" s="15"/>
      <c r="O50" s="19"/>
      <c r="P50" s="15"/>
      <c r="Q50" s="19"/>
      <c r="R50" s="15"/>
      <c r="S50" s="19"/>
      <c r="T50" s="48">
        <f t="shared" si="10"/>
        <v>0</v>
      </c>
      <c r="U50" s="47">
        <f t="shared" si="7"/>
        <v>0</v>
      </c>
      <c r="V50" s="30" t="s">
        <v>43</v>
      </c>
      <c r="W50" s="35">
        <f t="shared" si="8"/>
        <v>6000000</v>
      </c>
      <c r="X50" s="47">
        <f t="shared" si="9"/>
        <v>23.079142225213964</v>
      </c>
      <c r="Y50" s="30" t="s">
        <v>43</v>
      </c>
      <c r="Z50" s="48">
        <f t="shared" si="3"/>
        <v>0</v>
      </c>
      <c r="AA50" s="35">
        <f t="shared" si="4"/>
        <v>6000000</v>
      </c>
      <c r="AB50" s="47"/>
      <c r="AC50" s="30" t="s">
        <v>43</v>
      </c>
      <c r="AD50" s="47"/>
      <c r="AE50" s="11"/>
      <c r="AH50" s="21"/>
    </row>
    <row r="51" spans="1:34" ht="46.5" x14ac:dyDescent="0.3">
      <c r="A51" s="12"/>
      <c r="B51" s="13"/>
      <c r="C51" s="22" t="s">
        <v>86</v>
      </c>
      <c r="D51" s="129" t="s">
        <v>202</v>
      </c>
      <c r="E51" s="15">
        <v>118</v>
      </c>
      <c r="F51" s="16" t="s">
        <v>42</v>
      </c>
      <c r="G51" s="121">
        <v>87830000</v>
      </c>
      <c r="H51" s="15">
        <v>370</v>
      </c>
      <c r="I51" s="19">
        <v>26152500</v>
      </c>
      <c r="J51" s="15">
        <v>38</v>
      </c>
      <c r="K51" s="19">
        <v>15650000</v>
      </c>
      <c r="L51" s="15">
        <v>0</v>
      </c>
      <c r="M51" s="19"/>
      <c r="N51" s="15"/>
      <c r="O51" s="19"/>
      <c r="P51" s="15"/>
      <c r="Q51" s="19"/>
      <c r="R51" s="15"/>
      <c r="S51" s="19"/>
      <c r="T51" s="48">
        <f t="shared" si="10"/>
        <v>0</v>
      </c>
      <c r="U51" s="47">
        <f t="shared" si="7"/>
        <v>0</v>
      </c>
      <c r="V51" s="30" t="s">
        <v>43</v>
      </c>
      <c r="W51" s="35">
        <f t="shared" si="8"/>
        <v>0</v>
      </c>
      <c r="X51" s="47">
        <f t="shared" si="9"/>
        <v>0</v>
      </c>
      <c r="Y51" s="30" t="s">
        <v>43</v>
      </c>
      <c r="Z51" s="48">
        <f t="shared" si="3"/>
        <v>370</v>
      </c>
      <c r="AA51" s="35">
        <f t="shared" si="4"/>
        <v>26152500</v>
      </c>
      <c r="AB51" s="47"/>
      <c r="AC51" s="30" t="s">
        <v>43</v>
      </c>
      <c r="AD51" s="47"/>
      <c r="AE51" s="11"/>
      <c r="AH51" s="21"/>
    </row>
    <row r="52" spans="1:34" ht="62" x14ac:dyDescent="0.3">
      <c r="A52" s="12"/>
      <c r="B52" s="13"/>
      <c r="C52" s="22" t="s">
        <v>171</v>
      </c>
      <c r="D52" s="129" t="s">
        <v>203</v>
      </c>
      <c r="E52" s="15"/>
      <c r="F52" s="16"/>
      <c r="G52" s="121"/>
      <c r="H52" s="15"/>
      <c r="I52" s="19"/>
      <c r="J52" s="15">
        <v>38</v>
      </c>
      <c r="K52" s="19">
        <v>21000000</v>
      </c>
      <c r="L52" s="15">
        <v>0</v>
      </c>
      <c r="M52" s="19"/>
      <c r="N52" s="15"/>
      <c r="O52" s="19"/>
      <c r="P52" s="15"/>
      <c r="Q52" s="19"/>
      <c r="R52" s="15"/>
      <c r="S52" s="19"/>
      <c r="T52" s="48">
        <f t="shared" si="10"/>
        <v>0</v>
      </c>
      <c r="U52" s="47">
        <f t="shared" si="7"/>
        <v>0</v>
      </c>
      <c r="V52" s="30" t="s">
        <v>43</v>
      </c>
      <c r="W52" s="35">
        <f t="shared" si="8"/>
        <v>0</v>
      </c>
      <c r="X52" s="47">
        <f t="shared" si="9"/>
        <v>0</v>
      </c>
      <c r="Y52" s="30" t="s">
        <v>43</v>
      </c>
      <c r="Z52" s="48">
        <f t="shared" si="3"/>
        <v>0</v>
      </c>
      <c r="AA52" s="35">
        <f t="shared" si="4"/>
        <v>0</v>
      </c>
      <c r="AB52" s="47"/>
      <c r="AC52" s="30" t="s">
        <v>43</v>
      </c>
      <c r="AD52" s="47"/>
      <c r="AE52" s="11"/>
      <c r="AH52" s="21"/>
    </row>
    <row r="53" spans="1:34" ht="93" x14ac:dyDescent="0.3">
      <c r="A53" s="12"/>
      <c r="B53" s="13"/>
      <c r="C53" s="22" t="s">
        <v>87</v>
      </c>
      <c r="D53" s="129" t="s">
        <v>204</v>
      </c>
      <c r="E53" s="15">
        <v>6</v>
      </c>
      <c r="F53" s="16" t="s">
        <v>42</v>
      </c>
      <c r="G53" s="121">
        <v>908450300</v>
      </c>
      <c r="H53" s="15">
        <v>6</v>
      </c>
      <c r="I53" s="19">
        <v>225720000</v>
      </c>
      <c r="J53" s="15">
        <v>2</v>
      </c>
      <c r="K53" s="19">
        <v>301325000</v>
      </c>
      <c r="L53" s="15">
        <v>0</v>
      </c>
      <c r="M53" s="19">
        <v>22100100</v>
      </c>
      <c r="N53" s="15"/>
      <c r="O53" s="19"/>
      <c r="P53" s="15"/>
      <c r="Q53" s="19"/>
      <c r="R53" s="15"/>
      <c r="S53" s="19"/>
      <c r="T53" s="48">
        <f t="shared" si="10"/>
        <v>0</v>
      </c>
      <c r="U53" s="47">
        <f t="shared" si="7"/>
        <v>0</v>
      </c>
      <c r="V53" s="30" t="s">
        <v>43</v>
      </c>
      <c r="W53" s="35">
        <f t="shared" si="8"/>
        <v>22100100</v>
      </c>
      <c r="X53" s="47">
        <f t="shared" si="9"/>
        <v>7.334306811582179</v>
      </c>
      <c r="Y53" s="30" t="s">
        <v>43</v>
      </c>
      <c r="Z53" s="48">
        <f t="shared" si="3"/>
        <v>6</v>
      </c>
      <c r="AA53" s="35">
        <f t="shared" si="4"/>
        <v>247820100</v>
      </c>
      <c r="AB53" s="47"/>
      <c r="AC53" s="30" t="s">
        <v>43</v>
      </c>
      <c r="AD53" s="47"/>
      <c r="AE53" s="11"/>
      <c r="AH53" s="21"/>
    </row>
    <row r="54" spans="1:34" ht="124" x14ac:dyDescent="0.3">
      <c r="A54" s="12"/>
      <c r="B54" s="13"/>
      <c r="C54" s="22" t="s">
        <v>88</v>
      </c>
      <c r="D54" s="129" t="s">
        <v>205</v>
      </c>
      <c r="E54" s="15">
        <v>6</v>
      </c>
      <c r="F54" s="16" t="s">
        <v>42</v>
      </c>
      <c r="G54" s="121">
        <v>936300500</v>
      </c>
      <c r="H54" s="15">
        <v>6</v>
      </c>
      <c r="I54" s="19">
        <v>251269000</v>
      </c>
      <c r="J54" s="15">
        <v>2</v>
      </c>
      <c r="K54" s="19">
        <v>308525000</v>
      </c>
      <c r="L54" s="15">
        <v>0</v>
      </c>
      <c r="M54" s="19">
        <v>114562500</v>
      </c>
      <c r="N54" s="15"/>
      <c r="O54" s="19"/>
      <c r="P54" s="15"/>
      <c r="Q54" s="19"/>
      <c r="R54" s="15"/>
      <c r="S54" s="19"/>
      <c r="T54" s="48">
        <f t="shared" si="10"/>
        <v>0</v>
      </c>
      <c r="U54" s="47">
        <f t="shared" si="7"/>
        <v>0</v>
      </c>
      <c r="V54" s="30" t="s">
        <v>43</v>
      </c>
      <c r="W54" s="35">
        <f t="shared" si="8"/>
        <v>114562500</v>
      </c>
      <c r="X54" s="47">
        <f t="shared" si="9"/>
        <v>37.132323150474029</v>
      </c>
      <c r="Y54" s="30" t="s">
        <v>43</v>
      </c>
      <c r="Z54" s="48">
        <f t="shared" si="3"/>
        <v>6</v>
      </c>
      <c r="AA54" s="35">
        <f t="shared" si="4"/>
        <v>365831500</v>
      </c>
      <c r="AB54" s="47"/>
      <c r="AC54" s="30" t="s">
        <v>43</v>
      </c>
      <c r="AD54" s="47"/>
      <c r="AE54" s="11"/>
      <c r="AH54" s="21"/>
    </row>
    <row r="55" spans="1:34" s="68" customFormat="1" ht="93" x14ac:dyDescent="0.3">
      <c r="A55" s="12"/>
      <c r="B55" s="13"/>
      <c r="C55" s="130" t="s">
        <v>89</v>
      </c>
      <c r="D55" s="91" t="s">
        <v>150</v>
      </c>
      <c r="E55" s="93">
        <v>100</v>
      </c>
      <c r="F55" s="105" t="s">
        <v>43</v>
      </c>
      <c r="G55" s="150">
        <f>SUM(G58:G61)</f>
        <v>259080500</v>
      </c>
      <c r="H55" s="93"/>
      <c r="I55" s="150">
        <f>SUM(I58:I61)</f>
        <v>63659600</v>
      </c>
      <c r="J55" s="93">
        <v>100</v>
      </c>
      <c r="K55" s="150">
        <f>SUM(K58:K61)</f>
        <v>47224800</v>
      </c>
      <c r="L55" s="147">
        <f>3/12*100</f>
        <v>25</v>
      </c>
      <c r="M55" s="150">
        <f>SUM(M58:M61)</f>
        <v>1500000</v>
      </c>
      <c r="N55" s="147"/>
      <c r="O55" s="37"/>
      <c r="P55" s="147"/>
      <c r="Q55" s="37"/>
      <c r="R55" s="147"/>
      <c r="S55" s="37"/>
      <c r="T55" s="52">
        <f t="shared" si="10"/>
        <v>25</v>
      </c>
      <c r="U55" s="52">
        <f t="shared" si="7"/>
        <v>25</v>
      </c>
      <c r="V55" s="51" t="s">
        <v>43</v>
      </c>
      <c r="W55" s="50">
        <f t="shared" si="8"/>
        <v>1500000</v>
      </c>
      <c r="X55" s="49">
        <f t="shared" si="9"/>
        <v>3.1762971997763887</v>
      </c>
      <c r="Y55" s="51" t="s">
        <v>43</v>
      </c>
      <c r="Z55" s="52">
        <f t="shared" si="3"/>
        <v>25</v>
      </c>
      <c r="AA55" s="50">
        <f t="shared" si="4"/>
        <v>65159600</v>
      </c>
      <c r="AB55" s="49"/>
      <c r="AC55" s="51" t="s">
        <v>43</v>
      </c>
      <c r="AD55" s="49"/>
      <c r="AE55" s="70"/>
      <c r="AH55" s="69"/>
    </row>
    <row r="56" spans="1:34" s="68" customFormat="1" ht="62" x14ac:dyDescent="0.3">
      <c r="A56" s="12"/>
      <c r="B56" s="13"/>
      <c r="C56" s="77"/>
      <c r="D56" s="91" t="s">
        <v>151</v>
      </c>
      <c r="E56" s="93">
        <v>100</v>
      </c>
      <c r="F56" s="105" t="s">
        <v>43</v>
      </c>
      <c r="G56" s="151"/>
      <c r="H56" s="93"/>
      <c r="I56" s="151"/>
      <c r="J56" s="93">
        <v>100</v>
      </c>
      <c r="K56" s="151"/>
      <c r="L56" s="147">
        <f>1/4*100</f>
        <v>25</v>
      </c>
      <c r="M56" s="151"/>
      <c r="N56" s="147"/>
      <c r="O56" s="37"/>
      <c r="P56" s="147"/>
      <c r="Q56" s="37"/>
      <c r="R56" s="147"/>
      <c r="S56" s="37"/>
      <c r="T56" s="52">
        <f t="shared" si="10"/>
        <v>25</v>
      </c>
      <c r="U56" s="52">
        <f t="shared" si="7"/>
        <v>25</v>
      </c>
      <c r="V56" s="51" t="s">
        <v>43</v>
      </c>
      <c r="W56" s="50">
        <f t="shared" si="8"/>
        <v>0</v>
      </c>
      <c r="X56" s="49" t="e">
        <f t="shared" si="9"/>
        <v>#DIV/0!</v>
      </c>
      <c r="Y56" s="51" t="s">
        <v>43</v>
      </c>
      <c r="Z56" s="52">
        <f t="shared" si="3"/>
        <v>25</v>
      </c>
      <c r="AA56" s="50">
        <f t="shared" si="4"/>
        <v>0</v>
      </c>
      <c r="AB56" s="49"/>
      <c r="AC56" s="51"/>
      <c r="AD56" s="49"/>
      <c r="AE56" s="70"/>
      <c r="AH56" s="69"/>
    </row>
    <row r="57" spans="1:34" s="68" customFormat="1" ht="46.5" x14ac:dyDescent="0.3">
      <c r="A57" s="12"/>
      <c r="B57" s="13"/>
      <c r="C57" s="92"/>
      <c r="D57" s="130" t="s">
        <v>152</v>
      </c>
      <c r="E57" s="93">
        <v>100</v>
      </c>
      <c r="F57" s="105" t="s">
        <v>43</v>
      </c>
      <c r="G57" s="152"/>
      <c r="H57" s="93"/>
      <c r="I57" s="152"/>
      <c r="J57" s="93">
        <v>100</v>
      </c>
      <c r="K57" s="152"/>
      <c r="L57" s="107">
        <v>25</v>
      </c>
      <c r="M57" s="152"/>
      <c r="N57" s="107"/>
      <c r="O57" s="37"/>
      <c r="P57" s="107"/>
      <c r="Q57" s="37"/>
      <c r="R57" s="107"/>
      <c r="S57" s="37"/>
      <c r="T57" s="49">
        <f t="shared" si="10"/>
        <v>25</v>
      </c>
      <c r="U57" s="49">
        <f t="shared" si="7"/>
        <v>25</v>
      </c>
      <c r="V57" s="51" t="s">
        <v>43</v>
      </c>
      <c r="W57" s="50">
        <f t="shared" si="8"/>
        <v>0</v>
      </c>
      <c r="X57" s="49" t="e">
        <f t="shared" si="9"/>
        <v>#DIV/0!</v>
      </c>
      <c r="Y57" s="51" t="s">
        <v>43</v>
      </c>
      <c r="Z57" s="52">
        <f t="shared" si="3"/>
        <v>25</v>
      </c>
      <c r="AA57" s="50">
        <f t="shared" si="4"/>
        <v>0</v>
      </c>
      <c r="AB57" s="49"/>
      <c r="AC57" s="51"/>
      <c r="AD57" s="49"/>
      <c r="AE57" s="70"/>
      <c r="AH57" s="69"/>
    </row>
    <row r="58" spans="1:34" ht="46.5" x14ac:dyDescent="0.3">
      <c r="A58" s="12"/>
      <c r="B58" s="13"/>
      <c r="C58" s="22" t="s">
        <v>90</v>
      </c>
      <c r="D58" s="25" t="s">
        <v>206</v>
      </c>
      <c r="E58" s="15">
        <v>3</v>
      </c>
      <c r="F58" s="16" t="s">
        <v>42</v>
      </c>
      <c r="G58" s="121">
        <v>13559600</v>
      </c>
      <c r="H58" s="39"/>
      <c r="I58" s="18">
        <v>3257300</v>
      </c>
      <c r="J58" s="15">
        <v>1</v>
      </c>
      <c r="K58" s="19">
        <v>3019700</v>
      </c>
      <c r="L58" s="15">
        <v>0</v>
      </c>
      <c r="M58" s="19">
        <v>0</v>
      </c>
      <c r="N58" s="15"/>
      <c r="O58" s="19"/>
      <c r="P58" s="15"/>
      <c r="Q58" s="19"/>
      <c r="R58" s="15"/>
      <c r="S58" s="19"/>
      <c r="T58" s="48">
        <f t="shared" si="10"/>
        <v>0</v>
      </c>
      <c r="U58" s="47">
        <f t="shared" si="7"/>
        <v>0</v>
      </c>
      <c r="V58" s="30" t="s">
        <v>43</v>
      </c>
      <c r="W58" s="35">
        <f t="shared" si="8"/>
        <v>0</v>
      </c>
      <c r="X58" s="47">
        <f t="shared" si="9"/>
        <v>0</v>
      </c>
      <c r="Y58" s="30" t="s">
        <v>43</v>
      </c>
      <c r="Z58" s="48">
        <f t="shared" si="3"/>
        <v>0</v>
      </c>
      <c r="AA58" s="35">
        <f t="shared" si="4"/>
        <v>3257300</v>
      </c>
      <c r="AB58" s="47"/>
      <c r="AC58" s="30" t="s">
        <v>43</v>
      </c>
      <c r="AD58" s="47"/>
      <c r="AE58" s="11"/>
      <c r="AH58" s="21"/>
    </row>
    <row r="59" spans="1:34" ht="155" x14ac:dyDescent="0.3">
      <c r="A59" s="12"/>
      <c r="B59" s="13"/>
      <c r="C59" s="22" t="s">
        <v>91</v>
      </c>
      <c r="D59" s="25" t="s">
        <v>207</v>
      </c>
      <c r="E59" s="15">
        <v>36</v>
      </c>
      <c r="F59" s="16" t="s">
        <v>42</v>
      </c>
      <c r="G59" s="121">
        <v>154020300</v>
      </c>
      <c r="H59" s="39"/>
      <c r="I59" s="18">
        <v>16622500</v>
      </c>
      <c r="J59" s="15">
        <v>12</v>
      </c>
      <c r="K59" s="19">
        <v>24330100</v>
      </c>
      <c r="L59" s="15">
        <v>3</v>
      </c>
      <c r="M59" s="19">
        <v>0</v>
      </c>
      <c r="N59" s="15"/>
      <c r="O59" s="19"/>
      <c r="P59" s="15"/>
      <c r="Q59" s="19"/>
      <c r="R59" s="15"/>
      <c r="S59" s="19"/>
      <c r="T59" s="48">
        <f t="shared" si="10"/>
        <v>3</v>
      </c>
      <c r="U59" s="47">
        <f t="shared" si="7"/>
        <v>25</v>
      </c>
      <c r="V59" s="30" t="s">
        <v>43</v>
      </c>
      <c r="W59" s="35">
        <f t="shared" si="8"/>
        <v>0</v>
      </c>
      <c r="X59" s="47">
        <f t="shared" si="9"/>
        <v>0</v>
      </c>
      <c r="Y59" s="30" t="s">
        <v>43</v>
      </c>
      <c r="Z59" s="48">
        <f t="shared" si="3"/>
        <v>3</v>
      </c>
      <c r="AA59" s="35">
        <f t="shared" si="4"/>
        <v>16622500</v>
      </c>
      <c r="AB59" s="47"/>
      <c r="AC59" s="30" t="s">
        <v>43</v>
      </c>
      <c r="AD59" s="47"/>
      <c r="AE59" s="11"/>
      <c r="AH59" s="21"/>
    </row>
    <row r="60" spans="1:34" ht="170.5" x14ac:dyDescent="0.3">
      <c r="A60" s="12"/>
      <c r="B60" s="13"/>
      <c r="C60" s="22" t="s">
        <v>92</v>
      </c>
      <c r="D60" s="25" t="s">
        <v>208</v>
      </c>
      <c r="E60" s="15">
        <v>3</v>
      </c>
      <c r="F60" s="16" t="s">
        <v>42</v>
      </c>
      <c r="G60" s="121">
        <v>27830500</v>
      </c>
      <c r="H60" s="39"/>
      <c r="I60" s="18">
        <v>20360000</v>
      </c>
      <c r="J60" s="15">
        <v>1</v>
      </c>
      <c r="K60" s="19">
        <v>1875000</v>
      </c>
      <c r="L60" s="15"/>
      <c r="M60" s="19"/>
      <c r="N60" s="15"/>
      <c r="O60" s="19"/>
      <c r="P60" s="15"/>
      <c r="Q60" s="19"/>
      <c r="R60" s="15"/>
      <c r="S60" s="19"/>
      <c r="T60" s="48">
        <f t="shared" si="10"/>
        <v>0</v>
      </c>
      <c r="U60" s="47">
        <f t="shared" si="7"/>
        <v>0</v>
      </c>
      <c r="V60" s="30" t="s">
        <v>43</v>
      </c>
      <c r="W60" s="35">
        <f t="shared" si="8"/>
        <v>0</v>
      </c>
      <c r="X60" s="47">
        <f t="shared" si="9"/>
        <v>0</v>
      </c>
      <c r="Y60" s="30" t="s">
        <v>43</v>
      </c>
      <c r="Z60" s="48">
        <f t="shared" si="3"/>
        <v>0</v>
      </c>
      <c r="AA60" s="35">
        <f t="shared" si="4"/>
        <v>20360000</v>
      </c>
      <c r="AB60" s="47"/>
      <c r="AC60" s="30" t="s">
        <v>43</v>
      </c>
      <c r="AD60" s="47"/>
      <c r="AE60" s="11"/>
      <c r="AH60" s="21"/>
    </row>
    <row r="61" spans="1:34" ht="139.5" x14ac:dyDescent="0.3">
      <c r="A61" s="12"/>
      <c r="B61" s="13"/>
      <c r="C61" s="22" t="s">
        <v>93</v>
      </c>
      <c r="D61" s="25" t="s">
        <v>209</v>
      </c>
      <c r="E61" s="65">
        <v>12</v>
      </c>
      <c r="F61" s="16" t="s">
        <v>42</v>
      </c>
      <c r="G61" s="121">
        <v>63670100</v>
      </c>
      <c r="H61" s="15">
        <v>4</v>
      </c>
      <c r="I61" s="19">
        <v>23419800</v>
      </c>
      <c r="J61" s="65">
        <v>4</v>
      </c>
      <c r="K61" s="19">
        <v>18000000</v>
      </c>
      <c r="L61" s="65">
        <v>1</v>
      </c>
      <c r="M61" s="19">
        <v>1500000</v>
      </c>
      <c r="N61" s="15"/>
      <c r="O61" s="19"/>
      <c r="P61" s="15"/>
      <c r="Q61" s="19"/>
      <c r="R61" s="15"/>
      <c r="S61" s="19"/>
      <c r="T61" s="48">
        <f t="shared" si="10"/>
        <v>1</v>
      </c>
      <c r="U61" s="47">
        <f t="shared" si="7"/>
        <v>25</v>
      </c>
      <c r="V61" s="30" t="s">
        <v>43</v>
      </c>
      <c r="W61" s="35">
        <f t="shared" si="8"/>
        <v>1500000</v>
      </c>
      <c r="X61" s="47">
        <f t="shared" si="9"/>
        <v>8.3333333333333321</v>
      </c>
      <c r="Y61" s="30" t="s">
        <v>43</v>
      </c>
      <c r="Z61" s="48">
        <f t="shared" si="3"/>
        <v>5</v>
      </c>
      <c r="AA61" s="35">
        <f t="shared" si="4"/>
        <v>24919800</v>
      </c>
      <c r="AB61" s="47"/>
      <c r="AC61" s="30" t="s">
        <v>43</v>
      </c>
      <c r="AD61" s="47"/>
      <c r="AE61" s="11"/>
      <c r="AH61" s="21"/>
    </row>
    <row r="62" spans="1:34" s="102" customFormat="1" ht="77.5" x14ac:dyDescent="0.3">
      <c r="A62" s="76"/>
      <c r="B62" s="77"/>
      <c r="C62" s="130" t="s">
        <v>94</v>
      </c>
      <c r="D62" s="91" t="s">
        <v>153</v>
      </c>
      <c r="E62" s="93">
        <v>100</v>
      </c>
      <c r="F62" s="105" t="s">
        <v>43</v>
      </c>
      <c r="G62" s="150">
        <f>SUM(G65:G68)</f>
        <v>919138500</v>
      </c>
      <c r="H62" s="93"/>
      <c r="I62" s="150">
        <f>SUM(I65:I68)</f>
        <v>213376000</v>
      </c>
      <c r="J62" s="93">
        <f>J65/J65*100</f>
        <v>100</v>
      </c>
      <c r="K62" s="150">
        <f>SUM(K65:K68)</f>
        <v>301004650</v>
      </c>
      <c r="L62" s="147">
        <v>100</v>
      </c>
      <c r="M62" s="150">
        <f>SUM(M65:M67)</f>
        <v>7875000</v>
      </c>
      <c r="N62" s="147"/>
      <c r="O62" s="96"/>
      <c r="P62" s="93"/>
      <c r="Q62" s="96"/>
      <c r="R62" s="93"/>
      <c r="S62" s="96"/>
      <c r="T62" s="97">
        <f t="shared" si="10"/>
        <v>100</v>
      </c>
      <c r="U62" s="97">
        <f t="shared" si="7"/>
        <v>100</v>
      </c>
      <c r="V62" s="99" t="s">
        <v>43</v>
      </c>
      <c r="W62" s="100">
        <f t="shared" si="8"/>
        <v>7875000</v>
      </c>
      <c r="X62" s="98">
        <f t="shared" si="9"/>
        <v>2.6162386527915764</v>
      </c>
      <c r="Y62" s="99" t="s">
        <v>43</v>
      </c>
      <c r="Z62" s="97">
        <f t="shared" si="3"/>
        <v>100</v>
      </c>
      <c r="AA62" s="100">
        <f t="shared" si="4"/>
        <v>221251000</v>
      </c>
      <c r="AB62" s="98"/>
      <c r="AC62" s="99" t="s">
        <v>43</v>
      </c>
      <c r="AD62" s="98"/>
      <c r="AE62" s="106"/>
      <c r="AH62" s="103"/>
    </row>
    <row r="63" spans="1:34" s="102" customFormat="1" ht="62" x14ac:dyDescent="0.3">
      <c r="A63" s="76"/>
      <c r="B63" s="77"/>
      <c r="C63" s="77"/>
      <c r="D63" s="91" t="s">
        <v>154</v>
      </c>
      <c r="E63" s="93">
        <v>100</v>
      </c>
      <c r="F63" s="105" t="s">
        <v>43</v>
      </c>
      <c r="G63" s="151"/>
      <c r="H63" s="93"/>
      <c r="I63" s="151"/>
      <c r="J63" s="93">
        <f>J66/J66*100</f>
        <v>100</v>
      </c>
      <c r="K63" s="151"/>
      <c r="L63" s="93">
        <v>0</v>
      </c>
      <c r="M63" s="151"/>
      <c r="N63" s="93"/>
      <c r="O63" s="96"/>
      <c r="P63" s="93"/>
      <c r="Q63" s="96"/>
      <c r="R63" s="93"/>
      <c r="S63" s="96"/>
      <c r="T63" s="97">
        <f t="shared" si="10"/>
        <v>0</v>
      </c>
      <c r="U63" s="98">
        <f t="shared" si="7"/>
        <v>0</v>
      </c>
      <c r="V63" s="99" t="s">
        <v>43</v>
      </c>
      <c r="W63" s="100">
        <f t="shared" si="8"/>
        <v>0</v>
      </c>
      <c r="X63" s="98" t="e">
        <f t="shared" si="9"/>
        <v>#DIV/0!</v>
      </c>
      <c r="Y63" s="99" t="s">
        <v>43</v>
      </c>
      <c r="Z63" s="97">
        <f t="shared" si="3"/>
        <v>0</v>
      </c>
      <c r="AA63" s="100">
        <f t="shared" si="4"/>
        <v>0</v>
      </c>
      <c r="AB63" s="98"/>
      <c r="AC63" s="99"/>
      <c r="AD63" s="98"/>
      <c r="AE63" s="106"/>
      <c r="AH63" s="103"/>
    </row>
    <row r="64" spans="1:34" s="102" customFormat="1" ht="77.5" x14ac:dyDescent="0.3">
      <c r="A64" s="76"/>
      <c r="B64" s="77"/>
      <c r="C64" s="92"/>
      <c r="D64" s="91" t="s">
        <v>155</v>
      </c>
      <c r="E64" s="93">
        <v>100</v>
      </c>
      <c r="F64" s="105" t="s">
        <v>43</v>
      </c>
      <c r="G64" s="152"/>
      <c r="H64" s="93"/>
      <c r="I64" s="152"/>
      <c r="J64" s="93">
        <f>(22+22+275+22+22+275)/(22+22+275+22+22+275)*100</f>
        <v>100</v>
      </c>
      <c r="K64" s="152"/>
      <c r="L64" s="107">
        <f>(22)/(22+22+275+22+22+275)*100</f>
        <v>3.4482758620689653</v>
      </c>
      <c r="M64" s="152"/>
      <c r="N64" s="107"/>
      <c r="O64" s="96"/>
      <c r="P64" s="107"/>
      <c r="Q64" s="96"/>
      <c r="R64" s="107"/>
      <c r="S64" s="96"/>
      <c r="T64" s="98">
        <f t="shared" si="10"/>
        <v>3.4482758620689653</v>
      </c>
      <c r="U64" s="98">
        <f t="shared" si="7"/>
        <v>3.4482758620689653</v>
      </c>
      <c r="V64" s="99" t="s">
        <v>43</v>
      </c>
      <c r="W64" s="100">
        <f t="shared" si="8"/>
        <v>0</v>
      </c>
      <c r="X64" s="98" t="e">
        <f t="shared" si="9"/>
        <v>#DIV/0!</v>
      </c>
      <c r="Y64" s="99" t="s">
        <v>43</v>
      </c>
      <c r="Z64" s="98">
        <f t="shared" si="3"/>
        <v>3.4482758620689653</v>
      </c>
      <c r="AA64" s="100">
        <f t="shared" si="4"/>
        <v>0</v>
      </c>
      <c r="AB64" s="98"/>
      <c r="AC64" s="99"/>
      <c r="AD64" s="98"/>
      <c r="AE64" s="106"/>
      <c r="AH64" s="103"/>
    </row>
    <row r="65" spans="1:34" ht="139.5" x14ac:dyDescent="0.3">
      <c r="A65" s="12"/>
      <c r="B65" s="13"/>
      <c r="C65" s="22" t="s">
        <v>95</v>
      </c>
      <c r="D65" s="25" t="s">
        <v>210</v>
      </c>
      <c r="E65" s="15">
        <v>18</v>
      </c>
      <c r="F65" s="16" t="s">
        <v>42</v>
      </c>
      <c r="G65" s="121">
        <v>371944900</v>
      </c>
      <c r="H65" s="39"/>
      <c r="I65" s="18">
        <v>31825000</v>
      </c>
      <c r="J65" s="15">
        <v>6</v>
      </c>
      <c r="K65" s="19">
        <v>149499950</v>
      </c>
      <c r="L65" s="15">
        <v>0</v>
      </c>
      <c r="M65" s="19">
        <v>4500000</v>
      </c>
      <c r="N65" s="15"/>
      <c r="O65" s="19"/>
      <c r="P65" s="15"/>
      <c r="Q65" s="19"/>
      <c r="R65" s="15"/>
      <c r="S65" s="19"/>
      <c r="T65" s="48">
        <f t="shared" si="10"/>
        <v>0</v>
      </c>
      <c r="U65" s="47">
        <f t="shared" si="7"/>
        <v>0</v>
      </c>
      <c r="V65" s="30" t="s">
        <v>43</v>
      </c>
      <c r="W65" s="35">
        <f t="shared" si="8"/>
        <v>4500000</v>
      </c>
      <c r="X65" s="47">
        <f t="shared" si="9"/>
        <v>3.0100344515165389</v>
      </c>
      <c r="Y65" s="30" t="s">
        <v>43</v>
      </c>
      <c r="Z65" s="48">
        <f t="shared" si="3"/>
        <v>0</v>
      </c>
      <c r="AA65" s="35">
        <f t="shared" si="4"/>
        <v>36325000</v>
      </c>
      <c r="AB65" s="47"/>
      <c r="AC65" s="30" t="s">
        <v>43</v>
      </c>
      <c r="AD65" s="47"/>
      <c r="AE65" s="11"/>
      <c r="AH65" s="21"/>
    </row>
    <row r="66" spans="1:34" ht="93" x14ac:dyDescent="0.3">
      <c r="A66" s="12"/>
      <c r="B66" s="13"/>
      <c r="C66" s="22" t="s">
        <v>96</v>
      </c>
      <c r="D66" s="25" t="s">
        <v>211</v>
      </c>
      <c r="E66" s="15">
        <v>6</v>
      </c>
      <c r="F66" s="16" t="s">
        <v>79</v>
      </c>
      <c r="G66" s="121">
        <v>192401000</v>
      </c>
      <c r="H66" s="15">
        <v>2</v>
      </c>
      <c r="I66" s="19">
        <v>54908500</v>
      </c>
      <c r="J66" s="15">
        <v>18</v>
      </c>
      <c r="K66" s="19">
        <v>60321250</v>
      </c>
      <c r="L66" s="15">
        <v>4</v>
      </c>
      <c r="M66" s="19">
        <v>3375000</v>
      </c>
      <c r="N66" s="15"/>
      <c r="O66" s="19"/>
      <c r="P66" s="15"/>
      <c r="Q66" s="19"/>
      <c r="R66" s="15"/>
      <c r="S66" s="19"/>
      <c r="T66" s="48">
        <f t="shared" si="10"/>
        <v>4</v>
      </c>
      <c r="U66" s="47">
        <f t="shared" si="7"/>
        <v>22.222222222222221</v>
      </c>
      <c r="V66" s="30" t="s">
        <v>43</v>
      </c>
      <c r="W66" s="35">
        <f t="shared" si="8"/>
        <v>3375000</v>
      </c>
      <c r="X66" s="47">
        <f t="shared" si="9"/>
        <v>5.5950432061669808</v>
      </c>
      <c r="Y66" s="30" t="s">
        <v>43</v>
      </c>
      <c r="Z66" s="48">
        <f t="shared" si="3"/>
        <v>6</v>
      </c>
      <c r="AA66" s="35">
        <f t="shared" si="4"/>
        <v>58283500</v>
      </c>
      <c r="AB66" s="47"/>
      <c r="AC66" s="30" t="s">
        <v>43</v>
      </c>
      <c r="AD66" s="47"/>
      <c r="AE66" s="11"/>
      <c r="AH66" s="21"/>
    </row>
    <row r="67" spans="1:34" ht="201.5" x14ac:dyDescent="0.3">
      <c r="A67" s="12"/>
      <c r="B67" s="13"/>
      <c r="C67" s="22" t="s">
        <v>98</v>
      </c>
      <c r="D67" s="25" t="s">
        <v>212</v>
      </c>
      <c r="E67" s="15">
        <f>4*3</f>
        <v>12</v>
      </c>
      <c r="F67" s="16" t="s">
        <v>42</v>
      </c>
      <c r="G67" s="121">
        <v>336637600</v>
      </c>
      <c r="H67" s="39"/>
      <c r="I67" s="18">
        <v>108487500</v>
      </c>
      <c r="J67" s="15">
        <v>2</v>
      </c>
      <c r="K67" s="19">
        <v>91183450</v>
      </c>
      <c r="L67" s="15">
        <v>0</v>
      </c>
      <c r="M67" s="19">
        <v>0</v>
      </c>
      <c r="N67" s="15"/>
      <c r="O67" s="19"/>
      <c r="P67" s="15"/>
      <c r="Q67" s="19"/>
      <c r="R67" s="15"/>
      <c r="S67" s="19"/>
      <c r="T67" s="48">
        <f t="shared" si="10"/>
        <v>0</v>
      </c>
      <c r="U67" s="47">
        <f t="shared" si="7"/>
        <v>0</v>
      </c>
      <c r="V67" s="30" t="s">
        <v>43</v>
      </c>
      <c r="W67" s="35">
        <f t="shared" si="8"/>
        <v>0</v>
      </c>
      <c r="X67" s="47">
        <f t="shared" si="9"/>
        <v>0</v>
      </c>
      <c r="Y67" s="30" t="s">
        <v>43</v>
      </c>
      <c r="Z67" s="48">
        <f t="shared" si="3"/>
        <v>0</v>
      </c>
      <c r="AA67" s="35">
        <f t="shared" si="4"/>
        <v>108487500</v>
      </c>
      <c r="AB67" s="47"/>
      <c r="AC67" s="30" t="s">
        <v>43</v>
      </c>
      <c r="AD67" s="47"/>
      <c r="AE67" s="11"/>
      <c r="AH67" s="21"/>
    </row>
    <row r="68" spans="1:34" s="89" customFormat="1" ht="93" x14ac:dyDescent="0.3">
      <c r="A68" s="76"/>
      <c r="B68" s="77"/>
      <c r="C68" s="154" t="s">
        <v>97</v>
      </c>
      <c r="D68" s="153" t="s">
        <v>213</v>
      </c>
      <c r="E68" s="78">
        <v>51</v>
      </c>
      <c r="F68" s="79" t="s">
        <v>79</v>
      </c>
      <c r="G68" s="134">
        <v>18155000</v>
      </c>
      <c r="H68" s="80"/>
      <c r="I68" s="81">
        <v>18155000</v>
      </c>
      <c r="J68" s="78"/>
      <c r="K68" s="83"/>
      <c r="L68" s="78"/>
      <c r="M68" s="83"/>
      <c r="N68" s="78"/>
      <c r="O68" s="83"/>
      <c r="P68" s="78"/>
      <c r="Q68" s="83"/>
      <c r="R68" s="78"/>
      <c r="S68" s="83"/>
      <c r="T68" s="84"/>
      <c r="U68" s="85"/>
      <c r="V68" s="86"/>
      <c r="W68" s="87"/>
      <c r="X68" s="85"/>
      <c r="Y68" s="86"/>
      <c r="Z68" s="84">
        <f t="shared" si="3"/>
        <v>0</v>
      </c>
      <c r="AA68" s="87">
        <f t="shared" si="4"/>
        <v>18155000</v>
      </c>
      <c r="AB68" s="85"/>
      <c r="AC68" s="86" t="s">
        <v>43</v>
      </c>
      <c r="AD68" s="85"/>
      <c r="AE68" s="88"/>
      <c r="AH68" s="90"/>
    </row>
    <row r="69" spans="1:34" s="89" customFormat="1" ht="77.5" x14ac:dyDescent="0.3">
      <c r="A69" s="76"/>
      <c r="B69" s="77"/>
      <c r="C69" s="92" t="s">
        <v>99</v>
      </c>
      <c r="D69" s="91" t="s">
        <v>122</v>
      </c>
      <c r="E69" s="40">
        <v>100</v>
      </c>
      <c r="F69" s="41" t="s">
        <v>43</v>
      </c>
      <c r="G69" s="96">
        <f>SUM(G70:G72)</f>
        <v>606565439448</v>
      </c>
      <c r="H69" s="93"/>
      <c r="I69" s="96">
        <f>SUM(I70:I72)</f>
        <v>75516673918</v>
      </c>
      <c r="J69" s="93">
        <v>100</v>
      </c>
      <c r="K69" s="96">
        <f>SUM(K70:K72)</f>
        <v>194839760000</v>
      </c>
      <c r="L69" s="107">
        <v>25</v>
      </c>
      <c r="M69" s="96">
        <f>SUM(M70:M72)</f>
        <v>28119647636</v>
      </c>
      <c r="N69" s="107"/>
      <c r="O69" s="96"/>
      <c r="P69" s="107"/>
      <c r="Q69" s="96"/>
      <c r="R69" s="107"/>
      <c r="S69" s="96"/>
      <c r="T69" s="98">
        <f t="shared" ref="T69:T103" si="11">SUM(L69,N69,P69,R69)</f>
        <v>25</v>
      </c>
      <c r="U69" s="98">
        <f t="shared" ref="U69:U103" si="12">T69/J69*100</f>
        <v>25</v>
      </c>
      <c r="V69" s="99" t="s">
        <v>43</v>
      </c>
      <c r="W69" s="100">
        <f t="shared" ref="W69:W103" si="13">SUM(M69,O69,Q69,S69)</f>
        <v>28119647636</v>
      </c>
      <c r="X69" s="98">
        <f t="shared" ref="X69:X103" si="14">W69/K69*100</f>
        <v>14.432191682026296</v>
      </c>
      <c r="Y69" s="99" t="s">
        <v>43</v>
      </c>
      <c r="Z69" s="97">
        <f t="shared" si="3"/>
        <v>25</v>
      </c>
      <c r="AA69" s="100">
        <f t="shared" si="4"/>
        <v>103636321554</v>
      </c>
      <c r="AB69" s="98"/>
      <c r="AC69" s="99" t="s">
        <v>43</v>
      </c>
      <c r="AD69" s="98"/>
      <c r="AE69" s="88"/>
      <c r="AH69" s="90"/>
    </row>
    <row r="70" spans="1:34" ht="77.5" x14ac:dyDescent="0.3">
      <c r="A70" s="12"/>
      <c r="B70" s="13"/>
      <c r="C70" s="22" t="s">
        <v>100</v>
      </c>
      <c r="D70" s="25" t="s">
        <v>214</v>
      </c>
      <c r="E70" s="15">
        <v>100</v>
      </c>
      <c r="F70" s="16" t="s">
        <v>79</v>
      </c>
      <c r="G70" s="44">
        <v>565003532000</v>
      </c>
      <c r="H70" s="39"/>
      <c r="I70" s="18">
        <v>64400000000</v>
      </c>
      <c r="J70" s="15">
        <v>12</v>
      </c>
      <c r="K70" s="19">
        <v>180895030000</v>
      </c>
      <c r="L70" s="142">
        <v>3</v>
      </c>
      <c r="M70" s="19">
        <v>26339122886</v>
      </c>
      <c r="N70" s="17"/>
      <c r="O70" s="19"/>
      <c r="P70" s="17"/>
      <c r="Q70" s="19"/>
      <c r="R70" s="17"/>
      <c r="S70" s="19"/>
      <c r="T70" s="47">
        <f t="shared" si="11"/>
        <v>3</v>
      </c>
      <c r="U70" s="47">
        <f t="shared" si="12"/>
        <v>25</v>
      </c>
      <c r="V70" s="30" t="s">
        <v>43</v>
      </c>
      <c r="W70" s="35">
        <f t="shared" si="13"/>
        <v>26339122886</v>
      </c>
      <c r="X70" s="47">
        <f t="shared" si="14"/>
        <v>14.560445848622816</v>
      </c>
      <c r="Y70" s="30" t="s">
        <v>43</v>
      </c>
      <c r="Z70" s="48">
        <f t="shared" si="3"/>
        <v>3</v>
      </c>
      <c r="AA70" s="35">
        <f t="shared" si="4"/>
        <v>90739122886</v>
      </c>
      <c r="AB70" s="47"/>
      <c r="AC70" s="30" t="s">
        <v>43</v>
      </c>
      <c r="AD70" s="47"/>
      <c r="AE70" s="11"/>
      <c r="AH70" s="21"/>
    </row>
    <row r="71" spans="1:34" ht="62" x14ac:dyDescent="0.3">
      <c r="A71" s="12"/>
      <c r="B71" s="13"/>
      <c r="C71" s="22" t="s">
        <v>101</v>
      </c>
      <c r="D71" s="25" t="s">
        <v>215</v>
      </c>
      <c r="E71" s="15">
        <v>100</v>
      </c>
      <c r="F71" s="16" t="s">
        <v>79</v>
      </c>
      <c r="G71" s="44">
        <v>33675312448</v>
      </c>
      <c r="H71" s="39"/>
      <c r="I71" s="18">
        <v>8487808918</v>
      </c>
      <c r="J71" s="15">
        <v>12</v>
      </c>
      <c r="K71" s="19">
        <v>11315865000</v>
      </c>
      <c r="L71" s="17">
        <v>3</v>
      </c>
      <c r="M71" s="19">
        <v>860422000</v>
      </c>
      <c r="N71" s="17"/>
      <c r="O71" s="19"/>
      <c r="P71" s="17"/>
      <c r="Q71" s="19"/>
      <c r="R71" s="17"/>
      <c r="S71" s="19"/>
      <c r="T71" s="47">
        <f t="shared" si="11"/>
        <v>3</v>
      </c>
      <c r="U71" s="47">
        <f t="shared" si="12"/>
        <v>25</v>
      </c>
      <c r="V71" s="30" t="s">
        <v>43</v>
      </c>
      <c r="W71" s="35">
        <f t="shared" si="13"/>
        <v>860422000</v>
      </c>
      <c r="X71" s="47">
        <f t="shared" si="14"/>
        <v>7.6036785521919894</v>
      </c>
      <c r="Y71" s="30" t="s">
        <v>43</v>
      </c>
      <c r="Z71" s="48">
        <f t="shared" si="3"/>
        <v>3</v>
      </c>
      <c r="AA71" s="35">
        <f t="shared" si="4"/>
        <v>9348230918</v>
      </c>
      <c r="AB71" s="47"/>
      <c r="AC71" s="30" t="s">
        <v>43</v>
      </c>
      <c r="AD71" s="47"/>
      <c r="AE71" s="11"/>
      <c r="AH71" s="21"/>
    </row>
    <row r="72" spans="1:34" ht="62" x14ac:dyDescent="0.3">
      <c r="A72" s="12"/>
      <c r="B72" s="13"/>
      <c r="C72" s="22" t="s">
        <v>102</v>
      </c>
      <c r="D72" s="25" t="s">
        <v>216</v>
      </c>
      <c r="E72" s="15">
        <v>100</v>
      </c>
      <c r="F72" s="16" t="s">
        <v>79</v>
      </c>
      <c r="G72" s="44">
        <v>7886595000</v>
      </c>
      <c r="H72" s="39"/>
      <c r="I72" s="18">
        <v>2628865000</v>
      </c>
      <c r="J72" s="15">
        <v>12</v>
      </c>
      <c r="K72" s="19">
        <v>2628865000</v>
      </c>
      <c r="L72" s="17">
        <v>3</v>
      </c>
      <c r="M72" s="19">
        <v>920102750</v>
      </c>
      <c r="N72" s="17"/>
      <c r="O72" s="19"/>
      <c r="P72" s="17"/>
      <c r="Q72" s="19"/>
      <c r="R72" s="17"/>
      <c r="S72" s="19"/>
      <c r="T72" s="48">
        <f t="shared" si="11"/>
        <v>3</v>
      </c>
      <c r="U72" s="48">
        <f t="shared" si="12"/>
        <v>25</v>
      </c>
      <c r="V72" s="30" t="s">
        <v>43</v>
      </c>
      <c r="W72" s="35">
        <f t="shared" si="13"/>
        <v>920102750</v>
      </c>
      <c r="X72" s="47">
        <f t="shared" si="14"/>
        <v>35</v>
      </c>
      <c r="Y72" s="30" t="s">
        <v>43</v>
      </c>
      <c r="Z72" s="48">
        <f t="shared" si="3"/>
        <v>3</v>
      </c>
      <c r="AA72" s="35">
        <f t="shared" si="4"/>
        <v>3548967750</v>
      </c>
      <c r="AB72" s="47"/>
      <c r="AC72" s="30" t="s">
        <v>43</v>
      </c>
      <c r="AD72" s="47"/>
      <c r="AE72" s="11"/>
      <c r="AH72" s="21"/>
    </row>
    <row r="73" spans="1:34" s="89" customFormat="1" ht="77.5" x14ac:dyDescent="0.3">
      <c r="A73" s="76"/>
      <c r="B73" s="77"/>
      <c r="C73" s="92" t="s">
        <v>172</v>
      </c>
      <c r="D73" s="91"/>
      <c r="E73" s="40">
        <v>100</v>
      </c>
      <c r="F73" s="41" t="s">
        <v>43</v>
      </c>
      <c r="G73" s="96">
        <f>SUM(G74)</f>
        <v>0</v>
      </c>
      <c r="H73" s="93"/>
      <c r="I73" s="96"/>
      <c r="J73" s="93">
        <v>100</v>
      </c>
      <c r="K73" s="96">
        <f>SUM(K74)</f>
        <v>106600000</v>
      </c>
      <c r="L73" s="107">
        <v>0</v>
      </c>
      <c r="M73" s="96">
        <f>SUM(M74:M76)</f>
        <v>48709820</v>
      </c>
      <c r="N73" s="107"/>
      <c r="O73" s="96"/>
      <c r="P73" s="107"/>
      <c r="Q73" s="96"/>
      <c r="R73" s="107"/>
      <c r="S73" s="96"/>
      <c r="T73" s="98">
        <f t="shared" si="11"/>
        <v>0</v>
      </c>
      <c r="U73" s="98">
        <f t="shared" si="12"/>
        <v>0</v>
      </c>
      <c r="V73" s="99" t="s">
        <v>43</v>
      </c>
      <c r="W73" s="100">
        <f t="shared" si="13"/>
        <v>48709820</v>
      </c>
      <c r="X73" s="98">
        <f t="shared" si="14"/>
        <v>45.694015009380863</v>
      </c>
      <c r="Y73" s="99" t="s">
        <v>43</v>
      </c>
      <c r="Z73" s="97">
        <f t="shared" si="3"/>
        <v>0</v>
      </c>
      <c r="AA73" s="100">
        <f t="shared" si="4"/>
        <v>48709820</v>
      </c>
      <c r="AB73" s="98"/>
      <c r="AC73" s="99" t="s">
        <v>43</v>
      </c>
      <c r="AD73" s="98"/>
      <c r="AE73" s="88"/>
      <c r="AH73" s="90"/>
    </row>
    <row r="74" spans="1:34" ht="139.5" x14ac:dyDescent="0.3">
      <c r="A74" s="12"/>
      <c r="B74" s="13"/>
      <c r="C74" s="22" t="s">
        <v>173</v>
      </c>
      <c r="D74" s="25" t="s">
        <v>217</v>
      </c>
      <c r="E74" s="15"/>
      <c r="F74" s="16" t="s">
        <v>44</v>
      </c>
      <c r="G74" s="44"/>
      <c r="H74" s="39"/>
      <c r="I74" s="18"/>
      <c r="J74" s="15">
        <v>38</v>
      </c>
      <c r="K74" s="19">
        <v>106600000</v>
      </c>
      <c r="L74" s="142">
        <v>0</v>
      </c>
      <c r="M74" s="19"/>
      <c r="N74" s="17"/>
      <c r="O74" s="19"/>
      <c r="P74" s="17"/>
      <c r="Q74" s="19"/>
      <c r="R74" s="17"/>
      <c r="S74" s="19"/>
      <c r="T74" s="47">
        <f t="shared" si="11"/>
        <v>0</v>
      </c>
      <c r="U74" s="47">
        <f t="shared" si="12"/>
        <v>0</v>
      </c>
      <c r="V74" s="30" t="s">
        <v>43</v>
      </c>
      <c r="W74" s="35">
        <f t="shared" si="13"/>
        <v>0</v>
      </c>
      <c r="X74" s="47">
        <f t="shared" si="14"/>
        <v>0</v>
      </c>
      <c r="Y74" s="30" t="s">
        <v>43</v>
      </c>
      <c r="Z74" s="48">
        <f t="shared" si="3"/>
        <v>0</v>
      </c>
      <c r="AA74" s="35">
        <f t="shared" si="4"/>
        <v>0</v>
      </c>
      <c r="AB74" s="47"/>
      <c r="AC74" s="30" t="s">
        <v>43</v>
      </c>
      <c r="AD74" s="47"/>
      <c r="AE74" s="11"/>
      <c r="AH74" s="21"/>
    </row>
    <row r="75" spans="1:34" s="68" customFormat="1" ht="91.5" customHeight="1" x14ac:dyDescent="0.3">
      <c r="A75" s="12"/>
      <c r="B75" s="13"/>
      <c r="C75" s="43" t="s">
        <v>103</v>
      </c>
      <c r="D75" s="131" t="s">
        <v>136</v>
      </c>
      <c r="E75" s="40">
        <v>100</v>
      </c>
      <c r="F75" s="41" t="s">
        <v>43</v>
      </c>
      <c r="G75" s="59">
        <f>G77</f>
        <v>5937437950</v>
      </c>
      <c r="H75" s="40">
        <v>100</v>
      </c>
      <c r="I75" s="59">
        <f>I77</f>
        <v>722587300</v>
      </c>
      <c r="J75" s="40">
        <v>100</v>
      </c>
      <c r="K75" s="59">
        <f>K77</f>
        <v>1864340550</v>
      </c>
      <c r="L75" s="40">
        <v>100</v>
      </c>
      <c r="M75" s="59">
        <f>M77</f>
        <v>48709820</v>
      </c>
      <c r="N75" s="40"/>
      <c r="O75" s="37"/>
      <c r="P75" s="40"/>
      <c r="Q75" s="37"/>
      <c r="R75" s="40"/>
      <c r="S75" s="37"/>
      <c r="T75" s="52">
        <f t="shared" si="11"/>
        <v>100</v>
      </c>
      <c r="U75" s="49">
        <f t="shared" si="12"/>
        <v>100</v>
      </c>
      <c r="V75" s="51" t="s">
        <v>43</v>
      </c>
      <c r="W75" s="50">
        <f t="shared" si="13"/>
        <v>48709820</v>
      </c>
      <c r="X75" s="49">
        <f t="shared" si="14"/>
        <v>2.6127104299694603</v>
      </c>
      <c r="Y75" s="51" t="s">
        <v>43</v>
      </c>
      <c r="Z75" s="52">
        <f t="shared" si="3"/>
        <v>200</v>
      </c>
      <c r="AA75" s="50">
        <f t="shared" si="4"/>
        <v>771297120</v>
      </c>
      <c r="AB75" s="49"/>
      <c r="AC75" s="51" t="s">
        <v>43</v>
      </c>
      <c r="AD75" s="49"/>
      <c r="AE75" s="70"/>
      <c r="AH75" s="69"/>
    </row>
    <row r="76" spans="1:34" s="68" customFormat="1" ht="99" customHeight="1" x14ac:dyDescent="0.3">
      <c r="A76" s="12"/>
      <c r="B76" s="13"/>
      <c r="C76" s="158"/>
      <c r="D76" s="131" t="s">
        <v>137</v>
      </c>
      <c r="E76" s="40">
        <v>100</v>
      </c>
      <c r="F76" s="41" t="s">
        <v>43</v>
      </c>
      <c r="G76" s="36"/>
      <c r="H76" s="40">
        <v>42.69</v>
      </c>
      <c r="I76" s="36"/>
      <c r="J76" s="45">
        <v>75.28</v>
      </c>
      <c r="K76" s="36"/>
      <c r="L76" s="45">
        <v>0</v>
      </c>
      <c r="M76" s="36"/>
      <c r="N76" s="45"/>
      <c r="O76" s="37"/>
      <c r="P76" s="45"/>
      <c r="Q76" s="37"/>
      <c r="R76" s="45"/>
      <c r="S76" s="37"/>
      <c r="T76" s="49">
        <f t="shared" si="11"/>
        <v>0</v>
      </c>
      <c r="U76" s="49">
        <f t="shared" si="12"/>
        <v>0</v>
      </c>
      <c r="V76" s="51" t="s">
        <v>43</v>
      </c>
      <c r="W76" s="50">
        <f t="shared" si="13"/>
        <v>0</v>
      </c>
      <c r="X76" s="49" t="e">
        <f t="shared" si="14"/>
        <v>#DIV/0!</v>
      </c>
      <c r="Y76" s="51" t="s">
        <v>43</v>
      </c>
      <c r="Z76" s="52">
        <f t="shared" si="3"/>
        <v>42.69</v>
      </c>
      <c r="AA76" s="50">
        <f t="shared" si="4"/>
        <v>0</v>
      </c>
      <c r="AB76" s="49"/>
      <c r="AC76" s="51"/>
      <c r="AD76" s="49"/>
      <c r="AE76" s="70"/>
      <c r="AH76" s="69"/>
    </row>
    <row r="77" spans="1:34" s="68" customFormat="1" ht="46.5" x14ac:dyDescent="0.3">
      <c r="A77" s="12"/>
      <c r="B77" s="13"/>
      <c r="C77" s="130" t="s">
        <v>104</v>
      </c>
      <c r="D77" s="130" t="s">
        <v>138</v>
      </c>
      <c r="E77" s="40">
        <v>100</v>
      </c>
      <c r="F77" s="41" t="s">
        <v>43</v>
      </c>
      <c r="G77" s="59">
        <f>SUM(G80:G86)</f>
        <v>5937437950</v>
      </c>
      <c r="H77" s="40"/>
      <c r="I77" s="59">
        <f>SUM(I80:I86)</f>
        <v>722587300</v>
      </c>
      <c r="J77" s="40">
        <v>100</v>
      </c>
      <c r="K77" s="59">
        <f>SUM(K80:K86)</f>
        <v>1864340550</v>
      </c>
      <c r="L77" s="40">
        <v>0</v>
      </c>
      <c r="M77" s="59">
        <f>SUM(M80:M86)</f>
        <v>48709820</v>
      </c>
      <c r="N77" s="40"/>
      <c r="O77" s="37"/>
      <c r="P77" s="40"/>
      <c r="Q77" s="37"/>
      <c r="R77" s="40"/>
      <c r="S77" s="37"/>
      <c r="T77" s="49">
        <f t="shared" si="11"/>
        <v>0</v>
      </c>
      <c r="U77" s="49">
        <f t="shared" si="12"/>
        <v>0</v>
      </c>
      <c r="V77" s="51" t="s">
        <v>43</v>
      </c>
      <c r="W77" s="50">
        <f t="shared" si="13"/>
        <v>48709820</v>
      </c>
      <c r="X77" s="49">
        <f t="shared" si="14"/>
        <v>2.6127104299694603</v>
      </c>
      <c r="Y77" s="51" t="s">
        <v>43</v>
      </c>
      <c r="Z77" s="52">
        <f t="shared" ref="Z77:Z103" si="15">SUM(H77,T77)</f>
        <v>0</v>
      </c>
      <c r="AA77" s="50">
        <f t="shared" ref="AA77:AA98" si="16">SUM(I77,W77)</f>
        <v>771297120</v>
      </c>
      <c r="AB77" s="49"/>
      <c r="AC77" s="30" t="s">
        <v>43</v>
      </c>
      <c r="AD77" s="47"/>
      <c r="AE77" s="70"/>
      <c r="AH77" s="69"/>
    </row>
    <row r="78" spans="1:34" s="68" customFormat="1" ht="62" x14ac:dyDescent="0.3">
      <c r="A78" s="12"/>
      <c r="B78" s="13"/>
      <c r="C78" s="77"/>
      <c r="D78" s="130" t="s">
        <v>139</v>
      </c>
      <c r="E78" s="40">
        <v>100</v>
      </c>
      <c r="F78" s="41" t="s">
        <v>43</v>
      </c>
      <c r="G78" s="149"/>
      <c r="H78" s="40">
        <v>1</v>
      </c>
      <c r="I78" s="149"/>
      <c r="J78" s="40">
        <v>100</v>
      </c>
      <c r="K78" s="149"/>
      <c r="L78" s="40">
        <v>0</v>
      </c>
      <c r="M78" s="149"/>
      <c r="N78" s="45"/>
      <c r="O78" s="37"/>
      <c r="P78" s="40"/>
      <c r="Q78" s="37"/>
      <c r="R78" s="40"/>
      <c r="S78" s="37"/>
      <c r="T78" s="49">
        <f t="shared" si="11"/>
        <v>0</v>
      </c>
      <c r="U78" s="49">
        <f t="shared" si="12"/>
        <v>0</v>
      </c>
      <c r="V78" s="51" t="s">
        <v>43</v>
      </c>
      <c r="W78" s="50">
        <f t="shared" si="13"/>
        <v>0</v>
      </c>
      <c r="X78" s="49" t="e">
        <f t="shared" si="14"/>
        <v>#DIV/0!</v>
      </c>
      <c r="Y78" s="51" t="s">
        <v>43</v>
      </c>
      <c r="Z78" s="52">
        <f t="shared" si="15"/>
        <v>1</v>
      </c>
      <c r="AA78" s="50">
        <f t="shared" si="16"/>
        <v>0</v>
      </c>
      <c r="AB78" s="49"/>
      <c r="AC78" s="30"/>
      <c r="AD78" s="47"/>
      <c r="AE78" s="70"/>
      <c r="AH78" s="69"/>
    </row>
    <row r="79" spans="1:34" s="68" customFormat="1" ht="77.5" x14ac:dyDescent="0.3">
      <c r="A79" s="12"/>
      <c r="B79" s="13"/>
      <c r="C79" s="92"/>
      <c r="D79" s="139" t="s">
        <v>140</v>
      </c>
      <c r="E79" s="40">
        <v>100</v>
      </c>
      <c r="F79" s="41" t="s">
        <v>43</v>
      </c>
      <c r="G79" s="36"/>
      <c r="H79" s="40">
        <v>100</v>
      </c>
      <c r="I79" s="36"/>
      <c r="J79" s="40">
        <v>100</v>
      </c>
      <c r="K79" s="36"/>
      <c r="L79" s="45">
        <f>L83/J83*100</f>
        <v>25</v>
      </c>
      <c r="M79" s="36"/>
      <c r="N79" s="45"/>
      <c r="O79" s="37"/>
      <c r="P79" s="45"/>
      <c r="Q79" s="37"/>
      <c r="R79" s="45"/>
      <c r="S79" s="37"/>
      <c r="T79" s="49">
        <f t="shared" si="11"/>
        <v>25</v>
      </c>
      <c r="U79" s="49">
        <f t="shared" si="12"/>
        <v>25</v>
      </c>
      <c r="V79" s="51" t="s">
        <v>43</v>
      </c>
      <c r="W79" s="50">
        <f t="shared" si="13"/>
        <v>0</v>
      </c>
      <c r="X79" s="49" t="e">
        <f t="shared" si="14"/>
        <v>#DIV/0!</v>
      </c>
      <c r="Y79" s="51" t="s">
        <v>43</v>
      </c>
      <c r="Z79" s="52">
        <f t="shared" si="15"/>
        <v>125</v>
      </c>
      <c r="AA79" s="50">
        <f t="shared" si="16"/>
        <v>0</v>
      </c>
      <c r="AB79" s="49"/>
      <c r="AC79" s="30"/>
      <c r="AD79" s="47"/>
      <c r="AE79" s="70"/>
      <c r="AH79" s="69"/>
    </row>
    <row r="80" spans="1:34" ht="60" customHeight="1" x14ac:dyDescent="0.3">
      <c r="A80" s="12"/>
      <c r="B80" s="13"/>
      <c r="C80" s="22" t="s">
        <v>105</v>
      </c>
      <c r="D80" s="25" t="s">
        <v>218</v>
      </c>
      <c r="E80" s="15">
        <v>12</v>
      </c>
      <c r="F80" s="16" t="s">
        <v>42</v>
      </c>
      <c r="G80" s="119">
        <f>380779950*2+K80</f>
        <v>1135733650</v>
      </c>
      <c r="H80" s="39"/>
      <c r="I80" s="18">
        <v>308428600</v>
      </c>
      <c r="J80" s="15">
        <v>1</v>
      </c>
      <c r="K80" s="19">
        <v>374173750</v>
      </c>
      <c r="L80" s="15">
        <v>0</v>
      </c>
      <c r="M80" s="19">
        <v>17012500</v>
      </c>
      <c r="N80" s="15"/>
      <c r="O80" s="19"/>
      <c r="P80" s="15"/>
      <c r="Q80" s="19"/>
      <c r="R80" s="15"/>
      <c r="S80" s="19"/>
      <c r="T80" s="48">
        <f t="shared" si="11"/>
        <v>0</v>
      </c>
      <c r="U80" s="47">
        <f t="shared" si="12"/>
        <v>0</v>
      </c>
      <c r="V80" s="30" t="s">
        <v>43</v>
      </c>
      <c r="W80" s="35">
        <f t="shared" si="13"/>
        <v>17012500</v>
      </c>
      <c r="X80" s="47">
        <f t="shared" si="14"/>
        <v>4.5466845282438975</v>
      </c>
      <c r="Y80" s="30" t="s">
        <v>43</v>
      </c>
      <c r="Z80" s="48">
        <f t="shared" si="15"/>
        <v>0</v>
      </c>
      <c r="AA80" s="35">
        <f t="shared" si="16"/>
        <v>325441100</v>
      </c>
      <c r="AB80" s="47"/>
      <c r="AC80" s="30" t="s">
        <v>43</v>
      </c>
      <c r="AD80" s="47"/>
      <c r="AE80" s="11"/>
      <c r="AH80" s="21"/>
    </row>
    <row r="81" spans="1:34" ht="82.5" customHeight="1" x14ac:dyDescent="0.3">
      <c r="A81" s="12"/>
      <c r="B81" s="13"/>
      <c r="C81" s="22" t="s">
        <v>106</v>
      </c>
      <c r="D81" s="25" t="s">
        <v>219</v>
      </c>
      <c r="E81" s="15">
        <v>6</v>
      </c>
      <c r="F81" s="16" t="s">
        <v>42</v>
      </c>
      <c r="G81" s="121">
        <f>31805000*2+K81</f>
        <v>89053650</v>
      </c>
      <c r="H81" s="15">
        <v>2</v>
      </c>
      <c r="I81" s="19">
        <v>23923800</v>
      </c>
      <c r="J81" s="15">
        <v>4</v>
      </c>
      <c r="K81" s="19">
        <v>25443650</v>
      </c>
      <c r="L81" s="15">
        <v>0</v>
      </c>
      <c r="M81" s="19">
        <v>0</v>
      </c>
      <c r="N81" s="15"/>
      <c r="O81" s="19"/>
      <c r="P81" s="15"/>
      <c r="Q81" s="19"/>
      <c r="R81" s="15"/>
      <c r="S81" s="19"/>
      <c r="T81" s="48">
        <f t="shared" si="11"/>
        <v>0</v>
      </c>
      <c r="U81" s="47">
        <f t="shared" si="12"/>
        <v>0</v>
      </c>
      <c r="V81" s="30" t="s">
        <v>43</v>
      </c>
      <c r="W81" s="35">
        <f t="shared" si="13"/>
        <v>0</v>
      </c>
      <c r="X81" s="47">
        <f t="shared" si="14"/>
        <v>0</v>
      </c>
      <c r="Y81" s="30" t="s">
        <v>43</v>
      </c>
      <c r="Z81" s="48">
        <f t="shared" si="15"/>
        <v>2</v>
      </c>
      <c r="AA81" s="35">
        <f t="shared" si="16"/>
        <v>23923800</v>
      </c>
      <c r="AB81" s="47"/>
      <c r="AC81" s="30" t="s">
        <v>43</v>
      </c>
      <c r="AD81" s="47"/>
      <c r="AE81" s="11"/>
      <c r="AH81" s="21"/>
    </row>
    <row r="82" spans="1:34" ht="50.25" customHeight="1" x14ac:dyDescent="0.3">
      <c r="A82" s="12"/>
      <c r="B82" s="13"/>
      <c r="C82" s="22" t="s">
        <v>107</v>
      </c>
      <c r="D82" s="25" t="s">
        <v>220</v>
      </c>
      <c r="E82" s="15">
        <v>3</v>
      </c>
      <c r="F82" s="16" t="s">
        <v>79</v>
      </c>
      <c r="G82" s="121">
        <f>136788200*2+K82</f>
        <v>401964600</v>
      </c>
      <c r="H82" s="15">
        <v>1</v>
      </c>
      <c r="I82" s="19">
        <v>70541250</v>
      </c>
      <c r="J82" s="15">
        <v>1</v>
      </c>
      <c r="K82" s="19">
        <v>128388200</v>
      </c>
      <c r="L82" s="15">
        <v>0</v>
      </c>
      <c r="M82" s="19">
        <v>10472500</v>
      </c>
      <c r="N82" s="15"/>
      <c r="O82" s="19"/>
      <c r="P82" s="15"/>
      <c r="Q82" s="19"/>
      <c r="R82" s="15"/>
      <c r="S82" s="19"/>
      <c r="T82" s="48">
        <f t="shared" si="11"/>
        <v>0</v>
      </c>
      <c r="U82" s="47">
        <f t="shared" si="12"/>
        <v>0</v>
      </c>
      <c r="V82" s="30" t="s">
        <v>43</v>
      </c>
      <c r="W82" s="35">
        <f t="shared" si="13"/>
        <v>10472500</v>
      </c>
      <c r="X82" s="47">
        <f t="shared" si="14"/>
        <v>8.1569022698347666</v>
      </c>
      <c r="Y82" s="30" t="s">
        <v>43</v>
      </c>
      <c r="Z82" s="48">
        <f t="shared" si="15"/>
        <v>1</v>
      </c>
      <c r="AA82" s="35">
        <f t="shared" si="16"/>
        <v>81013750</v>
      </c>
      <c r="AB82" s="47"/>
      <c r="AC82" s="30" t="s">
        <v>43</v>
      </c>
      <c r="AD82" s="47"/>
      <c r="AE82" s="11"/>
      <c r="AH82" s="21"/>
    </row>
    <row r="83" spans="1:34" ht="98.25" customHeight="1" x14ac:dyDescent="0.3">
      <c r="A83" s="12"/>
      <c r="B83" s="13"/>
      <c r="C83" s="22" t="s">
        <v>108</v>
      </c>
      <c r="D83" s="25" t="s">
        <v>221</v>
      </c>
      <c r="E83" s="66">
        <f>600+300+155</f>
        <v>1055</v>
      </c>
      <c r="F83" s="16" t="s">
        <v>79</v>
      </c>
      <c r="G83" s="120">
        <f>1357175200*2+K83</f>
        <v>3924585600</v>
      </c>
      <c r="H83" s="15">
        <v>100</v>
      </c>
      <c r="I83" s="19">
        <v>257296800</v>
      </c>
      <c r="J83" s="15">
        <v>12</v>
      </c>
      <c r="K83" s="19">
        <v>1210235200</v>
      </c>
      <c r="L83" s="15">
        <v>3</v>
      </c>
      <c r="M83" s="19">
        <v>17704820</v>
      </c>
      <c r="N83" s="15"/>
      <c r="O83" s="19"/>
      <c r="P83" s="15"/>
      <c r="Q83" s="19"/>
      <c r="R83" s="15"/>
      <c r="S83" s="19"/>
      <c r="T83" s="48">
        <f t="shared" si="11"/>
        <v>3</v>
      </c>
      <c r="U83" s="47">
        <f t="shared" si="12"/>
        <v>25</v>
      </c>
      <c r="V83" s="30" t="s">
        <v>43</v>
      </c>
      <c r="W83" s="35">
        <f t="shared" si="13"/>
        <v>17704820</v>
      </c>
      <c r="X83" s="47">
        <f t="shared" si="14"/>
        <v>1.4629239010731137</v>
      </c>
      <c r="Y83" s="30" t="s">
        <v>43</v>
      </c>
      <c r="Z83" s="48">
        <f t="shared" si="15"/>
        <v>103</v>
      </c>
      <c r="AA83" s="35">
        <f t="shared" si="16"/>
        <v>275001620</v>
      </c>
      <c r="AB83" s="47"/>
      <c r="AC83" s="30" t="s">
        <v>43</v>
      </c>
      <c r="AD83" s="47"/>
      <c r="AE83" s="11"/>
      <c r="AH83" s="21"/>
    </row>
    <row r="84" spans="1:34" ht="124" x14ac:dyDescent="0.3">
      <c r="A84" s="12"/>
      <c r="B84" s="13"/>
      <c r="C84" s="22" t="s">
        <v>109</v>
      </c>
      <c r="D84" s="25" t="s">
        <v>222</v>
      </c>
      <c r="E84" s="15">
        <v>100</v>
      </c>
      <c r="F84" s="16" t="s">
        <v>42</v>
      </c>
      <c r="G84" s="121">
        <f>70800300*2+K84</f>
        <v>209500600</v>
      </c>
      <c r="H84" s="15">
        <v>100</v>
      </c>
      <c r="I84" s="19">
        <v>25236000</v>
      </c>
      <c r="J84" s="15">
        <v>1</v>
      </c>
      <c r="K84" s="19">
        <v>67900000</v>
      </c>
      <c r="L84" s="15">
        <v>0</v>
      </c>
      <c r="M84" s="19">
        <v>2520000</v>
      </c>
      <c r="N84" s="15"/>
      <c r="O84" s="19"/>
      <c r="P84" s="15"/>
      <c r="Q84" s="19"/>
      <c r="R84" s="15"/>
      <c r="S84" s="19"/>
      <c r="T84" s="48">
        <f t="shared" si="11"/>
        <v>0</v>
      </c>
      <c r="U84" s="47">
        <f t="shared" si="12"/>
        <v>0</v>
      </c>
      <c r="V84" s="30" t="s">
        <v>43</v>
      </c>
      <c r="W84" s="35">
        <f t="shared" si="13"/>
        <v>2520000</v>
      </c>
      <c r="X84" s="47">
        <f t="shared" si="14"/>
        <v>3.7113402061855671</v>
      </c>
      <c r="Y84" s="30" t="s">
        <v>43</v>
      </c>
      <c r="Z84" s="48">
        <f t="shared" si="15"/>
        <v>100</v>
      </c>
      <c r="AA84" s="35">
        <f t="shared" si="16"/>
        <v>27756000</v>
      </c>
      <c r="AB84" s="47"/>
      <c r="AC84" s="30" t="s">
        <v>43</v>
      </c>
      <c r="AD84" s="47"/>
      <c r="AE84" s="11"/>
      <c r="AH84" s="21"/>
    </row>
    <row r="85" spans="1:34" ht="77.5" x14ac:dyDescent="0.3">
      <c r="A85" s="12"/>
      <c r="B85" s="13"/>
      <c r="C85" s="22" t="s">
        <v>110</v>
      </c>
      <c r="D85" s="25" t="s">
        <v>223</v>
      </c>
      <c r="E85" s="15">
        <v>9</v>
      </c>
      <c r="F85" s="16" t="s">
        <v>79</v>
      </c>
      <c r="G85" s="121">
        <f>20000000*2+K85</f>
        <v>60000000</v>
      </c>
      <c r="H85" s="39"/>
      <c r="I85" s="18">
        <v>18610850</v>
      </c>
      <c r="J85" s="15">
        <v>4</v>
      </c>
      <c r="K85" s="19">
        <v>20000000</v>
      </c>
      <c r="L85" s="15">
        <v>1</v>
      </c>
      <c r="M85" s="19">
        <v>1000000</v>
      </c>
      <c r="N85" s="15"/>
      <c r="O85" s="19"/>
      <c r="P85" s="15"/>
      <c r="Q85" s="19"/>
      <c r="R85" s="15"/>
      <c r="S85" s="19"/>
      <c r="T85" s="48">
        <f t="shared" si="11"/>
        <v>1</v>
      </c>
      <c r="U85" s="47">
        <f t="shared" si="12"/>
        <v>25</v>
      </c>
      <c r="V85" s="30" t="s">
        <v>43</v>
      </c>
      <c r="W85" s="35">
        <f t="shared" si="13"/>
        <v>1000000</v>
      </c>
      <c r="X85" s="47">
        <f t="shared" si="14"/>
        <v>5</v>
      </c>
      <c r="Y85" s="30" t="s">
        <v>43</v>
      </c>
      <c r="Z85" s="48">
        <f t="shared" si="15"/>
        <v>1</v>
      </c>
      <c r="AA85" s="35">
        <f t="shared" si="16"/>
        <v>19610850</v>
      </c>
      <c r="AB85" s="47"/>
      <c r="AC85" s="30" t="s">
        <v>43</v>
      </c>
      <c r="AD85" s="47"/>
      <c r="AE85" s="11"/>
      <c r="AH85" s="21"/>
    </row>
    <row r="86" spans="1:34" ht="108.5" x14ac:dyDescent="0.3">
      <c r="A86" s="12"/>
      <c r="B86" s="13"/>
      <c r="C86" s="22" t="s">
        <v>111</v>
      </c>
      <c r="D86" s="25" t="s">
        <v>224</v>
      </c>
      <c r="E86" s="15">
        <v>300</v>
      </c>
      <c r="F86" s="16" t="s">
        <v>44</v>
      </c>
      <c r="G86" s="121">
        <f>39200050*2+K86</f>
        <v>116599850</v>
      </c>
      <c r="H86" s="39"/>
      <c r="I86" s="18">
        <v>18550000</v>
      </c>
      <c r="J86" s="15">
        <v>100</v>
      </c>
      <c r="K86" s="19">
        <v>38199750</v>
      </c>
      <c r="L86" s="15">
        <v>0</v>
      </c>
      <c r="M86" s="19">
        <v>0</v>
      </c>
      <c r="N86" s="15"/>
      <c r="O86" s="19"/>
      <c r="P86" s="15"/>
      <c r="Q86" s="19"/>
      <c r="R86" s="15"/>
      <c r="S86" s="19"/>
      <c r="T86" s="48">
        <f t="shared" si="11"/>
        <v>0</v>
      </c>
      <c r="U86" s="47">
        <f t="shared" si="12"/>
        <v>0</v>
      </c>
      <c r="V86" s="30" t="s">
        <v>43</v>
      </c>
      <c r="W86" s="35">
        <f t="shared" si="13"/>
        <v>0</v>
      </c>
      <c r="X86" s="47">
        <f t="shared" si="14"/>
        <v>0</v>
      </c>
      <c r="Y86" s="30" t="s">
        <v>43</v>
      </c>
      <c r="Z86" s="48">
        <f t="shared" si="15"/>
        <v>0</v>
      </c>
      <c r="AA86" s="35">
        <f t="shared" si="16"/>
        <v>18550000</v>
      </c>
      <c r="AB86" s="47"/>
      <c r="AC86" s="30" t="s">
        <v>43</v>
      </c>
      <c r="AD86" s="47"/>
      <c r="AE86" s="11"/>
      <c r="AH86" s="21"/>
    </row>
    <row r="87" spans="1:34" s="68" customFormat="1" ht="72.75" customHeight="1" x14ac:dyDescent="0.3">
      <c r="A87" s="12"/>
      <c r="B87" s="13"/>
      <c r="C87" s="43" t="s">
        <v>112</v>
      </c>
      <c r="D87" s="131" t="s">
        <v>134</v>
      </c>
      <c r="E87" s="73">
        <v>100</v>
      </c>
      <c r="F87" s="41" t="s">
        <v>43</v>
      </c>
      <c r="G87" s="59">
        <f>G89</f>
        <v>3044960675</v>
      </c>
      <c r="H87" s="73">
        <v>100</v>
      </c>
      <c r="I87" s="59">
        <f>I89</f>
        <v>640649836</v>
      </c>
      <c r="J87" s="73">
        <v>100</v>
      </c>
      <c r="K87" s="59">
        <f>K89</f>
        <v>1220504200</v>
      </c>
      <c r="L87" s="74">
        <f>25815002032.87/228196140000*100</f>
        <v>11.312637467430431</v>
      </c>
      <c r="M87" s="59">
        <f>M89</f>
        <v>93103750</v>
      </c>
      <c r="N87" s="74"/>
      <c r="O87" s="37"/>
      <c r="P87" s="40"/>
      <c r="Q87" s="37"/>
      <c r="R87" s="40"/>
      <c r="S87" s="37"/>
      <c r="T87" s="75">
        <f t="shared" si="11"/>
        <v>11.312637467430431</v>
      </c>
      <c r="U87" s="49">
        <f t="shared" si="12"/>
        <v>11.312637467430431</v>
      </c>
      <c r="V87" s="51" t="s">
        <v>43</v>
      </c>
      <c r="W87" s="50">
        <f t="shared" si="13"/>
        <v>93103750</v>
      </c>
      <c r="X87" s="49">
        <f t="shared" si="14"/>
        <v>7.6283023032612265</v>
      </c>
      <c r="Y87" s="51" t="s">
        <v>43</v>
      </c>
      <c r="Z87" s="52">
        <f t="shared" si="15"/>
        <v>111.31263746743043</v>
      </c>
      <c r="AA87" s="50">
        <f t="shared" si="16"/>
        <v>733753586</v>
      </c>
      <c r="AB87" s="49"/>
      <c r="AC87" s="51" t="s">
        <v>43</v>
      </c>
      <c r="AD87" s="49"/>
      <c r="AE87" s="70"/>
      <c r="AH87" s="69"/>
    </row>
    <row r="88" spans="1:34" s="68" customFormat="1" ht="62" x14ac:dyDescent="0.3">
      <c r="A88" s="12"/>
      <c r="B88" s="13"/>
      <c r="C88" s="158"/>
      <c r="D88" s="131" t="s">
        <v>135</v>
      </c>
      <c r="E88" s="73">
        <v>100</v>
      </c>
      <c r="F88" s="41" t="s">
        <v>43</v>
      </c>
      <c r="G88" s="36"/>
      <c r="H88" s="73">
        <v>100</v>
      </c>
      <c r="I88" s="36"/>
      <c r="J88" s="73">
        <v>100</v>
      </c>
      <c r="K88" s="36"/>
      <c r="L88" s="74">
        <v>13.36</v>
      </c>
      <c r="M88" s="36"/>
      <c r="N88" s="74"/>
      <c r="O88" s="37"/>
      <c r="P88" s="40"/>
      <c r="Q88" s="37"/>
      <c r="R88" s="40"/>
      <c r="S88" s="37"/>
      <c r="T88" s="75">
        <f t="shared" si="11"/>
        <v>13.36</v>
      </c>
      <c r="U88" s="49">
        <f t="shared" si="12"/>
        <v>13.36</v>
      </c>
      <c r="V88" s="51"/>
      <c r="W88" s="50">
        <f t="shared" si="13"/>
        <v>0</v>
      </c>
      <c r="X88" s="49" t="e">
        <f t="shared" si="14"/>
        <v>#DIV/0!</v>
      </c>
      <c r="Y88" s="51" t="s">
        <v>43</v>
      </c>
      <c r="Z88" s="52">
        <f t="shared" si="15"/>
        <v>113.36</v>
      </c>
      <c r="AA88" s="50">
        <f t="shared" si="16"/>
        <v>0</v>
      </c>
      <c r="AB88" s="49"/>
      <c r="AC88" s="51"/>
      <c r="AD88" s="49"/>
      <c r="AE88" s="70"/>
      <c r="AH88" s="69"/>
    </row>
    <row r="89" spans="1:34" s="68" customFormat="1" ht="46.5" x14ac:dyDescent="0.3">
      <c r="A89" s="12"/>
      <c r="B89" s="13"/>
      <c r="C89" s="138" t="s">
        <v>127</v>
      </c>
      <c r="D89" s="130" t="s">
        <v>128</v>
      </c>
      <c r="E89" s="73">
        <v>48</v>
      </c>
      <c r="F89" s="41" t="s">
        <v>43</v>
      </c>
      <c r="G89" s="59">
        <f>SUM(G95:G103)</f>
        <v>3044960675</v>
      </c>
      <c r="H89" s="40"/>
      <c r="I89" s="59">
        <f>SUM(I95:I103)</f>
        <v>640649836</v>
      </c>
      <c r="J89" s="73">
        <v>16</v>
      </c>
      <c r="K89" s="59">
        <f>SUM(K95:K103)</f>
        <v>1220504200</v>
      </c>
      <c r="L89" s="143">
        <v>0</v>
      </c>
      <c r="M89" s="59">
        <f>SUM(M95:M103)</f>
        <v>93103750</v>
      </c>
      <c r="N89" s="143"/>
      <c r="O89" s="37"/>
      <c r="P89" s="40"/>
      <c r="Q89" s="37"/>
      <c r="R89" s="40"/>
      <c r="S89" s="37"/>
      <c r="T89" s="75">
        <f t="shared" si="11"/>
        <v>0</v>
      </c>
      <c r="U89" s="49">
        <f t="shared" si="12"/>
        <v>0</v>
      </c>
      <c r="V89" s="51" t="s">
        <v>43</v>
      </c>
      <c r="W89" s="50">
        <f t="shared" si="13"/>
        <v>93103750</v>
      </c>
      <c r="X89" s="49">
        <f t="shared" si="14"/>
        <v>7.6283023032612265</v>
      </c>
      <c r="Y89" s="51" t="s">
        <v>43</v>
      </c>
      <c r="Z89" s="52">
        <f t="shared" si="15"/>
        <v>0</v>
      </c>
      <c r="AA89" s="50">
        <f t="shared" si="16"/>
        <v>733753586</v>
      </c>
      <c r="AB89" s="49"/>
      <c r="AC89" s="51" t="s">
        <v>43</v>
      </c>
      <c r="AD89" s="49"/>
      <c r="AE89" s="70"/>
      <c r="AH89" s="69"/>
    </row>
    <row r="90" spans="1:34" s="68" customFormat="1" ht="77.5" x14ac:dyDescent="0.35">
      <c r="A90" s="12"/>
      <c r="B90" s="13"/>
      <c r="C90" s="140"/>
      <c r="D90" s="138" t="s">
        <v>129</v>
      </c>
      <c r="E90" s="73">
        <v>100</v>
      </c>
      <c r="F90" s="41" t="s">
        <v>43</v>
      </c>
      <c r="G90" s="149"/>
      <c r="H90" s="40"/>
      <c r="I90" s="149"/>
      <c r="J90" s="73">
        <v>100</v>
      </c>
      <c r="K90" s="149"/>
      <c r="L90" s="143">
        <v>0</v>
      </c>
      <c r="M90" s="149"/>
      <c r="N90" s="143"/>
      <c r="O90" s="37"/>
      <c r="P90" s="40"/>
      <c r="Q90" s="37"/>
      <c r="R90" s="40"/>
      <c r="S90" s="37"/>
      <c r="T90" s="75">
        <f t="shared" si="11"/>
        <v>0</v>
      </c>
      <c r="U90" s="49">
        <f t="shared" si="12"/>
        <v>0</v>
      </c>
      <c r="V90" s="51" t="s">
        <v>43</v>
      </c>
      <c r="W90" s="50">
        <f t="shared" si="13"/>
        <v>0</v>
      </c>
      <c r="X90" s="49" t="e">
        <f t="shared" si="14"/>
        <v>#DIV/0!</v>
      </c>
      <c r="Y90" s="51" t="s">
        <v>43</v>
      </c>
      <c r="Z90" s="52">
        <f t="shared" si="15"/>
        <v>0</v>
      </c>
      <c r="AA90" s="50">
        <f t="shared" si="16"/>
        <v>0</v>
      </c>
      <c r="AB90" s="49"/>
      <c r="AC90" s="51"/>
      <c r="AD90" s="49"/>
      <c r="AE90" s="70"/>
      <c r="AH90" s="69"/>
    </row>
    <row r="91" spans="1:34" s="68" customFormat="1" ht="77.5" x14ac:dyDescent="0.3">
      <c r="A91" s="12"/>
      <c r="B91" s="13"/>
      <c r="C91" s="141"/>
      <c r="D91" s="130" t="s">
        <v>130</v>
      </c>
      <c r="E91" s="73">
        <v>100</v>
      </c>
      <c r="F91" s="41" t="s">
        <v>43</v>
      </c>
      <c r="G91" s="149"/>
      <c r="H91" s="40"/>
      <c r="I91" s="149"/>
      <c r="J91" s="73">
        <v>100</v>
      </c>
      <c r="K91" s="149"/>
      <c r="L91" s="74">
        <f>68123/70000*100</f>
        <v>97.318571428571431</v>
      </c>
      <c r="M91" s="149"/>
      <c r="N91" s="74"/>
      <c r="O91" s="37"/>
      <c r="P91" s="40"/>
      <c r="Q91" s="37"/>
      <c r="R91" s="40"/>
      <c r="S91" s="37"/>
      <c r="T91" s="75">
        <f t="shared" si="11"/>
        <v>97.318571428571431</v>
      </c>
      <c r="U91" s="49">
        <f t="shared" si="12"/>
        <v>97.318571428571431</v>
      </c>
      <c r="V91" s="51" t="s">
        <v>43</v>
      </c>
      <c r="W91" s="50">
        <f t="shared" si="13"/>
        <v>0</v>
      </c>
      <c r="X91" s="49" t="e">
        <f t="shared" si="14"/>
        <v>#DIV/0!</v>
      </c>
      <c r="Y91" s="51" t="s">
        <v>43</v>
      </c>
      <c r="Z91" s="52">
        <f t="shared" si="15"/>
        <v>97.318571428571431</v>
      </c>
      <c r="AA91" s="50">
        <f t="shared" si="16"/>
        <v>0</v>
      </c>
      <c r="AB91" s="49"/>
      <c r="AC91" s="51"/>
      <c r="AD91" s="49"/>
      <c r="AE91" s="70"/>
      <c r="AH91" s="69"/>
    </row>
    <row r="92" spans="1:34" s="68" customFormat="1" ht="91.5" customHeight="1" x14ac:dyDescent="0.3">
      <c r="A92" s="12"/>
      <c r="B92" s="13"/>
      <c r="C92" s="141"/>
      <c r="D92" s="91" t="s">
        <v>131</v>
      </c>
      <c r="E92" s="73">
        <v>100</v>
      </c>
      <c r="F92" s="41" t="s">
        <v>43</v>
      </c>
      <c r="G92" s="149"/>
      <c r="H92" s="40"/>
      <c r="I92" s="149"/>
      <c r="J92" s="73">
        <v>100</v>
      </c>
      <c r="K92" s="149"/>
      <c r="L92" s="143">
        <v>25</v>
      </c>
      <c r="M92" s="149"/>
      <c r="N92" s="143"/>
      <c r="O92" s="37"/>
      <c r="P92" s="40"/>
      <c r="Q92" s="37"/>
      <c r="R92" s="40"/>
      <c r="S92" s="37"/>
      <c r="T92" s="75">
        <f t="shared" si="11"/>
        <v>25</v>
      </c>
      <c r="U92" s="49">
        <f t="shared" si="12"/>
        <v>25</v>
      </c>
      <c r="V92" s="51" t="s">
        <v>43</v>
      </c>
      <c r="W92" s="50">
        <f t="shared" si="13"/>
        <v>0</v>
      </c>
      <c r="X92" s="49" t="e">
        <f t="shared" si="14"/>
        <v>#DIV/0!</v>
      </c>
      <c r="Y92" s="51" t="s">
        <v>43</v>
      </c>
      <c r="Z92" s="52">
        <f t="shared" si="15"/>
        <v>25</v>
      </c>
      <c r="AA92" s="50">
        <f t="shared" si="16"/>
        <v>0</v>
      </c>
      <c r="AB92" s="49"/>
      <c r="AC92" s="51"/>
      <c r="AD92" s="49"/>
      <c r="AE92" s="70"/>
      <c r="AH92" s="69"/>
    </row>
    <row r="93" spans="1:34" s="68" customFormat="1" ht="46.5" x14ac:dyDescent="0.3">
      <c r="A93" s="12"/>
      <c r="B93" s="13"/>
      <c r="C93" s="141"/>
      <c r="D93" s="91" t="s">
        <v>132</v>
      </c>
      <c r="E93" s="73">
        <v>100</v>
      </c>
      <c r="F93" s="41" t="s">
        <v>43</v>
      </c>
      <c r="G93" s="149"/>
      <c r="H93" s="40"/>
      <c r="I93" s="149"/>
      <c r="J93" s="73">
        <v>100</v>
      </c>
      <c r="K93" s="149"/>
      <c r="L93" s="144">
        <f>L102/J102*100</f>
        <v>25</v>
      </c>
      <c r="M93" s="149"/>
      <c r="N93" s="144"/>
      <c r="O93" s="37"/>
      <c r="P93" s="40"/>
      <c r="Q93" s="37"/>
      <c r="R93" s="40"/>
      <c r="S93" s="37"/>
      <c r="T93" s="75">
        <f t="shared" si="11"/>
        <v>25</v>
      </c>
      <c r="U93" s="49">
        <f t="shared" si="12"/>
        <v>25</v>
      </c>
      <c r="V93" s="51" t="s">
        <v>43</v>
      </c>
      <c r="W93" s="50">
        <f t="shared" si="13"/>
        <v>0</v>
      </c>
      <c r="X93" s="49" t="e">
        <f t="shared" si="14"/>
        <v>#DIV/0!</v>
      </c>
      <c r="Y93" s="51" t="s">
        <v>43</v>
      </c>
      <c r="Z93" s="52">
        <f t="shared" si="15"/>
        <v>25</v>
      </c>
      <c r="AA93" s="50">
        <f t="shared" si="16"/>
        <v>0</v>
      </c>
      <c r="AB93" s="49"/>
      <c r="AC93" s="51"/>
      <c r="AD93" s="49"/>
      <c r="AE93" s="70"/>
      <c r="AH93" s="69"/>
    </row>
    <row r="94" spans="1:34" s="68" customFormat="1" ht="62" x14ac:dyDescent="0.3">
      <c r="A94" s="12"/>
      <c r="B94" s="13"/>
      <c r="C94" s="158"/>
      <c r="D94" s="91" t="s">
        <v>133</v>
      </c>
      <c r="E94" s="73">
        <v>100</v>
      </c>
      <c r="F94" s="41" t="s">
        <v>43</v>
      </c>
      <c r="G94" s="36"/>
      <c r="H94" s="40"/>
      <c r="I94" s="36"/>
      <c r="J94" s="73">
        <v>100</v>
      </c>
      <c r="K94" s="36"/>
      <c r="L94" s="143">
        <f>L103/J103*100</f>
        <v>25</v>
      </c>
      <c r="M94" s="36"/>
      <c r="N94" s="143"/>
      <c r="O94" s="37"/>
      <c r="P94" s="40"/>
      <c r="Q94" s="37"/>
      <c r="R94" s="40"/>
      <c r="S94" s="37"/>
      <c r="T94" s="75">
        <f t="shared" si="11"/>
        <v>25</v>
      </c>
      <c r="U94" s="49">
        <f t="shared" si="12"/>
        <v>25</v>
      </c>
      <c r="V94" s="51" t="s">
        <v>43</v>
      </c>
      <c r="W94" s="50">
        <f t="shared" si="13"/>
        <v>0</v>
      </c>
      <c r="X94" s="49" t="e">
        <f>W94/K94*100</f>
        <v>#DIV/0!</v>
      </c>
      <c r="Y94" s="51" t="s">
        <v>43</v>
      </c>
      <c r="Z94" s="52">
        <f t="shared" si="15"/>
        <v>25</v>
      </c>
      <c r="AA94" s="50">
        <f t="shared" si="16"/>
        <v>0</v>
      </c>
      <c r="AB94" s="49"/>
      <c r="AC94" s="51"/>
      <c r="AD94" s="49"/>
      <c r="AE94" s="70"/>
      <c r="AH94" s="69"/>
    </row>
    <row r="95" spans="1:34" ht="62" x14ac:dyDescent="0.3">
      <c r="A95" s="12"/>
      <c r="B95" s="13"/>
      <c r="C95" s="132" t="s">
        <v>113</v>
      </c>
      <c r="D95" s="127" t="s">
        <v>225</v>
      </c>
      <c r="E95" s="62">
        <v>621884111405</v>
      </c>
      <c r="F95" s="16" t="s">
        <v>42</v>
      </c>
      <c r="G95" s="44">
        <v>348199000</v>
      </c>
      <c r="H95" s="66">
        <v>203906048913</v>
      </c>
      <c r="I95" s="18">
        <v>85651000</v>
      </c>
      <c r="J95" s="157">
        <v>2</v>
      </c>
      <c r="K95" s="19">
        <v>89800000</v>
      </c>
      <c r="L95" s="133">
        <v>1</v>
      </c>
      <c r="M95" s="19">
        <v>11405000</v>
      </c>
      <c r="N95" s="112"/>
      <c r="O95" s="19"/>
      <c r="P95" s="15"/>
      <c r="Q95" s="19"/>
      <c r="R95" s="15"/>
      <c r="S95" s="19"/>
      <c r="T95" s="145">
        <f t="shared" si="11"/>
        <v>1</v>
      </c>
      <c r="U95" s="47">
        <f t="shared" si="12"/>
        <v>50</v>
      </c>
      <c r="V95" s="30" t="s">
        <v>43</v>
      </c>
      <c r="W95" s="35">
        <f t="shared" si="13"/>
        <v>11405000</v>
      </c>
      <c r="X95" s="47">
        <f t="shared" si="14"/>
        <v>12.700445434298441</v>
      </c>
      <c r="Y95" s="30" t="s">
        <v>43</v>
      </c>
      <c r="Z95" s="145">
        <f t="shared" si="15"/>
        <v>203906048914</v>
      </c>
      <c r="AA95" s="35">
        <f t="shared" si="16"/>
        <v>97056000</v>
      </c>
      <c r="AB95" s="47"/>
      <c r="AC95" s="30" t="s">
        <v>43</v>
      </c>
      <c r="AD95" s="47"/>
      <c r="AE95" s="11"/>
      <c r="AH95" s="21"/>
    </row>
    <row r="96" spans="1:34" ht="93" x14ac:dyDescent="0.3">
      <c r="A96" s="12"/>
      <c r="B96" s="13"/>
      <c r="C96" s="25" t="s">
        <v>126</v>
      </c>
      <c r="D96" s="25" t="s">
        <v>226</v>
      </c>
      <c r="E96" s="15">
        <f>240*3</f>
        <v>720</v>
      </c>
      <c r="F96" s="16" t="s">
        <v>79</v>
      </c>
      <c r="G96" s="122">
        <v>234765225</v>
      </c>
      <c r="H96" s="39">
        <v>0</v>
      </c>
      <c r="I96" s="18">
        <v>40761200</v>
      </c>
      <c r="J96" s="15">
        <v>4</v>
      </c>
      <c r="K96" s="19">
        <v>79846450</v>
      </c>
      <c r="L96" s="15">
        <v>1</v>
      </c>
      <c r="M96" s="19">
        <v>9253750</v>
      </c>
      <c r="N96" s="15"/>
      <c r="O96" s="19"/>
      <c r="P96" s="15"/>
      <c r="Q96" s="19"/>
      <c r="R96" s="15"/>
      <c r="S96" s="19"/>
      <c r="T96" s="48">
        <f t="shared" si="11"/>
        <v>1</v>
      </c>
      <c r="U96" s="47">
        <f t="shared" si="12"/>
        <v>25</v>
      </c>
      <c r="V96" s="30" t="s">
        <v>43</v>
      </c>
      <c r="W96" s="35">
        <f t="shared" si="13"/>
        <v>9253750</v>
      </c>
      <c r="X96" s="47">
        <f t="shared" si="14"/>
        <v>11.589431965979703</v>
      </c>
      <c r="Y96" s="30" t="s">
        <v>43</v>
      </c>
      <c r="Z96" s="48">
        <f t="shared" si="15"/>
        <v>1</v>
      </c>
      <c r="AA96" s="35">
        <f t="shared" si="16"/>
        <v>50014950</v>
      </c>
      <c r="AB96" s="47"/>
      <c r="AC96" s="30" t="s">
        <v>43</v>
      </c>
      <c r="AD96" s="47"/>
      <c r="AE96" s="11"/>
      <c r="AH96" s="21"/>
    </row>
    <row r="97" spans="1:34" ht="108.5" x14ac:dyDescent="0.3">
      <c r="A97" s="12"/>
      <c r="B97" s="13"/>
      <c r="C97" s="25" t="s">
        <v>174</v>
      </c>
      <c r="D97" s="25" t="s">
        <v>227</v>
      </c>
      <c r="E97" s="65"/>
      <c r="F97" s="16" t="s">
        <v>237</v>
      </c>
      <c r="G97" s="44"/>
      <c r="H97" s="39"/>
      <c r="I97" s="18"/>
      <c r="J97" s="65">
        <v>3</v>
      </c>
      <c r="K97" s="19">
        <v>192149000</v>
      </c>
      <c r="L97" s="15">
        <v>0</v>
      </c>
      <c r="M97" s="19">
        <v>0</v>
      </c>
      <c r="N97" s="15"/>
      <c r="O97" s="19"/>
      <c r="P97" s="15"/>
      <c r="Q97" s="19"/>
      <c r="R97" s="15"/>
      <c r="S97" s="19"/>
      <c r="T97" s="48">
        <f t="shared" si="11"/>
        <v>0</v>
      </c>
      <c r="U97" s="47">
        <f t="shared" si="12"/>
        <v>0</v>
      </c>
      <c r="V97" s="30" t="s">
        <v>43</v>
      </c>
      <c r="W97" s="35">
        <f t="shared" si="13"/>
        <v>0</v>
      </c>
      <c r="X97" s="47">
        <f t="shared" si="14"/>
        <v>0</v>
      </c>
      <c r="Y97" s="30" t="s">
        <v>43</v>
      </c>
      <c r="Z97" s="48">
        <f t="shared" si="15"/>
        <v>0</v>
      </c>
      <c r="AA97" s="35">
        <f t="shared" si="16"/>
        <v>0</v>
      </c>
      <c r="AB97" s="47"/>
      <c r="AC97" s="30" t="s">
        <v>43</v>
      </c>
      <c r="AD97" s="47"/>
      <c r="AE97" s="11"/>
      <c r="AH97" s="21"/>
    </row>
    <row r="98" spans="1:34" ht="93" x14ac:dyDescent="0.3">
      <c r="A98" s="12"/>
      <c r="B98" s="13"/>
      <c r="C98" s="25" t="s">
        <v>125</v>
      </c>
      <c r="D98" s="25" t="s">
        <v>228</v>
      </c>
      <c r="E98" s="65">
        <f>7100*3</f>
        <v>21300</v>
      </c>
      <c r="F98" s="16" t="s">
        <v>79</v>
      </c>
      <c r="G98" s="44">
        <v>362446350</v>
      </c>
      <c r="H98" s="39">
        <v>478</v>
      </c>
      <c r="I98" s="18">
        <v>88643870</v>
      </c>
      <c r="J98" s="65">
        <v>12</v>
      </c>
      <c r="K98" s="19">
        <v>104101650</v>
      </c>
      <c r="L98" s="15">
        <v>3</v>
      </c>
      <c r="M98" s="19">
        <v>21000000</v>
      </c>
      <c r="N98" s="15"/>
      <c r="O98" s="19"/>
      <c r="P98" s="15"/>
      <c r="Q98" s="19"/>
      <c r="R98" s="15"/>
      <c r="S98" s="19"/>
      <c r="T98" s="48">
        <f t="shared" si="11"/>
        <v>3</v>
      </c>
      <c r="U98" s="47">
        <f t="shared" si="12"/>
        <v>25</v>
      </c>
      <c r="V98" s="30" t="s">
        <v>43</v>
      </c>
      <c r="W98" s="35">
        <f t="shared" si="13"/>
        <v>21000000</v>
      </c>
      <c r="X98" s="47">
        <f t="shared" si="14"/>
        <v>20.172590924351343</v>
      </c>
      <c r="Y98" s="30" t="s">
        <v>43</v>
      </c>
      <c r="Z98" s="48">
        <f t="shared" si="15"/>
        <v>481</v>
      </c>
      <c r="AA98" s="35">
        <f t="shared" si="16"/>
        <v>109643870</v>
      </c>
      <c r="AB98" s="47"/>
      <c r="AC98" s="30" t="s">
        <v>43</v>
      </c>
      <c r="AD98" s="47"/>
      <c r="AE98" s="11"/>
      <c r="AH98" s="21"/>
    </row>
    <row r="99" spans="1:34" ht="108.5" x14ac:dyDescent="0.3">
      <c r="A99" s="12"/>
      <c r="B99" s="13"/>
      <c r="C99" s="25" t="s">
        <v>175</v>
      </c>
      <c r="D99" s="25" t="s">
        <v>229</v>
      </c>
      <c r="E99" s="66"/>
      <c r="F99" s="67"/>
      <c r="G99" s="123"/>
      <c r="H99" s="66"/>
      <c r="I99" s="124"/>
      <c r="J99" s="66">
        <v>1</v>
      </c>
      <c r="K99" s="19">
        <v>102575000</v>
      </c>
      <c r="L99" s="66">
        <v>0</v>
      </c>
      <c r="M99" s="19">
        <v>0</v>
      </c>
      <c r="N99" s="66"/>
      <c r="O99" s="19"/>
      <c r="P99" s="15"/>
      <c r="Q99" s="19"/>
      <c r="R99" s="15"/>
      <c r="S99" s="19"/>
      <c r="T99" s="145">
        <f t="shared" si="11"/>
        <v>0</v>
      </c>
      <c r="U99" s="47">
        <f t="shared" si="12"/>
        <v>0</v>
      </c>
      <c r="V99" s="30" t="s">
        <v>43</v>
      </c>
      <c r="W99" s="35">
        <f t="shared" si="13"/>
        <v>0</v>
      </c>
      <c r="X99" s="47">
        <f t="shared" si="14"/>
        <v>0</v>
      </c>
      <c r="Y99" s="30" t="s">
        <v>43</v>
      </c>
      <c r="Z99" s="48">
        <f t="shared" si="15"/>
        <v>0</v>
      </c>
      <c r="AA99" s="35" t="e">
        <f>SUM('[1]T-C29'!M263,W99)</f>
        <v>#REF!</v>
      </c>
      <c r="AB99" s="47"/>
      <c r="AC99" s="30" t="s">
        <v>43</v>
      </c>
      <c r="AD99" s="47"/>
      <c r="AE99" s="11"/>
      <c r="AH99" s="21"/>
    </row>
    <row r="100" spans="1:34" ht="46.5" x14ac:dyDescent="0.3">
      <c r="A100" s="12"/>
      <c r="B100" s="13"/>
      <c r="C100" s="25" t="s">
        <v>114</v>
      </c>
      <c r="D100" s="25" t="s">
        <v>230</v>
      </c>
      <c r="E100" s="66">
        <f>70000*3</f>
        <v>210000</v>
      </c>
      <c r="F100" s="16" t="s">
        <v>42</v>
      </c>
      <c r="G100" s="123">
        <v>429350400</v>
      </c>
      <c r="H100" s="66">
        <v>68104</v>
      </c>
      <c r="I100" s="44">
        <v>10662500</v>
      </c>
      <c r="J100" s="66">
        <v>70000</v>
      </c>
      <c r="K100" s="19">
        <v>86880400</v>
      </c>
      <c r="L100" s="66">
        <v>68123</v>
      </c>
      <c r="M100" s="19">
        <v>1500000</v>
      </c>
      <c r="N100" s="66"/>
      <c r="O100" s="19"/>
      <c r="P100" s="15"/>
      <c r="Q100" s="19"/>
      <c r="R100" s="15"/>
      <c r="S100" s="19"/>
      <c r="T100" s="145">
        <f t="shared" si="11"/>
        <v>68123</v>
      </c>
      <c r="U100" s="47">
        <f t="shared" si="12"/>
        <v>97.318571428571431</v>
      </c>
      <c r="V100" s="30" t="s">
        <v>43</v>
      </c>
      <c r="W100" s="35">
        <f t="shared" si="13"/>
        <v>1500000</v>
      </c>
      <c r="X100" s="47">
        <f t="shared" si="14"/>
        <v>1.7265113880691159</v>
      </c>
      <c r="Y100" s="30" t="s">
        <v>43</v>
      </c>
      <c r="Z100" s="48">
        <f t="shared" si="15"/>
        <v>136227</v>
      </c>
      <c r="AA100" s="35" t="e">
        <f>SUM('[1]T-C29'!M264,W100)</f>
        <v>#REF!</v>
      </c>
      <c r="AB100" s="47"/>
      <c r="AC100" s="30" t="s">
        <v>43</v>
      </c>
      <c r="AD100" s="47"/>
      <c r="AE100" s="11"/>
      <c r="AH100" s="21"/>
    </row>
    <row r="101" spans="1:34" ht="46.5" x14ac:dyDescent="0.3">
      <c r="A101" s="12"/>
      <c r="B101" s="13"/>
      <c r="C101" s="25" t="s">
        <v>115</v>
      </c>
      <c r="D101" s="25" t="s">
        <v>231</v>
      </c>
      <c r="E101" s="15">
        <f>60*3</f>
        <v>180</v>
      </c>
      <c r="F101" s="67" t="s">
        <v>232</v>
      </c>
      <c r="G101" s="123">
        <v>320349400</v>
      </c>
      <c r="H101" s="39"/>
      <c r="I101" s="18">
        <v>63743866</v>
      </c>
      <c r="J101" s="15">
        <v>11</v>
      </c>
      <c r="K101" s="19">
        <v>118586900</v>
      </c>
      <c r="L101" s="15">
        <v>11</v>
      </c>
      <c r="M101" s="19">
        <v>27000000</v>
      </c>
      <c r="N101" s="15"/>
      <c r="O101" s="19"/>
      <c r="P101" s="15"/>
      <c r="Q101" s="19"/>
      <c r="R101" s="15"/>
      <c r="S101" s="19"/>
      <c r="T101" s="48">
        <f t="shared" si="11"/>
        <v>11</v>
      </c>
      <c r="U101" s="47">
        <f t="shared" si="12"/>
        <v>100</v>
      </c>
      <c r="V101" s="30" t="s">
        <v>43</v>
      </c>
      <c r="W101" s="35">
        <f t="shared" si="13"/>
        <v>27000000</v>
      </c>
      <c r="X101" s="47">
        <f t="shared" si="14"/>
        <v>22.768113510008273</v>
      </c>
      <c r="Y101" s="30" t="s">
        <v>43</v>
      </c>
      <c r="Z101" s="48">
        <f t="shared" si="15"/>
        <v>11</v>
      </c>
      <c r="AA101" s="35">
        <f>SUM(I101,W101)</f>
        <v>90743866</v>
      </c>
      <c r="AB101" s="47"/>
      <c r="AC101" s="30" t="s">
        <v>43</v>
      </c>
      <c r="AD101" s="47"/>
      <c r="AE101" s="11"/>
      <c r="AH101" s="21"/>
    </row>
    <row r="102" spans="1:34" s="89" customFormat="1" ht="62" x14ac:dyDescent="0.3">
      <c r="A102" s="76"/>
      <c r="B102" s="77"/>
      <c r="C102" s="125" t="s">
        <v>116</v>
      </c>
      <c r="D102" s="125" t="s">
        <v>233</v>
      </c>
      <c r="E102" s="82">
        <f>69050*3</f>
        <v>207150</v>
      </c>
      <c r="F102" s="16" t="s">
        <v>42</v>
      </c>
      <c r="G102" s="123">
        <v>987553000</v>
      </c>
      <c r="H102" s="80"/>
      <c r="I102" s="81">
        <v>252247500</v>
      </c>
      <c r="J102" s="82">
        <v>12</v>
      </c>
      <c r="K102" s="83">
        <v>347723900</v>
      </c>
      <c r="L102" s="78">
        <v>3</v>
      </c>
      <c r="M102" s="83">
        <v>21820000</v>
      </c>
      <c r="N102" s="82"/>
      <c r="O102" s="83"/>
      <c r="P102" s="78"/>
      <c r="Q102" s="83"/>
      <c r="R102" s="78"/>
      <c r="S102" s="83"/>
      <c r="T102" s="146">
        <f t="shared" si="11"/>
        <v>3</v>
      </c>
      <c r="U102" s="85">
        <f t="shared" si="12"/>
        <v>25</v>
      </c>
      <c r="V102" s="86" t="s">
        <v>43</v>
      </c>
      <c r="W102" s="87">
        <f t="shared" si="13"/>
        <v>21820000</v>
      </c>
      <c r="X102" s="85">
        <f t="shared" si="14"/>
        <v>6.2750935440445712</v>
      </c>
      <c r="Y102" s="86" t="s">
        <v>43</v>
      </c>
      <c r="Z102" s="84">
        <f t="shared" si="15"/>
        <v>3</v>
      </c>
      <c r="AA102" s="87">
        <f>SUM(I102,W102)</f>
        <v>274067500</v>
      </c>
      <c r="AB102" s="85"/>
      <c r="AC102" s="86" t="s">
        <v>43</v>
      </c>
      <c r="AD102" s="85"/>
      <c r="AE102" s="88"/>
      <c r="AH102" s="90"/>
    </row>
    <row r="103" spans="1:34" ht="77.5" x14ac:dyDescent="0.3">
      <c r="A103" s="12"/>
      <c r="B103" s="13"/>
      <c r="C103" s="25" t="s">
        <v>117</v>
      </c>
      <c r="D103" s="25" t="s">
        <v>234</v>
      </c>
      <c r="E103" s="15">
        <f>25+20+25</f>
        <v>70</v>
      </c>
      <c r="F103" s="16" t="s">
        <v>42</v>
      </c>
      <c r="G103" s="123">
        <v>362297300</v>
      </c>
      <c r="H103" s="39"/>
      <c r="I103" s="18">
        <v>98939900</v>
      </c>
      <c r="J103" s="15">
        <v>12</v>
      </c>
      <c r="K103" s="19">
        <v>98840900</v>
      </c>
      <c r="L103" s="15">
        <v>3</v>
      </c>
      <c r="M103" s="19">
        <v>1125000</v>
      </c>
      <c r="N103" s="15"/>
      <c r="O103" s="19"/>
      <c r="P103" s="15"/>
      <c r="Q103" s="19"/>
      <c r="R103" s="15"/>
      <c r="S103" s="19"/>
      <c r="T103" s="48">
        <f t="shared" si="11"/>
        <v>3</v>
      </c>
      <c r="U103" s="47">
        <f t="shared" si="12"/>
        <v>25</v>
      </c>
      <c r="V103" s="30" t="s">
        <v>43</v>
      </c>
      <c r="W103" s="35">
        <f t="shared" si="13"/>
        <v>1125000</v>
      </c>
      <c r="X103" s="47">
        <f t="shared" si="14"/>
        <v>1.1381927926597188</v>
      </c>
      <c r="Y103" s="30" t="s">
        <v>43</v>
      </c>
      <c r="Z103" s="48">
        <f t="shared" si="15"/>
        <v>3</v>
      </c>
      <c r="AA103" s="35">
        <f>SUM(I103,W103)</f>
        <v>100064900</v>
      </c>
      <c r="AB103" s="47"/>
      <c r="AC103" s="30" t="s">
        <v>43</v>
      </c>
      <c r="AD103" s="47"/>
      <c r="AE103" s="11"/>
      <c r="AH103" s="21"/>
    </row>
    <row r="104" spans="1:34" ht="15.5" x14ac:dyDescent="0.35">
      <c r="A104" s="217" t="s">
        <v>45</v>
      </c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64" t="e">
        <f>AVERAGE(U13:U103)</f>
        <v>#REF!</v>
      </c>
      <c r="V104" s="54"/>
      <c r="W104" s="53"/>
      <c r="X104" s="64">
        <f>AVERAGE(X13,X41,X75,X87)</f>
        <v>10.795511338212403</v>
      </c>
      <c r="Y104" s="54"/>
      <c r="Z104" s="53"/>
      <c r="AA104" s="53"/>
      <c r="AB104" s="53"/>
      <c r="AC104" s="54"/>
      <c r="AD104" s="55"/>
      <c r="AE104" s="11"/>
    </row>
    <row r="105" spans="1:34" ht="15.5" x14ac:dyDescent="0.35">
      <c r="A105" s="219" t="s">
        <v>23</v>
      </c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6" t="e">
        <f>IF(U104&gt;=91,"Sangat Tinggi",IF(U104&gt;=76,"Tinggi",IF(U104&gt;=66,"Sedang",IF(U104&gt;=51,"Rendah",IF(U104&lt;=50,"Sangat Rendah")))))</f>
        <v>#REF!</v>
      </c>
      <c r="V105" s="54"/>
      <c r="W105" s="56"/>
      <c r="X105" s="26" t="str">
        <f>IF(X104&gt;=91,"Sangat Tinggi",IF(X104&gt;=76,"Tinggi",IF(X104&gt;=66,"Sedang",IF(X104&gt;=51,"Rendah",IF(X104&lt;=50,"Sangat Rendah")))))</f>
        <v>Sangat Rendah</v>
      </c>
      <c r="Y105" s="54"/>
      <c r="Z105" s="57"/>
      <c r="AA105" s="56"/>
      <c r="AB105" s="57"/>
      <c r="AC105" s="54"/>
      <c r="AD105" s="58"/>
      <c r="AE105" s="11"/>
    </row>
    <row r="106" spans="1:34" ht="15.5" x14ac:dyDescent="0.3">
      <c r="A106" s="172" t="s">
        <v>238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1"/>
    </row>
    <row r="107" spans="1:34" ht="17.25" customHeight="1" x14ac:dyDescent="0.3">
      <c r="A107" s="172" t="s">
        <v>239</v>
      </c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1"/>
    </row>
    <row r="108" spans="1:34" ht="20.25" customHeight="1" x14ac:dyDescent="0.3">
      <c r="A108" s="172" t="s">
        <v>240</v>
      </c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1"/>
    </row>
    <row r="109" spans="1:34" ht="21" customHeight="1" x14ac:dyDescent="0.3">
      <c r="A109" s="172" t="s">
        <v>241</v>
      </c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27"/>
    </row>
    <row r="110" spans="1:34" ht="15.5" x14ac:dyDescent="0.3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9"/>
      <c r="W110" s="28"/>
      <c r="X110" s="28"/>
      <c r="Y110" s="29"/>
      <c r="Z110" s="28"/>
      <c r="AA110" s="28"/>
      <c r="AB110" s="28"/>
      <c r="AC110" s="29"/>
      <c r="AD110" s="28"/>
    </row>
    <row r="111" spans="1:34" ht="15.5" x14ac:dyDescent="0.3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14" t="s">
        <v>49</v>
      </c>
      <c r="U111" s="214"/>
      <c r="V111" s="214"/>
      <c r="W111" s="214"/>
      <c r="X111" s="214"/>
      <c r="Y111" s="29"/>
      <c r="Z111" s="28"/>
      <c r="AA111" s="214"/>
      <c r="AB111" s="214"/>
      <c r="AC111" s="214"/>
      <c r="AD111" s="214"/>
      <c r="AE111" s="214"/>
    </row>
    <row r="112" spans="1:34" ht="15.5" x14ac:dyDescent="0.35">
      <c r="A112" s="34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14" t="s">
        <v>235</v>
      </c>
      <c r="U112" s="214"/>
      <c r="V112" s="214"/>
      <c r="W112" s="214"/>
      <c r="X112" s="214"/>
      <c r="Y112" s="29"/>
      <c r="Z112" s="28"/>
      <c r="AA112" s="214"/>
      <c r="AB112" s="214"/>
      <c r="AC112" s="214"/>
      <c r="AD112" s="214"/>
      <c r="AE112" s="214"/>
    </row>
    <row r="113" spans="1:31" ht="15.75" customHeight="1" x14ac:dyDescent="0.35">
      <c r="S113" s="28"/>
      <c r="T113" s="214" t="s">
        <v>54</v>
      </c>
      <c r="U113" s="214"/>
      <c r="V113" s="214"/>
      <c r="W113" s="214"/>
      <c r="X113" s="214"/>
      <c r="Y113" s="28"/>
      <c r="Z113" s="28"/>
      <c r="AA113" s="214"/>
      <c r="AB113" s="214"/>
      <c r="AC113" s="214"/>
      <c r="AD113" s="214"/>
      <c r="AE113" s="214"/>
    </row>
    <row r="114" spans="1:31" ht="15.5" x14ac:dyDescent="0.35">
      <c r="G114" s="2">
        <v>2</v>
      </c>
      <c r="T114" s="214" t="s">
        <v>50</v>
      </c>
      <c r="U114" s="214"/>
      <c r="V114" s="214"/>
      <c r="W114" s="214"/>
      <c r="X114" s="214"/>
      <c r="AA114" s="214"/>
      <c r="AB114" s="214"/>
      <c r="AC114" s="214"/>
      <c r="AD114" s="214"/>
      <c r="AE114" s="214"/>
    </row>
    <row r="115" spans="1:31" ht="26" x14ac:dyDescent="0.35">
      <c r="A115" s="31" t="s">
        <v>24</v>
      </c>
      <c r="B115" s="31" t="s">
        <v>25</v>
      </c>
      <c r="C115" s="31" t="s">
        <v>26</v>
      </c>
      <c r="T115" s="28"/>
      <c r="U115" s="28"/>
      <c r="V115" s="29"/>
      <c r="W115" s="28"/>
      <c r="AA115" s="29"/>
      <c r="AB115" s="28"/>
      <c r="AC115" s="29"/>
      <c r="AD115" s="28"/>
    </row>
    <row r="116" spans="1:31" ht="26" x14ac:dyDescent="0.35">
      <c r="A116" s="32" t="s">
        <v>27</v>
      </c>
      <c r="B116" s="32" t="s">
        <v>28</v>
      </c>
      <c r="C116" s="32" t="s">
        <v>29</v>
      </c>
      <c r="T116" s="215" t="s">
        <v>51</v>
      </c>
      <c r="U116" s="215"/>
      <c r="V116" s="215"/>
      <c r="W116" s="215"/>
      <c r="X116" s="215"/>
      <c r="AA116" s="215"/>
      <c r="AB116" s="215"/>
      <c r="AC116" s="215"/>
      <c r="AD116" s="215"/>
      <c r="AE116" s="215"/>
    </row>
    <row r="117" spans="1:31" ht="26" x14ac:dyDescent="0.3">
      <c r="A117" s="32" t="s">
        <v>30</v>
      </c>
      <c r="B117" s="32" t="s">
        <v>31</v>
      </c>
      <c r="C117" s="32" t="s">
        <v>32</v>
      </c>
      <c r="T117" s="216" t="s">
        <v>52</v>
      </c>
      <c r="U117" s="216"/>
      <c r="V117" s="216"/>
      <c r="W117" s="216"/>
      <c r="X117" s="216"/>
      <c r="AA117" s="216"/>
      <c r="AB117" s="216"/>
      <c r="AC117" s="216"/>
      <c r="AD117" s="216"/>
      <c r="AE117" s="216"/>
    </row>
    <row r="118" spans="1:31" ht="26" x14ac:dyDescent="0.3">
      <c r="A118" s="32" t="s">
        <v>33</v>
      </c>
      <c r="B118" s="32" t="s">
        <v>34</v>
      </c>
      <c r="C118" s="32" t="s">
        <v>35</v>
      </c>
    </row>
    <row r="119" spans="1:31" ht="26" x14ac:dyDescent="0.3">
      <c r="A119" s="32" t="s">
        <v>36</v>
      </c>
      <c r="B119" s="32" t="s">
        <v>37</v>
      </c>
      <c r="C119" s="32" t="s">
        <v>38</v>
      </c>
    </row>
    <row r="120" spans="1:31" ht="26" x14ac:dyDescent="0.3">
      <c r="A120" s="32" t="s">
        <v>39</v>
      </c>
      <c r="B120" s="33" t="s">
        <v>40</v>
      </c>
      <c r="C120" s="32" t="s">
        <v>41</v>
      </c>
    </row>
  </sheetData>
  <mergeCells count="79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U11:V11"/>
    <mergeCell ref="X11:Y11"/>
    <mergeCell ref="AB11:AC11"/>
    <mergeCell ref="U12:V12"/>
    <mergeCell ref="X12:Y12"/>
    <mergeCell ref="AB12:AC12"/>
    <mergeCell ref="T113:X113"/>
    <mergeCell ref="AA113:AE113"/>
    <mergeCell ref="C41:C43"/>
    <mergeCell ref="A104:T104"/>
    <mergeCell ref="A105:T105"/>
    <mergeCell ref="A106:AD106"/>
    <mergeCell ref="A107:AD107"/>
    <mergeCell ref="A108:AD108"/>
    <mergeCell ref="A109:AD109"/>
    <mergeCell ref="T111:X111"/>
    <mergeCell ref="AA111:AE111"/>
    <mergeCell ref="T112:X112"/>
    <mergeCell ref="AA112:AE112"/>
    <mergeCell ref="T114:X114"/>
    <mergeCell ref="AA114:AE114"/>
    <mergeCell ref="T116:X116"/>
    <mergeCell ref="AA116:AE116"/>
    <mergeCell ref="T117:X117"/>
    <mergeCell ref="AA117:AE117"/>
  </mergeCells>
  <printOptions horizontalCentered="1"/>
  <pageMargins left="0.23622047244094491" right="0.23622047244094491" top="3.937007874015748E-2" bottom="3.937007874015748E-2" header="0" footer="0"/>
  <pageSetup paperSize="5" scale="30" fitToHeight="0" orientation="landscape" horizontalDpi="4294967293" r:id="rId1"/>
  <rowBreaks count="5" manualBreakCount="5">
    <brk id="26" max="38" man="1"/>
    <brk id="43" max="38" man="1"/>
    <brk id="57" max="38" man="1"/>
    <brk id="67" max="38" man="1"/>
    <brk id="83" max="3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I9" sqref="I9"/>
    </sheetView>
  </sheetViews>
  <sheetFormatPr defaultRowHeight="14.5" x14ac:dyDescent="0.35"/>
  <cols>
    <col min="2" max="2" width="16.26953125" style="110" bestFit="1" customWidth="1"/>
    <col min="5" max="5" width="18.453125" customWidth="1"/>
    <col min="9" max="9" width="16.26953125" style="168" bestFit="1" customWidth="1"/>
  </cols>
  <sheetData>
    <row r="1" spans="1:9" x14ac:dyDescent="0.35">
      <c r="A1" t="s">
        <v>156</v>
      </c>
      <c r="B1" s="110">
        <v>31777040000</v>
      </c>
      <c r="D1" t="s">
        <v>156</v>
      </c>
      <c r="E1" s="110">
        <v>31950000000</v>
      </c>
    </row>
    <row r="2" spans="1:9" x14ac:dyDescent="0.35">
      <c r="B2" s="110">
        <v>182203532000</v>
      </c>
      <c r="E2" s="110">
        <v>182203532000</v>
      </c>
    </row>
    <row r="3" spans="1:9" x14ac:dyDescent="0.35">
      <c r="B3" s="111">
        <f>B1/B2*100</f>
        <v>17.440408345102774</v>
      </c>
      <c r="E3" s="111">
        <f>E1/E2*100</f>
        <v>17.5353351547543</v>
      </c>
    </row>
    <row r="4" spans="1:9" x14ac:dyDescent="0.35">
      <c r="E4" s="110"/>
    </row>
    <row r="5" spans="1:9" x14ac:dyDescent="0.35">
      <c r="E5" s="110"/>
    </row>
    <row r="6" spans="1:9" x14ac:dyDescent="0.35">
      <c r="A6" t="s">
        <v>157</v>
      </c>
      <c r="B6" s="110">
        <v>548514964</v>
      </c>
      <c r="D6" t="s">
        <v>157</v>
      </c>
      <c r="E6" s="110">
        <v>2200300141</v>
      </c>
    </row>
    <row r="7" spans="1:9" x14ac:dyDescent="0.35">
      <c r="B7" s="110">
        <v>28000000000</v>
      </c>
      <c r="E7" s="110">
        <v>28000000000</v>
      </c>
      <c r="I7" s="168">
        <v>7111030602</v>
      </c>
    </row>
    <row r="8" spans="1:9" ht="15.5" x14ac:dyDescent="0.35">
      <c r="B8" s="111">
        <f>B6/B7*100</f>
        <v>1.9589820142857144</v>
      </c>
      <c r="E8" s="111">
        <f>E6/E7*100</f>
        <v>7.8582147892857144</v>
      </c>
      <c r="I8" s="35">
        <v>5440547271</v>
      </c>
    </row>
    <row r="9" spans="1:9" x14ac:dyDescent="0.35">
      <c r="E9" s="110"/>
      <c r="I9" s="168">
        <f>SUM(I7-I8)</f>
        <v>1670483331</v>
      </c>
    </row>
    <row r="10" spans="1:9" x14ac:dyDescent="0.35">
      <c r="E10" s="110"/>
    </row>
    <row r="11" spans="1:9" x14ac:dyDescent="0.35">
      <c r="E11" s="110"/>
    </row>
    <row r="12" spans="1:9" x14ac:dyDescent="0.35">
      <c r="A12" t="s">
        <v>158</v>
      </c>
      <c r="B12" s="110">
        <v>1661895300</v>
      </c>
      <c r="D12" t="s">
        <v>158</v>
      </c>
      <c r="E12" s="110">
        <v>1668992500</v>
      </c>
    </row>
    <row r="13" spans="1:9" x14ac:dyDescent="0.35">
      <c r="B13" s="110">
        <v>2628865000</v>
      </c>
      <c r="E13" s="110">
        <v>2628865000</v>
      </c>
    </row>
    <row r="14" spans="1:9" x14ac:dyDescent="0.35">
      <c r="B14" s="111">
        <f>B12/B13*100</f>
        <v>63.21721731621821</v>
      </c>
      <c r="E14" s="111">
        <f>E12/E13*100</f>
        <v>63.487189338364658</v>
      </c>
    </row>
    <row r="16" spans="1:9" x14ac:dyDescent="0.35">
      <c r="B16" s="110" t="s">
        <v>159</v>
      </c>
      <c r="E1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BPKPD</vt:lpstr>
      <vt:lpstr>BPKPD (2)</vt:lpstr>
      <vt:lpstr>Sheet1</vt:lpstr>
      <vt:lpstr>BPKPD!Print_Area</vt:lpstr>
      <vt:lpstr>'BPKPD (2)'!Print_Area</vt:lpstr>
      <vt:lpstr>BPKPD!Print_Titles</vt:lpstr>
      <vt:lpstr>'BPKPD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ACER</cp:lastModifiedBy>
  <cp:lastPrinted>2021-07-28T05:54:32Z</cp:lastPrinted>
  <dcterms:created xsi:type="dcterms:W3CDTF">2020-03-18T05:59:44Z</dcterms:created>
  <dcterms:modified xsi:type="dcterms:W3CDTF">2023-01-06T06:59:07Z</dcterms:modified>
</cp:coreProperties>
</file>