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ATA PINDAHAN\2020\Evaluasi Renja PD dan RKPD\Pengendalian &amp; Evaluasi Renja PD\SKPD\Triwulan IV\"/>
    </mc:Choice>
  </mc:AlternateContent>
  <bookViews>
    <workbookView xWindow="0" yWindow="0" windowWidth="28800" windowHeight="12300"/>
  </bookViews>
  <sheets>
    <sheet name="Bakeuda" sheetId="1" r:id="rId1"/>
  </sheets>
  <definedNames>
    <definedName name="_xlnm.Print_Area" localSheetId="0">Bakeuda!$A$1:$AM$92</definedName>
    <definedName name="_xlnm.Print_Titles" localSheetId="0">Bakeuda!$7:$12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D65" i="1" l="1"/>
  <c r="AB38" i="1" l="1"/>
  <c r="AB32" i="1" l="1"/>
  <c r="AE32" i="1" l="1"/>
  <c r="AD53" i="1" l="1"/>
  <c r="V32" i="1" l="1"/>
  <c r="Y32" i="1"/>
  <c r="AD32" i="1"/>
  <c r="AD36" i="1"/>
  <c r="AI32" i="1"/>
  <c r="W52" i="1" l="1"/>
  <c r="Z52" i="1" s="1"/>
  <c r="Q52" i="1"/>
  <c r="N52" i="1"/>
  <c r="W50" i="1"/>
  <c r="T50" i="1"/>
  <c r="Q50" i="1"/>
  <c r="N50" i="1"/>
  <c r="AE61" i="1" l="1"/>
  <c r="Y61" i="1"/>
  <c r="Y53" i="1"/>
  <c r="Y50" i="1"/>
  <c r="Y41" i="1"/>
  <c r="Y36" i="1"/>
  <c r="Y30" i="1"/>
  <c r="Y24" i="1"/>
  <c r="Y17" i="1"/>
  <c r="AD17" i="1" s="1"/>
  <c r="AE17" i="1" s="1"/>
  <c r="W14" i="1"/>
  <c r="Y13" i="1"/>
  <c r="M61" i="1" l="1"/>
  <c r="M53" i="1"/>
  <c r="M50" i="1" l="1"/>
  <c r="M41" i="1"/>
  <c r="M36" i="1" l="1"/>
  <c r="M32" i="1"/>
  <c r="J36" i="1" l="1"/>
  <c r="J32" i="1"/>
  <c r="T53" i="1" l="1"/>
  <c r="T14" i="1"/>
  <c r="Q53" i="1" l="1"/>
  <c r="Q14" i="1"/>
  <c r="V61" i="1"/>
  <c r="V53" i="1"/>
  <c r="V50" i="1"/>
  <c r="V41" i="1"/>
  <c r="V36" i="1"/>
  <c r="V30" i="1"/>
  <c r="V24" i="1"/>
  <c r="V17" i="1"/>
  <c r="V13" i="1"/>
  <c r="J50" i="1" l="1"/>
  <c r="J41" i="1"/>
  <c r="J61" i="1"/>
  <c r="J53" i="1"/>
  <c r="S61" i="1" l="1"/>
  <c r="S53" i="1"/>
  <c r="S50" i="1"/>
  <c r="S41" i="1"/>
  <c r="S36" i="1"/>
  <c r="S32" i="1"/>
  <c r="S30" i="1"/>
  <c r="S24" i="1"/>
  <c r="S17" i="1"/>
  <c r="S13" i="1"/>
  <c r="N53" i="1" l="1"/>
  <c r="H53" i="1"/>
  <c r="H52" i="1"/>
  <c r="H50" i="1"/>
  <c r="J24" i="1" l="1"/>
  <c r="J17" i="1"/>
  <c r="P61" i="1" l="1"/>
  <c r="N14" i="1" l="1"/>
  <c r="P53" i="1" l="1"/>
  <c r="P50" i="1"/>
  <c r="P41" i="1"/>
  <c r="P36" i="1"/>
  <c r="P32" i="1"/>
  <c r="P30" i="1"/>
  <c r="P24" i="1"/>
  <c r="P17" i="1"/>
  <c r="AI49" i="1"/>
  <c r="AL49" i="1" s="1"/>
  <c r="AG49" i="1"/>
  <c r="AJ49" i="1" s="1"/>
  <c r="G30" i="1"/>
  <c r="J30" i="1"/>
  <c r="M30" i="1"/>
  <c r="J13" i="1"/>
  <c r="AI71" i="1"/>
  <c r="AL71" i="1" s="1"/>
  <c r="AG71" i="1"/>
  <c r="AJ71" i="1" s="1"/>
  <c r="AG70" i="1"/>
  <c r="AJ70" i="1" s="1"/>
  <c r="AI70" i="1"/>
  <c r="AL70" i="1" s="1"/>
  <c r="AI69" i="1"/>
  <c r="AL69" i="1" s="1"/>
  <c r="AG69" i="1"/>
  <c r="AJ69" i="1" s="1"/>
  <c r="AI68" i="1"/>
  <c r="AL68" i="1" s="1"/>
  <c r="AG68" i="1"/>
  <c r="AJ68" i="1" s="1"/>
  <c r="G67" i="1"/>
  <c r="G66" i="1"/>
  <c r="G65" i="1"/>
  <c r="G64" i="1"/>
  <c r="E62" i="1"/>
  <c r="G53" i="1"/>
  <c r="G41" i="1"/>
  <c r="E47" i="1"/>
  <c r="E46" i="1"/>
  <c r="E45" i="1"/>
  <c r="E44" i="1"/>
  <c r="E43" i="1"/>
  <c r="E42" i="1"/>
  <c r="AI60" i="1"/>
  <c r="AL60" i="1" s="1"/>
  <c r="AG60" i="1"/>
  <c r="AJ60" i="1" s="1"/>
  <c r="AI59" i="1"/>
  <c r="AL59" i="1" s="1"/>
  <c r="AG59" i="1"/>
  <c r="AJ59" i="1" s="1"/>
  <c r="AG58" i="1"/>
  <c r="AJ58" i="1" s="1"/>
  <c r="AI58" i="1"/>
  <c r="AL58" i="1" s="1"/>
  <c r="AG57" i="1"/>
  <c r="AJ57" i="1" s="1"/>
  <c r="AI57" i="1"/>
  <c r="AL57" i="1" s="1"/>
  <c r="G56" i="1"/>
  <c r="G55" i="1"/>
  <c r="E55" i="1"/>
  <c r="G54" i="1"/>
  <c r="G52" i="1"/>
  <c r="G51" i="1"/>
  <c r="AG40" i="1"/>
  <c r="AJ40" i="1" s="1"/>
  <c r="AI40" i="1"/>
  <c r="AL40" i="1" s="1"/>
  <c r="G39" i="1"/>
  <c r="G37" i="1"/>
  <c r="G36" i="1" s="1"/>
  <c r="E37" i="1"/>
  <c r="G35" i="1"/>
  <c r="G33" i="1"/>
  <c r="E31" i="1"/>
  <c r="E29" i="1"/>
  <c r="E28" i="1"/>
  <c r="E26" i="1"/>
  <c r="G29" i="1"/>
  <c r="G28" i="1"/>
  <c r="G27" i="1"/>
  <c r="G23" i="1"/>
  <c r="G21" i="1"/>
  <c r="G20" i="1"/>
  <c r="G19" i="1"/>
  <c r="E20" i="1"/>
  <c r="E23" i="1"/>
  <c r="E22" i="1"/>
  <c r="E21" i="1"/>
  <c r="E19" i="1"/>
  <c r="E18" i="1"/>
  <c r="G16" i="1"/>
  <c r="G15" i="1"/>
  <c r="G13" i="1" s="1"/>
  <c r="E16" i="1"/>
  <c r="E15" i="1"/>
  <c r="P13" i="1"/>
  <c r="M13" i="1"/>
  <c r="G50" i="1" l="1"/>
  <c r="G17" i="1"/>
  <c r="G24" i="1"/>
  <c r="G61" i="1"/>
  <c r="G32" i="1"/>
  <c r="AD52" i="1" l="1"/>
  <c r="AD51" i="1"/>
  <c r="Z51" i="1"/>
  <c r="AD50" i="1"/>
  <c r="Z50" i="1"/>
  <c r="AD48" i="1"/>
  <c r="Z48" i="1"/>
  <c r="AD47" i="1"/>
  <c r="Z47" i="1"/>
  <c r="AD46" i="1"/>
  <c r="Z46" i="1"/>
  <c r="AD35" i="1"/>
  <c r="Z35" i="1"/>
  <c r="AD34" i="1"/>
  <c r="Z34" i="1"/>
  <c r="AG34" i="1" l="1"/>
  <c r="AJ34" i="1" s="1"/>
  <c r="AB34" i="1"/>
  <c r="AG51" i="1"/>
  <c r="AJ51" i="1" s="1"/>
  <c r="AB51" i="1"/>
  <c r="AI34" i="1"/>
  <c r="AL34" i="1" s="1"/>
  <c r="AE34" i="1"/>
  <c r="AI46" i="1"/>
  <c r="AL46" i="1" s="1"/>
  <c r="AE46" i="1"/>
  <c r="AI48" i="1"/>
  <c r="AL48" i="1" s="1"/>
  <c r="AE48" i="1"/>
  <c r="AI51" i="1"/>
  <c r="AL51" i="1" s="1"/>
  <c r="AE51" i="1"/>
  <c r="AG48" i="1"/>
  <c r="AJ48" i="1" s="1"/>
  <c r="AB48" i="1"/>
  <c r="AG35" i="1"/>
  <c r="AJ35" i="1" s="1"/>
  <c r="AB35" i="1"/>
  <c r="AG47" i="1"/>
  <c r="AJ47" i="1" s="1"/>
  <c r="AB47" i="1"/>
  <c r="AG50" i="1"/>
  <c r="AJ50" i="1" s="1"/>
  <c r="AB50" i="1"/>
  <c r="AG52" i="1"/>
  <c r="AJ52" i="1" s="1"/>
  <c r="AB52" i="1"/>
  <c r="AG46" i="1"/>
  <c r="AJ46" i="1" s="1"/>
  <c r="AB46" i="1"/>
  <c r="AI35" i="1"/>
  <c r="AL35" i="1" s="1"/>
  <c r="AE35" i="1"/>
  <c r="AI47" i="1"/>
  <c r="AL47" i="1" s="1"/>
  <c r="AE47" i="1"/>
  <c r="AI50" i="1"/>
  <c r="AL50" i="1" s="1"/>
  <c r="AE50" i="1"/>
  <c r="AI52" i="1"/>
  <c r="AL52" i="1" s="1"/>
  <c r="AE52" i="1"/>
  <c r="M24" i="1"/>
  <c r="AD26" i="1"/>
  <c r="Z26" i="1"/>
  <c r="M17" i="1"/>
  <c r="AG25" i="1" l="1"/>
  <c r="AJ25" i="1" s="1"/>
  <c r="AI26" i="1"/>
  <c r="AL26" i="1" s="1"/>
  <c r="AE26" i="1"/>
  <c r="AI27" i="1"/>
  <c r="AL27" i="1" s="1"/>
  <c r="AG26" i="1"/>
  <c r="AJ26" i="1" s="1"/>
  <c r="AB26" i="1"/>
  <c r="AI25" i="1"/>
  <c r="AL25" i="1" s="1"/>
  <c r="AG27" i="1"/>
  <c r="AJ27" i="1" s="1"/>
  <c r="Z14" i="1"/>
  <c r="AG14" i="1" l="1"/>
  <c r="AJ14" i="1" s="1"/>
  <c r="AB14" i="1"/>
  <c r="AD67" i="1"/>
  <c r="Z67" i="1"/>
  <c r="AD66" i="1"/>
  <c r="Z66" i="1"/>
  <c r="Z65" i="1"/>
  <c r="AD64" i="1"/>
  <c r="Z64" i="1"/>
  <c r="AD63" i="1"/>
  <c r="Z63" i="1"/>
  <c r="AD62" i="1"/>
  <c r="Z62" i="1"/>
  <c r="AD61" i="1"/>
  <c r="Z61" i="1"/>
  <c r="AD55" i="1"/>
  <c r="Z55" i="1"/>
  <c r="AD54" i="1"/>
  <c r="Z54" i="1"/>
  <c r="Z53" i="1"/>
  <c r="AD44" i="1"/>
  <c r="Z44" i="1"/>
  <c r="AD43" i="1"/>
  <c r="Z43" i="1"/>
  <c r="AD42" i="1"/>
  <c r="Z42" i="1"/>
  <c r="AD41" i="1"/>
  <c r="Z41" i="1"/>
  <c r="AD39" i="1"/>
  <c r="Z39" i="1"/>
  <c r="AD38" i="1"/>
  <c r="Z38" i="1"/>
  <c r="AD37" i="1"/>
  <c r="Z37" i="1"/>
  <c r="Z36" i="1"/>
  <c r="AD33" i="1"/>
  <c r="Z33" i="1"/>
  <c r="Z32" i="1"/>
  <c r="AD31" i="1"/>
  <c r="Z31" i="1"/>
  <c r="AD30" i="1"/>
  <c r="Z30" i="1"/>
  <c r="AD29" i="1"/>
  <c r="Z29" i="1"/>
  <c r="AD28" i="1"/>
  <c r="Z28" i="1"/>
  <c r="AD24" i="1"/>
  <c r="Z24" i="1"/>
  <c r="AD23" i="1"/>
  <c r="Z23" i="1"/>
  <c r="AD22" i="1"/>
  <c r="Z22" i="1"/>
  <c r="AP21" i="1"/>
  <c r="AD21" i="1"/>
  <c r="Z21" i="1"/>
  <c r="AP20" i="1"/>
  <c r="AP19" i="1"/>
  <c r="AD19" i="1"/>
  <c r="Z19" i="1"/>
  <c r="AP18" i="1"/>
  <c r="AD18" i="1"/>
  <c r="Z18" i="1"/>
  <c r="Z17" i="1"/>
  <c r="AD15" i="1"/>
  <c r="Z15" i="1"/>
  <c r="AD16" i="1"/>
  <c r="Z16" i="1"/>
  <c r="AP13" i="1"/>
  <c r="AD13" i="1"/>
  <c r="Z13" i="1"/>
  <c r="AI13" i="1" l="1"/>
  <c r="AL13" i="1" s="1"/>
  <c r="AE13" i="1"/>
  <c r="AI19" i="1"/>
  <c r="AL19" i="1" s="1"/>
  <c r="AE19" i="1"/>
  <c r="AG22" i="1"/>
  <c r="AJ22" i="1" s="1"/>
  <c r="AB22" i="1"/>
  <c r="AG29" i="1"/>
  <c r="AJ29" i="1" s="1"/>
  <c r="AB29" i="1"/>
  <c r="AG37" i="1"/>
  <c r="AJ37" i="1" s="1"/>
  <c r="AB37" i="1"/>
  <c r="AG42" i="1"/>
  <c r="AJ42" i="1" s="1"/>
  <c r="AB42" i="1"/>
  <c r="AG55" i="1"/>
  <c r="AJ55" i="1" s="1"/>
  <c r="AB55" i="1"/>
  <c r="AG67" i="1"/>
  <c r="AJ67" i="1" s="1"/>
  <c r="AB67" i="1"/>
  <c r="AI15" i="1"/>
  <c r="AL15" i="1" s="1"/>
  <c r="AE15" i="1"/>
  <c r="AI18" i="1"/>
  <c r="AL18" i="1" s="1"/>
  <c r="AE18" i="1"/>
  <c r="AG21" i="1"/>
  <c r="AJ21" i="1" s="1"/>
  <c r="AB21" i="1"/>
  <c r="AI22" i="1"/>
  <c r="AL22" i="1" s="1"/>
  <c r="AE22" i="1"/>
  <c r="AI24" i="1"/>
  <c r="AL24" i="1" s="1"/>
  <c r="AE24" i="1"/>
  <c r="AI29" i="1"/>
  <c r="AL29" i="1" s="1"/>
  <c r="AE29" i="1"/>
  <c r="AI31" i="1"/>
  <c r="AL31" i="1" s="1"/>
  <c r="AE31" i="1"/>
  <c r="AI33" i="1"/>
  <c r="AL33" i="1" s="1"/>
  <c r="AE33" i="1"/>
  <c r="AI37" i="1"/>
  <c r="AL37" i="1" s="1"/>
  <c r="AE37" i="1"/>
  <c r="AI39" i="1"/>
  <c r="AL39" i="1" s="1"/>
  <c r="AE39" i="1"/>
  <c r="AI42" i="1"/>
  <c r="AL42" i="1" s="1"/>
  <c r="AE42" i="1"/>
  <c r="AI44" i="1"/>
  <c r="AL44" i="1" s="1"/>
  <c r="AE44" i="1"/>
  <c r="AI53" i="1"/>
  <c r="AL53" i="1" s="1"/>
  <c r="AE53" i="1"/>
  <c r="AI55" i="1"/>
  <c r="AL55" i="1" s="1"/>
  <c r="AE55" i="1"/>
  <c r="AI61" i="1"/>
  <c r="AL61" i="1" s="1"/>
  <c r="AI63" i="1"/>
  <c r="AL63" i="1" s="1"/>
  <c r="AE63" i="1"/>
  <c r="AI65" i="1"/>
  <c r="AL65" i="1" s="1"/>
  <c r="AE65" i="1"/>
  <c r="AI67" i="1"/>
  <c r="AL67" i="1" s="1"/>
  <c r="AE67" i="1"/>
  <c r="AG15" i="1"/>
  <c r="AJ15" i="1" s="1"/>
  <c r="AB15" i="1"/>
  <c r="AG33" i="1"/>
  <c r="AJ33" i="1" s="1"/>
  <c r="AB33" i="1"/>
  <c r="AG44" i="1"/>
  <c r="AJ44" i="1" s="1"/>
  <c r="AB44" i="1"/>
  <c r="AG61" i="1"/>
  <c r="AJ61" i="1" s="1"/>
  <c r="AB61" i="1"/>
  <c r="AG65" i="1"/>
  <c r="AJ65" i="1" s="1"/>
  <c r="AB65" i="1"/>
  <c r="AG16" i="1"/>
  <c r="AJ16" i="1" s="1"/>
  <c r="AB16" i="1"/>
  <c r="AG17" i="1"/>
  <c r="AJ17" i="1" s="1"/>
  <c r="AB17" i="1"/>
  <c r="AG20" i="1"/>
  <c r="AJ20" i="1" s="1"/>
  <c r="AI21" i="1"/>
  <c r="AL21" i="1" s="1"/>
  <c r="AE21" i="1"/>
  <c r="AG23" i="1"/>
  <c r="AJ23" i="1" s="1"/>
  <c r="AB23" i="1"/>
  <c r="AG28" i="1"/>
  <c r="AJ28" i="1" s="1"/>
  <c r="AB28" i="1"/>
  <c r="AG30" i="1"/>
  <c r="AJ30" i="1" s="1"/>
  <c r="AB30" i="1"/>
  <c r="AG32" i="1"/>
  <c r="AJ32" i="1" s="1"/>
  <c r="AG36" i="1"/>
  <c r="AJ36" i="1" s="1"/>
  <c r="AB36" i="1"/>
  <c r="AG38" i="1"/>
  <c r="AJ38" i="1" s="1"/>
  <c r="AG41" i="1"/>
  <c r="AJ41" i="1" s="1"/>
  <c r="AB41" i="1"/>
  <c r="AG43" i="1"/>
  <c r="AJ43" i="1" s="1"/>
  <c r="AB43" i="1"/>
  <c r="AG45" i="1"/>
  <c r="AJ45" i="1" s="1"/>
  <c r="AG54" i="1"/>
  <c r="AJ54" i="1" s="1"/>
  <c r="AB54" i="1"/>
  <c r="AG56" i="1"/>
  <c r="AJ56" i="1" s="1"/>
  <c r="AG62" i="1"/>
  <c r="AJ62" i="1" s="1"/>
  <c r="AB62" i="1"/>
  <c r="AG64" i="1"/>
  <c r="AJ64" i="1" s="1"/>
  <c r="AB64" i="1"/>
  <c r="AG66" i="1"/>
  <c r="AJ66" i="1" s="1"/>
  <c r="AB66" i="1"/>
  <c r="AG18" i="1"/>
  <c r="AJ18" i="1" s="1"/>
  <c r="AB18" i="1"/>
  <c r="AG24" i="1"/>
  <c r="AJ24" i="1" s="1"/>
  <c r="AB24" i="1"/>
  <c r="AG31" i="1"/>
  <c r="AJ31" i="1" s="1"/>
  <c r="AB31" i="1"/>
  <c r="AG39" i="1"/>
  <c r="AJ39" i="1" s="1"/>
  <c r="AB39" i="1"/>
  <c r="AG53" i="1"/>
  <c r="AJ53" i="1" s="1"/>
  <c r="AB53" i="1"/>
  <c r="AG63" i="1"/>
  <c r="AJ63" i="1" s="1"/>
  <c r="AB63" i="1"/>
  <c r="AI16" i="1"/>
  <c r="AL16" i="1" s="1"/>
  <c r="AE16" i="1"/>
  <c r="AI17" i="1"/>
  <c r="AL17" i="1" s="1"/>
  <c r="AG19" i="1"/>
  <c r="AJ19" i="1" s="1"/>
  <c r="AB19" i="1"/>
  <c r="AI20" i="1"/>
  <c r="AL20" i="1" s="1"/>
  <c r="AI23" i="1"/>
  <c r="AL23" i="1" s="1"/>
  <c r="AE23" i="1"/>
  <c r="AI28" i="1"/>
  <c r="AL28" i="1" s="1"/>
  <c r="AE28" i="1"/>
  <c r="AI30" i="1"/>
  <c r="AL30" i="1" s="1"/>
  <c r="AE30" i="1"/>
  <c r="AL32" i="1"/>
  <c r="AE72" i="1"/>
  <c r="AI36" i="1"/>
  <c r="AL36" i="1" s="1"/>
  <c r="AE36" i="1"/>
  <c r="AI38" i="1"/>
  <c r="AL38" i="1" s="1"/>
  <c r="AE38" i="1"/>
  <c r="AI41" i="1"/>
  <c r="AL41" i="1" s="1"/>
  <c r="AE41" i="1"/>
  <c r="AI43" i="1"/>
  <c r="AL43" i="1" s="1"/>
  <c r="AE43" i="1"/>
  <c r="AI45" i="1"/>
  <c r="AL45" i="1" s="1"/>
  <c r="AI54" i="1"/>
  <c r="AL54" i="1" s="1"/>
  <c r="AE54" i="1"/>
  <c r="AI56" i="1"/>
  <c r="AL56" i="1" s="1"/>
  <c r="AI62" i="1"/>
  <c r="AL62" i="1" s="1"/>
  <c r="AE62" i="1"/>
  <c r="AI64" i="1"/>
  <c r="AL64" i="1" s="1"/>
  <c r="AE64" i="1"/>
  <c r="AI66" i="1"/>
  <c r="AL66" i="1" s="1"/>
  <c r="AE66" i="1"/>
  <c r="AG13" i="1"/>
  <c r="AB72" i="1" l="1"/>
  <c r="AE73" i="1"/>
  <c r="AJ13" i="1"/>
  <c r="AB13" i="1"/>
  <c r="AB73" i="1" l="1"/>
</calcChain>
</file>

<file path=xl/comments1.xml><?xml version="1.0" encoding="utf-8"?>
<comments xmlns="http://schemas.openxmlformats.org/spreadsheetml/2006/main">
  <authors>
    <author>W10 PRO</author>
  </authors>
  <commentList>
    <comment ref="H32" authorId="0" shapeId="0">
      <text>
        <r>
          <rPr>
            <b/>
            <sz val="12"/>
            <color indexed="81"/>
            <rFont val="Tahoma"/>
            <family val="2"/>
          </rPr>
          <t>27.561.440.448</t>
        </r>
      </text>
    </comment>
    <comment ref="Z32" authorId="0" shapeId="0">
      <text>
        <r>
          <rPr>
            <b/>
            <sz val="12"/>
            <color indexed="81"/>
            <rFont val="Tahoma"/>
            <family val="2"/>
          </rPr>
          <t>18.350.944.983</t>
        </r>
      </text>
    </comment>
    <comment ref="F34" authorId="0" shapeId="0">
      <text>
        <r>
          <rPr>
            <b/>
            <sz val="12"/>
            <color indexed="81"/>
            <rFont val="Tahoma"/>
            <family val="2"/>
          </rPr>
          <t>pengennya jenis</t>
        </r>
      </text>
    </comment>
    <comment ref="K35" authorId="0" shapeId="0">
      <text>
        <r>
          <rPr>
            <b/>
            <sz val="12"/>
            <color indexed="81"/>
            <rFont val="Tahoma"/>
            <family val="2"/>
          </rPr>
          <t>tidak terlaksana karena anggaran dihapus karena covid 19</t>
        </r>
      </text>
    </comment>
    <comment ref="P35" authorId="0" shapeId="0">
      <text>
        <r>
          <rPr>
            <b/>
            <sz val="12"/>
            <color indexed="81"/>
            <rFont val="Tahoma"/>
            <family val="2"/>
          </rPr>
          <t>Makmin</t>
        </r>
      </text>
    </comment>
    <comment ref="H36" authorId="0" shapeId="0">
      <text>
        <r>
          <rPr>
            <b/>
            <sz val="12"/>
            <color indexed="81"/>
            <rFont val="Tahoma"/>
            <family val="2"/>
          </rPr>
          <t>PBB 1.295.901.294
BPHTB
671.636.589</t>
        </r>
      </text>
    </comment>
    <comment ref="N36" authorId="0" shapeId="0">
      <text>
        <r>
          <rPr>
            <b/>
            <sz val="12"/>
            <color indexed="81"/>
            <rFont val="Tahoma"/>
            <family val="2"/>
          </rPr>
          <t>209.999.709</t>
        </r>
      </text>
    </comment>
    <comment ref="Q36" authorId="0" shapeId="0">
      <text>
        <r>
          <rPr>
            <b/>
            <sz val="12"/>
            <color indexed="81"/>
            <rFont val="Tahoma"/>
            <family val="2"/>
          </rPr>
          <t>286.349.680</t>
        </r>
      </text>
    </comment>
    <comment ref="T36" authorId="0" shapeId="0">
      <text>
        <r>
          <rPr>
            <b/>
            <sz val="12"/>
            <color indexed="81"/>
            <rFont val="Tahoma"/>
            <family val="2"/>
          </rPr>
          <t>922.000.000</t>
        </r>
      </text>
    </comment>
    <comment ref="Z36" authorId="0" shapeId="0">
      <text>
        <r>
          <rPr>
            <b/>
            <sz val="12"/>
            <color indexed="81"/>
            <rFont val="Tahoma"/>
            <family val="2"/>
          </rPr>
          <t>2.154.994.940
PBB 1.175.286.591
BPHTB 979.708.349</t>
        </r>
      </text>
    </comment>
    <comment ref="H50" authorId="0" shapeId="0">
      <text>
        <r>
          <rPr>
            <b/>
            <sz val="12"/>
            <color indexed="81"/>
            <rFont val="Tahoma"/>
            <family val="2"/>
          </rPr>
          <t>Jumlah SP2D yang dinyatakan lengkap dan sah sesuai dengan ketentuan yg berlaku/jumlah seluruh SP2D dikali 100</t>
        </r>
      </text>
    </comment>
    <comment ref="H52" authorId="0" shapeId="0">
      <text>
        <r>
          <rPr>
            <b/>
            <sz val="12"/>
            <color indexed="81"/>
            <rFont val="Tahoma"/>
            <family val="2"/>
          </rPr>
          <t>Jumlah penyaluran dana hibah dan bansos yg telah dilaksanakan/jumlah target penyaluran dana hibah dan bansos dikali 100</t>
        </r>
      </text>
    </comment>
    <comment ref="H53" authorId="0" shapeId="0">
      <text>
        <r>
          <rPr>
            <b/>
            <sz val="12"/>
            <color indexed="81"/>
            <rFont val="Tahoma"/>
            <family val="2"/>
          </rPr>
          <t>jumlah dokumen LKPD yg memenuhi aspek kualitas/jumlah seluruh LKPD dikali 100</t>
        </r>
      </text>
    </comment>
    <comment ref="K63" authorId="0" shapeId="0">
      <text>
        <r>
          <rPr>
            <b/>
            <sz val="12"/>
            <color indexed="81"/>
            <rFont val="Tahoma"/>
            <family val="2"/>
          </rPr>
          <t>Anggaran utk Rehab dihapus karena covid 19</t>
        </r>
      </text>
    </comment>
    <comment ref="M63" authorId="0" shapeId="0">
      <text>
        <r>
          <rPr>
            <b/>
            <sz val="12"/>
            <color indexed="81"/>
            <rFont val="Tahoma"/>
            <family val="2"/>
          </rPr>
          <t>Listrik dan Perencanaan Rehab</t>
        </r>
      </text>
    </comment>
    <comment ref="S63" authorId="0" shapeId="0">
      <text>
        <r>
          <rPr>
            <b/>
            <sz val="12"/>
            <color indexed="81"/>
            <rFont val="Tahoma"/>
            <family val="2"/>
          </rPr>
          <t>Perencanaan rehab</t>
        </r>
      </text>
    </comment>
    <comment ref="W66" authorId="0" shapeId="0">
      <text>
        <r>
          <rPr>
            <b/>
            <sz val="12"/>
            <color indexed="81"/>
            <rFont val="Tahoma"/>
            <family val="2"/>
          </rPr>
          <t>Kuota dari BPN Habis</t>
        </r>
      </text>
    </comment>
  </commentList>
</comments>
</file>

<file path=xl/sharedStrings.xml><?xml version="1.0" encoding="utf-8"?>
<sst xmlns="http://schemas.openxmlformats.org/spreadsheetml/2006/main" count="797" uniqueCount="191">
  <si>
    <t>EVALUASI TERHADAP HASIL RENCANA KERJA PERANGKAT DAERAH LINGKUP KABUPATEN</t>
  </si>
  <si>
    <t>RENCANA KERJA PERANGKAT DAERAH</t>
  </si>
  <si>
    <t>Indikator dan Target Kinerja Perangkat Daerah Kabupaten yang Mengacu Pada Sasaran RKPD Kabupaten</t>
  </si>
  <si>
    <t>No</t>
  </si>
  <si>
    <t>Sasaran</t>
  </si>
  <si>
    <t>Program/Kegiatan</t>
  </si>
  <si>
    <r>
      <t>Indikator Kinerja Program (</t>
    </r>
    <r>
      <rPr>
        <b/>
        <i/>
        <sz val="12"/>
        <color theme="1"/>
        <rFont val="Arial"/>
        <family val="2"/>
      </rPr>
      <t>Outcome</t>
    </r>
    <r>
      <rPr>
        <b/>
        <sz val="12"/>
        <color theme="1"/>
        <rFont val="Arial"/>
        <family val="2"/>
      </rPr>
      <t>)/Kegiatan (</t>
    </r>
    <r>
      <rPr>
        <b/>
        <i/>
        <sz val="12"/>
        <color theme="1"/>
        <rFont val="Arial"/>
        <family val="2"/>
      </rPr>
      <t>Output</t>
    </r>
    <r>
      <rPr>
        <b/>
        <sz val="12"/>
        <color theme="1"/>
        <rFont val="Arial"/>
        <family val="2"/>
      </rPr>
      <t>)</t>
    </r>
  </si>
  <si>
    <t>Target Renstra Perangkat Daerah Pada Tahun 2023</t>
  </si>
  <si>
    <t>Realisasi Capaian Kinerja Renstra Perangkat Daerah sampai dengan Renja Perangkat Daerah Tahun Lalu (2019)</t>
  </si>
  <si>
    <t>Target Kinerja dan Anggaran Renja Perangkat Daerah Tahun Berjalan (Tahun 2020) yang Dievaluasi</t>
  </si>
  <si>
    <t>Realisasi Kinerja Pada Triwulan</t>
  </si>
  <si>
    <t>Realisasi Kinerja dan Anggaran Renstra Perangkat Daerah s/d Tahun 2020</t>
  </si>
  <si>
    <t>Tingkat Capaian Kinerja dan Realisasi Anggaran Renstra Perangkat Daerah s/d Tahun 2020 (%)</t>
  </si>
  <si>
    <t>SKPD Penanggung Jawab</t>
  </si>
  <si>
    <t>I</t>
  </si>
  <si>
    <t>II</t>
  </si>
  <si>
    <t>III</t>
  </si>
  <si>
    <t>IV</t>
  </si>
  <si>
    <t>K</t>
  </si>
  <si>
    <t>Rp</t>
  </si>
  <si>
    <t>[kolom (8-11)(K)]</t>
  </si>
  <si>
    <t>[kolom (8-11)(Rp)]</t>
  </si>
  <si>
    <t>[kolom (6)(K) + kolom (12)(K)]</t>
  </si>
  <si>
    <t>[kolom (6)(Rp) + kolom (12)(Rp)]</t>
  </si>
  <si>
    <t>[kolom (13)(K) : kolom (5)(K)] x 100%</t>
  </si>
  <si>
    <t>[Kolom (13)(Rp) : Kolom (5)(Rp)] x 100%</t>
  </si>
  <si>
    <t>Meningkatnya akuntabilitas Instansi Pemerintah dan Kualitas Pelayanan Publik</t>
  </si>
  <si>
    <t>Program Peningkatan Perencanaan, Pelaporan Capaian Kinerja dan Keuangan</t>
  </si>
  <si>
    <t>Penyusunan Dokumen Keuangan</t>
  </si>
  <si>
    <t>Penyusunan Dokumen AKIP</t>
  </si>
  <si>
    <t>Meningkatnya Kinerja Keuangan dan Kinerja Birokrasi</t>
  </si>
  <si>
    <t>Program Pelayanan Administrasi Perkantoran</t>
  </si>
  <si>
    <t>Program Peningkatan Sarana dan Prasarana Aparatur</t>
  </si>
  <si>
    <t>Pemeliharaan rutin/berkala kendaraan dinas/operasional</t>
  </si>
  <si>
    <t>Pemeliharaan peralatan dan perlengkapan kantor</t>
  </si>
  <si>
    <t>Program Peningkatan Pelayanan Kinerja Perangkat Daerah</t>
  </si>
  <si>
    <t>Predikat Kinerja</t>
  </si>
  <si>
    <t>No.</t>
  </si>
  <si>
    <t xml:space="preserve">INTERVAL NILAI REALISASI KINERJA </t>
  </si>
  <si>
    <t xml:space="preserve">KRITERIA PENILAIAN REALISASI KINERJA </t>
  </si>
  <si>
    <r>
      <t>(1)</t>
    </r>
    <r>
      <rPr>
        <sz val="7"/>
        <color rgb="FF000000"/>
        <rFont val="Arial Narrow"/>
        <family val="2"/>
      </rPr>
      <t xml:space="preserve">             </t>
    </r>
    <r>
      <rPr>
        <sz val="10"/>
        <color rgb="FF000000"/>
        <rFont val="Arial Narrow"/>
        <family val="2"/>
      </rPr>
      <t> </t>
    </r>
  </si>
  <si>
    <r>
      <t xml:space="preserve">91% </t>
    </r>
    <r>
      <rPr>
        <sz val="12"/>
        <color rgb="FF000000"/>
        <rFont val="Arial Narrow"/>
        <family val="2"/>
      </rPr>
      <t>≤</t>
    </r>
    <r>
      <rPr>
        <sz val="10"/>
        <color rgb="FF000000"/>
        <rFont val="Arial Narrow"/>
        <family val="2"/>
      </rPr>
      <t xml:space="preserve"> 100%</t>
    </r>
  </si>
  <si>
    <t>Sangat tinggi</t>
  </si>
  <si>
    <r>
      <t>(2)</t>
    </r>
    <r>
      <rPr>
        <sz val="7"/>
        <color rgb="FF000000"/>
        <rFont val="Arial Narrow"/>
        <family val="2"/>
      </rPr>
      <t xml:space="preserve">             </t>
    </r>
    <r>
      <rPr>
        <sz val="10"/>
        <color rgb="FF000000"/>
        <rFont val="Arial Narrow"/>
        <family val="2"/>
      </rPr>
      <t> </t>
    </r>
  </si>
  <si>
    <r>
      <t xml:space="preserve">76% </t>
    </r>
    <r>
      <rPr>
        <sz val="12"/>
        <color rgb="FF000000"/>
        <rFont val="Arial Narrow"/>
        <family val="2"/>
      </rPr>
      <t xml:space="preserve">≤ </t>
    </r>
    <r>
      <rPr>
        <sz val="10"/>
        <color rgb="FF000000"/>
        <rFont val="Arial Narrow"/>
        <family val="2"/>
      </rPr>
      <t xml:space="preserve">90% </t>
    </r>
  </si>
  <si>
    <t>Tinggi</t>
  </si>
  <si>
    <r>
      <t>(3)</t>
    </r>
    <r>
      <rPr>
        <sz val="7"/>
        <color rgb="FF000000"/>
        <rFont val="Arial Narrow"/>
        <family val="2"/>
      </rPr>
      <t xml:space="preserve">             </t>
    </r>
    <r>
      <rPr>
        <sz val="10"/>
        <color rgb="FF000000"/>
        <rFont val="Arial Narrow"/>
        <family val="2"/>
      </rPr>
      <t> </t>
    </r>
  </si>
  <si>
    <r>
      <t xml:space="preserve">66% </t>
    </r>
    <r>
      <rPr>
        <sz val="12"/>
        <color rgb="FF000000"/>
        <rFont val="Arial Narrow"/>
        <family val="2"/>
      </rPr>
      <t xml:space="preserve">≤ </t>
    </r>
    <r>
      <rPr>
        <sz val="10"/>
        <color rgb="FF000000"/>
        <rFont val="Arial Narrow"/>
        <family val="2"/>
      </rPr>
      <t>75%</t>
    </r>
  </si>
  <si>
    <t>Sedang</t>
  </si>
  <si>
    <r>
      <t>(4)</t>
    </r>
    <r>
      <rPr>
        <sz val="7"/>
        <color rgb="FF000000"/>
        <rFont val="Arial Narrow"/>
        <family val="2"/>
      </rPr>
      <t xml:space="preserve">             </t>
    </r>
    <r>
      <rPr>
        <sz val="10"/>
        <color rgb="FF000000"/>
        <rFont val="Arial Narrow"/>
        <family val="2"/>
      </rPr>
      <t> </t>
    </r>
  </si>
  <si>
    <r>
      <t xml:space="preserve">51% </t>
    </r>
    <r>
      <rPr>
        <sz val="12"/>
        <color rgb="FF000000"/>
        <rFont val="Arial Narrow"/>
        <family val="2"/>
      </rPr>
      <t xml:space="preserve">≤ </t>
    </r>
    <r>
      <rPr>
        <sz val="10"/>
        <color rgb="FF000000"/>
        <rFont val="Arial Narrow"/>
        <family val="2"/>
      </rPr>
      <t>65%</t>
    </r>
  </si>
  <si>
    <t>Rendah</t>
  </si>
  <si>
    <r>
      <t>(5)</t>
    </r>
    <r>
      <rPr>
        <sz val="7"/>
        <color rgb="FF000000"/>
        <rFont val="Arial Narrow"/>
        <family val="2"/>
      </rPr>
      <t xml:space="preserve">             </t>
    </r>
    <r>
      <rPr>
        <sz val="10"/>
        <color rgb="FF000000"/>
        <rFont val="Arial Narrow"/>
        <family val="2"/>
      </rPr>
      <t> </t>
    </r>
  </si>
  <si>
    <r>
      <t>≤</t>
    </r>
    <r>
      <rPr>
        <sz val="10"/>
        <color rgb="FF000000"/>
        <rFont val="Arial Narrow"/>
        <family val="2"/>
      </rPr>
      <t xml:space="preserve"> 50%</t>
    </r>
  </si>
  <si>
    <t>Sangat Rendah</t>
  </si>
  <si>
    <t>Nilai</t>
  </si>
  <si>
    <t>Dok</t>
  </si>
  <si>
    <t>Bln</t>
  </si>
  <si>
    <t>Buah</t>
  </si>
  <si>
    <t>Jenis</t>
  </si>
  <si>
    <t>%</t>
  </si>
  <si>
    <t xml:space="preserve"> Tingkat pemenuhan aspek kualitas dokumen AKIP</t>
  </si>
  <si>
    <t>Tingkat pemenuhan aspek kualitas dokumen keuangan daerah</t>
  </si>
  <si>
    <t>Badan Keuangan Daerah</t>
  </si>
  <si>
    <t>Penyediaan Jasa dan Administrasi Kantor</t>
  </si>
  <si>
    <t>Penyediaan jasa komunikasi, sumber daya air dan listrik</t>
  </si>
  <si>
    <t>Penyebarluasan Informasi Tugas Pokok Dan Fungsi SKPD</t>
  </si>
  <si>
    <t>Penyediaan makanan dan minuman</t>
  </si>
  <si>
    <t>Kegiatan Penyediaan Jasa Tenaga Pendukung Administrasi/Teknis Perkantoran</t>
  </si>
  <si>
    <t>Rapat Rapat Koordinasi, Konsultasi dan Lapangan</t>
  </si>
  <si>
    <t>Kali</t>
  </si>
  <si>
    <t>Pembangunan gedung kantor</t>
  </si>
  <si>
    <t>Penyediaan peralatan dan perlengkapan kantor</t>
  </si>
  <si>
    <t>Pemeliharaan rutin/berkala gedung kantor</t>
  </si>
  <si>
    <t>Rehab/Pembangunan Gedung Kantor</t>
  </si>
  <si>
    <t>Majelis TP-TGR</t>
  </si>
  <si>
    <t>Sidang TP-TGR</t>
  </si>
  <si>
    <t>Program Peningkatan dan Pengembangan Pengelolaan PAD dan Dana Perimbangan</t>
  </si>
  <si>
    <t>Penyediaan Karcis dan Blanko</t>
  </si>
  <si>
    <t>Promosi Pajak Daerah</t>
  </si>
  <si>
    <t>Sosialisasi Pajak Daerah</t>
  </si>
  <si>
    <t>Jumlah Peningkatan dan Pengembangan Pengelolaan PAD dan Dana Perimbangan</t>
  </si>
  <si>
    <t>Jumlah Jenis Karcis dan Blanko Retribusi dan Pajak Daerah</t>
  </si>
  <si>
    <t>Jumlah Sosialisasi Sadar Pajak</t>
  </si>
  <si>
    <t xml:space="preserve">Jumlah Sosialisasi Sadar Pajak </t>
  </si>
  <si>
    <t>Program Peningkatan Pengelolaan PBB dan BPHTB</t>
  </si>
  <si>
    <t>Promosi PBB dan BPHTB</t>
  </si>
  <si>
    <t>Pelayanan PBB dan BPHTB</t>
  </si>
  <si>
    <t>Penghimpunan Data Objek PBB Baru</t>
  </si>
  <si>
    <t>Jumlah Promosi PBB-P2 dan BPHTB</t>
  </si>
  <si>
    <t>Jumlah Penerimaan PAD sektor PBB-P2 dan BPHTB</t>
  </si>
  <si>
    <t>Jumlah Objek PBB baru yang terdata</t>
  </si>
  <si>
    <t>WP</t>
  </si>
  <si>
    <t>Program Pengelolaan Anggaran Keuangan Daerah</t>
  </si>
  <si>
    <t>Penyusunan Dokumen DPA</t>
  </si>
  <si>
    <t>Penyusunan Dokumen KUA dan PPAS</t>
  </si>
  <si>
    <t>Penyusunan Dokumen DPPA</t>
  </si>
  <si>
    <t>Bimbingan Teknis Penyusunan RKA Sekolah</t>
  </si>
  <si>
    <t>Penyusunan Rancangan APBD</t>
  </si>
  <si>
    <t>Penyusunan Rancangan Perubahan APBD</t>
  </si>
  <si>
    <t>Penyusunan Dokumen Pergeseran APBD</t>
  </si>
  <si>
    <t>Jumlah DPA</t>
  </si>
  <si>
    <t>Jumlah Rancangan KUA dan PPAS</t>
  </si>
  <si>
    <t>Jumlah DPPA</t>
  </si>
  <si>
    <t>Jumlah Bimbingan Teknis</t>
  </si>
  <si>
    <t>Jumlah Rancangan APBD</t>
  </si>
  <si>
    <t>Jumlah Rancangan Perubahan APBD</t>
  </si>
  <si>
    <t>Jumlah Dokumen Pergeseran APBD</t>
  </si>
  <si>
    <t>Program Pengelolaan Administrasi dan Penatausahaan Keuangan Daerah</t>
  </si>
  <si>
    <t>Penyusunan Laporan Rekonsiliasi Kasda</t>
  </si>
  <si>
    <t>Penyaluran Dana Hibah dan Bansos</t>
  </si>
  <si>
    <t xml:space="preserve">Jumlah Rekon Pengeluaran Kas dan Penerimaan </t>
  </si>
  <si>
    <t>Cakupan Penyaluran Hibah dan Bansos</t>
  </si>
  <si>
    <t>Program Peningkatan Kualitas Pelaporan Keuangan Daerah</t>
  </si>
  <si>
    <t>Penyusunan Laporan Keuangan Pemda</t>
  </si>
  <si>
    <t>Penyusunan Pertanggungjawaban Pelaksanaan APBD</t>
  </si>
  <si>
    <t>Bimbingan Teknis Penyusunan Laporan Keuangan</t>
  </si>
  <si>
    <t>Jumlah Dokumen Pertanggungjawaban</t>
  </si>
  <si>
    <t>Jumlah Bimtek Penyusunan Lap. Keuangan</t>
  </si>
  <si>
    <t>Program Peningkatan Penatausahaan Barang Milik Daerah</t>
  </si>
  <si>
    <t>Penyusunan RKBMD dan RKPBMD</t>
  </si>
  <si>
    <t>Pengelolaan Aset Rumah Dinas</t>
  </si>
  <si>
    <t>Penghapusan Aset Daerah</t>
  </si>
  <si>
    <t>Sensus Barang Milik Daerah</t>
  </si>
  <si>
    <t>Pengamanan Tanah Daerah</t>
  </si>
  <si>
    <t>Pengadaan Kendaraan Dinas</t>
  </si>
  <si>
    <t>Jumlah SKPD yang menyampaikan RKMBD dan RKPBMD</t>
  </si>
  <si>
    <t>Jumlah Rumah Dinas Yang Terpelihara</t>
  </si>
  <si>
    <t>cakupan aset rusak yang dimusnahkan</t>
  </si>
  <si>
    <t>Jumlah sensus BMD yang dilaksanakan</t>
  </si>
  <si>
    <t>Jumlah Tanah yang diamankan</t>
  </si>
  <si>
    <t>Julmlah Pengadaan Kendaraan Dinas</t>
  </si>
  <si>
    <t>Kesesuaian Data Total Neraca BMD dengan Neraca Keuangan</t>
  </si>
  <si>
    <t>Persentase Penyelesaian SP2D yang dinyatakan lengkap dan sah sesuai dengan ketentuan yang berlaku</t>
  </si>
  <si>
    <t>Persentase Laporan Keuangan Daerah yang memenuhi Aspek Kualitas</t>
  </si>
  <si>
    <t>Lama Waktu Penyusunan RAPBD</t>
  </si>
  <si>
    <t>Persil</t>
  </si>
  <si>
    <t>Dokumen AKIP yang Memenuhi Aspek Kualitas</t>
  </si>
  <si>
    <t>Laporan Keuangan yang Memenuhi Aspek Kualitas</t>
  </si>
  <si>
    <t>Tingkat Kepuasan Pelayanan</t>
  </si>
  <si>
    <t>Pelayanan administrasi sesuai standar</t>
  </si>
  <si>
    <t>Keg</t>
  </si>
  <si>
    <t>M         Rp</t>
  </si>
  <si>
    <t>336.640</t>
  </si>
  <si>
    <t>Lbr</t>
  </si>
  <si>
    <t>Pemutakhiran PBB P2 dan BPHTB</t>
  </si>
  <si>
    <t>Jumlah Objek-objek PBB P2 dan BPHTB</t>
  </si>
  <si>
    <t>Penyusunan Dokumen Rekonsiliasi BOS</t>
  </si>
  <si>
    <t>Penyusunan Dokumen Rekonsiliasi JKN</t>
  </si>
  <si>
    <t>Penyusunan Ranc. Peraturan KDH tentang Penjabaran Pertanggung Jawaban Pelaksanaan APBD</t>
  </si>
  <si>
    <t>Penyusunan Rancangan Perda tentang Pertanggungjawaban Pelaksanaan APBD</t>
  </si>
  <si>
    <t>Jumlah Dokumen Rekonsiliasi BOS</t>
  </si>
  <si>
    <t>Jumlah Dokumen Rekonsiliasi JKN</t>
  </si>
  <si>
    <t>Jumlah Ranc Perbup Penjabaran Pertanggungjawaban Pelaksanaan APBD</t>
  </si>
  <si>
    <t>Sekolah</t>
  </si>
  <si>
    <t>Peningkatan Manajemen Aset/BMD</t>
  </si>
  <si>
    <t>Penyediaan Sarana Pengamanan Barang/Aset daerah</t>
  </si>
  <si>
    <t>Pemutakhiran Data Barang Milik Daerah</t>
  </si>
  <si>
    <t>Pengadaan Aset Daerah</t>
  </si>
  <si>
    <t>Jumlah BMD yang dimusnahkan</t>
  </si>
  <si>
    <t>Item</t>
  </si>
  <si>
    <t>Jumlah rekonsiliasi BMD dengan SKPD</t>
  </si>
  <si>
    <t>Bimbingan Teknis Penyusunan RKA SKPD</t>
  </si>
  <si>
    <t>Jumlah Peserta Bimtek Penyusunan RKA</t>
  </si>
  <si>
    <t>Org</t>
  </si>
  <si>
    <t>67.328</t>
  </si>
  <si>
    <t>67.330</t>
  </si>
  <si>
    <t xml:space="preserve">Jumlah Peningkatan Realisasi PBB-P2 dan BPHTB </t>
  </si>
  <si>
    <t>Jumlah Laporan Keuangan Pemda yang memenuhi aspek kualitas</t>
  </si>
  <si>
    <t>Rata-rata Capaian Kinerja (%)</t>
  </si>
  <si>
    <t>Jumlah Tanah pemerintah Daerah yang diamankan secara Adm dan Fisik</t>
  </si>
  <si>
    <t>Realisasi dan Tingkat Capaian Kinerja dan Anggaran Renja Perangkat Daerah yang Dievaluasi</t>
  </si>
  <si>
    <t>[kolom (12)(K) : kolom (7)(K)] x 100%</t>
  </si>
  <si>
    <t>[kolom (12)(Rp) : kolom (7)(Rp)] x 100%</t>
  </si>
  <si>
    <t>Paket</t>
  </si>
  <si>
    <t>Disusun</t>
  </si>
  <si>
    <t>Dievaluasi</t>
  </si>
  <si>
    <t>Kepala Bappelitbangda</t>
  </si>
  <si>
    <t>Kabupaten Hulu Sungai Selatan</t>
  </si>
  <si>
    <t>M. ARLIYAN SYAHRIAL, M.Pd</t>
  </si>
  <si>
    <t>NIP. 19700423 199303 1 006</t>
  </si>
  <si>
    <t>Drs. H. NANANG F.M.N, M.si</t>
  </si>
  <si>
    <t>NIP. 19711011 199101 1 002</t>
  </si>
  <si>
    <t>Faktor pendorong keberhasilan pencapaian: Adanya kerjasama dan koordinasi yang baik antar bidang</t>
  </si>
  <si>
    <t>Faktor penghambat pencapaian kinerja: Kurangnya alokasi dana dan fasilitas serta sarana dan prasarana penunjang kinerja</t>
  </si>
  <si>
    <t>Tindak lanjut yang diperlukan dalam triwulan berikutnya*): Meningkatkan koordinasi dengan bidang dan instansi vertikal dalam hal pemenuhan capaian target</t>
  </si>
  <si>
    <t>Tindak lanjut yang diperlukan dalam Renja Perangkat Daerah Kabupaten berikutnya*): Meningkatkan alokasi dana, fasilitas serta sarana dan prasarana penunjang kinerja</t>
  </si>
  <si>
    <t>PERIODE PELAKSANAAN TRIWULAN IV TAHUN 2020</t>
  </si>
  <si>
    <t>Kandangan, 4 Januari 2021</t>
  </si>
  <si>
    <t>BADAN PENGELOLAAN KEUANGAN DAN PENDAPATAN DAERAH</t>
  </si>
  <si>
    <t>Kepala Badan Pengelolaan Keuangan dan Pendapatan Daerah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</si>
</sst>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_(* #,##0_);_(* \(#,##0\);_(* &quot;-&quot;??_);_(@_)"/>
    <numFmt numFmtId="166" formatCode="_(* #,##0_);_(* \(#,##0\);_(* &quot;-&quot;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Arial"/>
      <family val="2"/>
    </font>
    <font>
      <sz val="18"/>
      <color theme="1"/>
      <name val="Arial"/>
      <family val="2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b/>
      <i/>
      <sz val="12"/>
      <color theme="1"/>
      <name val="Arial"/>
      <family val="2"/>
    </font>
    <font>
      <sz val="12"/>
      <color theme="1"/>
      <name val="Arial"/>
      <family val="2"/>
    </font>
    <font>
      <sz val="11"/>
      <color rgb="FF000000"/>
      <name val="Calibri"/>
      <family val="2"/>
    </font>
    <font>
      <sz val="10"/>
      <color rgb="FF000000"/>
      <name val="Arial Narrow"/>
      <family val="2"/>
    </font>
    <font>
      <sz val="7"/>
      <color rgb="FF000000"/>
      <name val="Arial Narrow"/>
      <family val="2"/>
    </font>
    <font>
      <sz val="12"/>
      <color rgb="FF000000"/>
      <name val="Arial Narrow"/>
      <family val="2"/>
    </font>
    <font>
      <b/>
      <sz val="12"/>
      <color indexed="81"/>
      <name val="Tahoma"/>
      <family val="2"/>
    </font>
    <font>
      <b/>
      <u/>
      <sz val="12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9" fillId="0" borderId="0"/>
  </cellStyleXfs>
  <cellXfs count="140">
    <xf numFmtId="0" fontId="0" fillId="0" borderId="0" xfId="0"/>
    <xf numFmtId="0" fontId="3" fillId="0" borderId="0" xfId="0" applyFont="1" applyFill="1"/>
    <xf numFmtId="0" fontId="4" fillId="0" borderId="0" xfId="0" applyFont="1" applyFill="1"/>
    <xf numFmtId="0" fontId="2" fillId="0" borderId="0" xfId="0" applyFont="1" applyFill="1" applyAlignment="1"/>
    <xf numFmtId="0" fontId="4" fillId="0" borderId="0" xfId="0" applyFont="1" applyFill="1" applyAlignment="1">
      <alignment horizontal="center"/>
    </xf>
    <xf numFmtId="0" fontId="6" fillId="2" borderId="15" xfId="0" applyFont="1" applyFill="1" applyBorder="1" applyAlignment="1">
      <alignment vertical="top" wrapText="1"/>
    </xf>
    <xf numFmtId="0" fontId="6" fillId="3" borderId="2" xfId="0" applyFont="1" applyFill="1" applyBorder="1" applyAlignment="1">
      <alignment horizontal="center"/>
    </xf>
    <xf numFmtId="0" fontId="4" fillId="3" borderId="0" xfId="0" applyFont="1" applyFill="1"/>
    <xf numFmtId="0" fontId="6" fillId="3" borderId="2" xfId="0" applyFont="1" applyFill="1" applyBorder="1" applyAlignment="1">
      <alignment horizontal="center" vertical="top" wrapText="1"/>
    </xf>
    <xf numFmtId="0" fontId="4" fillId="3" borderId="11" xfId="0" applyFont="1" applyFill="1" applyBorder="1"/>
    <xf numFmtId="0" fontId="6" fillId="3" borderId="2" xfId="0" applyFont="1" applyFill="1" applyBorder="1" applyAlignment="1">
      <alignment horizontal="center" vertical="center"/>
    </xf>
    <xf numFmtId="0" fontId="4" fillId="0" borderId="11" xfId="0" applyFont="1" applyFill="1" applyBorder="1"/>
    <xf numFmtId="0" fontId="8" fillId="0" borderId="15" xfId="0" applyFont="1" applyFill="1" applyBorder="1"/>
    <xf numFmtId="0" fontId="6" fillId="0" borderId="11" xfId="0" applyFont="1" applyFill="1" applyBorder="1" applyAlignment="1">
      <alignment horizontal="center" vertical="top"/>
    </xf>
    <xf numFmtId="0" fontId="6" fillId="0" borderId="11" xfId="0" applyFont="1" applyFill="1" applyBorder="1" applyAlignment="1">
      <alignment horizontal="left" vertical="top" wrapText="1"/>
    </xf>
    <xf numFmtId="0" fontId="6" fillId="0" borderId="15" xfId="0" applyFont="1" applyFill="1" applyBorder="1" applyAlignment="1">
      <alignment horizontal="left" vertical="top" wrapText="1"/>
    </xf>
    <xf numFmtId="0" fontId="6" fillId="0" borderId="2" xfId="0" applyFont="1" applyFill="1" applyBorder="1" applyAlignment="1">
      <alignment horizontal="left" vertical="top" wrapText="1"/>
    </xf>
    <xf numFmtId="0" fontId="8" fillId="0" borderId="2" xfId="0" applyFont="1" applyFill="1" applyBorder="1" applyAlignment="1">
      <alignment horizontal="center" vertical="top" wrapText="1"/>
    </xf>
    <xf numFmtId="9" fontId="8" fillId="0" borderId="2" xfId="0" applyNumberFormat="1" applyFont="1" applyFill="1" applyBorder="1" applyAlignment="1">
      <alignment horizontal="center" vertical="top"/>
    </xf>
    <xf numFmtId="2" fontId="8" fillId="0" borderId="2" xfId="0" applyNumberFormat="1" applyFont="1" applyFill="1" applyBorder="1" applyAlignment="1">
      <alignment horizontal="center" vertical="top" wrapText="1"/>
    </xf>
    <xf numFmtId="165" fontId="8" fillId="0" borderId="2" xfId="1" applyNumberFormat="1" applyFont="1" applyFill="1" applyBorder="1" applyAlignment="1">
      <alignment vertical="top"/>
    </xf>
    <xf numFmtId="165" fontId="8" fillId="0" borderId="2" xfId="1" quotePrefix="1" applyNumberFormat="1" applyFont="1" applyFill="1" applyBorder="1" applyAlignment="1">
      <alignment vertical="top"/>
    </xf>
    <xf numFmtId="0" fontId="6" fillId="0" borderId="11" xfId="0" applyFont="1" applyFill="1" applyBorder="1" applyAlignment="1">
      <alignment horizontal="center" vertical="top" wrapText="1"/>
    </xf>
    <xf numFmtId="165" fontId="8" fillId="0" borderId="0" xfId="1" quotePrefix="1" applyNumberFormat="1" applyFont="1" applyFill="1" applyBorder="1" applyAlignment="1">
      <alignment vertical="top"/>
    </xf>
    <xf numFmtId="0" fontId="8" fillId="0" borderId="15" xfId="0" applyFont="1" applyFill="1" applyBorder="1" applyAlignment="1">
      <alignment horizontal="left" vertical="top" wrapText="1"/>
    </xf>
    <xf numFmtId="9" fontId="8" fillId="0" borderId="15" xfId="0" applyNumberFormat="1" applyFont="1" applyFill="1" applyBorder="1" applyAlignment="1">
      <alignment horizontal="center" vertical="top"/>
    </xf>
    <xf numFmtId="165" fontId="8" fillId="0" borderId="15" xfId="1" applyNumberFormat="1" applyFont="1" applyFill="1" applyBorder="1" applyAlignment="1">
      <alignment vertical="top"/>
    </xf>
    <xf numFmtId="165" fontId="8" fillId="0" borderId="15" xfId="1" quotePrefix="1" applyNumberFormat="1" applyFont="1" applyFill="1" applyBorder="1" applyAlignment="1">
      <alignment vertical="top"/>
    </xf>
    <xf numFmtId="0" fontId="8" fillId="0" borderId="2" xfId="0" applyFont="1" applyFill="1" applyBorder="1" applyAlignment="1">
      <alignment horizontal="left" vertical="top" wrapText="1"/>
    </xf>
    <xf numFmtId="0" fontId="8" fillId="0" borderId="11" xfId="0" applyFont="1" applyFill="1" applyBorder="1" applyAlignment="1">
      <alignment horizontal="center" vertical="top" wrapText="1"/>
    </xf>
    <xf numFmtId="0" fontId="8" fillId="4" borderId="2" xfId="0" applyFont="1" applyFill="1" applyBorder="1" applyAlignment="1">
      <alignment horizontal="left"/>
    </xf>
    <xf numFmtId="0" fontId="4" fillId="0" borderId="15" xfId="0" applyFont="1" applyFill="1" applyBorder="1"/>
    <xf numFmtId="0" fontId="8" fillId="0" borderId="0" xfId="0" applyFont="1" applyFill="1"/>
    <xf numFmtId="0" fontId="8" fillId="0" borderId="0" xfId="0" applyFont="1" applyFill="1" applyAlignment="1">
      <alignment horizontal="center"/>
    </xf>
    <xf numFmtId="0" fontId="8" fillId="0" borderId="2" xfId="0" applyFont="1" applyFill="1" applyBorder="1" applyAlignment="1">
      <alignment horizontal="center" vertical="top"/>
    </xf>
    <xf numFmtId="0" fontId="10" fillId="5" borderId="16" xfId="3" applyFont="1" applyFill="1" applyBorder="1" applyAlignment="1">
      <alignment horizontal="center" vertical="center" wrapText="1"/>
    </xf>
    <xf numFmtId="0" fontId="10" fillId="0" borderId="16" xfId="3" applyFont="1" applyFill="1" applyBorder="1" applyAlignment="1">
      <alignment horizontal="center" vertical="center" wrapText="1"/>
    </xf>
    <xf numFmtId="0" fontId="12" fillId="0" borderId="16" xfId="3" applyFont="1" applyFill="1" applyBorder="1" applyAlignment="1">
      <alignment horizontal="center" vertical="center" wrapText="1"/>
    </xf>
    <xf numFmtId="0" fontId="6" fillId="0" borderId="0" xfId="0" applyFont="1" applyFill="1" applyBorder="1"/>
    <xf numFmtId="0" fontId="8" fillId="0" borderId="0" xfId="0" applyFont="1" applyFill="1" applyBorder="1"/>
    <xf numFmtId="166" fontId="8" fillId="0" borderId="2" xfId="0" applyNumberFormat="1" applyFont="1" applyFill="1" applyBorder="1" applyAlignment="1">
      <alignment vertical="top"/>
    </xf>
    <xf numFmtId="165" fontId="6" fillId="0" borderId="15" xfId="1" quotePrefix="1" applyNumberFormat="1" applyFont="1" applyFill="1" applyBorder="1" applyAlignment="1">
      <alignment vertical="top"/>
    </xf>
    <xf numFmtId="165" fontId="6" fillId="0" borderId="2" xfId="1" quotePrefix="1" applyNumberFormat="1" applyFont="1" applyFill="1" applyBorder="1" applyAlignment="1">
      <alignment vertical="top"/>
    </xf>
    <xf numFmtId="1" fontId="8" fillId="0" borderId="15" xfId="0" applyNumberFormat="1" applyFont="1" applyFill="1" applyBorder="1" applyAlignment="1">
      <alignment horizontal="center" vertical="top" wrapText="1"/>
    </xf>
    <xf numFmtId="1" fontId="8" fillId="0" borderId="2" xfId="0" applyNumberFormat="1" applyFont="1" applyFill="1" applyBorder="1" applyAlignment="1">
      <alignment horizontal="center" vertical="top" wrapText="1"/>
    </xf>
    <xf numFmtId="0" fontId="6" fillId="0" borderId="2" xfId="0" applyFont="1" applyFill="1" applyBorder="1" applyAlignment="1">
      <alignment horizontal="center" vertical="top" wrapText="1"/>
    </xf>
    <xf numFmtId="9" fontId="6" fillId="0" borderId="2" xfId="0" applyNumberFormat="1" applyFont="1" applyFill="1" applyBorder="1" applyAlignment="1">
      <alignment horizontal="center" vertical="top"/>
    </xf>
    <xf numFmtId="9" fontId="8" fillId="0" borderId="2" xfId="0" applyNumberFormat="1" applyFont="1" applyFill="1" applyBorder="1" applyAlignment="1">
      <alignment horizontal="center" vertical="top" wrapText="1"/>
    </xf>
    <xf numFmtId="0" fontId="6" fillId="0" borderId="6" xfId="0" applyFont="1" applyFill="1" applyBorder="1" applyAlignment="1">
      <alignment horizontal="center" vertical="top"/>
    </xf>
    <xf numFmtId="0" fontId="6" fillId="0" borderId="6" xfId="0" applyFont="1" applyFill="1" applyBorder="1" applyAlignment="1">
      <alignment horizontal="left" vertical="top" wrapText="1"/>
    </xf>
    <xf numFmtId="166" fontId="8" fillId="0" borderId="2" xfId="2" applyFont="1" applyFill="1" applyBorder="1" applyAlignment="1">
      <alignment vertical="top"/>
    </xf>
    <xf numFmtId="2" fontId="6" fillId="0" borderId="2" xfId="0" quotePrefix="1" applyNumberFormat="1" applyFont="1" applyFill="1" applyBorder="1" applyAlignment="1">
      <alignment horizontal="center" vertical="top" wrapText="1"/>
    </xf>
    <xf numFmtId="0" fontId="6" fillId="0" borderId="2" xfId="0" quotePrefix="1" applyFont="1" applyFill="1" applyBorder="1" applyAlignment="1">
      <alignment horizontal="center" vertical="top" wrapText="1"/>
    </xf>
    <xf numFmtId="9" fontId="8" fillId="0" borderId="2" xfId="0" quotePrefix="1" applyNumberFormat="1" applyFont="1" applyFill="1" applyBorder="1" applyAlignment="1">
      <alignment horizontal="center" vertical="top"/>
    </xf>
    <xf numFmtId="2" fontId="6" fillId="0" borderId="6" xfId="0" applyNumberFormat="1" applyFont="1" applyFill="1" applyBorder="1" applyAlignment="1">
      <alignment horizontal="center" vertical="top" wrapText="1"/>
    </xf>
    <xf numFmtId="2" fontId="6" fillId="0" borderId="2" xfId="0" applyNumberFormat="1" applyFont="1" applyFill="1" applyBorder="1" applyAlignment="1">
      <alignment horizontal="center" vertical="top" wrapText="1"/>
    </xf>
    <xf numFmtId="166" fontId="8" fillId="0" borderId="15" xfId="2" applyFont="1" applyFill="1" applyBorder="1" applyAlignment="1">
      <alignment vertical="top"/>
    </xf>
    <xf numFmtId="9" fontId="6" fillId="0" borderId="2" xfId="0" applyNumberFormat="1" applyFont="1" applyFill="1" applyBorder="1" applyAlignment="1">
      <alignment horizontal="center" vertical="top" wrapText="1"/>
    </xf>
    <xf numFmtId="0" fontId="8" fillId="0" borderId="2" xfId="0" quotePrefix="1" applyFont="1" applyFill="1" applyBorder="1" applyAlignment="1">
      <alignment horizontal="center" vertical="top" wrapText="1"/>
    </xf>
    <xf numFmtId="166" fontId="8" fillId="0" borderId="2" xfId="2" quotePrefix="1" applyFont="1" applyFill="1" applyBorder="1" applyAlignment="1">
      <alignment horizontal="center" vertical="top" wrapText="1"/>
    </xf>
    <xf numFmtId="1" fontId="6" fillId="0" borderId="2" xfId="0" applyNumberFormat="1" applyFont="1" applyFill="1" applyBorder="1" applyAlignment="1">
      <alignment horizontal="center" vertical="top" wrapText="1"/>
    </xf>
    <xf numFmtId="2" fontId="8" fillId="0" borderId="2" xfId="0" applyNumberFormat="1" applyFont="1" applyFill="1" applyBorder="1" applyAlignment="1">
      <alignment horizontal="center" vertical="top"/>
    </xf>
    <xf numFmtId="1" fontId="8" fillId="0" borderId="2" xfId="0" applyNumberFormat="1" applyFont="1" applyFill="1" applyBorder="1" applyAlignment="1">
      <alignment horizontal="center" vertical="top"/>
    </xf>
    <xf numFmtId="2" fontId="6" fillId="0" borderId="2" xfId="0" applyNumberFormat="1" applyFont="1" applyFill="1" applyBorder="1" applyAlignment="1">
      <alignment horizontal="center" vertical="top"/>
    </xf>
    <xf numFmtId="166" fontId="6" fillId="0" borderId="2" xfId="0" applyNumberFormat="1" applyFont="1" applyFill="1" applyBorder="1" applyAlignment="1">
      <alignment vertical="top"/>
    </xf>
    <xf numFmtId="0" fontId="6" fillId="0" borderId="2" xfId="0" applyFont="1" applyFill="1" applyBorder="1" applyAlignment="1">
      <alignment horizontal="center" vertical="top"/>
    </xf>
    <xf numFmtId="1" fontId="6" fillId="0" borderId="2" xfId="0" applyNumberFormat="1" applyFont="1" applyFill="1" applyBorder="1" applyAlignment="1">
      <alignment horizontal="center" vertical="top"/>
    </xf>
    <xf numFmtId="2" fontId="8" fillId="4" borderId="13" xfId="0" applyNumberFormat="1" applyFont="1" applyFill="1" applyBorder="1" applyAlignment="1">
      <alignment horizontal="right"/>
    </xf>
    <xf numFmtId="0" fontId="8" fillId="4" borderId="13" xfId="0" applyFont="1" applyFill="1" applyBorder="1" applyAlignment="1">
      <alignment horizontal="center"/>
    </xf>
    <xf numFmtId="2" fontId="8" fillId="4" borderId="14" xfId="0" applyNumberFormat="1" applyFont="1" applyFill="1" applyBorder="1" applyAlignment="1">
      <alignment horizontal="right"/>
    </xf>
    <xf numFmtId="0" fontId="8" fillId="4" borderId="13" xfId="0" applyFont="1" applyFill="1" applyBorder="1"/>
    <xf numFmtId="0" fontId="8" fillId="4" borderId="13" xfId="0" applyFont="1" applyFill="1" applyBorder="1" applyAlignment="1">
      <alignment horizontal="left"/>
    </xf>
    <xf numFmtId="0" fontId="8" fillId="4" borderId="14" xfId="0" applyFont="1" applyFill="1" applyBorder="1"/>
    <xf numFmtId="0" fontId="8" fillId="6" borderId="15" xfId="0" applyFont="1" applyFill="1" applyBorder="1" applyAlignment="1">
      <alignment horizontal="left" vertical="top" wrapText="1"/>
    </xf>
    <xf numFmtId="0" fontId="8" fillId="6" borderId="2" xfId="0" applyFont="1" applyFill="1" applyBorder="1" applyAlignment="1">
      <alignment horizontal="left" vertical="top" wrapText="1"/>
    </xf>
    <xf numFmtId="1" fontId="8" fillId="0" borderId="15" xfId="0" applyNumberFormat="1" applyFont="1" applyFill="1" applyBorder="1" applyAlignment="1">
      <alignment horizontal="center" vertical="top"/>
    </xf>
    <xf numFmtId="165" fontId="6" fillId="0" borderId="6" xfId="1" quotePrefix="1" applyNumberFormat="1" applyFont="1" applyFill="1" applyBorder="1" applyAlignment="1">
      <alignment vertical="top"/>
    </xf>
    <xf numFmtId="166" fontId="6" fillId="0" borderId="6" xfId="0" applyNumberFormat="1" applyFont="1" applyFill="1" applyBorder="1" applyAlignment="1">
      <alignment vertical="top"/>
    </xf>
    <xf numFmtId="166" fontId="6" fillId="0" borderId="15" xfId="0" applyNumberFormat="1" applyFont="1" applyFill="1" applyBorder="1" applyAlignment="1">
      <alignment vertical="top"/>
    </xf>
    <xf numFmtId="2" fontId="6" fillId="0" borderId="6" xfId="0" applyNumberFormat="1" applyFont="1" applyFill="1" applyBorder="1" applyAlignment="1">
      <alignment horizontal="center" vertical="top"/>
    </xf>
    <xf numFmtId="2" fontId="6" fillId="0" borderId="15" xfId="0" applyNumberFormat="1" applyFont="1" applyFill="1" applyBorder="1" applyAlignment="1">
      <alignment horizontal="center" vertical="top"/>
    </xf>
    <xf numFmtId="166" fontId="8" fillId="0" borderId="2" xfId="2" quotePrefix="1" applyFont="1" applyFill="1" applyBorder="1" applyAlignment="1">
      <alignment horizontal="center" vertical="top"/>
    </xf>
    <xf numFmtId="166" fontId="8" fillId="0" borderId="2" xfId="2" applyFont="1" applyFill="1" applyBorder="1" applyAlignment="1">
      <alignment horizontal="center" vertical="top"/>
    </xf>
    <xf numFmtId="166" fontId="8" fillId="0" borderId="2" xfId="2" applyFont="1" applyFill="1" applyBorder="1" applyAlignment="1">
      <alignment horizontal="center" vertical="top" wrapText="1"/>
    </xf>
    <xf numFmtId="0" fontId="6" fillId="0" borderId="15" xfId="0" applyFont="1" applyFill="1" applyBorder="1" applyAlignment="1">
      <alignment horizontal="center" vertical="top"/>
    </xf>
    <xf numFmtId="0" fontId="4" fillId="3" borderId="15" xfId="0" applyFont="1" applyFill="1" applyBorder="1"/>
    <xf numFmtId="1" fontId="8" fillId="0" borderId="2" xfId="2" applyNumberFormat="1" applyFont="1" applyFill="1" applyBorder="1" applyAlignment="1">
      <alignment horizontal="center" vertical="top"/>
    </xf>
    <xf numFmtId="0" fontId="8" fillId="7" borderId="2" xfId="0" applyFont="1" applyFill="1" applyBorder="1" applyAlignment="1">
      <alignment horizontal="left" vertical="top" wrapText="1"/>
    </xf>
    <xf numFmtId="0" fontId="8" fillId="7" borderId="15" xfId="0" applyFont="1" applyFill="1" applyBorder="1" applyAlignment="1">
      <alignment horizontal="left" vertical="top" wrapText="1"/>
    </xf>
    <xf numFmtId="2" fontId="8" fillId="4" borderId="2" xfId="0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/>
    </xf>
    <xf numFmtId="0" fontId="14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 vertical="top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/>
    </xf>
    <xf numFmtId="0" fontId="6" fillId="2" borderId="12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 vertical="top"/>
    </xf>
    <xf numFmtId="0" fontId="5" fillId="0" borderId="0" xfId="0" applyFont="1" applyFill="1" applyAlignment="1">
      <alignment horizontal="left" vertical="top"/>
    </xf>
    <xf numFmtId="0" fontId="6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top" wrapText="1"/>
    </xf>
    <xf numFmtId="0" fontId="6" fillId="3" borderId="14" xfId="0" applyFont="1" applyFill="1" applyBorder="1" applyAlignment="1">
      <alignment horizontal="center" vertical="top" wrapText="1"/>
    </xf>
    <xf numFmtId="0" fontId="6" fillId="3" borderId="13" xfId="0" applyFont="1" applyFill="1" applyBorder="1" applyAlignment="1">
      <alignment horizontal="center" vertical="top" wrapText="1"/>
    </xf>
    <xf numFmtId="0" fontId="6" fillId="3" borderId="12" xfId="0" applyFont="1" applyFill="1" applyBorder="1" applyAlignment="1">
      <alignment horizontal="center"/>
    </xf>
    <xf numFmtId="0" fontId="6" fillId="3" borderId="13" xfId="0" applyFont="1" applyFill="1" applyBorder="1" applyAlignment="1">
      <alignment horizontal="center"/>
    </xf>
    <xf numFmtId="0" fontId="6" fillId="3" borderId="14" xfId="0" applyFont="1" applyFill="1" applyBorder="1" applyAlignment="1">
      <alignment horizontal="center"/>
    </xf>
    <xf numFmtId="0" fontId="6" fillId="3" borderId="12" xfId="0" applyFont="1" applyFill="1" applyBorder="1" applyAlignment="1">
      <alignment horizontal="center" vertical="top"/>
    </xf>
    <xf numFmtId="0" fontId="6" fillId="3" borderId="13" xfId="0" applyFont="1" applyFill="1" applyBorder="1" applyAlignment="1">
      <alignment horizontal="center" vertical="top"/>
    </xf>
    <xf numFmtId="0" fontId="6" fillId="3" borderId="14" xfId="0" applyFont="1" applyFill="1" applyBorder="1" applyAlignment="1">
      <alignment horizontal="center" vertical="top"/>
    </xf>
    <xf numFmtId="0" fontId="8" fillId="4" borderId="2" xfId="0" applyFont="1" applyFill="1" applyBorder="1" applyAlignment="1">
      <alignment horizontal="left" vertical="top"/>
    </xf>
    <xf numFmtId="0" fontId="6" fillId="3" borderId="3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8" fillId="4" borderId="12" xfId="0" quotePrefix="1" applyFont="1" applyFill="1" applyBorder="1" applyAlignment="1">
      <alignment horizontal="right"/>
    </xf>
    <xf numFmtId="0" fontId="8" fillId="4" borderId="13" xfId="0" quotePrefix="1" applyFont="1" applyFill="1" applyBorder="1" applyAlignment="1">
      <alignment horizontal="right"/>
    </xf>
    <xf numFmtId="0" fontId="8" fillId="4" borderId="14" xfId="0" quotePrefix="1" applyFont="1" applyFill="1" applyBorder="1" applyAlignment="1">
      <alignment horizontal="right"/>
    </xf>
    <xf numFmtId="0" fontId="8" fillId="4" borderId="12" xfId="0" applyFont="1" applyFill="1" applyBorder="1" applyAlignment="1">
      <alignment horizontal="right"/>
    </xf>
    <xf numFmtId="0" fontId="8" fillId="4" borderId="13" xfId="0" applyFont="1" applyFill="1" applyBorder="1" applyAlignment="1">
      <alignment horizontal="right"/>
    </xf>
    <xf numFmtId="0" fontId="8" fillId="4" borderId="14" xfId="0" applyFont="1" applyFill="1" applyBorder="1" applyAlignment="1">
      <alignment horizontal="right"/>
    </xf>
    <xf numFmtId="0" fontId="6" fillId="3" borderId="11" xfId="0" applyFont="1" applyFill="1" applyBorder="1" applyAlignment="1">
      <alignment horizontal="center" vertical="center"/>
    </xf>
  </cellXfs>
  <cellStyles count="4">
    <cellStyle name="Comma" xfId="1" builtinId="3"/>
    <cellStyle name="Comma [0]" xfId="2" builtinId="6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-0.249977111117893"/>
  </sheetPr>
  <dimension ref="A1:AS88"/>
  <sheetViews>
    <sheetView tabSelected="1" showRuler="0" view="pageBreakPreview" topLeftCell="A46" zoomScale="70" zoomScaleNormal="40" zoomScaleSheetLayoutView="70" zoomScalePageLayoutView="55" workbookViewId="0">
      <selection activeCell="Z52" sqref="Z52"/>
    </sheetView>
  </sheetViews>
  <sheetFormatPr defaultColWidth="9.140625" defaultRowHeight="14.25" x14ac:dyDescent="0.2"/>
  <cols>
    <col min="1" max="1" width="6.42578125" style="2" customWidth="1"/>
    <col min="2" max="2" width="18" style="2" customWidth="1"/>
    <col min="3" max="3" width="14.85546875" style="2" customWidth="1"/>
    <col min="4" max="4" width="15" style="2" customWidth="1"/>
    <col min="5" max="5" width="9.28515625" style="2" customWidth="1"/>
    <col min="6" max="6" width="7.7109375" style="2" customWidth="1"/>
    <col min="7" max="7" width="18.28515625" style="2" customWidth="1"/>
    <col min="8" max="8" width="7.28515625" style="2" customWidth="1"/>
    <col min="9" max="9" width="7.7109375" style="2" customWidth="1"/>
    <col min="10" max="10" width="21.42578125" style="2" customWidth="1"/>
    <col min="11" max="11" width="9" style="2" customWidth="1"/>
    <col min="12" max="12" width="7.5703125" style="2" customWidth="1"/>
    <col min="13" max="13" width="19.28515625" style="2" customWidth="1"/>
    <col min="14" max="14" width="9.5703125" style="2" customWidth="1"/>
    <col min="15" max="15" width="8" style="2" customWidth="1"/>
    <col min="16" max="16" width="18.28515625" style="2" customWidth="1"/>
    <col min="17" max="18" width="7.7109375" style="2" customWidth="1"/>
    <col min="19" max="19" width="18.7109375" style="2" customWidth="1"/>
    <col min="20" max="20" width="7.7109375" style="2" customWidth="1"/>
    <col min="21" max="21" width="8" style="2" customWidth="1"/>
    <col min="22" max="22" width="18.28515625" style="2" customWidth="1"/>
    <col min="23" max="23" width="9" style="2" customWidth="1"/>
    <col min="24" max="24" width="7.5703125" style="2" customWidth="1"/>
    <col min="25" max="25" width="17.85546875" style="2" customWidth="1"/>
    <col min="26" max="26" width="9.5703125" style="2" customWidth="1"/>
    <col min="27" max="27" width="5.5703125" style="4" customWidth="1"/>
    <col min="28" max="28" width="8" style="2" customWidth="1"/>
    <col min="29" max="29" width="5.7109375" style="4" customWidth="1"/>
    <col min="30" max="30" width="16.85546875" style="2" customWidth="1"/>
    <col min="31" max="31" width="8" style="2" customWidth="1"/>
    <col min="32" max="32" width="5.7109375" style="4" customWidth="1"/>
    <col min="33" max="33" width="10.42578125" style="2" customWidth="1"/>
    <col min="34" max="34" width="5.5703125" style="4" customWidth="1"/>
    <col min="35" max="35" width="17.140625" style="2" customWidth="1"/>
    <col min="36" max="36" width="8" style="2" customWidth="1"/>
    <col min="37" max="37" width="5.7109375" style="4" customWidth="1"/>
    <col min="38" max="38" width="10" style="2" customWidth="1"/>
    <col min="39" max="39" width="15" style="2" customWidth="1"/>
    <col min="40" max="40" width="9.140625" style="2"/>
    <col min="41" max="45" width="19.5703125" style="2" customWidth="1"/>
    <col min="46" max="16384" width="9.140625" style="2"/>
  </cols>
  <sheetData>
    <row r="1" spans="1:45" ht="23.25" x14ac:dyDescent="0.35">
      <c r="A1" s="106" t="s">
        <v>0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  <c r="U1" s="106"/>
      <c r="V1" s="106"/>
      <c r="W1" s="106"/>
      <c r="X1" s="106"/>
      <c r="Y1" s="106"/>
      <c r="Z1" s="106"/>
      <c r="AA1" s="106"/>
      <c r="AB1" s="106"/>
      <c r="AC1" s="106"/>
      <c r="AD1" s="106"/>
      <c r="AE1" s="106"/>
      <c r="AF1" s="106"/>
      <c r="AG1" s="106"/>
      <c r="AH1" s="106"/>
      <c r="AI1" s="106"/>
      <c r="AJ1" s="106"/>
      <c r="AK1" s="106"/>
      <c r="AL1" s="106"/>
      <c r="AM1" s="1"/>
    </row>
    <row r="2" spans="1:45" ht="23.25" x14ac:dyDescent="0.35">
      <c r="A2" s="106" t="s">
        <v>1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  <c r="V2" s="106"/>
      <c r="W2" s="106"/>
      <c r="X2" s="106"/>
      <c r="Y2" s="106"/>
      <c r="Z2" s="106"/>
      <c r="AA2" s="106"/>
      <c r="AB2" s="106"/>
      <c r="AC2" s="106"/>
      <c r="AD2" s="106"/>
      <c r="AE2" s="106"/>
      <c r="AF2" s="106"/>
      <c r="AG2" s="106"/>
      <c r="AH2" s="106"/>
      <c r="AI2" s="106"/>
      <c r="AJ2" s="106"/>
      <c r="AK2" s="106"/>
      <c r="AL2" s="106"/>
      <c r="AM2" s="3"/>
    </row>
    <row r="3" spans="1:45" ht="23.25" x14ac:dyDescent="0.35">
      <c r="A3" s="106" t="s">
        <v>189</v>
      </c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  <c r="U3" s="106"/>
      <c r="V3" s="106"/>
      <c r="W3" s="106"/>
      <c r="X3" s="106"/>
      <c r="Y3" s="106"/>
      <c r="Z3" s="106"/>
      <c r="AA3" s="106"/>
      <c r="AB3" s="106"/>
      <c r="AC3" s="106"/>
      <c r="AD3" s="106"/>
      <c r="AE3" s="106"/>
      <c r="AF3" s="106"/>
      <c r="AG3" s="106"/>
      <c r="AH3" s="106"/>
      <c r="AI3" s="106"/>
      <c r="AJ3" s="106"/>
      <c r="AK3" s="106"/>
      <c r="AL3" s="106"/>
      <c r="AM3" s="3"/>
    </row>
    <row r="4" spans="1:45" ht="23.25" x14ac:dyDescent="0.35">
      <c r="A4" s="107" t="s">
        <v>187</v>
      </c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107"/>
      <c r="P4" s="107"/>
      <c r="Q4" s="107"/>
      <c r="R4" s="107"/>
      <c r="S4" s="107"/>
      <c r="T4" s="107"/>
      <c r="U4" s="107"/>
      <c r="V4" s="107"/>
      <c r="W4" s="107"/>
      <c r="X4" s="107"/>
      <c r="Y4" s="107"/>
      <c r="Z4" s="107"/>
      <c r="AA4" s="107"/>
      <c r="AB4" s="107"/>
      <c r="AC4" s="107"/>
      <c r="AD4" s="107"/>
      <c r="AE4" s="107"/>
      <c r="AF4" s="107"/>
      <c r="AG4" s="107"/>
      <c r="AH4" s="107"/>
      <c r="AI4" s="107"/>
      <c r="AJ4" s="107"/>
      <c r="AK4" s="107"/>
      <c r="AL4" s="107"/>
      <c r="AM4" s="1"/>
    </row>
    <row r="5" spans="1:45" ht="18" x14ac:dyDescent="0.2">
      <c r="A5" s="108" t="s">
        <v>2</v>
      </c>
      <c r="B5" s="108"/>
      <c r="C5" s="108"/>
      <c r="D5" s="108"/>
      <c r="E5" s="108"/>
      <c r="F5" s="108"/>
      <c r="G5" s="108"/>
      <c r="H5" s="108"/>
      <c r="I5" s="108"/>
      <c r="J5" s="108"/>
      <c r="K5" s="108"/>
      <c r="L5" s="108"/>
      <c r="M5" s="108"/>
      <c r="N5" s="108"/>
      <c r="O5" s="108"/>
      <c r="P5" s="108"/>
      <c r="Q5" s="108"/>
      <c r="R5" s="108"/>
      <c r="S5" s="108"/>
      <c r="T5" s="108"/>
      <c r="U5" s="108"/>
      <c r="V5" s="108"/>
      <c r="W5" s="108"/>
      <c r="X5" s="108"/>
      <c r="Y5" s="108"/>
      <c r="Z5" s="108"/>
      <c r="AA5" s="108"/>
      <c r="AB5" s="108"/>
      <c r="AC5" s="108"/>
      <c r="AD5" s="108"/>
      <c r="AE5" s="108"/>
      <c r="AF5" s="108"/>
      <c r="AG5" s="108"/>
      <c r="AH5" s="108"/>
      <c r="AI5" s="108"/>
      <c r="AJ5" s="108"/>
      <c r="AK5" s="108"/>
      <c r="AL5" s="108"/>
    </row>
    <row r="6" spans="1:45" ht="18" x14ac:dyDescent="0.25">
      <c r="A6" s="102" t="s">
        <v>189</v>
      </c>
      <c r="B6" s="102"/>
      <c r="C6" s="102"/>
      <c r="D6" s="102"/>
      <c r="E6" s="102"/>
      <c r="F6" s="102"/>
      <c r="G6" s="102"/>
      <c r="H6" s="102"/>
      <c r="I6" s="102"/>
      <c r="J6" s="102"/>
      <c r="K6" s="102"/>
      <c r="L6" s="102"/>
      <c r="M6" s="102"/>
      <c r="N6" s="102"/>
      <c r="O6" s="102"/>
      <c r="P6" s="102"/>
      <c r="Q6" s="102"/>
      <c r="R6" s="102"/>
      <c r="S6" s="102"/>
      <c r="T6" s="102"/>
      <c r="U6" s="102"/>
      <c r="V6" s="102"/>
      <c r="W6" s="102"/>
      <c r="X6" s="102"/>
      <c r="Y6" s="102"/>
      <c r="Z6" s="102"/>
      <c r="AA6" s="102"/>
      <c r="AB6" s="102"/>
      <c r="AC6" s="102"/>
      <c r="AD6" s="102"/>
      <c r="AE6" s="102"/>
      <c r="AF6" s="102"/>
      <c r="AG6" s="102"/>
      <c r="AH6" s="102"/>
      <c r="AI6" s="102"/>
      <c r="AJ6" s="102"/>
      <c r="AK6" s="102"/>
      <c r="AL6" s="102"/>
    </row>
    <row r="7" spans="1:45" ht="81" customHeight="1" x14ac:dyDescent="0.2">
      <c r="A7" s="109" t="s">
        <v>3</v>
      </c>
      <c r="B7" s="109" t="s">
        <v>4</v>
      </c>
      <c r="C7" s="110" t="s">
        <v>5</v>
      </c>
      <c r="D7" s="110" t="s">
        <v>6</v>
      </c>
      <c r="E7" s="93" t="s">
        <v>7</v>
      </c>
      <c r="F7" s="94"/>
      <c r="G7" s="95"/>
      <c r="H7" s="93" t="s">
        <v>8</v>
      </c>
      <c r="I7" s="94"/>
      <c r="J7" s="95"/>
      <c r="K7" s="93" t="s">
        <v>9</v>
      </c>
      <c r="L7" s="94"/>
      <c r="M7" s="94"/>
      <c r="N7" s="93" t="s">
        <v>10</v>
      </c>
      <c r="O7" s="94"/>
      <c r="P7" s="94"/>
      <c r="Q7" s="94"/>
      <c r="R7" s="94"/>
      <c r="S7" s="94"/>
      <c r="T7" s="94"/>
      <c r="U7" s="94"/>
      <c r="V7" s="94"/>
      <c r="W7" s="94"/>
      <c r="X7" s="94"/>
      <c r="Y7" s="95"/>
      <c r="Z7" s="93" t="s">
        <v>171</v>
      </c>
      <c r="AA7" s="94"/>
      <c r="AB7" s="94"/>
      <c r="AC7" s="94"/>
      <c r="AD7" s="94"/>
      <c r="AE7" s="94"/>
      <c r="AF7" s="95"/>
      <c r="AG7" s="93" t="s">
        <v>11</v>
      </c>
      <c r="AH7" s="94"/>
      <c r="AI7" s="95"/>
      <c r="AJ7" s="93" t="s">
        <v>12</v>
      </c>
      <c r="AK7" s="94"/>
      <c r="AL7" s="94"/>
      <c r="AM7" s="111" t="s">
        <v>13</v>
      </c>
      <c r="AO7" s="4"/>
      <c r="AP7" s="4"/>
      <c r="AQ7" s="4"/>
      <c r="AR7" s="4"/>
      <c r="AS7" s="4"/>
    </row>
    <row r="8" spans="1:45" ht="18" customHeight="1" x14ac:dyDescent="0.2">
      <c r="A8" s="109"/>
      <c r="B8" s="109"/>
      <c r="C8" s="110"/>
      <c r="D8" s="110"/>
      <c r="E8" s="96"/>
      <c r="F8" s="97"/>
      <c r="G8" s="98"/>
      <c r="H8" s="96"/>
      <c r="I8" s="97"/>
      <c r="J8" s="98"/>
      <c r="K8" s="99"/>
      <c r="L8" s="100"/>
      <c r="M8" s="100"/>
      <c r="N8" s="99"/>
      <c r="O8" s="100"/>
      <c r="P8" s="100"/>
      <c r="Q8" s="100"/>
      <c r="R8" s="100"/>
      <c r="S8" s="100"/>
      <c r="T8" s="100"/>
      <c r="U8" s="100"/>
      <c r="V8" s="100"/>
      <c r="W8" s="100"/>
      <c r="X8" s="100"/>
      <c r="Y8" s="101"/>
      <c r="Z8" s="99"/>
      <c r="AA8" s="100"/>
      <c r="AB8" s="100"/>
      <c r="AC8" s="100"/>
      <c r="AD8" s="100"/>
      <c r="AE8" s="100"/>
      <c r="AF8" s="101"/>
      <c r="AG8" s="99"/>
      <c r="AH8" s="100"/>
      <c r="AI8" s="101"/>
      <c r="AJ8" s="99"/>
      <c r="AK8" s="100"/>
      <c r="AL8" s="100"/>
      <c r="AM8" s="112"/>
    </row>
    <row r="9" spans="1:45" ht="15.75" customHeight="1" x14ac:dyDescent="0.2">
      <c r="A9" s="109"/>
      <c r="B9" s="109"/>
      <c r="C9" s="110"/>
      <c r="D9" s="110"/>
      <c r="E9" s="99"/>
      <c r="F9" s="100"/>
      <c r="G9" s="101"/>
      <c r="H9" s="99"/>
      <c r="I9" s="100"/>
      <c r="J9" s="101"/>
      <c r="K9" s="113">
        <v>2020</v>
      </c>
      <c r="L9" s="114"/>
      <c r="M9" s="115"/>
      <c r="N9" s="103" t="s">
        <v>14</v>
      </c>
      <c r="O9" s="104"/>
      <c r="P9" s="105"/>
      <c r="Q9" s="103" t="s">
        <v>15</v>
      </c>
      <c r="R9" s="104"/>
      <c r="S9" s="105"/>
      <c r="T9" s="103" t="s">
        <v>16</v>
      </c>
      <c r="U9" s="104"/>
      <c r="V9" s="105"/>
      <c r="W9" s="103" t="s">
        <v>17</v>
      </c>
      <c r="X9" s="104"/>
      <c r="Y9" s="105"/>
      <c r="Z9" s="103">
        <v>2020</v>
      </c>
      <c r="AA9" s="104"/>
      <c r="AB9" s="104"/>
      <c r="AC9" s="104"/>
      <c r="AD9" s="104"/>
      <c r="AE9" s="104"/>
      <c r="AF9" s="105"/>
      <c r="AG9" s="103">
        <v>2020</v>
      </c>
      <c r="AH9" s="104"/>
      <c r="AI9" s="105"/>
      <c r="AJ9" s="103">
        <v>2020</v>
      </c>
      <c r="AK9" s="104"/>
      <c r="AL9" s="105"/>
      <c r="AM9" s="5"/>
    </row>
    <row r="10" spans="1:45" s="7" customFormat="1" ht="15.75" x14ac:dyDescent="0.25">
      <c r="A10" s="132">
        <v>1</v>
      </c>
      <c r="B10" s="132">
        <v>2</v>
      </c>
      <c r="C10" s="132">
        <v>3</v>
      </c>
      <c r="D10" s="132">
        <v>4</v>
      </c>
      <c r="E10" s="116">
        <v>5</v>
      </c>
      <c r="F10" s="118"/>
      <c r="G10" s="117"/>
      <c r="H10" s="116">
        <v>6</v>
      </c>
      <c r="I10" s="118"/>
      <c r="J10" s="117"/>
      <c r="K10" s="122">
        <v>7</v>
      </c>
      <c r="L10" s="123"/>
      <c r="M10" s="124"/>
      <c r="N10" s="122">
        <v>8</v>
      </c>
      <c r="O10" s="123"/>
      <c r="P10" s="124"/>
      <c r="Q10" s="122">
        <v>9</v>
      </c>
      <c r="R10" s="123"/>
      <c r="S10" s="124"/>
      <c r="T10" s="122">
        <v>10</v>
      </c>
      <c r="U10" s="123"/>
      <c r="V10" s="124"/>
      <c r="W10" s="122">
        <v>11</v>
      </c>
      <c r="X10" s="123"/>
      <c r="Y10" s="124"/>
      <c r="Z10" s="119">
        <v>12</v>
      </c>
      <c r="AA10" s="120"/>
      <c r="AB10" s="120"/>
      <c r="AC10" s="120"/>
      <c r="AD10" s="120"/>
      <c r="AE10" s="120"/>
      <c r="AF10" s="121"/>
      <c r="AG10" s="119">
        <v>13</v>
      </c>
      <c r="AH10" s="120"/>
      <c r="AI10" s="121"/>
      <c r="AJ10" s="119">
        <v>14</v>
      </c>
      <c r="AK10" s="120"/>
      <c r="AL10" s="121"/>
      <c r="AM10" s="6">
        <v>15</v>
      </c>
    </row>
    <row r="11" spans="1:45" s="7" customFormat="1" ht="87" customHeight="1" x14ac:dyDescent="0.2">
      <c r="A11" s="139"/>
      <c r="B11" s="139"/>
      <c r="C11" s="139"/>
      <c r="D11" s="139"/>
      <c r="E11" s="126" t="s">
        <v>18</v>
      </c>
      <c r="F11" s="127"/>
      <c r="G11" s="130" t="s">
        <v>19</v>
      </c>
      <c r="H11" s="126" t="s">
        <v>18</v>
      </c>
      <c r="I11" s="127"/>
      <c r="J11" s="130" t="s">
        <v>19</v>
      </c>
      <c r="K11" s="126" t="s">
        <v>18</v>
      </c>
      <c r="L11" s="127"/>
      <c r="M11" s="132" t="s">
        <v>19</v>
      </c>
      <c r="N11" s="126" t="s">
        <v>18</v>
      </c>
      <c r="O11" s="127"/>
      <c r="P11" s="132" t="s">
        <v>19</v>
      </c>
      <c r="Q11" s="126" t="s">
        <v>18</v>
      </c>
      <c r="R11" s="127"/>
      <c r="S11" s="132" t="s">
        <v>19</v>
      </c>
      <c r="T11" s="126" t="s">
        <v>18</v>
      </c>
      <c r="U11" s="127"/>
      <c r="V11" s="132" t="s">
        <v>19</v>
      </c>
      <c r="W11" s="126" t="s">
        <v>18</v>
      </c>
      <c r="X11" s="127"/>
      <c r="Y11" s="132" t="s">
        <v>19</v>
      </c>
      <c r="Z11" s="116" t="s">
        <v>20</v>
      </c>
      <c r="AA11" s="117"/>
      <c r="AB11" s="116" t="s">
        <v>172</v>
      </c>
      <c r="AC11" s="117"/>
      <c r="AD11" s="8" t="s">
        <v>21</v>
      </c>
      <c r="AE11" s="116" t="s">
        <v>173</v>
      </c>
      <c r="AF11" s="117"/>
      <c r="AG11" s="116" t="s">
        <v>22</v>
      </c>
      <c r="AH11" s="117"/>
      <c r="AI11" s="8" t="s">
        <v>23</v>
      </c>
      <c r="AJ11" s="116" t="s">
        <v>24</v>
      </c>
      <c r="AK11" s="117"/>
      <c r="AL11" s="8" t="s">
        <v>25</v>
      </c>
      <c r="AM11" s="9"/>
    </row>
    <row r="12" spans="1:45" s="7" customFormat="1" ht="15.75" x14ac:dyDescent="0.2">
      <c r="A12" s="130"/>
      <c r="B12" s="130"/>
      <c r="C12" s="130"/>
      <c r="D12" s="130"/>
      <c r="E12" s="128"/>
      <c r="F12" s="129"/>
      <c r="G12" s="131"/>
      <c r="H12" s="128"/>
      <c r="I12" s="129"/>
      <c r="J12" s="131"/>
      <c r="K12" s="128"/>
      <c r="L12" s="129"/>
      <c r="M12" s="130"/>
      <c r="N12" s="128"/>
      <c r="O12" s="129"/>
      <c r="P12" s="130"/>
      <c r="Q12" s="128"/>
      <c r="R12" s="129"/>
      <c r="S12" s="130"/>
      <c r="T12" s="128"/>
      <c r="U12" s="129"/>
      <c r="V12" s="130"/>
      <c r="W12" s="128"/>
      <c r="X12" s="129"/>
      <c r="Y12" s="130"/>
      <c r="Z12" s="128" t="s">
        <v>18</v>
      </c>
      <c r="AA12" s="129"/>
      <c r="AB12" s="128" t="s">
        <v>18</v>
      </c>
      <c r="AC12" s="129"/>
      <c r="AD12" s="10" t="s">
        <v>19</v>
      </c>
      <c r="AE12" s="128" t="s">
        <v>19</v>
      </c>
      <c r="AF12" s="129"/>
      <c r="AG12" s="128" t="s">
        <v>18</v>
      </c>
      <c r="AH12" s="129"/>
      <c r="AI12" s="10" t="s">
        <v>19</v>
      </c>
      <c r="AJ12" s="128" t="s">
        <v>18</v>
      </c>
      <c r="AK12" s="129"/>
      <c r="AL12" s="10" t="s">
        <v>19</v>
      </c>
      <c r="AM12" s="85"/>
    </row>
    <row r="13" spans="1:45" ht="141.75" x14ac:dyDescent="0.2">
      <c r="A13" s="48">
        <v>1</v>
      </c>
      <c r="B13" s="14" t="s">
        <v>26</v>
      </c>
      <c r="C13" s="49" t="s">
        <v>27</v>
      </c>
      <c r="D13" s="16" t="s">
        <v>61</v>
      </c>
      <c r="E13" s="55">
        <v>89.06</v>
      </c>
      <c r="F13" s="46" t="s">
        <v>55</v>
      </c>
      <c r="G13" s="76">
        <f>SUM(G15:G16)</f>
        <v>47000000</v>
      </c>
      <c r="H13" s="55">
        <v>80.099999999999994</v>
      </c>
      <c r="I13" s="46" t="s">
        <v>55</v>
      </c>
      <c r="J13" s="76">
        <f>SUM(J15:J16)</f>
        <v>9330000</v>
      </c>
      <c r="K13" s="45">
        <v>82.55</v>
      </c>
      <c r="L13" s="46" t="s">
        <v>55</v>
      </c>
      <c r="M13" s="76">
        <f>SUM(M15:M16)</f>
        <v>4700000</v>
      </c>
      <c r="N13" s="54">
        <v>0.27</v>
      </c>
      <c r="O13" s="46" t="s">
        <v>55</v>
      </c>
      <c r="P13" s="76">
        <f>SUM(P15:P16)</f>
        <v>2500000</v>
      </c>
      <c r="Q13" s="54">
        <v>0</v>
      </c>
      <c r="R13" s="46" t="s">
        <v>55</v>
      </c>
      <c r="S13" s="76">
        <f>SUM(S15:S16)</f>
        <v>0</v>
      </c>
      <c r="T13" s="54">
        <v>0</v>
      </c>
      <c r="U13" s="46" t="s">
        <v>55</v>
      </c>
      <c r="V13" s="76">
        <f>SUM(V15:V16)</f>
        <v>1310500</v>
      </c>
      <c r="W13" s="54">
        <v>0</v>
      </c>
      <c r="X13" s="46" t="s">
        <v>55</v>
      </c>
      <c r="Y13" s="76">
        <f>SUM(Y15:Y16)</f>
        <v>888250</v>
      </c>
      <c r="Z13" s="63">
        <f>N13+Q13+T13+W13</f>
        <v>0.27</v>
      </c>
      <c r="AA13" s="46" t="s">
        <v>55</v>
      </c>
      <c r="AB13" s="63">
        <f>AG13/K13*100</f>
        <v>97.359176256814038</v>
      </c>
      <c r="AC13" s="65" t="s">
        <v>60</v>
      </c>
      <c r="AD13" s="77">
        <f>P13+S13+V13+Y13</f>
        <v>4698750</v>
      </c>
      <c r="AE13" s="79">
        <f>AD13/M13*100</f>
        <v>99.973404255319153</v>
      </c>
      <c r="AF13" s="48" t="s">
        <v>60</v>
      </c>
      <c r="AG13" s="63">
        <f>H13+Z13</f>
        <v>80.36999999999999</v>
      </c>
      <c r="AH13" s="46" t="s">
        <v>55</v>
      </c>
      <c r="AI13" s="77">
        <f>J13+AD13</f>
        <v>14028750</v>
      </c>
      <c r="AJ13" s="63">
        <f>AG13/E13*100</f>
        <v>90.242533123736791</v>
      </c>
      <c r="AK13" s="65" t="s">
        <v>60</v>
      </c>
      <c r="AL13" s="79">
        <f>AI13/G13*100</f>
        <v>29.848404255319149</v>
      </c>
      <c r="AM13" s="22" t="s">
        <v>63</v>
      </c>
      <c r="AP13" s="23">
        <f t="shared" ref="AP13:AP21" si="0">P13+S13+V13+Y13</f>
        <v>4698750</v>
      </c>
    </row>
    <row r="14" spans="1:45" ht="110.25" x14ac:dyDescent="0.2">
      <c r="A14" s="13"/>
      <c r="B14" s="14"/>
      <c r="C14" s="15"/>
      <c r="D14" s="16" t="s">
        <v>62</v>
      </c>
      <c r="E14" s="45">
        <v>100</v>
      </c>
      <c r="F14" s="46" t="s">
        <v>60</v>
      </c>
      <c r="G14" s="12"/>
      <c r="H14" s="45">
        <v>100</v>
      </c>
      <c r="I14" s="46" t="s">
        <v>60</v>
      </c>
      <c r="J14" s="26"/>
      <c r="K14" s="45">
        <v>100</v>
      </c>
      <c r="L14" s="46" t="s">
        <v>60</v>
      </c>
      <c r="M14" s="41"/>
      <c r="N14" s="55">
        <f>N16/K16*100</f>
        <v>33.333333333333329</v>
      </c>
      <c r="O14" s="46" t="s">
        <v>60</v>
      </c>
      <c r="P14" s="56"/>
      <c r="Q14" s="55">
        <f>Q16/K16*100</f>
        <v>25</v>
      </c>
      <c r="R14" s="46" t="s">
        <v>60</v>
      </c>
      <c r="S14" s="56"/>
      <c r="T14" s="55">
        <f>T16/K16*100</f>
        <v>33.333333333333329</v>
      </c>
      <c r="U14" s="46" t="s">
        <v>60</v>
      </c>
      <c r="V14" s="56"/>
      <c r="W14" s="55">
        <f>W16/K16*100</f>
        <v>8.3333333333333321</v>
      </c>
      <c r="X14" s="46" t="s">
        <v>60</v>
      </c>
      <c r="Y14" s="56"/>
      <c r="Z14" s="63">
        <f>N14+Q14+T14+W14</f>
        <v>99.999999999999986</v>
      </c>
      <c r="AA14" s="46" t="s">
        <v>60</v>
      </c>
      <c r="AB14" s="63">
        <f>Z14/K14*100</f>
        <v>99.999999999999986</v>
      </c>
      <c r="AC14" s="65" t="s">
        <v>60</v>
      </c>
      <c r="AD14" s="78"/>
      <c r="AE14" s="80"/>
      <c r="AF14" s="84"/>
      <c r="AG14" s="63">
        <f>H14+Z14</f>
        <v>200</v>
      </c>
      <c r="AH14" s="46" t="s">
        <v>60</v>
      </c>
      <c r="AI14" s="78"/>
      <c r="AJ14" s="63">
        <f>AG14/E14*100</f>
        <v>200</v>
      </c>
      <c r="AK14" s="65" t="s">
        <v>60</v>
      </c>
      <c r="AL14" s="80"/>
      <c r="AM14" s="22"/>
      <c r="AP14" s="23"/>
    </row>
    <row r="15" spans="1:45" ht="75" x14ac:dyDescent="0.2">
      <c r="A15" s="13"/>
      <c r="B15" s="14"/>
      <c r="C15" s="24" t="s">
        <v>29</v>
      </c>
      <c r="D15" s="28" t="s">
        <v>137</v>
      </c>
      <c r="E15" s="17">
        <f>15*5</f>
        <v>75</v>
      </c>
      <c r="F15" s="18" t="s">
        <v>56</v>
      </c>
      <c r="G15" s="50">
        <f>4700000*5</f>
        <v>23500000</v>
      </c>
      <c r="H15" s="17">
        <v>15</v>
      </c>
      <c r="I15" s="18" t="s">
        <v>56</v>
      </c>
      <c r="J15" s="20">
        <v>4630000</v>
      </c>
      <c r="K15" s="17">
        <v>15</v>
      </c>
      <c r="L15" s="18" t="s">
        <v>56</v>
      </c>
      <c r="M15" s="21">
        <v>2350000</v>
      </c>
      <c r="N15" s="17">
        <v>6</v>
      </c>
      <c r="O15" s="18" t="s">
        <v>56</v>
      </c>
      <c r="P15" s="21">
        <v>1250000</v>
      </c>
      <c r="Q15" s="17">
        <v>3</v>
      </c>
      <c r="R15" s="18" t="s">
        <v>56</v>
      </c>
      <c r="S15" s="21">
        <v>0</v>
      </c>
      <c r="T15" s="17">
        <v>3</v>
      </c>
      <c r="U15" s="18" t="s">
        <v>56</v>
      </c>
      <c r="V15" s="21">
        <v>211500</v>
      </c>
      <c r="W15" s="17">
        <v>3</v>
      </c>
      <c r="X15" s="18" t="s">
        <v>56</v>
      </c>
      <c r="Y15" s="21">
        <v>888250</v>
      </c>
      <c r="Z15" s="62">
        <f>N15+Q15+T15+W15</f>
        <v>15</v>
      </c>
      <c r="AA15" s="18" t="s">
        <v>56</v>
      </c>
      <c r="AB15" s="61">
        <f>Z15/K15*100</f>
        <v>100</v>
      </c>
      <c r="AC15" s="34" t="s">
        <v>60</v>
      </c>
      <c r="AD15" s="40">
        <f>P15+S15+V15+Y15</f>
        <v>2349750</v>
      </c>
      <c r="AE15" s="61">
        <f>AD15/M15*100</f>
        <v>99.989361702127653</v>
      </c>
      <c r="AF15" s="34" t="s">
        <v>60</v>
      </c>
      <c r="AG15" s="62">
        <f>H15+Z15</f>
        <v>30</v>
      </c>
      <c r="AH15" s="18" t="s">
        <v>56</v>
      </c>
      <c r="AI15" s="40">
        <f>J15+AD15</f>
        <v>6979750</v>
      </c>
      <c r="AJ15" s="61">
        <f>AG15/E15*100</f>
        <v>40</v>
      </c>
      <c r="AK15" s="34" t="s">
        <v>60</v>
      </c>
      <c r="AL15" s="61">
        <f>AI15/G15*100</f>
        <v>29.701063829787234</v>
      </c>
      <c r="AM15" s="11"/>
      <c r="AP15" s="23"/>
    </row>
    <row r="16" spans="1:45" ht="90" x14ac:dyDescent="0.2">
      <c r="A16" s="13"/>
      <c r="B16" s="14"/>
      <c r="C16" s="24" t="s">
        <v>28</v>
      </c>
      <c r="D16" s="28" t="s">
        <v>138</v>
      </c>
      <c r="E16" s="17">
        <f>12*5</f>
        <v>60</v>
      </c>
      <c r="F16" s="18" t="s">
        <v>56</v>
      </c>
      <c r="G16" s="50">
        <f>4700000*5</f>
        <v>23500000</v>
      </c>
      <c r="H16" s="17">
        <v>12</v>
      </c>
      <c r="I16" s="18" t="s">
        <v>56</v>
      </c>
      <c r="J16" s="20">
        <v>4700000</v>
      </c>
      <c r="K16" s="17">
        <v>12</v>
      </c>
      <c r="L16" s="18" t="s">
        <v>56</v>
      </c>
      <c r="M16" s="21">
        <v>2350000</v>
      </c>
      <c r="N16" s="17">
        <v>4</v>
      </c>
      <c r="O16" s="18" t="s">
        <v>56</v>
      </c>
      <c r="P16" s="21">
        <v>1250000</v>
      </c>
      <c r="Q16" s="17">
        <v>3</v>
      </c>
      <c r="R16" s="18" t="s">
        <v>56</v>
      </c>
      <c r="S16" s="21">
        <v>0</v>
      </c>
      <c r="T16" s="17">
        <v>4</v>
      </c>
      <c r="U16" s="18" t="s">
        <v>56</v>
      </c>
      <c r="V16" s="21">
        <v>1099000</v>
      </c>
      <c r="W16" s="17">
        <v>1</v>
      </c>
      <c r="X16" s="18" t="s">
        <v>56</v>
      </c>
      <c r="Y16" s="21">
        <v>0</v>
      </c>
      <c r="Z16" s="62">
        <f t="shared" ref="Z16:Z67" si="1">N16+Q16+T16+W16</f>
        <v>12</v>
      </c>
      <c r="AA16" s="18" t="s">
        <v>56</v>
      </c>
      <c r="AB16" s="61">
        <f>Z16/K16*100</f>
        <v>100</v>
      </c>
      <c r="AC16" s="34" t="s">
        <v>60</v>
      </c>
      <c r="AD16" s="40">
        <f>P16+S16+V16+Y16</f>
        <v>2349000</v>
      </c>
      <c r="AE16" s="61">
        <f>AD16/M16*100</f>
        <v>99.957446808510639</v>
      </c>
      <c r="AF16" s="34" t="s">
        <v>60</v>
      </c>
      <c r="AG16" s="62">
        <f t="shared" ref="AG16:AG67" si="2">H16+Z16</f>
        <v>24</v>
      </c>
      <c r="AH16" s="18" t="s">
        <v>56</v>
      </c>
      <c r="AI16" s="40">
        <f t="shared" ref="AI16:AI67" si="3">J16+AD16</f>
        <v>7049000</v>
      </c>
      <c r="AJ16" s="61">
        <f>AG16/E16*100</f>
        <v>40</v>
      </c>
      <c r="AK16" s="34" t="s">
        <v>60</v>
      </c>
      <c r="AL16" s="61">
        <f t="shared" ref="AL16:AL67" si="4">AI16/G16*100</f>
        <v>29.995744680851068</v>
      </c>
      <c r="AM16" s="11"/>
      <c r="AP16" s="23"/>
    </row>
    <row r="17" spans="1:42" ht="85.5" customHeight="1" x14ac:dyDescent="0.2">
      <c r="A17" s="48">
        <v>2</v>
      </c>
      <c r="B17" s="49" t="s">
        <v>30</v>
      </c>
      <c r="C17" s="14" t="s">
        <v>31</v>
      </c>
      <c r="D17" s="15" t="s">
        <v>139</v>
      </c>
      <c r="E17" s="45">
        <v>100</v>
      </c>
      <c r="F17" s="46" t="s">
        <v>60</v>
      </c>
      <c r="G17" s="41">
        <f>SUM(G18:G23)</f>
        <v>8479371695</v>
      </c>
      <c r="H17" s="45">
        <v>100</v>
      </c>
      <c r="I17" s="46" t="s">
        <v>60</v>
      </c>
      <c r="J17" s="41">
        <f>SUM(J18:J23)</f>
        <v>1539970161</v>
      </c>
      <c r="K17" s="45">
        <v>100</v>
      </c>
      <c r="L17" s="46" t="s">
        <v>60</v>
      </c>
      <c r="M17" s="41">
        <f>SUM(M18:M23)</f>
        <v>1014217820</v>
      </c>
      <c r="N17" s="45">
        <v>25</v>
      </c>
      <c r="O17" s="46" t="s">
        <v>60</v>
      </c>
      <c r="P17" s="41">
        <f>SUM(P18:P23)</f>
        <v>283480436</v>
      </c>
      <c r="Q17" s="45">
        <v>25</v>
      </c>
      <c r="R17" s="46" t="s">
        <v>60</v>
      </c>
      <c r="S17" s="41">
        <f>SUM(S18:S23)</f>
        <v>149467060</v>
      </c>
      <c r="T17" s="45">
        <v>25</v>
      </c>
      <c r="U17" s="46" t="s">
        <v>60</v>
      </c>
      <c r="V17" s="41">
        <f>SUM(V18:V23)</f>
        <v>99097569</v>
      </c>
      <c r="W17" s="45">
        <v>25</v>
      </c>
      <c r="X17" s="46" t="s">
        <v>60</v>
      </c>
      <c r="Y17" s="41">
        <f>SUM(Y18:Y23)</f>
        <v>309163350</v>
      </c>
      <c r="Z17" s="66">
        <f t="shared" si="1"/>
        <v>100</v>
      </c>
      <c r="AA17" s="46" t="s">
        <v>60</v>
      </c>
      <c r="AB17" s="63">
        <f>Z17/K17*100</f>
        <v>100</v>
      </c>
      <c r="AC17" s="65" t="s">
        <v>60</v>
      </c>
      <c r="AD17" s="64">
        <f>P17+S17+V17+Y17</f>
        <v>841208415</v>
      </c>
      <c r="AE17" s="63">
        <f>AD17/M17*100</f>
        <v>82.941592862172357</v>
      </c>
      <c r="AF17" s="65" t="s">
        <v>60</v>
      </c>
      <c r="AG17" s="66">
        <f t="shared" si="2"/>
        <v>200</v>
      </c>
      <c r="AH17" s="46" t="s">
        <v>60</v>
      </c>
      <c r="AI17" s="64">
        <f t="shared" si="3"/>
        <v>2381178576</v>
      </c>
      <c r="AJ17" s="63">
        <f t="shared" ref="AJ17:AJ67" si="5">AG17/E17*100</f>
        <v>200</v>
      </c>
      <c r="AK17" s="65" t="s">
        <v>60</v>
      </c>
      <c r="AL17" s="63">
        <f t="shared" si="4"/>
        <v>28.082016706545616</v>
      </c>
      <c r="AM17" s="11"/>
      <c r="AP17" s="23"/>
    </row>
    <row r="18" spans="1:42" ht="60" x14ac:dyDescent="0.2">
      <c r="A18" s="13"/>
      <c r="B18" s="14"/>
      <c r="C18" s="28" t="s">
        <v>64</v>
      </c>
      <c r="D18" s="24" t="s">
        <v>140</v>
      </c>
      <c r="E18" s="17">
        <f>12*5</f>
        <v>60</v>
      </c>
      <c r="F18" s="25" t="s">
        <v>57</v>
      </c>
      <c r="G18" s="56">
        <v>1486474200</v>
      </c>
      <c r="H18" s="43">
        <v>12</v>
      </c>
      <c r="I18" s="25" t="s">
        <v>57</v>
      </c>
      <c r="J18" s="26">
        <v>214068850</v>
      </c>
      <c r="K18" s="43">
        <v>12</v>
      </c>
      <c r="L18" s="25" t="s">
        <v>57</v>
      </c>
      <c r="M18" s="27">
        <v>171309450</v>
      </c>
      <c r="N18" s="75">
        <v>3</v>
      </c>
      <c r="O18" s="25" t="s">
        <v>57</v>
      </c>
      <c r="P18" s="27">
        <v>18449250</v>
      </c>
      <c r="Q18" s="75">
        <v>3</v>
      </c>
      <c r="R18" s="25" t="s">
        <v>57</v>
      </c>
      <c r="S18" s="27">
        <v>44360250</v>
      </c>
      <c r="T18" s="75">
        <v>3</v>
      </c>
      <c r="U18" s="25" t="s">
        <v>57</v>
      </c>
      <c r="V18" s="27">
        <v>2267500</v>
      </c>
      <c r="W18" s="75">
        <v>3</v>
      </c>
      <c r="X18" s="25" t="s">
        <v>57</v>
      </c>
      <c r="Y18" s="27">
        <v>71526950</v>
      </c>
      <c r="Z18" s="62">
        <f t="shared" si="1"/>
        <v>12</v>
      </c>
      <c r="AA18" s="25" t="s">
        <v>57</v>
      </c>
      <c r="AB18" s="61">
        <f>Z18/K18*100</f>
        <v>100</v>
      </c>
      <c r="AC18" s="34" t="s">
        <v>60</v>
      </c>
      <c r="AD18" s="40">
        <f t="shared" ref="AD18:AD67" si="6">P18+S18+V18+Y18</f>
        <v>136603950</v>
      </c>
      <c r="AE18" s="61">
        <f>AD18/M18*100</f>
        <v>79.741047560423553</v>
      </c>
      <c r="AF18" s="34" t="s">
        <v>60</v>
      </c>
      <c r="AG18" s="62">
        <f t="shared" si="2"/>
        <v>24</v>
      </c>
      <c r="AH18" s="25" t="s">
        <v>57</v>
      </c>
      <c r="AI18" s="40">
        <f t="shared" si="3"/>
        <v>350672800</v>
      </c>
      <c r="AJ18" s="61">
        <f t="shared" si="5"/>
        <v>40</v>
      </c>
      <c r="AK18" s="34" t="s">
        <v>60</v>
      </c>
      <c r="AL18" s="61">
        <f t="shared" si="4"/>
        <v>23.590910625963101</v>
      </c>
      <c r="AM18" s="29"/>
      <c r="AP18" s="23">
        <f t="shared" si="0"/>
        <v>136603950</v>
      </c>
    </row>
    <row r="19" spans="1:42" ht="75" x14ac:dyDescent="0.2">
      <c r="A19" s="13"/>
      <c r="B19" s="14"/>
      <c r="C19" s="28" t="s">
        <v>65</v>
      </c>
      <c r="D19" s="24" t="s">
        <v>140</v>
      </c>
      <c r="E19" s="17">
        <f>12*5</f>
        <v>60</v>
      </c>
      <c r="F19" s="25" t="s">
        <v>57</v>
      </c>
      <c r="G19" s="50">
        <f>150000000*5</f>
        <v>750000000</v>
      </c>
      <c r="H19" s="43">
        <v>12</v>
      </c>
      <c r="I19" s="25" t="s">
        <v>57</v>
      </c>
      <c r="J19" s="20">
        <v>131478701</v>
      </c>
      <c r="K19" s="43">
        <v>12</v>
      </c>
      <c r="L19" s="25" t="s">
        <v>57</v>
      </c>
      <c r="M19" s="21">
        <v>150000000</v>
      </c>
      <c r="N19" s="17">
        <v>3</v>
      </c>
      <c r="O19" s="25" t="s">
        <v>57</v>
      </c>
      <c r="P19" s="21">
        <v>27717898</v>
      </c>
      <c r="Q19" s="17">
        <v>3</v>
      </c>
      <c r="R19" s="25" t="s">
        <v>57</v>
      </c>
      <c r="S19" s="21">
        <v>26094164</v>
      </c>
      <c r="T19" s="17">
        <v>3</v>
      </c>
      <c r="U19" s="25" t="s">
        <v>57</v>
      </c>
      <c r="V19" s="21">
        <v>24573923</v>
      </c>
      <c r="W19" s="17">
        <v>3</v>
      </c>
      <c r="X19" s="25" t="s">
        <v>57</v>
      </c>
      <c r="Y19" s="21">
        <v>25553974</v>
      </c>
      <c r="Z19" s="62">
        <f t="shared" si="1"/>
        <v>12</v>
      </c>
      <c r="AA19" s="25" t="s">
        <v>57</v>
      </c>
      <c r="AB19" s="61">
        <f t="shared" ref="AB19:AB55" si="7">Z19/K19*100</f>
        <v>100</v>
      </c>
      <c r="AC19" s="34" t="s">
        <v>60</v>
      </c>
      <c r="AD19" s="40">
        <f t="shared" si="6"/>
        <v>103939959</v>
      </c>
      <c r="AE19" s="61">
        <f t="shared" ref="AE19:AE55" si="8">AD19/M19*100</f>
        <v>69.293306000000001</v>
      </c>
      <c r="AF19" s="34" t="s">
        <v>60</v>
      </c>
      <c r="AG19" s="62">
        <f t="shared" si="2"/>
        <v>24</v>
      </c>
      <c r="AH19" s="25" t="s">
        <v>57</v>
      </c>
      <c r="AI19" s="40">
        <f t="shared" si="3"/>
        <v>235418660</v>
      </c>
      <c r="AJ19" s="61">
        <f t="shared" si="5"/>
        <v>40</v>
      </c>
      <c r="AK19" s="34" t="s">
        <v>60</v>
      </c>
      <c r="AL19" s="61">
        <f t="shared" si="4"/>
        <v>31.38915466666667</v>
      </c>
      <c r="AM19" s="11"/>
      <c r="AP19" s="23">
        <f t="shared" si="0"/>
        <v>103939959</v>
      </c>
    </row>
    <row r="20" spans="1:42" ht="75" x14ac:dyDescent="0.2">
      <c r="A20" s="13"/>
      <c r="B20" s="14"/>
      <c r="C20" s="87" t="s">
        <v>66</v>
      </c>
      <c r="D20" s="88" t="s">
        <v>140</v>
      </c>
      <c r="E20" s="17">
        <f>3*5</f>
        <v>15</v>
      </c>
      <c r="F20" s="18" t="s">
        <v>141</v>
      </c>
      <c r="G20" s="50">
        <f>14000000*5</f>
        <v>70000000</v>
      </c>
      <c r="H20" s="44">
        <v>3</v>
      </c>
      <c r="I20" s="18" t="s">
        <v>141</v>
      </c>
      <c r="J20" s="20">
        <v>14000000</v>
      </c>
      <c r="K20" s="44">
        <v>3</v>
      </c>
      <c r="L20" s="18" t="s">
        <v>141</v>
      </c>
      <c r="M20" s="21">
        <v>0</v>
      </c>
      <c r="N20" s="17"/>
      <c r="O20" s="18"/>
      <c r="P20" s="21"/>
      <c r="Q20" s="17"/>
      <c r="R20" s="18"/>
      <c r="S20" s="21"/>
      <c r="T20" s="17"/>
      <c r="U20" s="18"/>
      <c r="V20" s="21"/>
      <c r="W20" s="17"/>
      <c r="X20" s="18"/>
      <c r="Y20" s="21">
        <v>0</v>
      </c>
      <c r="Z20" s="62"/>
      <c r="AA20" s="18"/>
      <c r="AB20" s="61"/>
      <c r="AC20" s="34"/>
      <c r="AD20" s="40"/>
      <c r="AE20" s="61"/>
      <c r="AF20" s="34"/>
      <c r="AG20" s="62">
        <f t="shared" si="2"/>
        <v>3</v>
      </c>
      <c r="AH20" s="18" t="s">
        <v>141</v>
      </c>
      <c r="AI20" s="40">
        <f t="shared" si="3"/>
        <v>14000000</v>
      </c>
      <c r="AJ20" s="61">
        <f t="shared" si="5"/>
        <v>20</v>
      </c>
      <c r="AK20" s="34" t="s">
        <v>60</v>
      </c>
      <c r="AL20" s="61">
        <f t="shared" si="4"/>
        <v>20</v>
      </c>
      <c r="AM20" s="11"/>
      <c r="AP20" s="23">
        <f t="shared" si="0"/>
        <v>0</v>
      </c>
    </row>
    <row r="21" spans="1:42" ht="60" x14ac:dyDescent="0.2">
      <c r="A21" s="13"/>
      <c r="B21" s="14"/>
      <c r="C21" s="28" t="s">
        <v>67</v>
      </c>
      <c r="D21" s="24" t="s">
        <v>140</v>
      </c>
      <c r="E21" s="17">
        <f>12*5</f>
        <v>60</v>
      </c>
      <c r="F21" s="25" t="s">
        <v>57</v>
      </c>
      <c r="G21" s="50">
        <f>33000000*5</f>
        <v>165000000</v>
      </c>
      <c r="H21" s="43">
        <v>12</v>
      </c>
      <c r="I21" s="25" t="s">
        <v>57</v>
      </c>
      <c r="J21" s="20">
        <v>22428000</v>
      </c>
      <c r="K21" s="43">
        <v>12</v>
      </c>
      <c r="L21" s="25" t="s">
        <v>57</v>
      </c>
      <c r="M21" s="21">
        <v>10800000</v>
      </c>
      <c r="N21" s="17">
        <v>3</v>
      </c>
      <c r="O21" s="25" t="s">
        <v>57</v>
      </c>
      <c r="P21" s="21">
        <v>1404000</v>
      </c>
      <c r="Q21" s="17">
        <v>3</v>
      </c>
      <c r="R21" s="25" t="s">
        <v>57</v>
      </c>
      <c r="S21" s="21">
        <v>840000</v>
      </c>
      <c r="T21" s="17">
        <v>3</v>
      </c>
      <c r="U21" s="25" t="s">
        <v>57</v>
      </c>
      <c r="V21" s="21">
        <v>898500</v>
      </c>
      <c r="W21" s="17">
        <v>3</v>
      </c>
      <c r="X21" s="25" t="s">
        <v>57</v>
      </c>
      <c r="Y21" s="21">
        <v>6118000</v>
      </c>
      <c r="Z21" s="62">
        <f t="shared" si="1"/>
        <v>12</v>
      </c>
      <c r="AA21" s="25" t="s">
        <v>57</v>
      </c>
      <c r="AB21" s="61">
        <f t="shared" si="7"/>
        <v>100</v>
      </c>
      <c r="AC21" s="34" t="s">
        <v>60</v>
      </c>
      <c r="AD21" s="40">
        <f t="shared" si="6"/>
        <v>9260500</v>
      </c>
      <c r="AE21" s="61">
        <f t="shared" si="8"/>
        <v>85.745370370370367</v>
      </c>
      <c r="AF21" s="34" t="s">
        <v>60</v>
      </c>
      <c r="AG21" s="62">
        <f t="shared" si="2"/>
        <v>24</v>
      </c>
      <c r="AH21" s="25" t="s">
        <v>57</v>
      </c>
      <c r="AI21" s="40">
        <f t="shared" si="3"/>
        <v>31688500</v>
      </c>
      <c r="AJ21" s="61">
        <f t="shared" si="5"/>
        <v>40</v>
      </c>
      <c r="AK21" s="34" t="s">
        <v>60</v>
      </c>
      <c r="AL21" s="61">
        <f t="shared" si="4"/>
        <v>19.205151515151513</v>
      </c>
      <c r="AM21" s="11"/>
      <c r="AP21" s="23">
        <f t="shared" si="0"/>
        <v>9260500</v>
      </c>
    </row>
    <row r="22" spans="1:42" ht="105" x14ac:dyDescent="0.2">
      <c r="A22" s="13"/>
      <c r="B22" s="14"/>
      <c r="C22" s="24" t="s">
        <v>68</v>
      </c>
      <c r="D22" s="24" t="s">
        <v>140</v>
      </c>
      <c r="E22" s="17">
        <f>12*5</f>
        <v>60</v>
      </c>
      <c r="F22" s="25" t="s">
        <v>57</v>
      </c>
      <c r="G22" s="50">
        <v>1383250000</v>
      </c>
      <c r="H22" s="43">
        <v>12</v>
      </c>
      <c r="I22" s="25" t="s">
        <v>57</v>
      </c>
      <c r="J22" s="20">
        <v>241307221</v>
      </c>
      <c r="K22" s="43">
        <v>12</v>
      </c>
      <c r="L22" s="25" t="s">
        <v>57</v>
      </c>
      <c r="M22" s="21">
        <v>269500000</v>
      </c>
      <c r="N22" s="17">
        <v>3</v>
      </c>
      <c r="O22" s="25" t="s">
        <v>57</v>
      </c>
      <c r="P22" s="21">
        <v>62107464</v>
      </c>
      <c r="Q22" s="17">
        <v>3</v>
      </c>
      <c r="R22" s="25" t="s">
        <v>57</v>
      </c>
      <c r="S22" s="21">
        <v>61857646</v>
      </c>
      <c r="T22" s="17">
        <v>3</v>
      </c>
      <c r="U22" s="25" t="s">
        <v>57</v>
      </c>
      <c r="V22" s="21">
        <v>61607646</v>
      </c>
      <c r="W22" s="17">
        <v>3</v>
      </c>
      <c r="X22" s="25" t="s">
        <v>57</v>
      </c>
      <c r="Y22" s="21">
        <v>57127450</v>
      </c>
      <c r="Z22" s="62">
        <f t="shared" si="1"/>
        <v>12</v>
      </c>
      <c r="AA22" s="25" t="s">
        <v>57</v>
      </c>
      <c r="AB22" s="61">
        <f t="shared" si="7"/>
        <v>100</v>
      </c>
      <c r="AC22" s="34" t="s">
        <v>60</v>
      </c>
      <c r="AD22" s="40">
        <f t="shared" si="6"/>
        <v>242700206</v>
      </c>
      <c r="AE22" s="61">
        <f t="shared" si="8"/>
        <v>90.055735064935064</v>
      </c>
      <c r="AF22" s="34" t="s">
        <v>60</v>
      </c>
      <c r="AG22" s="62">
        <f t="shared" si="2"/>
        <v>24</v>
      </c>
      <c r="AH22" s="25" t="s">
        <v>57</v>
      </c>
      <c r="AI22" s="40">
        <f t="shared" si="3"/>
        <v>484007427</v>
      </c>
      <c r="AJ22" s="61">
        <f t="shared" si="5"/>
        <v>40</v>
      </c>
      <c r="AK22" s="34" t="s">
        <v>60</v>
      </c>
      <c r="AL22" s="61">
        <f t="shared" si="4"/>
        <v>34.990596566058194</v>
      </c>
      <c r="AM22" s="11"/>
      <c r="AP22" s="23"/>
    </row>
    <row r="23" spans="1:42" ht="75" x14ac:dyDescent="0.2">
      <c r="A23" s="13"/>
      <c r="B23" s="14"/>
      <c r="C23" s="24" t="s">
        <v>69</v>
      </c>
      <c r="D23" s="24" t="s">
        <v>140</v>
      </c>
      <c r="E23" s="17">
        <f>12*5</f>
        <v>60</v>
      </c>
      <c r="F23" s="18" t="s">
        <v>57</v>
      </c>
      <c r="G23" s="50">
        <f>924929499*5</f>
        <v>4624647495</v>
      </c>
      <c r="H23" s="17">
        <v>12</v>
      </c>
      <c r="I23" s="18" t="s">
        <v>57</v>
      </c>
      <c r="J23" s="20">
        <v>916687389</v>
      </c>
      <c r="K23" s="17">
        <v>12</v>
      </c>
      <c r="L23" s="18" t="s">
        <v>57</v>
      </c>
      <c r="M23" s="21">
        <v>412608370</v>
      </c>
      <c r="N23" s="17">
        <v>3</v>
      </c>
      <c r="O23" s="18" t="s">
        <v>57</v>
      </c>
      <c r="P23" s="21">
        <v>173801824</v>
      </c>
      <c r="Q23" s="17">
        <v>3</v>
      </c>
      <c r="R23" s="18" t="s">
        <v>57</v>
      </c>
      <c r="S23" s="21">
        <v>16315000</v>
      </c>
      <c r="T23" s="17">
        <v>3</v>
      </c>
      <c r="U23" s="18" t="s">
        <v>57</v>
      </c>
      <c r="V23" s="21">
        <v>9750000</v>
      </c>
      <c r="W23" s="17">
        <v>3</v>
      </c>
      <c r="X23" s="18" t="s">
        <v>57</v>
      </c>
      <c r="Y23" s="21">
        <v>148836976</v>
      </c>
      <c r="Z23" s="62">
        <f t="shared" si="1"/>
        <v>12</v>
      </c>
      <c r="AA23" s="18" t="s">
        <v>57</v>
      </c>
      <c r="AB23" s="61">
        <f t="shared" si="7"/>
        <v>100</v>
      </c>
      <c r="AC23" s="34" t="s">
        <v>60</v>
      </c>
      <c r="AD23" s="40">
        <f t="shared" si="6"/>
        <v>348703800</v>
      </c>
      <c r="AE23" s="61">
        <f t="shared" si="8"/>
        <v>84.512051948921936</v>
      </c>
      <c r="AF23" s="34" t="s">
        <v>60</v>
      </c>
      <c r="AG23" s="62">
        <f t="shared" si="2"/>
        <v>24</v>
      </c>
      <c r="AH23" s="18" t="s">
        <v>57</v>
      </c>
      <c r="AI23" s="40">
        <f t="shared" si="3"/>
        <v>1265391189</v>
      </c>
      <c r="AJ23" s="61">
        <f t="shared" si="5"/>
        <v>40</v>
      </c>
      <c r="AK23" s="34" t="s">
        <v>60</v>
      </c>
      <c r="AL23" s="61">
        <f t="shared" si="4"/>
        <v>27.361894941573272</v>
      </c>
      <c r="AM23" s="11"/>
      <c r="AP23" s="23"/>
    </row>
    <row r="24" spans="1:42" ht="97.5" customHeight="1" x14ac:dyDescent="0.2">
      <c r="A24" s="13"/>
      <c r="B24" s="14"/>
      <c r="C24" s="15" t="s">
        <v>32</v>
      </c>
      <c r="D24" s="15" t="s">
        <v>139</v>
      </c>
      <c r="E24" s="45">
        <v>100</v>
      </c>
      <c r="F24" s="46" t="s">
        <v>60</v>
      </c>
      <c r="G24" s="42">
        <f>SUM(G25:G29)</f>
        <v>4726197000</v>
      </c>
      <c r="H24" s="45">
        <v>100</v>
      </c>
      <c r="I24" s="46" t="s">
        <v>60</v>
      </c>
      <c r="J24" s="42">
        <f>SUM(J25:J29)</f>
        <v>1371098486</v>
      </c>
      <c r="K24" s="45">
        <v>100</v>
      </c>
      <c r="L24" s="46" t="s">
        <v>60</v>
      </c>
      <c r="M24" s="42">
        <f>SUM(M25:M29)</f>
        <v>263556950</v>
      </c>
      <c r="N24" s="45">
        <v>25</v>
      </c>
      <c r="O24" s="46" t="s">
        <v>60</v>
      </c>
      <c r="P24" s="42">
        <f>SUM(P25:P29)</f>
        <v>137862132</v>
      </c>
      <c r="Q24" s="45">
        <v>25</v>
      </c>
      <c r="R24" s="46" t="s">
        <v>60</v>
      </c>
      <c r="S24" s="42">
        <f>SUM(S25:S29)</f>
        <v>19456900</v>
      </c>
      <c r="T24" s="45">
        <v>25</v>
      </c>
      <c r="U24" s="46" t="s">
        <v>60</v>
      </c>
      <c r="V24" s="42">
        <f>SUM(V25:V29)</f>
        <v>24575487</v>
      </c>
      <c r="W24" s="45">
        <v>25</v>
      </c>
      <c r="X24" s="46" t="s">
        <v>60</v>
      </c>
      <c r="Y24" s="42">
        <f>SUM(Y25:Y29)</f>
        <v>42510300</v>
      </c>
      <c r="Z24" s="66">
        <f t="shared" si="1"/>
        <v>100</v>
      </c>
      <c r="AA24" s="46" t="s">
        <v>60</v>
      </c>
      <c r="AB24" s="63">
        <f t="shared" si="7"/>
        <v>100</v>
      </c>
      <c r="AC24" s="65" t="s">
        <v>60</v>
      </c>
      <c r="AD24" s="64">
        <f t="shared" si="6"/>
        <v>224404819</v>
      </c>
      <c r="AE24" s="63">
        <f t="shared" si="8"/>
        <v>85.144716919815622</v>
      </c>
      <c r="AF24" s="65" t="s">
        <v>60</v>
      </c>
      <c r="AG24" s="66">
        <f t="shared" si="2"/>
        <v>200</v>
      </c>
      <c r="AH24" s="46" t="s">
        <v>60</v>
      </c>
      <c r="AI24" s="64">
        <f t="shared" si="3"/>
        <v>1595503305</v>
      </c>
      <c r="AJ24" s="63">
        <f t="shared" si="5"/>
        <v>200</v>
      </c>
      <c r="AK24" s="65" t="s">
        <v>60</v>
      </c>
      <c r="AL24" s="63">
        <f t="shared" si="4"/>
        <v>33.758713506863977</v>
      </c>
      <c r="AM24" s="11"/>
      <c r="AP24" s="23"/>
    </row>
    <row r="25" spans="1:42" ht="60" x14ac:dyDescent="0.2">
      <c r="A25" s="13"/>
      <c r="B25" s="14"/>
      <c r="C25" s="88" t="s">
        <v>71</v>
      </c>
      <c r="D25" s="87" t="s">
        <v>74</v>
      </c>
      <c r="E25" s="17">
        <v>3</v>
      </c>
      <c r="F25" s="18" t="s">
        <v>58</v>
      </c>
      <c r="G25" s="50">
        <v>2388000000</v>
      </c>
      <c r="H25" s="44">
        <v>2</v>
      </c>
      <c r="I25" s="18" t="s">
        <v>58</v>
      </c>
      <c r="J25" s="20">
        <v>970085500</v>
      </c>
      <c r="K25" s="17">
        <v>1</v>
      </c>
      <c r="L25" s="18" t="s">
        <v>58</v>
      </c>
      <c r="M25" s="21">
        <v>0</v>
      </c>
      <c r="N25" s="17"/>
      <c r="O25" s="18"/>
      <c r="P25" s="21"/>
      <c r="Q25" s="17"/>
      <c r="R25" s="18"/>
      <c r="S25" s="21"/>
      <c r="T25" s="17"/>
      <c r="U25" s="18"/>
      <c r="V25" s="21"/>
      <c r="W25" s="17"/>
      <c r="X25" s="18"/>
      <c r="Y25" s="21"/>
      <c r="Z25" s="62"/>
      <c r="AA25" s="18"/>
      <c r="AB25" s="61"/>
      <c r="AC25" s="34"/>
      <c r="AD25" s="40"/>
      <c r="AE25" s="61"/>
      <c r="AF25" s="34"/>
      <c r="AG25" s="62">
        <f t="shared" si="2"/>
        <v>2</v>
      </c>
      <c r="AH25" s="18" t="s">
        <v>58</v>
      </c>
      <c r="AI25" s="40">
        <f t="shared" si="3"/>
        <v>970085500</v>
      </c>
      <c r="AJ25" s="61">
        <f t="shared" si="5"/>
        <v>66.666666666666657</v>
      </c>
      <c r="AK25" s="34" t="s">
        <v>60</v>
      </c>
      <c r="AL25" s="61">
        <f t="shared" si="4"/>
        <v>40.623345896147406</v>
      </c>
      <c r="AM25" s="11"/>
      <c r="AP25" s="23"/>
    </row>
    <row r="26" spans="1:42" ht="68.25" customHeight="1" x14ac:dyDescent="0.2">
      <c r="A26" s="13"/>
      <c r="B26" s="14"/>
      <c r="C26" s="24" t="s">
        <v>72</v>
      </c>
      <c r="D26" s="24" t="s">
        <v>140</v>
      </c>
      <c r="E26" s="17">
        <f>12*5</f>
        <v>60</v>
      </c>
      <c r="F26" s="18" t="s">
        <v>57</v>
      </c>
      <c r="G26" s="50">
        <v>1075247000</v>
      </c>
      <c r="H26" s="17">
        <v>12</v>
      </c>
      <c r="I26" s="18" t="s">
        <v>57</v>
      </c>
      <c r="J26" s="20">
        <v>304848708</v>
      </c>
      <c r="K26" s="17">
        <v>12</v>
      </c>
      <c r="L26" s="18" t="s">
        <v>57</v>
      </c>
      <c r="M26" s="21">
        <v>142646700</v>
      </c>
      <c r="N26" s="17">
        <v>3</v>
      </c>
      <c r="O26" s="18" t="s">
        <v>57</v>
      </c>
      <c r="P26" s="21">
        <v>123267400</v>
      </c>
      <c r="Q26" s="17">
        <v>3</v>
      </c>
      <c r="R26" s="18" t="s">
        <v>57</v>
      </c>
      <c r="S26" s="21">
        <v>4926000</v>
      </c>
      <c r="T26" s="17">
        <v>3</v>
      </c>
      <c r="U26" s="18" t="s">
        <v>57</v>
      </c>
      <c r="V26" s="21">
        <v>0</v>
      </c>
      <c r="W26" s="17">
        <v>3</v>
      </c>
      <c r="X26" s="18" t="s">
        <v>57</v>
      </c>
      <c r="Y26" s="21">
        <v>9728700</v>
      </c>
      <c r="Z26" s="62">
        <f t="shared" ref="Z26" si="9">N26+Q26+T26+W26</f>
        <v>12</v>
      </c>
      <c r="AA26" s="18" t="s">
        <v>57</v>
      </c>
      <c r="AB26" s="61">
        <f t="shared" si="7"/>
        <v>100</v>
      </c>
      <c r="AC26" s="34" t="s">
        <v>60</v>
      </c>
      <c r="AD26" s="40">
        <f t="shared" ref="AD26" si="10">P26+S26+V26+Y26</f>
        <v>137922100</v>
      </c>
      <c r="AE26" s="61">
        <f t="shared" si="8"/>
        <v>96.687900946884852</v>
      </c>
      <c r="AF26" s="34" t="s">
        <v>60</v>
      </c>
      <c r="AG26" s="62">
        <f t="shared" ref="AG26:AG27" si="11">H26+Z26</f>
        <v>24</v>
      </c>
      <c r="AH26" s="18" t="s">
        <v>57</v>
      </c>
      <c r="AI26" s="40">
        <f t="shared" ref="AI26:AI27" si="12">J26+AD26</f>
        <v>442770808</v>
      </c>
      <c r="AJ26" s="61">
        <f t="shared" ref="AJ26:AJ27" si="13">AG26/E26*100</f>
        <v>40</v>
      </c>
      <c r="AK26" s="34" t="s">
        <v>60</v>
      </c>
      <c r="AL26" s="61">
        <f t="shared" ref="AL26:AL27" si="14">AI26/G26*100</f>
        <v>41.178520656184112</v>
      </c>
      <c r="AM26" s="11"/>
      <c r="AP26" s="23"/>
    </row>
    <row r="27" spans="1:42" ht="75" x14ac:dyDescent="0.2">
      <c r="A27" s="13"/>
      <c r="B27" s="14"/>
      <c r="C27" s="88" t="s">
        <v>73</v>
      </c>
      <c r="D27" s="88" t="s">
        <v>140</v>
      </c>
      <c r="E27" s="17">
        <v>4</v>
      </c>
      <c r="F27" s="18" t="s">
        <v>174</v>
      </c>
      <c r="G27" s="50">
        <f>27800000*4</f>
        <v>111200000</v>
      </c>
      <c r="H27" s="17"/>
      <c r="I27" s="18"/>
      <c r="J27" s="20"/>
      <c r="K27" s="17">
        <v>1</v>
      </c>
      <c r="L27" s="18" t="s">
        <v>174</v>
      </c>
      <c r="M27" s="21">
        <v>0</v>
      </c>
      <c r="N27" s="17"/>
      <c r="O27" s="18"/>
      <c r="P27" s="21"/>
      <c r="Q27" s="17"/>
      <c r="R27" s="18"/>
      <c r="S27" s="21"/>
      <c r="T27" s="17"/>
      <c r="U27" s="18"/>
      <c r="V27" s="21"/>
      <c r="W27" s="17"/>
      <c r="X27" s="18"/>
      <c r="Y27" s="21"/>
      <c r="Z27" s="62"/>
      <c r="AA27" s="18"/>
      <c r="AB27" s="61"/>
      <c r="AC27" s="34"/>
      <c r="AD27" s="40"/>
      <c r="AE27" s="61"/>
      <c r="AF27" s="34"/>
      <c r="AG27" s="62">
        <f t="shared" si="11"/>
        <v>0</v>
      </c>
      <c r="AH27" s="18" t="s">
        <v>57</v>
      </c>
      <c r="AI27" s="40">
        <f t="shared" si="12"/>
        <v>0</v>
      </c>
      <c r="AJ27" s="61">
        <f t="shared" si="13"/>
        <v>0</v>
      </c>
      <c r="AK27" s="34" t="s">
        <v>60</v>
      </c>
      <c r="AL27" s="61">
        <f t="shared" si="14"/>
        <v>0</v>
      </c>
      <c r="AM27" s="11"/>
      <c r="AP27" s="23"/>
    </row>
    <row r="28" spans="1:42" ht="80.25" customHeight="1" x14ac:dyDescent="0.2">
      <c r="A28" s="13"/>
      <c r="B28" s="14"/>
      <c r="C28" s="24" t="s">
        <v>33</v>
      </c>
      <c r="D28" s="24" t="s">
        <v>140</v>
      </c>
      <c r="E28" s="17">
        <f>12*5</f>
        <v>60</v>
      </c>
      <c r="F28" s="18" t="s">
        <v>57</v>
      </c>
      <c r="G28" s="50">
        <f>172000000*5</f>
        <v>860000000</v>
      </c>
      <c r="H28" s="17">
        <v>12</v>
      </c>
      <c r="I28" s="18" t="s">
        <v>57</v>
      </c>
      <c r="J28" s="20">
        <v>84937778</v>
      </c>
      <c r="K28" s="17">
        <v>12</v>
      </c>
      <c r="L28" s="18" t="s">
        <v>57</v>
      </c>
      <c r="M28" s="21">
        <v>93500000</v>
      </c>
      <c r="N28" s="17">
        <v>3</v>
      </c>
      <c r="O28" s="18" t="s">
        <v>57</v>
      </c>
      <c r="P28" s="21">
        <v>10565732</v>
      </c>
      <c r="Q28" s="17">
        <v>3</v>
      </c>
      <c r="R28" s="18" t="s">
        <v>57</v>
      </c>
      <c r="S28" s="21">
        <v>13810900</v>
      </c>
      <c r="T28" s="17">
        <v>3</v>
      </c>
      <c r="U28" s="18" t="s">
        <v>57</v>
      </c>
      <c r="V28" s="21">
        <v>24275487</v>
      </c>
      <c r="W28" s="17">
        <v>3</v>
      </c>
      <c r="X28" s="18" t="s">
        <v>57</v>
      </c>
      <c r="Y28" s="21">
        <v>23554600</v>
      </c>
      <c r="Z28" s="62">
        <f t="shared" si="1"/>
        <v>12</v>
      </c>
      <c r="AA28" s="18" t="s">
        <v>57</v>
      </c>
      <c r="AB28" s="61">
        <f t="shared" si="7"/>
        <v>100</v>
      </c>
      <c r="AC28" s="34" t="s">
        <v>60</v>
      </c>
      <c r="AD28" s="40">
        <f t="shared" si="6"/>
        <v>72206719</v>
      </c>
      <c r="AE28" s="61">
        <f t="shared" si="8"/>
        <v>77.226437433155084</v>
      </c>
      <c r="AF28" s="34" t="s">
        <v>60</v>
      </c>
      <c r="AG28" s="62">
        <f t="shared" si="2"/>
        <v>24</v>
      </c>
      <c r="AH28" s="18" t="s">
        <v>57</v>
      </c>
      <c r="AI28" s="40">
        <f t="shared" si="3"/>
        <v>157144497</v>
      </c>
      <c r="AJ28" s="61">
        <f t="shared" si="5"/>
        <v>40</v>
      </c>
      <c r="AK28" s="34" t="s">
        <v>60</v>
      </c>
      <c r="AL28" s="61">
        <f t="shared" si="4"/>
        <v>18.272615930232558</v>
      </c>
      <c r="AM28" s="11"/>
      <c r="AP28" s="23"/>
    </row>
    <row r="29" spans="1:42" ht="66.75" customHeight="1" x14ac:dyDescent="0.2">
      <c r="A29" s="13"/>
      <c r="B29" s="14"/>
      <c r="C29" s="24" t="s">
        <v>34</v>
      </c>
      <c r="D29" s="24" t="s">
        <v>140</v>
      </c>
      <c r="E29" s="17">
        <f>12*5</f>
        <v>60</v>
      </c>
      <c r="F29" s="18" t="s">
        <v>57</v>
      </c>
      <c r="G29" s="50">
        <f>58350000*5</f>
        <v>291750000</v>
      </c>
      <c r="H29" s="17">
        <v>12</v>
      </c>
      <c r="I29" s="18" t="s">
        <v>57</v>
      </c>
      <c r="J29" s="20">
        <v>11226500</v>
      </c>
      <c r="K29" s="17">
        <v>12</v>
      </c>
      <c r="L29" s="18" t="s">
        <v>57</v>
      </c>
      <c r="M29" s="21">
        <v>27410250</v>
      </c>
      <c r="N29" s="17">
        <v>3</v>
      </c>
      <c r="O29" s="18" t="s">
        <v>57</v>
      </c>
      <c r="P29" s="21">
        <v>4029000</v>
      </c>
      <c r="Q29" s="17">
        <v>3</v>
      </c>
      <c r="R29" s="18" t="s">
        <v>57</v>
      </c>
      <c r="S29" s="21">
        <v>720000</v>
      </c>
      <c r="T29" s="17">
        <v>3</v>
      </c>
      <c r="U29" s="18" t="s">
        <v>57</v>
      </c>
      <c r="V29" s="21">
        <v>300000</v>
      </c>
      <c r="W29" s="17">
        <v>3</v>
      </c>
      <c r="X29" s="18" t="s">
        <v>57</v>
      </c>
      <c r="Y29" s="21">
        <v>9227000</v>
      </c>
      <c r="Z29" s="62">
        <f t="shared" si="1"/>
        <v>12</v>
      </c>
      <c r="AA29" s="18" t="s">
        <v>57</v>
      </c>
      <c r="AB29" s="61">
        <f t="shared" si="7"/>
        <v>100</v>
      </c>
      <c r="AC29" s="34" t="s">
        <v>60</v>
      </c>
      <c r="AD29" s="40">
        <f t="shared" si="6"/>
        <v>14276000</v>
      </c>
      <c r="AE29" s="61">
        <f t="shared" si="8"/>
        <v>52.082706286881731</v>
      </c>
      <c r="AF29" s="34" t="s">
        <v>60</v>
      </c>
      <c r="AG29" s="62">
        <f t="shared" si="2"/>
        <v>24</v>
      </c>
      <c r="AH29" s="18" t="s">
        <v>57</v>
      </c>
      <c r="AI29" s="40">
        <f t="shared" si="3"/>
        <v>25502500</v>
      </c>
      <c r="AJ29" s="61">
        <f t="shared" si="5"/>
        <v>40</v>
      </c>
      <c r="AK29" s="34" t="s">
        <v>60</v>
      </c>
      <c r="AL29" s="61">
        <f t="shared" si="4"/>
        <v>8.7412167952013711</v>
      </c>
      <c r="AM29" s="11"/>
      <c r="AP29" s="23"/>
    </row>
    <row r="30" spans="1:42" ht="102" customHeight="1" x14ac:dyDescent="0.2">
      <c r="A30" s="13"/>
      <c r="B30" s="14"/>
      <c r="C30" s="15" t="s">
        <v>35</v>
      </c>
      <c r="D30" s="15" t="s">
        <v>139</v>
      </c>
      <c r="E30" s="45">
        <v>100</v>
      </c>
      <c r="F30" s="46" t="s">
        <v>60</v>
      </c>
      <c r="G30" s="42">
        <f>SUM(G31)</f>
        <v>58250000</v>
      </c>
      <c r="H30" s="45">
        <v>100</v>
      </c>
      <c r="I30" s="46" t="s">
        <v>60</v>
      </c>
      <c r="J30" s="42">
        <f>SUM(J31)</f>
        <v>2788500</v>
      </c>
      <c r="K30" s="45">
        <v>100</v>
      </c>
      <c r="L30" s="46" t="s">
        <v>60</v>
      </c>
      <c r="M30" s="42">
        <f>SUM(M31)</f>
        <v>9775000</v>
      </c>
      <c r="N30" s="45">
        <v>25</v>
      </c>
      <c r="O30" s="46" t="s">
        <v>60</v>
      </c>
      <c r="P30" s="42">
        <f>SUM(P31)</f>
        <v>875000</v>
      </c>
      <c r="Q30" s="45">
        <v>25</v>
      </c>
      <c r="R30" s="46" t="s">
        <v>60</v>
      </c>
      <c r="S30" s="42">
        <f>SUM(S31)</f>
        <v>500000</v>
      </c>
      <c r="T30" s="45">
        <v>25</v>
      </c>
      <c r="U30" s="46" t="s">
        <v>60</v>
      </c>
      <c r="V30" s="42">
        <f>SUM(V31)</f>
        <v>472400</v>
      </c>
      <c r="W30" s="45">
        <v>25</v>
      </c>
      <c r="X30" s="46" t="s">
        <v>60</v>
      </c>
      <c r="Y30" s="42">
        <f>SUM(Y31)</f>
        <v>1275000</v>
      </c>
      <c r="Z30" s="66">
        <f t="shared" si="1"/>
        <v>100</v>
      </c>
      <c r="AA30" s="46" t="s">
        <v>60</v>
      </c>
      <c r="AB30" s="63">
        <f t="shared" si="7"/>
        <v>100</v>
      </c>
      <c r="AC30" s="65" t="s">
        <v>60</v>
      </c>
      <c r="AD30" s="64">
        <f t="shared" si="6"/>
        <v>3122400</v>
      </c>
      <c r="AE30" s="63">
        <f t="shared" si="8"/>
        <v>31.942710997442454</v>
      </c>
      <c r="AF30" s="65" t="s">
        <v>60</v>
      </c>
      <c r="AG30" s="66">
        <f t="shared" si="2"/>
        <v>200</v>
      </c>
      <c r="AH30" s="46" t="s">
        <v>60</v>
      </c>
      <c r="AI30" s="64">
        <f t="shared" si="3"/>
        <v>5910900</v>
      </c>
      <c r="AJ30" s="63">
        <f t="shared" si="5"/>
        <v>200</v>
      </c>
      <c r="AK30" s="65" t="s">
        <v>60</v>
      </c>
      <c r="AL30" s="63">
        <f t="shared" si="4"/>
        <v>10.147467811158799</v>
      </c>
      <c r="AM30" s="11"/>
      <c r="AP30" s="23"/>
    </row>
    <row r="31" spans="1:42" ht="30" x14ac:dyDescent="0.2">
      <c r="A31" s="13"/>
      <c r="B31" s="14"/>
      <c r="C31" s="24" t="s">
        <v>75</v>
      </c>
      <c r="D31" s="28" t="s">
        <v>76</v>
      </c>
      <c r="E31" s="17">
        <f>12*5</f>
        <v>60</v>
      </c>
      <c r="F31" s="18" t="s">
        <v>57</v>
      </c>
      <c r="G31" s="50">
        <v>58250000</v>
      </c>
      <c r="H31" s="17">
        <v>12</v>
      </c>
      <c r="I31" s="18" t="s">
        <v>57</v>
      </c>
      <c r="J31" s="20">
        <v>2788500</v>
      </c>
      <c r="K31" s="17">
        <v>12</v>
      </c>
      <c r="L31" s="18" t="s">
        <v>57</v>
      </c>
      <c r="M31" s="21">
        <v>9775000</v>
      </c>
      <c r="N31" s="17">
        <v>3</v>
      </c>
      <c r="O31" s="18" t="s">
        <v>57</v>
      </c>
      <c r="P31" s="21">
        <v>875000</v>
      </c>
      <c r="Q31" s="17">
        <v>3</v>
      </c>
      <c r="R31" s="18" t="s">
        <v>57</v>
      </c>
      <c r="S31" s="21">
        <v>500000</v>
      </c>
      <c r="T31" s="17">
        <v>3</v>
      </c>
      <c r="U31" s="18" t="s">
        <v>57</v>
      </c>
      <c r="V31" s="21">
        <v>472400</v>
      </c>
      <c r="W31" s="17">
        <v>3</v>
      </c>
      <c r="X31" s="18" t="s">
        <v>57</v>
      </c>
      <c r="Y31" s="21">
        <v>1275000</v>
      </c>
      <c r="Z31" s="62">
        <f t="shared" si="1"/>
        <v>12</v>
      </c>
      <c r="AA31" s="18" t="s">
        <v>57</v>
      </c>
      <c r="AB31" s="61">
        <f t="shared" si="7"/>
        <v>100</v>
      </c>
      <c r="AC31" s="34" t="s">
        <v>60</v>
      </c>
      <c r="AD31" s="40">
        <f t="shared" si="6"/>
        <v>3122400</v>
      </c>
      <c r="AE31" s="61">
        <f t="shared" si="8"/>
        <v>31.942710997442454</v>
      </c>
      <c r="AF31" s="34" t="s">
        <v>60</v>
      </c>
      <c r="AG31" s="62">
        <f t="shared" si="2"/>
        <v>24</v>
      </c>
      <c r="AH31" s="18" t="s">
        <v>57</v>
      </c>
      <c r="AI31" s="40">
        <f t="shared" si="3"/>
        <v>5910900</v>
      </c>
      <c r="AJ31" s="61">
        <f t="shared" si="5"/>
        <v>40</v>
      </c>
      <c r="AK31" s="34" t="s">
        <v>60</v>
      </c>
      <c r="AL31" s="61">
        <f t="shared" si="4"/>
        <v>10.147467811158799</v>
      </c>
      <c r="AM31" s="11"/>
      <c r="AP31" s="23"/>
    </row>
    <row r="32" spans="1:42" ht="165.75" customHeight="1" x14ac:dyDescent="0.2">
      <c r="A32" s="48">
        <v>29</v>
      </c>
      <c r="B32" s="49" t="s">
        <v>30</v>
      </c>
      <c r="C32" s="15" t="s">
        <v>77</v>
      </c>
      <c r="D32" s="16" t="s">
        <v>81</v>
      </c>
      <c r="E32" s="55">
        <v>25.6</v>
      </c>
      <c r="F32" s="57" t="s">
        <v>142</v>
      </c>
      <c r="G32" s="42">
        <f>SUM(G33:G35)</f>
        <v>1947865000</v>
      </c>
      <c r="H32" s="55">
        <v>27.56</v>
      </c>
      <c r="I32" s="57" t="s">
        <v>142</v>
      </c>
      <c r="J32" s="42">
        <f>SUM(J33:J35)</f>
        <v>277351230</v>
      </c>
      <c r="K32" s="51">
        <v>24.42</v>
      </c>
      <c r="L32" s="57" t="s">
        <v>142</v>
      </c>
      <c r="M32" s="42">
        <f>SUM(M33:M35)</f>
        <v>402409000</v>
      </c>
      <c r="N32" s="45">
        <v>6.23</v>
      </c>
      <c r="O32" s="57" t="s">
        <v>142</v>
      </c>
      <c r="P32" s="42">
        <f>SUM(P33:P35)</f>
        <v>4920000</v>
      </c>
      <c r="Q32" s="45">
        <v>3.42</v>
      </c>
      <c r="R32" s="57" t="s">
        <v>142</v>
      </c>
      <c r="S32" s="42">
        <f>SUM(S33:S35)</f>
        <v>7500000</v>
      </c>
      <c r="T32" s="45">
        <v>3.81</v>
      </c>
      <c r="U32" s="57" t="s">
        <v>142</v>
      </c>
      <c r="V32" s="42">
        <f>SUM(V33:V35)</f>
        <v>1200000</v>
      </c>
      <c r="W32" s="55">
        <v>4.8899999999999997</v>
      </c>
      <c r="X32" s="57" t="s">
        <v>142</v>
      </c>
      <c r="Y32" s="42">
        <f>SUM(Y33:Y35)</f>
        <v>205780000</v>
      </c>
      <c r="Z32" s="63">
        <f t="shared" si="1"/>
        <v>18.350000000000001</v>
      </c>
      <c r="AA32" s="57" t="s">
        <v>142</v>
      </c>
      <c r="AB32" s="63">
        <f>Z32/K32*100</f>
        <v>75.143325143325143</v>
      </c>
      <c r="AC32" s="65" t="s">
        <v>60</v>
      </c>
      <c r="AD32" s="64">
        <f>P32+S32+V32+Y32</f>
        <v>219400000</v>
      </c>
      <c r="AE32" s="63">
        <f>AD32/M32*100</f>
        <v>54.521643402607801</v>
      </c>
      <c r="AF32" s="65" t="s">
        <v>60</v>
      </c>
      <c r="AG32" s="63">
        <f t="shared" si="2"/>
        <v>45.91</v>
      </c>
      <c r="AH32" s="57" t="s">
        <v>142</v>
      </c>
      <c r="AI32" s="64">
        <f>J32+AD32</f>
        <v>496751230</v>
      </c>
      <c r="AJ32" s="63">
        <f t="shared" si="5"/>
        <v>179.3359375</v>
      </c>
      <c r="AK32" s="65" t="s">
        <v>60</v>
      </c>
      <c r="AL32" s="63">
        <f t="shared" si="4"/>
        <v>25.502343848264637</v>
      </c>
      <c r="AM32" s="11"/>
      <c r="AP32" s="23"/>
    </row>
    <row r="33" spans="1:42" ht="90" x14ac:dyDescent="0.2">
      <c r="A33" s="13"/>
      <c r="B33" s="14"/>
      <c r="C33" s="24" t="s">
        <v>78</v>
      </c>
      <c r="D33" s="28" t="s">
        <v>82</v>
      </c>
      <c r="E33" s="17">
        <v>371</v>
      </c>
      <c r="F33" s="18" t="s">
        <v>59</v>
      </c>
      <c r="G33" s="50">
        <f>159073000*5</f>
        <v>795365000</v>
      </c>
      <c r="H33" s="44">
        <v>73</v>
      </c>
      <c r="I33" s="18" t="s">
        <v>59</v>
      </c>
      <c r="J33" s="20">
        <v>231129750</v>
      </c>
      <c r="K33" s="17">
        <v>73</v>
      </c>
      <c r="L33" s="18" t="s">
        <v>59</v>
      </c>
      <c r="M33" s="21">
        <v>237150000</v>
      </c>
      <c r="N33" s="17">
        <v>0</v>
      </c>
      <c r="O33" s="18" t="s">
        <v>59</v>
      </c>
      <c r="P33" s="21">
        <v>0</v>
      </c>
      <c r="Q33" s="17">
        <v>0</v>
      </c>
      <c r="R33" s="18" t="s">
        <v>59</v>
      </c>
      <c r="S33" s="21">
        <v>0</v>
      </c>
      <c r="T33" s="17">
        <v>0</v>
      </c>
      <c r="U33" s="18" t="s">
        <v>59</v>
      </c>
      <c r="V33" s="21">
        <v>0</v>
      </c>
      <c r="W33" s="17">
        <v>86</v>
      </c>
      <c r="X33" s="18" t="s">
        <v>59</v>
      </c>
      <c r="Y33" s="21">
        <v>147338000</v>
      </c>
      <c r="Z33" s="62">
        <f t="shared" si="1"/>
        <v>86</v>
      </c>
      <c r="AA33" s="18" t="s">
        <v>59</v>
      </c>
      <c r="AB33" s="61">
        <f t="shared" si="7"/>
        <v>117.8082191780822</v>
      </c>
      <c r="AC33" s="34" t="s">
        <v>60</v>
      </c>
      <c r="AD33" s="40">
        <f t="shared" si="6"/>
        <v>147338000</v>
      </c>
      <c r="AE33" s="61">
        <f t="shared" si="8"/>
        <v>62.128610584018553</v>
      </c>
      <c r="AF33" s="34" t="s">
        <v>60</v>
      </c>
      <c r="AG33" s="62">
        <f t="shared" si="2"/>
        <v>159</v>
      </c>
      <c r="AH33" s="18" t="s">
        <v>59</v>
      </c>
      <c r="AI33" s="40">
        <f t="shared" si="3"/>
        <v>378467750</v>
      </c>
      <c r="AJ33" s="61">
        <f t="shared" si="5"/>
        <v>42.857142857142854</v>
      </c>
      <c r="AK33" s="34" t="s">
        <v>60</v>
      </c>
      <c r="AL33" s="61">
        <f t="shared" si="4"/>
        <v>47.584159473952212</v>
      </c>
      <c r="AM33" s="11"/>
      <c r="AP33" s="23"/>
    </row>
    <row r="34" spans="1:42" ht="45" x14ac:dyDescent="0.2">
      <c r="A34" s="13"/>
      <c r="B34" s="14"/>
      <c r="C34" s="24" t="s">
        <v>79</v>
      </c>
      <c r="D34" s="28" t="s">
        <v>83</v>
      </c>
      <c r="E34" s="17">
        <v>20</v>
      </c>
      <c r="F34" s="18" t="s">
        <v>59</v>
      </c>
      <c r="G34" s="50">
        <v>783300000</v>
      </c>
      <c r="H34" s="44">
        <v>4</v>
      </c>
      <c r="I34" s="18" t="s">
        <v>59</v>
      </c>
      <c r="J34" s="20">
        <v>46221480</v>
      </c>
      <c r="K34" s="17">
        <v>3</v>
      </c>
      <c r="L34" s="18" t="s">
        <v>59</v>
      </c>
      <c r="M34" s="21">
        <v>163659000</v>
      </c>
      <c r="N34" s="17">
        <v>2</v>
      </c>
      <c r="O34" s="18" t="s">
        <v>59</v>
      </c>
      <c r="P34" s="21">
        <v>3320000</v>
      </c>
      <c r="Q34" s="17">
        <v>0</v>
      </c>
      <c r="R34" s="18" t="s">
        <v>59</v>
      </c>
      <c r="S34" s="21">
        <v>7500000</v>
      </c>
      <c r="T34" s="17">
        <v>0</v>
      </c>
      <c r="U34" s="18" t="s">
        <v>59</v>
      </c>
      <c r="V34" s="21">
        <v>1200000</v>
      </c>
      <c r="W34" s="17">
        <v>1</v>
      </c>
      <c r="X34" s="18" t="s">
        <v>59</v>
      </c>
      <c r="Y34" s="21">
        <v>58442000</v>
      </c>
      <c r="Z34" s="62">
        <f t="shared" ref="Z34" si="15">N34+Q34+T34+W34</f>
        <v>3</v>
      </c>
      <c r="AA34" s="18" t="s">
        <v>59</v>
      </c>
      <c r="AB34" s="61">
        <f t="shared" si="7"/>
        <v>100</v>
      </c>
      <c r="AC34" s="34" t="s">
        <v>60</v>
      </c>
      <c r="AD34" s="40">
        <f t="shared" ref="AD34" si="16">P34+S34+V34+Y34</f>
        <v>70462000</v>
      </c>
      <c r="AE34" s="61">
        <f t="shared" si="8"/>
        <v>43.054155286296506</v>
      </c>
      <c r="AF34" s="34" t="s">
        <v>60</v>
      </c>
      <c r="AG34" s="62">
        <f t="shared" ref="AG34" si="17">H34+Z34</f>
        <v>7</v>
      </c>
      <c r="AH34" s="18" t="s">
        <v>59</v>
      </c>
      <c r="AI34" s="40">
        <f t="shared" ref="AI34" si="18">J34+AD34</f>
        <v>116683480</v>
      </c>
      <c r="AJ34" s="61">
        <f t="shared" ref="AJ34" si="19">AG34/E34*100</f>
        <v>35</v>
      </c>
      <c r="AK34" s="34" t="s">
        <v>60</v>
      </c>
      <c r="AL34" s="61">
        <f t="shared" ref="AL34" si="20">AI34/G34*100</f>
        <v>14.896397293501851</v>
      </c>
      <c r="AM34" s="11"/>
      <c r="AP34" s="23"/>
    </row>
    <row r="35" spans="1:42" ht="45" x14ac:dyDescent="0.2">
      <c r="A35" s="13"/>
      <c r="B35" s="14"/>
      <c r="C35" s="24" t="s">
        <v>80</v>
      </c>
      <c r="D35" s="28" t="s">
        <v>84</v>
      </c>
      <c r="E35" s="17">
        <v>34</v>
      </c>
      <c r="F35" s="18" t="s">
        <v>70</v>
      </c>
      <c r="G35" s="50">
        <f>92300000*4</f>
        <v>369200000</v>
      </c>
      <c r="H35" s="19"/>
      <c r="I35" s="18"/>
      <c r="J35" s="20"/>
      <c r="K35" s="17">
        <v>10</v>
      </c>
      <c r="L35" s="18" t="s">
        <v>70</v>
      </c>
      <c r="M35" s="21">
        <v>1600000</v>
      </c>
      <c r="N35" s="17">
        <v>0</v>
      </c>
      <c r="O35" s="18" t="s">
        <v>70</v>
      </c>
      <c r="P35" s="21">
        <v>1600000</v>
      </c>
      <c r="Q35" s="17">
        <v>0</v>
      </c>
      <c r="R35" s="18" t="s">
        <v>70</v>
      </c>
      <c r="S35" s="21">
        <v>0</v>
      </c>
      <c r="T35" s="17">
        <v>0</v>
      </c>
      <c r="U35" s="18" t="s">
        <v>70</v>
      </c>
      <c r="V35" s="21">
        <v>0</v>
      </c>
      <c r="W35" s="17">
        <v>0</v>
      </c>
      <c r="X35" s="18" t="s">
        <v>70</v>
      </c>
      <c r="Y35" s="21">
        <v>0</v>
      </c>
      <c r="Z35" s="62">
        <f t="shared" ref="Z35" si="21">N35+Q35+T35+W35</f>
        <v>0</v>
      </c>
      <c r="AA35" s="18" t="s">
        <v>70</v>
      </c>
      <c r="AB35" s="61">
        <f t="shared" si="7"/>
        <v>0</v>
      </c>
      <c r="AC35" s="34" t="s">
        <v>60</v>
      </c>
      <c r="AD35" s="40">
        <f t="shared" ref="AD35" si="22">P35+S35+V35+Y35</f>
        <v>1600000</v>
      </c>
      <c r="AE35" s="61">
        <f t="shared" si="8"/>
        <v>100</v>
      </c>
      <c r="AF35" s="34" t="s">
        <v>60</v>
      </c>
      <c r="AG35" s="62">
        <f t="shared" ref="AG35" si="23">H35+Z35</f>
        <v>0</v>
      </c>
      <c r="AH35" s="18" t="s">
        <v>70</v>
      </c>
      <c r="AI35" s="40">
        <f t="shared" ref="AI35" si="24">J35+AD35</f>
        <v>1600000</v>
      </c>
      <c r="AJ35" s="61">
        <f t="shared" ref="AJ35" si="25">AG35/E35*100</f>
        <v>0</v>
      </c>
      <c r="AK35" s="34" t="s">
        <v>60</v>
      </c>
      <c r="AL35" s="61">
        <f t="shared" ref="AL35" si="26">AI35/G35*100</f>
        <v>0.43336944745395445</v>
      </c>
      <c r="AM35" s="11"/>
      <c r="AP35" s="23"/>
    </row>
    <row r="36" spans="1:42" ht="94.5" x14ac:dyDescent="0.2">
      <c r="A36" s="13"/>
      <c r="B36" s="14"/>
      <c r="C36" s="15" t="s">
        <v>85</v>
      </c>
      <c r="D36" s="16" t="s">
        <v>167</v>
      </c>
      <c r="E36" s="45">
        <v>1.47</v>
      </c>
      <c r="F36" s="57" t="s">
        <v>142</v>
      </c>
      <c r="G36" s="42">
        <f>SUM(G37:G40)</f>
        <v>3272173000</v>
      </c>
      <c r="H36" s="45">
        <v>1.96</v>
      </c>
      <c r="I36" s="57" t="s">
        <v>142</v>
      </c>
      <c r="J36" s="42">
        <f>SUM(J37:J40)</f>
        <v>804013750</v>
      </c>
      <c r="K36" s="52">
        <v>1.42</v>
      </c>
      <c r="L36" s="57" t="s">
        <v>142</v>
      </c>
      <c r="M36" s="42">
        <f>SUM(M37:M40)</f>
        <v>397750500</v>
      </c>
      <c r="N36" s="45">
        <v>0.2</v>
      </c>
      <c r="O36" s="57" t="s">
        <v>142</v>
      </c>
      <c r="P36" s="42">
        <f>SUM(P37:P40)</f>
        <v>13354400</v>
      </c>
      <c r="Q36" s="45">
        <v>0.2</v>
      </c>
      <c r="R36" s="57" t="s">
        <v>142</v>
      </c>
      <c r="S36" s="42">
        <f>SUM(S37:S40)</f>
        <v>6159800</v>
      </c>
      <c r="T36" s="45">
        <v>0.92</v>
      </c>
      <c r="U36" s="57" t="s">
        <v>142</v>
      </c>
      <c r="V36" s="42">
        <f>SUM(V37:V40)</f>
        <v>2600000</v>
      </c>
      <c r="W36" s="45">
        <v>0.83</v>
      </c>
      <c r="X36" s="57" t="s">
        <v>142</v>
      </c>
      <c r="Y36" s="42">
        <f>SUM(Y37:Y40)</f>
        <v>340171500</v>
      </c>
      <c r="Z36" s="63">
        <f t="shared" si="1"/>
        <v>2.15</v>
      </c>
      <c r="AA36" s="57" t="s">
        <v>142</v>
      </c>
      <c r="AB36" s="63">
        <f t="shared" si="7"/>
        <v>151.40845070422534</v>
      </c>
      <c r="AC36" s="65" t="s">
        <v>60</v>
      </c>
      <c r="AD36" s="64">
        <f>P36+S36+V36+Y36</f>
        <v>362285700</v>
      </c>
      <c r="AE36" s="63">
        <f t="shared" si="8"/>
        <v>91.083656714447883</v>
      </c>
      <c r="AF36" s="65" t="s">
        <v>60</v>
      </c>
      <c r="AG36" s="63">
        <f t="shared" si="2"/>
        <v>4.1099999999999994</v>
      </c>
      <c r="AH36" s="57" t="s">
        <v>142</v>
      </c>
      <c r="AI36" s="64">
        <f t="shared" si="3"/>
        <v>1166299450</v>
      </c>
      <c r="AJ36" s="63">
        <f t="shared" si="5"/>
        <v>279.59183673469386</v>
      </c>
      <c r="AK36" s="65" t="s">
        <v>60</v>
      </c>
      <c r="AL36" s="63">
        <f t="shared" si="4"/>
        <v>35.642964170904165</v>
      </c>
      <c r="AM36" s="11"/>
      <c r="AP36" s="23"/>
    </row>
    <row r="37" spans="1:42" ht="60" x14ac:dyDescent="0.2">
      <c r="A37" s="13"/>
      <c r="B37" s="14"/>
      <c r="C37" s="24" t="s">
        <v>86</v>
      </c>
      <c r="D37" s="28" t="s">
        <v>89</v>
      </c>
      <c r="E37" s="17">
        <f>2*5</f>
        <v>10</v>
      </c>
      <c r="F37" s="18" t="s">
        <v>70</v>
      </c>
      <c r="G37" s="50">
        <f>84290000*5</f>
        <v>421450000</v>
      </c>
      <c r="H37" s="44">
        <v>2</v>
      </c>
      <c r="I37" s="18" t="s">
        <v>70</v>
      </c>
      <c r="J37" s="20">
        <v>16870000</v>
      </c>
      <c r="K37" s="17">
        <v>2</v>
      </c>
      <c r="L37" s="18" t="s">
        <v>70</v>
      </c>
      <c r="M37" s="21">
        <v>50190000</v>
      </c>
      <c r="N37" s="17">
        <v>0</v>
      </c>
      <c r="O37" s="18" t="s">
        <v>70</v>
      </c>
      <c r="P37" s="21">
        <v>0</v>
      </c>
      <c r="Q37" s="17">
        <v>0</v>
      </c>
      <c r="R37" s="18" t="s">
        <v>70</v>
      </c>
      <c r="S37" s="21">
        <v>0</v>
      </c>
      <c r="T37" s="17">
        <v>0</v>
      </c>
      <c r="U37" s="18" t="s">
        <v>70</v>
      </c>
      <c r="V37" s="21">
        <v>0</v>
      </c>
      <c r="W37" s="17">
        <v>2</v>
      </c>
      <c r="X37" s="18" t="s">
        <v>70</v>
      </c>
      <c r="Y37" s="21">
        <v>49240000</v>
      </c>
      <c r="Z37" s="62">
        <f t="shared" si="1"/>
        <v>2</v>
      </c>
      <c r="AA37" s="18" t="s">
        <v>70</v>
      </c>
      <c r="AB37" s="61">
        <f t="shared" si="7"/>
        <v>100</v>
      </c>
      <c r="AC37" s="34" t="s">
        <v>60</v>
      </c>
      <c r="AD37" s="40">
        <f t="shared" si="6"/>
        <v>49240000</v>
      </c>
      <c r="AE37" s="61">
        <f t="shared" si="8"/>
        <v>98.107192667862122</v>
      </c>
      <c r="AF37" s="34" t="s">
        <v>60</v>
      </c>
      <c r="AG37" s="62">
        <f t="shared" si="2"/>
        <v>4</v>
      </c>
      <c r="AH37" s="18" t="s">
        <v>70</v>
      </c>
      <c r="AI37" s="40">
        <f t="shared" si="3"/>
        <v>66110000</v>
      </c>
      <c r="AJ37" s="61">
        <f t="shared" si="5"/>
        <v>40</v>
      </c>
      <c r="AK37" s="34" t="s">
        <v>60</v>
      </c>
      <c r="AL37" s="61">
        <f t="shared" si="4"/>
        <v>15.686321034523667</v>
      </c>
      <c r="AM37" s="11"/>
      <c r="AP37" s="23"/>
    </row>
    <row r="38" spans="1:42" ht="75" x14ac:dyDescent="0.2">
      <c r="A38" s="13"/>
      <c r="B38" s="14"/>
      <c r="C38" s="24" t="s">
        <v>87</v>
      </c>
      <c r="D38" s="28" t="s">
        <v>90</v>
      </c>
      <c r="E38" s="58" t="s">
        <v>143</v>
      </c>
      <c r="F38" s="18" t="s">
        <v>144</v>
      </c>
      <c r="G38" s="50">
        <v>2371677500</v>
      </c>
      <c r="H38" s="81" t="s">
        <v>166</v>
      </c>
      <c r="I38" s="18" t="s">
        <v>144</v>
      </c>
      <c r="J38" s="20">
        <v>594098000</v>
      </c>
      <c r="K38" s="59" t="s">
        <v>165</v>
      </c>
      <c r="L38" s="18" t="s">
        <v>144</v>
      </c>
      <c r="M38" s="21">
        <v>289560500</v>
      </c>
      <c r="N38" s="82">
        <v>68549</v>
      </c>
      <c r="O38" s="18" t="s">
        <v>144</v>
      </c>
      <c r="P38" s="21">
        <v>13354400</v>
      </c>
      <c r="Q38" s="86">
        <v>0</v>
      </c>
      <c r="R38" s="18" t="s">
        <v>144</v>
      </c>
      <c r="S38" s="21">
        <v>6159800</v>
      </c>
      <c r="T38" s="86">
        <v>0</v>
      </c>
      <c r="U38" s="18" t="s">
        <v>144</v>
      </c>
      <c r="V38" s="21">
        <v>2600000</v>
      </c>
      <c r="W38" s="86">
        <v>0</v>
      </c>
      <c r="X38" s="18" t="s">
        <v>144</v>
      </c>
      <c r="Y38" s="21">
        <v>235015500</v>
      </c>
      <c r="Z38" s="82">
        <f t="shared" si="1"/>
        <v>68549</v>
      </c>
      <c r="AA38" s="18" t="s">
        <v>144</v>
      </c>
      <c r="AB38" s="61">
        <f>Z38/K38*100</f>
        <v>101.8135099809886</v>
      </c>
      <c r="AC38" s="34" t="s">
        <v>60</v>
      </c>
      <c r="AD38" s="40">
        <f t="shared" si="6"/>
        <v>257129700</v>
      </c>
      <c r="AE38" s="61">
        <f t="shared" si="8"/>
        <v>88.799991711576681</v>
      </c>
      <c r="AF38" s="34" t="s">
        <v>60</v>
      </c>
      <c r="AG38" s="83">
        <f t="shared" si="2"/>
        <v>135879</v>
      </c>
      <c r="AH38" s="18" t="s">
        <v>144</v>
      </c>
      <c r="AI38" s="40">
        <f t="shared" si="3"/>
        <v>851227700</v>
      </c>
      <c r="AJ38" s="61">
        <f t="shared" si="5"/>
        <v>40.363296102661593</v>
      </c>
      <c r="AK38" s="34" t="s">
        <v>60</v>
      </c>
      <c r="AL38" s="61">
        <f t="shared" si="4"/>
        <v>35.891376462440618</v>
      </c>
      <c r="AM38" s="11"/>
      <c r="AP38" s="23"/>
    </row>
    <row r="39" spans="1:42" ht="60" x14ac:dyDescent="0.2">
      <c r="A39" s="13"/>
      <c r="B39" s="14"/>
      <c r="C39" s="24" t="s">
        <v>88</v>
      </c>
      <c r="D39" s="28" t="s">
        <v>91</v>
      </c>
      <c r="E39" s="17">
        <v>400</v>
      </c>
      <c r="F39" s="18" t="s">
        <v>92</v>
      </c>
      <c r="G39" s="50">
        <f>66534000*4</f>
        <v>266136000</v>
      </c>
      <c r="H39" s="19"/>
      <c r="I39" s="18"/>
      <c r="J39" s="20"/>
      <c r="K39" s="17">
        <v>100</v>
      </c>
      <c r="L39" s="18" t="s">
        <v>92</v>
      </c>
      <c r="M39" s="21">
        <v>58000000</v>
      </c>
      <c r="N39" s="17">
        <v>0</v>
      </c>
      <c r="O39" s="18" t="s">
        <v>92</v>
      </c>
      <c r="P39" s="21">
        <v>0</v>
      </c>
      <c r="Q39" s="17">
        <v>0</v>
      </c>
      <c r="R39" s="18" t="s">
        <v>92</v>
      </c>
      <c r="S39" s="21">
        <v>0</v>
      </c>
      <c r="T39" s="17">
        <v>478</v>
      </c>
      <c r="U39" s="18" t="s">
        <v>92</v>
      </c>
      <c r="V39" s="21">
        <v>0</v>
      </c>
      <c r="W39" s="17">
        <v>0</v>
      </c>
      <c r="X39" s="18" t="s">
        <v>92</v>
      </c>
      <c r="Y39" s="21">
        <v>55916000</v>
      </c>
      <c r="Z39" s="62">
        <f t="shared" si="1"/>
        <v>478</v>
      </c>
      <c r="AA39" s="18" t="s">
        <v>92</v>
      </c>
      <c r="AB39" s="61">
        <f t="shared" si="7"/>
        <v>478</v>
      </c>
      <c r="AC39" s="34" t="s">
        <v>60</v>
      </c>
      <c r="AD39" s="40">
        <f t="shared" si="6"/>
        <v>55916000</v>
      </c>
      <c r="AE39" s="61">
        <f t="shared" si="8"/>
        <v>96.406896551724145</v>
      </c>
      <c r="AF39" s="34" t="s">
        <v>60</v>
      </c>
      <c r="AG39" s="62">
        <f t="shared" si="2"/>
        <v>478</v>
      </c>
      <c r="AH39" s="18" t="s">
        <v>92</v>
      </c>
      <c r="AI39" s="40">
        <f t="shared" si="3"/>
        <v>55916000</v>
      </c>
      <c r="AJ39" s="61">
        <f t="shared" si="5"/>
        <v>119.5</v>
      </c>
      <c r="AK39" s="34" t="s">
        <v>60</v>
      </c>
      <c r="AL39" s="61">
        <f t="shared" si="4"/>
        <v>21.010310517930684</v>
      </c>
      <c r="AM39" s="11"/>
      <c r="AP39" s="23"/>
    </row>
    <row r="40" spans="1:42" ht="60" x14ac:dyDescent="0.2">
      <c r="A40" s="13"/>
      <c r="B40" s="14"/>
      <c r="C40" s="73" t="s">
        <v>145</v>
      </c>
      <c r="D40" s="74" t="s">
        <v>146</v>
      </c>
      <c r="E40" s="59" t="s">
        <v>165</v>
      </c>
      <c r="F40" s="18" t="s">
        <v>92</v>
      </c>
      <c r="G40" s="50">
        <v>212909500</v>
      </c>
      <c r="H40" s="81" t="s">
        <v>166</v>
      </c>
      <c r="I40" s="18" t="s">
        <v>92</v>
      </c>
      <c r="J40" s="20">
        <v>193045750</v>
      </c>
      <c r="K40" s="17"/>
      <c r="L40" s="18"/>
      <c r="M40" s="21"/>
      <c r="N40" s="17"/>
      <c r="O40" s="18"/>
      <c r="P40" s="21"/>
      <c r="Q40" s="17"/>
      <c r="R40" s="18"/>
      <c r="S40" s="21"/>
      <c r="T40" s="17"/>
      <c r="U40" s="18"/>
      <c r="V40" s="21"/>
      <c r="W40" s="17"/>
      <c r="X40" s="18"/>
      <c r="Y40" s="21"/>
      <c r="Z40" s="62"/>
      <c r="AA40" s="18"/>
      <c r="AB40" s="61"/>
      <c r="AC40" s="34"/>
      <c r="AD40" s="40"/>
      <c r="AE40" s="61"/>
      <c r="AF40" s="34"/>
      <c r="AG40" s="62">
        <f t="shared" ref="AG40" si="27">H40+Z40</f>
        <v>67330</v>
      </c>
      <c r="AH40" s="18" t="s">
        <v>92</v>
      </c>
      <c r="AI40" s="40">
        <f t="shared" ref="AI40" si="28">J40+AD40</f>
        <v>193045750</v>
      </c>
      <c r="AJ40" s="61">
        <f>AG40/E40*100</f>
        <v>100.0029705323194</v>
      </c>
      <c r="AK40" s="34" t="s">
        <v>60</v>
      </c>
      <c r="AL40" s="61">
        <f t="shared" ref="AL40" si="29">AI40/G40*100</f>
        <v>90.670331760677655</v>
      </c>
      <c r="AM40" s="11"/>
      <c r="AP40" s="23"/>
    </row>
    <row r="41" spans="1:42" ht="78.75" x14ac:dyDescent="0.2">
      <c r="A41" s="13"/>
      <c r="B41" s="14"/>
      <c r="C41" s="15" t="s">
        <v>93</v>
      </c>
      <c r="D41" s="16" t="s">
        <v>135</v>
      </c>
      <c r="E41" s="45">
        <v>7</v>
      </c>
      <c r="F41" s="46" t="s">
        <v>57</v>
      </c>
      <c r="G41" s="42">
        <f>SUM(G42:G48)</f>
        <v>2312730000</v>
      </c>
      <c r="H41" s="45">
        <v>7</v>
      </c>
      <c r="I41" s="46" t="s">
        <v>57</v>
      </c>
      <c r="J41" s="42">
        <f>SUM(J42:J49)</f>
        <v>310702800</v>
      </c>
      <c r="K41" s="45">
        <v>7</v>
      </c>
      <c r="L41" s="46" t="s">
        <v>57</v>
      </c>
      <c r="M41" s="42">
        <f>SUM(M42:M48)</f>
        <v>400750000</v>
      </c>
      <c r="N41" s="45">
        <v>0</v>
      </c>
      <c r="O41" s="46" t="s">
        <v>57</v>
      </c>
      <c r="P41" s="42">
        <f>SUM(P42:P48)</f>
        <v>42911280</v>
      </c>
      <c r="Q41" s="45">
        <v>0</v>
      </c>
      <c r="R41" s="46" t="s">
        <v>57</v>
      </c>
      <c r="S41" s="42">
        <f>SUM(S42:S48)</f>
        <v>34258000</v>
      </c>
      <c r="T41" s="45">
        <v>4</v>
      </c>
      <c r="U41" s="46" t="s">
        <v>57</v>
      </c>
      <c r="V41" s="42">
        <f>SUM(V42:V48)</f>
        <v>95884000</v>
      </c>
      <c r="W41" s="45">
        <v>3</v>
      </c>
      <c r="X41" s="46" t="s">
        <v>57</v>
      </c>
      <c r="Y41" s="42">
        <f>SUM(Y42:Y48)</f>
        <v>111555500</v>
      </c>
      <c r="Z41" s="66">
        <f t="shared" si="1"/>
        <v>7</v>
      </c>
      <c r="AA41" s="46" t="s">
        <v>57</v>
      </c>
      <c r="AB41" s="63">
        <f t="shared" si="7"/>
        <v>100</v>
      </c>
      <c r="AC41" s="65" t="s">
        <v>60</v>
      </c>
      <c r="AD41" s="64">
        <f t="shared" si="6"/>
        <v>284608780</v>
      </c>
      <c r="AE41" s="63">
        <f t="shared" si="8"/>
        <v>71.019034310667493</v>
      </c>
      <c r="AF41" s="65" t="s">
        <v>60</v>
      </c>
      <c r="AG41" s="66">
        <f t="shared" si="2"/>
        <v>14</v>
      </c>
      <c r="AH41" s="46" t="s">
        <v>57</v>
      </c>
      <c r="AI41" s="64">
        <f t="shared" si="3"/>
        <v>595311580</v>
      </c>
      <c r="AJ41" s="63">
        <f t="shared" si="5"/>
        <v>200</v>
      </c>
      <c r="AK41" s="65" t="s">
        <v>60</v>
      </c>
      <c r="AL41" s="63">
        <f t="shared" si="4"/>
        <v>25.740643308989807</v>
      </c>
      <c r="AM41" s="11"/>
      <c r="AP41" s="23"/>
    </row>
    <row r="42" spans="1:42" ht="45" x14ac:dyDescent="0.2">
      <c r="A42" s="13"/>
      <c r="B42" s="14"/>
      <c r="C42" s="24" t="s">
        <v>94</v>
      </c>
      <c r="D42" s="28" t="s">
        <v>101</v>
      </c>
      <c r="E42" s="17">
        <f>370*5</f>
        <v>1850</v>
      </c>
      <c r="F42" s="18" t="s">
        <v>56</v>
      </c>
      <c r="G42" s="50">
        <v>231540000</v>
      </c>
      <c r="H42" s="44">
        <v>370</v>
      </c>
      <c r="I42" s="18" t="s">
        <v>56</v>
      </c>
      <c r="J42" s="20">
        <v>17285000</v>
      </c>
      <c r="K42" s="17">
        <v>370</v>
      </c>
      <c r="L42" s="18" t="s">
        <v>56</v>
      </c>
      <c r="M42" s="21">
        <v>41550000</v>
      </c>
      <c r="N42" s="17">
        <v>370</v>
      </c>
      <c r="O42" s="18" t="s">
        <v>56</v>
      </c>
      <c r="P42" s="21">
        <v>27761280</v>
      </c>
      <c r="Q42" s="17">
        <v>0</v>
      </c>
      <c r="R42" s="18" t="s">
        <v>56</v>
      </c>
      <c r="S42" s="21">
        <v>0</v>
      </c>
      <c r="T42" s="17">
        <v>0</v>
      </c>
      <c r="U42" s="18" t="s">
        <v>56</v>
      </c>
      <c r="V42" s="21">
        <v>0</v>
      </c>
      <c r="W42" s="17">
        <v>0</v>
      </c>
      <c r="X42" s="18" t="s">
        <v>56</v>
      </c>
      <c r="Y42" s="21">
        <v>0</v>
      </c>
      <c r="Z42" s="62">
        <f t="shared" si="1"/>
        <v>370</v>
      </c>
      <c r="AA42" s="18" t="s">
        <v>56</v>
      </c>
      <c r="AB42" s="61">
        <f t="shared" si="7"/>
        <v>100</v>
      </c>
      <c r="AC42" s="34" t="s">
        <v>60</v>
      </c>
      <c r="AD42" s="40">
        <f t="shared" si="6"/>
        <v>27761280</v>
      </c>
      <c r="AE42" s="61">
        <f t="shared" si="8"/>
        <v>66.814151624548728</v>
      </c>
      <c r="AF42" s="34" t="s">
        <v>60</v>
      </c>
      <c r="AG42" s="62">
        <f t="shared" si="2"/>
        <v>740</v>
      </c>
      <c r="AH42" s="18" t="s">
        <v>56</v>
      </c>
      <c r="AI42" s="40">
        <f t="shared" si="3"/>
        <v>45046280</v>
      </c>
      <c r="AJ42" s="61">
        <f t="shared" si="5"/>
        <v>40</v>
      </c>
      <c r="AK42" s="34" t="s">
        <v>60</v>
      </c>
      <c r="AL42" s="61">
        <f t="shared" si="4"/>
        <v>19.455074717111515</v>
      </c>
      <c r="AM42" s="11"/>
      <c r="AP42" s="23"/>
    </row>
    <row r="43" spans="1:42" ht="60" x14ac:dyDescent="0.2">
      <c r="A43" s="13"/>
      <c r="B43" s="14"/>
      <c r="C43" s="24" t="s">
        <v>95</v>
      </c>
      <c r="D43" s="28" t="s">
        <v>102</v>
      </c>
      <c r="E43" s="17">
        <f>4*5</f>
        <v>20</v>
      </c>
      <c r="F43" s="18" t="s">
        <v>56</v>
      </c>
      <c r="G43" s="50">
        <v>160650000</v>
      </c>
      <c r="H43" s="44">
        <v>4</v>
      </c>
      <c r="I43" s="18" t="s">
        <v>56</v>
      </c>
      <c r="J43" s="20">
        <v>9735000</v>
      </c>
      <c r="K43" s="17">
        <v>4</v>
      </c>
      <c r="L43" s="18" t="s">
        <v>56</v>
      </c>
      <c r="M43" s="21">
        <v>22900000</v>
      </c>
      <c r="N43" s="17">
        <v>0</v>
      </c>
      <c r="O43" s="18" t="s">
        <v>56</v>
      </c>
      <c r="P43" s="21">
        <v>0</v>
      </c>
      <c r="Q43" s="17">
        <v>0</v>
      </c>
      <c r="R43" s="18" t="s">
        <v>56</v>
      </c>
      <c r="S43" s="21">
        <v>0</v>
      </c>
      <c r="T43" s="17">
        <v>4</v>
      </c>
      <c r="U43" s="18" t="s">
        <v>56</v>
      </c>
      <c r="V43" s="21">
        <v>13680000</v>
      </c>
      <c r="W43" s="17">
        <v>0</v>
      </c>
      <c r="X43" s="18" t="s">
        <v>56</v>
      </c>
      <c r="Y43" s="21">
        <v>0</v>
      </c>
      <c r="Z43" s="62">
        <f t="shared" si="1"/>
        <v>4</v>
      </c>
      <c r="AA43" s="18" t="s">
        <v>56</v>
      </c>
      <c r="AB43" s="61">
        <f t="shared" si="7"/>
        <v>100</v>
      </c>
      <c r="AC43" s="34" t="s">
        <v>60</v>
      </c>
      <c r="AD43" s="40">
        <f t="shared" si="6"/>
        <v>13680000</v>
      </c>
      <c r="AE43" s="61">
        <f t="shared" si="8"/>
        <v>59.737991266375545</v>
      </c>
      <c r="AF43" s="34" t="s">
        <v>60</v>
      </c>
      <c r="AG43" s="62">
        <f t="shared" si="2"/>
        <v>8</v>
      </c>
      <c r="AH43" s="18" t="s">
        <v>56</v>
      </c>
      <c r="AI43" s="40">
        <f t="shared" si="3"/>
        <v>23415000</v>
      </c>
      <c r="AJ43" s="61">
        <f t="shared" si="5"/>
        <v>40</v>
      </c>
      <c r="AK43" s="34" t="s">
        <v>60</v>
      </c>
      <c r="AL43" s="61">
        <f t="shared" si="4"/>
        <v>14.575163398692812</v>
      </c>
      <c r="AM43" s="11"/>
      <c r="AP43" s="23"/>
    </row>
    <row r="44" spans="1:42" ht="45" x14ac:dyDescent="0.2">
      <c r="A44" s="13"/>
      <c r="B44" s="14"/>
      <c r="C44" s="24" t="s">
        <v>96</v>
      </c>
      <c r="D44" s="28" t="s">
        <v>103</v>
      </c>
      <c r="E44" s="17">
        <f>74*5</f>
        <v>370</v>
      </c>
      <c r="F44" s="18" t="s">
        <v>56</v>
      </c>
      <c r="G44" s="50">
        <v>256840000</v>
      </c>
      <c r="H44" s="44">
        <v>74</v>
      </c>
      <c r="I44" s="18" t="s">
        <v>56</v>
      </c>
      <c r="J44" s="20">
        <v>17310000</v>
      </c>
      <c r="K44" s="17">
        <v>74</v>
      </c>
      <c r="L44" s="18" t="s">
        <v>56</v>
      </c>
      <c r="M44" s="21">
        <v>51150000</v>
      </c>
      <c r="N44" s="17">
        <v>0</v>
      </c>
      <c r="O44" s="18" t="s">
        <v>56</v>
      </c>
      <c r="P44" s="21">
        <v>0</v>
      </c>
      <c r="Q44" s="17">
        <v>0</v>
      </c>
      <c r="R44" s="18" t="s">
        <v>56</v>
      </c>
      <c r="S44" s="21">
        <v>0</v>
      </c>
      <c r="T44" s="17">
        <v>0</v>
      </c>
      <c r="U44" s="18" t="s">
        <v>56</v>
      </c>
      <c r="V44" s="21">
        <v>0</v>
      </c>
      <c r="W44" s="17">
        <v>74</v>
      </c>
      <c r="X44" s="18" t="s">
        <v>56</v>
      </c>
      <c r="Y44" s="21">
        <v>9927500</v>
      </c>
      <c r="Z44" s="62">
        <f t="shared" si="1"/>
        <v>74</v>
      </c>
      <c r="AA44" s="18" t="s">
        <v>56</v>
      </c>
      <c r="AB44" s="61">
        <f t="shared" si="7"/>
        <v>100</v>
      </c>
      <c r="AC44" s="34" t="s">
        <v>60</v>
      </c>
      <c r="AD44" s="40">
        <f t="shared" si="6"/>
        <v>9927500</v>
      </c>
      <c r="AE44" s="61">
        <f t="shared" si="8"/>
        <v>19.408602150537636</v>
      </c>
      <c r="AF44" s="34" t="s">
        <v>60</v>
      </c>
      <c r="AG44" s="62">
        <f t="shared" si="2"/>
        <v>148</v>
      </c>
      <c r="AH44" s="18" t="s">
        <v>56</v>
      </c>
      <c r="AI44" s="40">
        <f t="shared" si="3"/>
        <v>27237500</v>
      </c>
      <c r="AJ44" s="61">
        <f t="shared" si="5"/>
        <v>40</v>
      </c>
      <c r="AK44" s="34" t="s">
        <v>60</v>
      </c>
      <c r="AL44" s="61">
        <f t="shared" si="4"/>
        <v>10.604851269272698</v>
      </c>
      <c r="AM44" s="11"/>
      <c r="AP44" s="23"/>
    </row>
    <row r="45" spans="1:42" ht="60" x14ac:dyDescent="0.2">
      <c r="A45" s="13"/>
      <c r="B45" s="14"/>
      <c r="C45" s="88" t="s">
        <v>97</v>
      </c>
      <c r="D45" s="87" t="s">
        <v>104</v>
      </c>
      <c r="E45" s="17">
        <f>273*5</f>
        <v>1365</v>
      </c>
      <c r="F45" s="47" t="s">
        <v>154</v>
      </c>
      <c r="G45" s="50">
        <v>157050000</v>
      </c>
      <c r="H45" s="44">
        <v>273</v>
      </c>
      <c r="I45" s="47" t="s">
        <v>154</v>
      </c>
      <c r="J45" s="20">
        <v>27200000</v>
      </c>
      <c r="K45" s="17">
        <v>273</v>
      </c>
      <c r="L45" s="47" t="s">
        <v>154</v>
      </c>
      <c r="M45" s="21">
        <v>0</v>
      </c>
      <c r="N45" s="17"/>
      <c r="O45" s="47"/>
      <c r="P45" s="21"/>
      <c r="Q45" s="17"/>
      <c r="R45" s="47"/>
      <c r="S45" s="21"/>
      <c r="T45" s="17"/>
      <c r="U45" s="47"/>
      <c r="V45" s="21"/>
      <c r="W45" s="17"/>
      <c r="X45" s="47"/>
      <c r="Y45" s="21"/>
      <c r="Z45" s="62"/>
      <c r="AA45" s="47"/>
      <c r="AB45" s="61"/>
      <c r="AC45" s="34"/>
      <c r="AD45" s="40"/>
      <c r="AE45" s="61"/>
      <c r="AF45" s="34"/>
      <c r="AG45" s="62">
        <f t="shared" si="2"/>
        <v>273</v>
      </c>
      <c r="AH45" s="47" t="s">
        <v>154</v>
      </c>
      <c r="AI45" s="40">
        <f t="shared" si="3"/>
        <v>27200000</v>
      </c>
      <c r="AJ45" s="61">
        <f t="shared" si="5"/>
        <v>20</v>
      </c>
      <c r="AK45" s="34" t="s">
        <v>60</v>
      </c>
      <c r="AL45" s="61">
        <f t="shared" si="4"/>
        <v>17.319325055714742</v>
      </c>
      <c r="AM45" s="11"/>
      <c r="AP45" s="23"/>
    </row>
    <row r="46" spans="1:42" ht="45" x14ac:dyDescent="0.2">
      <c r="A46" s="13"/>
      <c r="B46" s="14"/>
      <c r="C46" s="24" t="s">
        <v>98</v>
      </c>
      <c r="D46" s="28" t="s">
        <v>105</v>
      </c>
      <c r="E46" s="17">
        <f>6*5</f>
        <v>30</v>
      </c>
      <c r="F46" s="18" t="s">
        <v>56</v>
      </c>
      <c r="G46" s="50">
        <v>678900000</v>
      </c>
      <c r="H46" s="44">
        <v>6</v>
      </c>
      <c r="I46" s="18" t="s">
        <v>56</v>
      </c>
      <c r="J46" s="20">
        <v>97369200</v>
      </c>
      <c r="K46" s="17">
        <v>6</v>
      </c>
      <c r="L46" s="18" t="s">
        <v>56</v>
      </c>
      <c r="M46" s="21">
        <v>116750000</v>
      </c>
      <c r="N46" s="17">
        <v>0</v>
      </c>
      <c r="O46" s="18" t="s">
        <v>56</v>
      </c>
      <c r="P46" s="21">
        <v>0</v>
      </c>
      <c r="Q46" s="17">
        <v>0</v>
      </c>
      <c r="R46" s="18" t="s">
        <v>56</v>
      </c>
      <c r="S46" s="21">
        <v>0</v>
      </c>
      <c r="T46" s="17">
        <v>0</v>
      </c>
      <c r="U46" s="18" t="s">
        <v>56</v>
      </c>
      <c r="V46" s="21">
        <v>7800000</v>
      </c>
      <c r="W46" s="17">
        <v>6</v>
      </c>
      <c r="X46" s="18" t="s">
        <v>56</v>
      </c>
      <c r="Y46" s="21">
        <v>78968000</v>
      </c>
      <c r="Z46" s="62">
        <f t="shared" ref="Z46:Z51" si="30">N46+Q46+T46+W46</f>
        <v>6</v>
      </c>
      <c r="AA46" s="18" t="s">
        <v>56</v>
      </c>
      <c r="AB46" s="61">
        <f t="shared" si="7"/>
        <v>100</v>
      </c>
      <c r="AC46" s="34" t="s">
        <v>60</v>
      </c>
      <c r="AD46" s="40">
        <f t="shared" ref="AD46:AD52" si="31">P46+S46+V46+Y46</f>
        <v>86768000</v>
      </c>
      <c r="AE46" s="61">
        <f t="shared" si="8"/>
        <v>74.319486081370442</v>
      </c>
      <c r="AF46" s="34" t="s">
        <v>60</v>
      </c>
      <c r="AG46" s="62">
        <f t="shared" ref="AG46:AG52" si="32">H46+Z46</f>
        <v>12</v>
      </c>
      <c r="AH46" s="18" t="s">
        <v>56</v>
      </c>
      <c r="AI46" s="40">
        <f t="shared" ref="AI46:AI52" si="33">J46+AD46</f>
        <v>184137200</v>
      </c>
      <c r="AJ46" s="61">
        <f t="shared" ref="AJ46:AJ52" si="34">AG46/E46*100</f>
        <v>40</v>
      </c>
      <c r="AK46" s="34" t="s">
        <v>60</v>
      </c>
      <c r="AL46" s="61">
        <f t="shared" ref="AL46:AL52" si="35">AI46/G46*100</f>
        <v>27.122875239357786</v>
      </c>
      <c r="AM46" s="11"/>
      <c r="AP46" s="23"/>
    </row>
    <row r="47" spans="1:42" ht="60" x14ac:dyDescent="0.2">
      <c r="A47" s="13"/>
      <c r="B47" s="14"/>
      <c r="C47" s="24" t="s">
        <v>99</v>
      </c>
      <c r="D47" s="28" t="s">
        <v>106</v>
      </c>
      <c r="E47" s="17">
        <f>6*5</f>
        <v>30</v>
      </c>
      <c r="F47" s="18" t="s">
        <v>56</v>
      </c>
      <c r="G47" s="50">
        <v>599000000</v>
      </c>
      <c r="H47" s="44">
        <v>6</v>
      </c>
      <c r="I47" s="18" t="s">
        <v>56</v>
      </c>
      <c r="J47" s="20">
        <v>97070600</v>
      </c>
      <c r="K47" s="17">
        <v>6</v>
      </c>
      <c r="L47" s="18" t="s">
        <v>56</v>
      </c>
      <c r="M47" s="21">
        <v>120150000</v>
      </c>
      <c r="N47" s="17">
        <v>0</v>
      </c>
      <c r="O47" s="18" t="s">
        <v>56</v>
      </c>
      <c r="P47" s="21">
        <v>0</v>
      </c>
      <c r="Q47" s="17">
        <v>0</v>
      </c>
      <c r="R47" s="18" t="s">
        <v>56</v>
      </c>
      <c r="S47" s="21">
        <v>5168000</v>
      </c>
      <c r="T47" s="17">
        <v>6</v>
      </c>
      <c r="U47" s="18" t="s">
        <v>56</v>
      </c>
      <c r="V47" s="21">
        <v>73154000</v>
      </c>
      <c r="W47" s="17">
        <v>0</v>
      </c>
      <c r="X47" s="18" t="s">
        <v>56</v>
      </c>
      <c r="Y47" s="21">
        <v>22660000</v>
      </c>
      <c r="Z47" s="62">
        <f t="shared" si="30"/>
        <v>6</v>
      </c>
      <c r="AA47" s="18" t="s">
        <v>56</v>
      </c>
      <c r="AB47" s="61">
        <f t="shared" si="7"/>
        <v>100</v>
      </c>
      <c r="AC47" s="34" t="s">
        <v>60</v>
      </c>
      <c r="AD47" s="40">
        <f t="shared" si="31"/>
        <v>100982000</v>
      </c>
      <c r="AE47" s="61">
        <f t="shared" si="8"/>
        <v>84.046608406158967</v>
      </c>
      <c r="AF47" s="34" t="s">
        <v>60</v>
      </c>
      <c r="AG47" s="62">
        <f t="shared" si="32"/>
        <v>12</v>
      </c>
      <c r="AH47" s="18" t="s">
        <v>56</v>
      </c>
      <c r="AI47" s="40">
        <f t="shared" si="33"/>
        <v>198052600</v>
      </c>
      <c r="AJ47" s="61">
        <f t="shared" si="34"/>
        <v>40</v>
      </c>
      <c r="AK47" s="34" t="s">
        <v>60</v>
      </c>
      <c r="AL47" s="61">
        <f t="shared" si="35"/>
        <v>33.063873121869783</v>
      </c>
      <c r="AM47" s="11"/>
      <c r="AP47" s="23"/>
    </row>
    <row r="48" spans="1:42" ht="60" x14ac:dyDescent="0.2">
      <c r="A48" s="13"/>
      <c r="B48" s="14"/>
      <c r="C48" s="24" t="s">
        <v>100</v>
      </c>
      <c r="D48" s="28" t="s">
        <v>107</v>
      </c>
      <c r="E48" s="17">
        <v>15</v>
      </c>
      <c r="F48" s="18" t="s">
        <v>56</v>
      </c>
      <c r="G48" s="50">
        <v>228750000</v>
      </c>
      <c r="H48" s="44">
        <v>3</v>
      </c>
      <c r="I48" s="18" t="s">
        <v>56</v>
      </c>
      <c r="J48" s="20">
        <v>38533000</v>
      </c>
      <c r="K48" s="17">
        <v>3</v>
      </c>
      <c r="L48" s="18" t="s">
        <v>56</v>
      </c>
      <c r="M48" s="21">
        <v>48250000</v>
      </c>
      <c r="N48" s="17">
        <v>1</v>
      </c>
      <c r="O48" s="18" t="s">
        <v>56</v>
      </c>
      <c r="P48" s="21">
        <v>15150000</v>
      </c>
      <c r="Q48" s="17">
        <v>2</v>
      </c>
      <c r="R48" s="18" t="s">
        <v>56</v>
      </c>
      <c r="S48" s="21">
        <v>29090000</v>
      </c>
      <c r="T48" s="17">
        <v>0</v>
      </c>
      <c r="U48" s="18" t="s">
        <v>56</v>
      </c>
      <c r="V48" s="21">
        <v>1250000</v>
      </c>
      <c r="W48" s="17">
        <v>0</v>
      </c>
      <c r="X48" s="18" t="s">
        <v>56</v>
      </c>
      <c r="Y48" s="21">
        <v>0</v>
      </c>
      <c r="Z48" s="62">
        <f t="shared" si="30"/>
        <v>3</v>
      </c>
      <c r="AA48" s="18" t="s">
        <v>56</v>
      </c>
      <c r="AB48" s="61">
        <f t="shared" si="7"/>
        <v>100</v>
      </c>
      <c r="AC48" s="34" t="s">
        <v>60</v>
      </c>
      <c r="AD48" s="40">
        <f t="shared" si="31"/>
        <v>45490000</v>
      </c>
      <c r="AE48" s="61">
        <f t="shared" si="8"/>
        <v>94.279792746113984</v>
      </c>
      <c r="AF48" s="34" t="s">
        <v>60</v>
      </c>
      <c r="AG48" s="62">
        <f t="shared" si="32"/>
        <v>6</v>
      </c>
      <c r="AH48" s="18" t="s">
        <v>56</v>
      </c>
      <c r="AI48" s="40">
        <f t="shared" si="33"/>
        <v>84023000</v>
      </c>
      <c r="AJ48" s="61">
        <f t="shared" si="34"/>
        <v>40</v>
      </c>
      <c r="AK48" s="34" t="s">
        <v>60</v>
      </c>
      <c r="AL48" s="61">
        <f t="shared" si="35"/>
        <v>36.731366120218581</v>
      </c>
      <c r="AM48" s="11"/>
      <c r="AP48" s="23"/>
    </row>
    <row r="49" spans="1:42" ht="75" x14ac:dyDescent="0.2">
      <c r="A49" s="13"/>
      <c r="B49" s="14"/>
      <c r="C49" s="73" t="s">
        <v>162</v>
      </c>
      <c r="D49" s="74" t="s">
        <v>163</v>
      </c>
      <c r="E49" s="17">
        <v>73</v>
      </c>
      <c r="F49" s="18" t="s">
        <v>164</v>
      </c>
      <c r="G49" s="50">
        <v>9850000</v>
      </c>
      <c r="H49" s="44">
        <v>73</v>
      </c>
      <c r="I49" s="18" t="s">
        <v>164</v>
      </c>
      <c r="J49" s="20">
        <v>6200000</v>
      </c>
      <c r="K49" s="17"/>
      <c r="L49" s="18"/>
      <c r="M49" s="21"/>
      <c r="N49" s="17"/>
      <c r="O49" s="18"/>
      <c r="P49" s="21"/>
      <c r="Q49" s="17"/>
      <c r="R49" s="18"/>
      <c r="S49" s="21"/>
      <c r="T49" s="17"/>
      <c r="U49" s="18"/>
      <c r="V49" s="21"/>
      <c r="W49" s="17"/>
      <c r="X49" s="18"/>
      <c r="Y49" s="21"/>
      <c r="Z49" s="62"/>
      <c r="AA49" s="18"/>
      <c r="AB49" s="61"/>
      <c r="AC49" s="34"/>
      <c r="AD49" s="40"/>
      <c r="AE49" s="61"/>
      <c r="AF49" s="34"/>
      <c r="AG49" s="62">
        <f t="shared" ref="AG49" si="36">H49+Z49</f>
        <v>73</v>
      </c>
      <c r="AH49" s="18" t="s">
        <v>164</v>
      </c>
      <c r="AI49" s="40">
        <f t="shared" ref="AI49" si="37">J49+AD49</f>
        <v>6200000</v>
      </c>
      <c r="AJ49" s="61">
        <f t="shared" ref="AJ49" si="38">AG49/E49*100</f>
        <v>100</v>
      </c>
      <c r="AK49" s="34" t="s">
        <v>60</v>
      </c>
      <c r="AL49" s="61">
        <f t="shared" ref="AL49" si="39">AI49/G49*100</f>
        <v>62.944162436548226</v>
      </c>
      <c r="AM49" s="11"/>
      <c r="AP49" s="23"/>
    </row>
    <row r="50" spans="1:42" ht="173.25" x14ac:dyDescent="0.2">
      <c r="A50" s="13"/>
      <c r="B50" s="14"/>
      <c r="C50" s="15" t="s">
        <v>108</v>
      </c>
      <c r="D50" s="16" t="s">
        <v>133</v>
      </c>
      <c r="E50" s="45">
        <v>100</v>
      </c>
      <c r="F50" s="46" t="s">
        <v>60</v>
      </c>
      <c r="G50" s="42">
        <f>SUM(G51:G52)</f>
        <v>290500000</v>
      </c>
      <c r="H50" s="45">
        <f>9000/9000*100</f>
        <v>100</v>
      </c>
      <c r="I50" s="46" t="s">
        <v>60</v>
      </c>
      <c r="J50" s="42">
        <f>SUM(J51:J52)</f>
        <v>55027500</v>
      </c>
      <c r="K50" s="45">
        <v>100</v>
      </c>
      <c r="L50" s="46" t="s">
        <v>60</v>
      </c>
      <c r="M50" s="42">
        <f>SUM(M51:M52)</f>
        <v>37500000</v>
      </c>
      <c r="N50" s="55">
        <f>1116/7449*100</f>
        <v>14.981876761981475</v>
      </c>
      <c r="O50" s="46" t="s">
        <v>60</v>
      </c>
      <c r="P50" s="42">
        <f>SUM(P51:P52)</f>
        <v>1980000</v>
      </c>
      <c r="Q50" s="55">
        <f>1462/7449*100</f>
        <v>19.62679554302591</v>
      </c>
      <c r="R50" s="46" t="s">
        <v>60</v>
      </c>
      <c r="S50" s="42">
        <f>SUM(S51:S52)</f>
        <v>1200000</v>
      </c>
      <c r="T50" s="55">
        <f>1636/7449*100</f>
        <v>21.962679554302593</v>
      </c>
      <c r="U50" s="46" t="s">
        <v>60</v>
      </c>
      <c r="V50" s="42">
        <f>SUM(V51:V52)</f>
        <v>2399900</v>
      </c>
      <c r="W50" s="55">
        <f>3235/7449*100</f>
        <v>43.428648140690022</v>
      </c>
      <c r="X50" s="46" t="s">
        <v>60</v>
      </c>
      <c r="Y50" s="42">
        <f>SUM(Y51:Y52)</f>
        <v>3320100</v>
      </c>
      <c r="Z50" s="66">
        <f t="shared" si="30"/>
        <v>100</v>
      </c>
      <c r="AA50" s="46" t="s">
        <v>60</v>
      </c>
      <c r="AB50" s="63">
        <f t="shared" si="7"/>
        <v>100</v>
      </c>
      <c r="AC50" s="65" t="s">
        <v>60</v>
      </c>
      <c r="AD50" s="64">
        <f t="shared" si="31"/>
        <v>8900000</v>
      </c>
      <c r="AE50" s="63">
        <f t="shared" si="8"/>
        <v>23.733333333333334</v>
      </c>
      <c r="AF50" s="65" t="s">
        <v>60</v>
      </c>
      <c r="AG50" s="66">
        <f t="shared" si="32"/>
        <v>200</v>
      </c>
      <c r="AH50" s="46" t="s">
        <v>60</v>
      </c>
      <c r="AI50" s="64">
        <f t="shared" si="33"/>
        <v>63927500</v>
      </c>
      <c r="AJ50" s="63">
        <f t="shared" si="34"/>
        <v>200</v>
      </c>
      <c r="AK50" s="65" t="s">
        <v>60</v>
      </c>
      <c r="AL50" s="63">
        <f t="shared" si="35"/>
        <v>22.006024096385541</v>
      </c>
      <c r="AM50" s="11"/>
      <c r="AP50" s="23"/>
    </row>
    <row r="51" spans="1:42" ht="75" x14ac:dyDescent="0.2">
      <c r="A51" s="13"/>
      <c r="B51" s="14"/>
      <c r="C51" s="24" t="s">
        <v>109</v>
      </c>
      <c r="D51" s="28" t="s">
        <v>111</v>
      </c>
      <c r="E51" s="17">
        <v>20</v>
      </c>
      <c r="F51" s="47" t="s">
        <v>70</v>
      </c>
      <c r="G51" s="50">
        <f>30800000*5</f>
        <v>154000000</v>
      </c>
      <c r="H51" s="17">
        <v>20</v>
      </c>
      <c r="I51" s="47" t="s">
        <v>70</v>
      </c>
      <c r="J51" s="20">
        <v>30800000</v>
      </c>
      <c r="K51" s="17">
        <v>4</v>
      </c>
      <c r="L51" s="47" t="s">
        <v>70</v>
      </c>
      <c r="M51" s="21">
        <v>10200000</v>
      </c>
      <c r="N51" s="17">
        <v>0</v>
      </c>
      <c r="O51" s="47" t="s">
        <v>70</v>
      </c>
      <c r="P51" s="21">
        <v>480000</v>
      </c>
      <c r="Q51" s="17">
        <v>1</v>
      </c>
      <c r="R51" s="47" t="s">
        <v>70</v>
      </c>
      <c r="S51" s="21">
        <v>0</v>
      </c>
      <c r="T51" s="17">
        <v>2</v>
      </c>
      <c r="U51" s="47" t="s">
        <v>70</v>
      </c>
      <c r="V51" s="21">
        <v>1099900</v>
      </c>
      <c r="W51" s="17">
        <v>1</v>
      </c>
      <c r="X51" s="47" t="s">
        <v>70</v>
      </c>
      <c r="Y51" s="21">
        <v>3020100</v>
      </c>
      <c r="Z51" s="62">
        <f t="shared" si="30"/>
        <v>4</v>
      </c>
      <c r="AA51" s="47" t="s">
        <v>70</v>
      </c>
      <c r="AB51" s="61">
        <f t="shared" si="7"/>
        <v>100</v>
      </c>
      <c r="AC51" s="34" t="s">
        <v>60</v>
      </c>
      <c r="AD51" s="40">
        <f t="shared" si="31"/>
        <v>4600000</v>
      </c>
      <c r="AE51" s="61">
        <f t="shared" si="8"/>
        <v>45.098039215686278</v>
      </c>
      <c r="AF51" s="34" t="s">
        <v>60</v>
      </c>
      <c r="AG51" s="62">
        <f t="shared" si="32"/>
        <v>24</v>
      </c>
      <c r="AH51" s="47" t="s">
        <v>70</v>
      </c>
      <c r="AI51" s="40">
        <f t="shared" si="33"/>
        <v>35400000</v>
      </c>
      <c r="AJ51" s="61">
        <f t="shared" si="34"/>
        <v>120</v>
      </c>
      <c r="AK51" s="34" t="s">
        <v>60</v>
      </c>
      <c r="AL51" s="61">
        <f t="shared" si="35"/>
        <v>22.987012987012985</v>
      </c>
      <c r="AM51" s="11"/>
      <c r="AP51" s="23"/>
    </row>
    <row r="52" spans="1:42" ht="60" x14ac:dyDescent="0.2">
      <c r="A52" s="13"/>
      <c r="B52" s="14"/>
      <c r="C52" s="24" t="s">
        <v>110</v>
      </c>
      <c r="D52" s="28" t="s">
        <v>112</v>
      </c>
      <c r="E52" s="17">
        <v>100</v>
      </c>
      <c r="F52" s="18" t="s">
        <v>60</v>
      </c>
      <c r="G52" s="50">
        <f>27300000*5</f>
        <v>136500000</v>
      </c>
      <c r="H52" s="44">
        <f>29/29*100</f>
        <v>100</v>
      </c>
      <c r="I52" s="18" t="s">
        <v>60</v>
      </c>
      <c r="J52" s="20">
        <v>24227500</v>
      </c>
      <c r="K52" s="17">
        <v>100</v>
      </c>
      <c r="L52" s="47" t="s">
        <v>60</v>
      </c>
      <c r="M52" s="21">
        <v>27300000</v>
      </c>
      <c r="N52" s="19">
        <f>25/32*100</f>
        <v>78.125</v>
      </c>
      <c r="O52" s="47" t="s">
        <v>60</v>
      </c>
      <c r="P52" s="21">
        <v>1500000</v>
      </c>
      <c r="Q52" s="19">
        <f>2/32*100</f>
        <v>6.25</v>
      </c>
      <c r="R52" s="47" t="s">
        <v>60</v>
      </c>
      <c r="S52" s="21">
        <v>1200000</v>
      </c>
      <c r="T52" s="19">
        <v>0</v>
      </c>
      <c r="U52" s="47" t="s">
        <v>60</v>
      </c>
      <c r="V52" s="21">
        <v>1300000</v>
      </c>
      <c r="W52" s="19">
        <f>4/32*100</f>
        <v>12.5</v>
      </c>
      <c r="X52" s="47" t="s">
        <v>60</v>
      </c>
      <c r="Y52" s="21">
        <v>300000</v>
      </c>
      <c r="Z52" s="61">
        <f>N52+Q52+T52+W52</f>
        <v>96.875</v>
      </c>
      <c r="AA52" s="18" t="s">
        <v>60</v>
      </c>
      <c r="AB52" s="61">
        <f t="shared" si="7"/>
        <v>96.875</v>
      </c>
      <c r="AC52" s="34" t="s">
        <v>60</v>
      </c>
      <c r="AD52" s="40">
        <f t="shared" si="31"/>
        <v>4300000</v>
      </c>
      <c r="AE52" s="61">
        <f t="shared" si="8"/>
        <v>15.75091575091575</v>
      </c>
      <c r="AF52" s="34" t="s">
        <v>60</v>
      </c>
      <c r="AG52" s="62">
        <f t="shared" si="32"/>
        <v>196.875</v>
      </c>
      <c r="AH52" s="18" t="s">
        <v>60</v>
      </c>
      <c r="AI52" s="40">
        <f t="shared" si="33"/>
        <v>28527500</v>
      </c>
      <c r="AJ52" s="61">
        <f t="shared" si="34"/>
        <v>196.875</v>
      </c>
      <c r="AK52" s="34" t="s">
        <v>60</v>
      </c>
      <c r="AL52" s="61">
        <f t="shared" si="35"/>
        <v>20.899267399267398</v>
      </c>
      <c r="AM52" s="11"/>
      <c r="AP52" s="23"/>
    </row>
    <row r="53" spans="1:42" ht="126" x14ac:dyDescent="0.2">
      <c r="A53" s="13"/>
      <c r="B53" s="14"/>
      <c r="C53" s="15" t="s">
        <v>113</v>
      </c>
      <c r="D53" s="16" t="s">
        <v>134</v>
      </c>
      <c r="E53" s="45">
        <v>100</v>
      </c>
      <c r="F53" s="46" t="s">
        <v>60</v>
      </c>
      <c r="G53" s="42">
        <f>SUM(G54:G60)</f>
        <v>1220190000</v>
      </c>
      <c r="H53" s="45">
        <f>2/2*100</f>
        <v>100</v>
      </c>
      <c r="I53" s="46" t="s">
        <v>60</v>
      </c>
      <c r="J53" s="42">
        <f>SUM(J54:J60)</f>
        <v>225477000</v>
      </c>
      <c r="K53" s="45">
        <v>100</v>
      </c>
      <c r="L53" s="46" t="s">
        <v>60</v>
      </c>
      <c r="M53" s="42">
        <f>SUM(M54:M60)</f>
        <v>154880700</v>
      </c>
      <c r="N53" s="45">
        <f>1/2*100</f>
        <v>50</v>
      </c>
      <c r="O53" s="46" t="s">
        <v>60</v>
      </c>
      <c r="P53" s="42">
        <f>SUM(P54:P60)</f>
        <v>12130000</v>
      </c>
      <c r="Q53" s="45">
        <f>0/2*100</f>
        <v>0</v>
      </c>
      <c r="R53" s="46" t="s">
        <v>60</v>
      </c>
      <c r="S53" s="42">
        <f>SUM(S54:S60)</f>
        <v>9960000</v>
      </c>
      <c r="T53" s="45">
        <f>1/2*100</f>
        <v>50</v>
      </c>
      <c r="U53" s="46" t="s">
        <v>60</v>
      </c>
      <c r="V53" s="42">
        <f>SUM(V54:V60)</f>
        <v>110081200</v>
      </c>
      <c r="W53" s="45">
        <v>0</v>
      </c>
      <c r="X53" s="46" t="s">
        <v>60</v>
      </c>
      <c r="Y53" s="42">
        <f>SUM(Y54:Y60)</f>
        <v>18804000</v>
      </c>
      <c r="Z53" s="66">
        <f t="shared" si="1"/>
        <v>100</v>
      </c>
      <c r="AA53" s="46" t="s">
        <v>60</v>
      </c>
      <c r="AB53" s="63">
        <f t="shared" si="7"/>
        <v>100</v>
      </c>
      <c r="AC53" s="65" t="s">
        <v>60</v>
      </c>
      <c r="AD53" s="64">
        <f>P53+S53+V53+Y53</f>
        <v>150975200</v>
      </c>
      <c r="AE53" s="63">
        <f t="shared" si="8"/>
        <v>97.478381748016375</v>
      </c>
      <c r="AF53" s="65" t="s">
        <v>60</v>
      </c>
      <c r="AG53" s="66">
        <f t="shared" si="2"/>
        <v>200</v>
      </c>
      <c r="AH53" s="46" t="s">
        <v>60</v>
      </c>
      <c r="AI53" s="64">
        <f t="shared" si="3"/>
        <v>376452200</v>
      </c>
      <c r="AJ53" s="63">
        <f t="shared" si="5"/>
        <v>200</v>
      </c>
      <c r="AK53" s="65" t="s">
        <v>60</v>
      </c>
      <c r="AL53" s="63">
        <f t="shared" si="4"/>
        <v>30.851932895696571</v>
      </c>
      <c r="AM53" s="11"/>
      <c r="AP53" s="23"/>
    </row>
    <row r="54" spans="1:42" ht="105" x14ac:dyDescent="0.2">
      <c r="A54" s="13"/>
      <c r="B54" s="14"/>
      <c r="C54" s="24" t="s">
        <v>114</v>
      </c>
      <c r="D54" s="28" t="s">
        <v>168</v>
      </c>
      <c r="E54" s="17">
        <v>5</v>
      </c>
      <c r="F54" s="18" t="s">
        <v>56</v>
      </c>
      <c r="G54" s="50">
        <f>90220000*5</f>
        <v>451100000</v>
      </c>
      <c r="H54" s="44">
        <v>1</v>
      </c>
      <c r="I54" s="18" t="s">
        <v>56</v>
      </c>
      <c r="J54" s="20">
        <v>84321000</v>
      </c>
      <c r="K54" s="17">
        <v>1</v>
      </c>
      <c r="L54" s="47" t="s">
        <v>56</v>
      </c>
      <c r="M54" s="21">
        <v>78219700</v>
      </c>
      <c r="N54" s="17">
        <v>1</v>
      </c>
      <c r="O54" s="47" t="s">
        <v>56</v>
      </c>
      <c r="P54" s="21">
        <v>12130000</v>
      </c>
      <c r="Q54" s="17">
        <v>0</v>
      </c>
      <c r="R54" s="47" t="s">
        <v>56</v>
      </c>
      <c r="S54" s="21">
        <v>9960000</v>
      </c>
      <c r="T54" s="17">
        <v>0</v>
      </c>
      <c r="U54" s="47" t="s">
        <v>56</v>
      </c>
      <c r="V54" s="21">
        <v>35936200</v>
      </c>
      <c r="W54" s="17">
        <v>0</v>
      </c>
      <c r="X54" s="47" t="s">
        <v>56</v>
      </c>
      <c r="Y54" s="21">
        <v>18804000</v>
      </c>
      <c r="Z54" s="62">
        <f t="shared" si="1"/>
        <v>1</v>
      </c>
      <c r="AA54" s="18" t="s">
        <v>56</v>
      </c>
      <c r="AB54" s="61">
        <f t="shared" si="7"/>
        <v>100</v>
      </c>
      <c r="AC54" s="34" t="s">
        <v>60</v>
      </c>
      <c r="AD54" s="40">
        <f t="shared" si="6"/>
        <v>76830200</v>
      </c>
      <c r="AE54" s="61">
        <f t="shared" si="8"/>
        <v>98.223593289158615</v>
      </c>
      <c r="AF54" s="34" t="s">
        <v>60</v>
      </c>
      <c r="AG54" s="62">
        <f t="shared" si="2"/>
        <v>2</v>
      </c>
      <c r="AH54" s="18" t="s">
        <v>56</v>
      </c>
      <c r="AI54" s="40">
        <f t="shared" si="3"/>
        <v>161151200</v>
      </c>
      <c r="AJ54" s="61">
        <f t="shared" si="5"/>
        <v>40</v>
      </c>
      <c r="AK54" s="34" t="s">
        <v>60</v>
      </c>
      <c r="AL54" s="61">
        <f t="shared" si="4"/>
        <v>35.724052316559522</v>
      </c>
      <c r="AM54" s="11"/>
      <c r="AP54" s="23"/>
    </row>
    <row r="55" spans="1:42" ht="75" x14ac:dyDescent="0.2">
      <c r="A55" s="13"/>
      <c r="B55" s="14"/>
      <c r="C55" s="24" t="s">
        <v>115</v>
      </c>
      <c r="D55" s="28" t="s">
        <v>117</v>
      </c>
      <c r="E55" s="17">
        <f>2*4</f>
        <v>8</v>
      </c>
      <c r="F55" s="18" t="s">
        <v>56</v>
      </c>
      <c r="G55" s="50">
        <f>56680000*4</f>
        <v>226720000</v>
      </c>
      <c r="H55" s="19"/>
      <c r="I55" s="18"/>
      <c r="J55" s="20"/>
      <c r="K55" s="17">
        <v>2</v>
      </c>
      <c r="L55" s="47" t="s">
        <v>56</v>
      </c>
      <c r="M55" s="21">
        <v>76661000</v>
      </c>
      <c r="N55" s="17">
        <v>0</v>
      </c>
      <c r="O55" s="47" t="s">
        <v>56</v>
      </c>
      <c r="P55" s="21">
        <v>0</v>
      </c>
      <c r="Q55" s="17">
        <v>2</v>
      </c>
      <c r="R55" s="47" t="s">
        <v>56</v>
      </c>
      <c r="S55" s="21">
        <v>0</v>
      </c>
      <c r="T55" s="17">
        <v>0</v>
      </c>
      <c r="U55" s="47" t="s">
        <v>56</v>
      </c>
      <c r="V55" s="21">
        <v>74145000</v>
      </c>
      <c r="W55" s="17">
        <v>0</v>
      </c>
      <c r="X55" s="47" t="s">
        <v>56</v>
      </c>
      <c r="Y55" s="21">
        <v>0</v>
      </c>
      <c r="Z55" s="62">
        <f t="shared" si="1"/>
        <v>2</v>
      </c>
      <c r="AA55" s="18" t="s">
        <v>56</v>
      </c>
      <c r="AB55" s="61">
        <f t="shared" si="7"/>
        <v>100</v>
      </c>
      <c r="AC55" s="34" t="s">
        <v>60</v>
      </c>
      <c r="AD55" s="40">
        <f t="shared" si="6"/>
        <v>74145000</v>
      </c>
      <c r="AE55" s="61">
        <f t="shared" si="8"/>
        <v>96.718018288308272</v>
      </c>
      <c r="AF55" s="34" t="s">
        <v>60</v>
      </c>
      <c r="AG55" s="62">
        <f t="shared" si="2"/>
        <v>2</v>
      </c>
      <c r="AH55" s="18" t="s">
        <v>56</v>
      </c>
      <c r="AI55" s="40">
        <f t="shared" si="3"/>
        <v>74145000</v>
      </c>
      <c r="AJ55" s="61">
        <f t="shared" si="5"/>
        <v>25</v>
      </c>
      <c r="AK55" s="34" t="s">
        <v>60</v>
      </c>
      <c r="AL55" s="61">
        <f t="shared" si="4"/>
        <v>32.703334509527174</v>
      </c>
      <c r="AM55" s="11"/>
      <c r="AP55" s="23"/>
    </row>
    <row r="56" spans="1:42" ht="75" x14ac:dyDescent="0.2">
      <c r="A56" s="13"/>
      <c r="B56" s="14"/>
      <c r="C56" s="88" t="s">
        <v>116</v>
      </c>
      <c r="D56" s="87" t="s">
        <v>118</v>
      </c>
      <c r="E56" s="17">
        <v>4</v>
      </c>
      <c r="F56" s="18" t="s">
        <v>70</v>
      </c>
      <c r="G56" s="50">
        <f>97138000*4</f>
        <v>388552000</v>
      </c>
      <c r="H56" s="19"/>
      <c r="I56" s="18"/>
      <c r="J56" s="20"/>
      <c r="K56" s="17">
        <v>1</v>
      </c>
      <c r="L56" s="18" t="s">
        <v>70</v>
      </c>
      <c r="M56" s="21">
        <v>0</v>
      </c>
      <c r="N56" s="17"/>
      <c r="O56" s="18"/>
      <c r="P56" s="21"/>
      <c r="Q56" s="17"/>
      <c r="R56" s="18"/>
      <c r="S56" s="21"/>
      <c r="T56" s="17"/>
      <c r="U56" s="18"/>
      <c r="V56" s="21"/>
      <c r="W56" s="17"/>
      <c r="X56" s="18"/>
      <c r="Y56" s="21"/>
      <c r="Z56" s="62"/>
      <c r="AA56" s="18"/>
      <c r="AB56" s="61"/>
      <c r="AC56" s="34"/>
      <c r="AD56" s="40"/>
      <c r="AE56" s="61"/>
      <c r="AF56" s="34"/>
      <c r="AG56" s="62">
        <f t="shared" si="2"/>
        <v>0</v>
      </c>
      <c r="AH56" s="18" t="s">
        <v>70</v>
      </c>
      <c r="AI56" s="40">
        <f t="shared" si="3"/>
        <v>0</v>
      </c>
      <c r="AJ56" s="61">
        <f t="shared" si="5"/>
        <v>0</v>
      </c>
      <c r="AK56" s="34" t="s">
        <v>60</v>
      </c>
      <c r="AL56" s="61">
        <f t="shared" si="4"/>
        <v>0</v>
      </c>
      <c r="AM56" s="11"/>
      <c r="AP56" s="23"/>
    </row>
    <row r="57" spans="1:42" ht="60" x14ac:dyDescent="0.2">
      <c r="A57" s="13"/>
      <c r="B57" s="14"/>
      <c r="C57" s="73" t="s">
        <v>147</v>
      </c>
      <c r="D57" s="74" t="s">
        <v>151</v>
      </c>
      <c r="E57" s="17">
        <v>273</v>
      </c>
      <c r="F57" s="18" t="s">
        <v>56</v>
      </c>
      <c r="G57" s="50">
        <v>50560000</v>
      </c>
      <c r="H57" s="44">
        <v>273</v>
      </c>
      <c r="I57" s="18" t="s">
        <v>56</v>
      </c>
      <c r="J57" s="20">
        <v>39060000</v>
      </c>
      <c r="K57" s="17"/>
      <c r="L57" s="47"/>
      <c r="M57" s="21"/>
      <c r="N57" s="17"/>
      <c r="O57" s="47"/>
      <c r="P57" s="21"/>
      <c r="Q57" s="17"/>
      <c r="R57" s="47"/>
      <c r="S57" s="21"/>
      <c r="T57" s="17"/>
      <c r="U57" s="47"/>
      <c r="V57" s="21"/>
      <c r="W57" s="17"/>
      <c r="X57" s="47"/>
      <c r="Y57" s="21"/>
      <c r="Z57" s="62"/>
      <c r="AA57" s="18"/>
      <c r="AB57" s="61"/>
      <c r="AC57" s="34"/>
      <c r="AD57" s="40"/>
      <c r="AE57" s="61"/>
      <c r="AF57" s="34"/>
      <c r="AG57" s="62">
        <f t="shared" ref="AG57:AG59" si="40">H57+Z57</f>
        <v>273</v>
      </c>
      <c r="AH57" s="18" t="s">
        <v>56</v>
      </c>
      <c r="AI57" s="40">
        <f t="shared" ref="AI57:AI59" si="41">J57+AD57</f>
        <v>39060000</v>
      </c>
      <c r="AJ57" s="61">
        <f t="shared" ref="AJ57:AJ59" si="42">AG57/E57*100</f>
        <v>100</v>
      </c>
      <c r="AK57" s="34" t="s">
        <v>60</v>
      </c>
      <c r="AL57" s="61">
        <f t="shared" ref="AL57:AL59" si="43">AI57/G57*100</f>
        <v>77.254746835443029</v>
      </c>
      <c r="AM57" s="11"/>
      <c r="AP57" s="23"/>
    </row>
    <row r="58" spans="1:42" ht="60" x14ac:dyDescent="0.2">
      <c r="A58" s="13"/>
      <c r="B58" s="14"/>
      <c r="C58" s="73" t="s">
        <v>148</v>
      </c>
      <c r="D58" s="74" t="s">
        <v>152</v>
      </c>
      <c r="E58" s="17">
        <v>21</v>
      </c>
      <c r="F58" s="18" t="s">
        <v>56</v>
      </c>
      <c r="G58" s="50">
        <v>6120000</v>
      </c>
      <c r="H58" s="44">
        <v>21</v>
      </c>
      <c r="I58" s="18" t="s">
        <v>56</v>
      </c>
      <c r="J58" s="20">
        <v>5780000</v>
      </c>
      <c r="K58" s="17"/>
      <c r="L58" s="47"/>
      <c r="M58" s="21"/>
      <c r="N58" s="17"/>
      <c r="O58" s="47"/>
      <c r="P58" s="21"/>
      <c r="Q58" s="17"/>
      <c r="R58" s="47"/>
      <c r="S58" s="21"/>
      <c r="T58" s="17"/>
      <c r="U58" s="47"/>
      <c r="V58" s="21"/>
      <c r="W58" s="17"/>
      <c r="X58" s="47"/>
      <c r="Y58" s="21"/>
      <c r="Z58" s="62"/>
      <c r="AA58" s="18"/>
      <c r="AB58" s="61"/>
      <c r="AC58" s="34"/>
      <c r="AD58" s="40"/>
      <c r="AE58" s="61"/>
      <c r="AF58" s="34"/>
      <c r="AG58" s="62">
        <f t="shared" si="40"/>
        <v>21</v>
      </c>
      <c r="AH58" s="18" t="s">
        <v>56</v>
      </c>
      <c r="AI58" s="40">
        <f t="shared" si="41"/>
        <v>5780000</v>
      </c>
      <c r="AJ58" s="61">
        <f t="shared" si="42"/>
        <v>100</v>
      </c>
      <c r="AK58" s="34" t="s">
        <v>60</v>
      </c>
      <c r="AL58" s="61">
        <f t="shared" si="43"/>
        <v>94.444444444444443</v>
      </c>
      <c r="AM58" s="11"/>
      <c r="AP58" s="23"/>
    </row>
    <row r="59" spans="1:42" ht="135" x14ac:dyDescent="0.2">
      <c r="A59" s="13"/>
      <c r="B59" s="14"/>
      <c r="C59" s="73" t="s">
        <v>149</v>
      </c>
      <c r="D59" s="74" t="s">
        <v>153</v>
      </c>
      <c r="E59" s="17">
        <v>2</v>
      </c>
      <c r="F59" s="18" t="s">
        <v>56</v>
      </c>
      <c r="G59" s="50">
        <v>54660000</v>
      </c>
      <c r="H59" s="44">
        <v>2</v>
      </c>
      <c r="I59" s="18" t="s">
        <v>56</v>
      </c>
      <c r="J59" s="20">
        <v>54588000</v>
      </c>
      <c r="K59" s="17"/>
      <c r="L59" s="18"/>
      <c r="M59" s="21"/>
      <c r="N59" s="17"/>
      <c r="O59" s="18"/>
      <c r="P59" s="21"/>
      <c r="Q59" s="17"/>
      <c r="R59" s="18"/>
      <c r="S59" s="21"/>
      <c r="T59" s="17"/>
      <c r="U59" s="18"/>
      <c r="V59" s="21"/>
      <c r="W59" s="17"/>
      <c r="X59" s="18"/>
      <c r="Y59" s="21"/>
      <c r="Z59" s="62"/>
      <c r="AA59" s="18"/>
      <c r="AB59" s="61"/>
      <c r="AC59" s="34"/>
      <c r="AD59" s="40"/>
      <c r="AE59" s="61"/>
      <c r="AF59" s="34"/>
      <c r="AG59" s="62">
        <f t="shared" si="40"/>
        <v>2</v>
      </c>
      <c r="AH59" s="18" t="s">
        <v>56</v>
      </c>
      <c r="AI59" s="40">
        <f t="shared" si="41"/>
        <v>54588000</v>
      </c>
      <c r="AJ59" s="61">
        <f t="shared" si="42"/>
        <v>100</v>
      </c>
      <c r="AK59" s="34" t="s">
        <v>60</v>
      </c>
      <c r="AL59" s="61">
        <f t="shared" si="43"/>
        <v>99.868276619099888</v>
      </c>
      <c r="AM59" s="11"/>
      <c r="AP59" s="23"/>
    </row>
    <row r="60" spans="1:42" ht="120" x14ac:dyDescent="0.2">
      <c r="A60" s="13"/>
      <c r="B60" s="14"/>
      <c r="C60" s="73" t="s">
        <v>150</v>
      </c>
      <c r="D60" s="74" t="s">
        <v>153</v>
      </c>
      <c r="E60" s="17">
        <v>2</v>
      </c>
      <c r="F60" s="18" t="s">
        <v>56</v>
      </c>
      <c r="G60" s="50">
        <v>42478000</v>
      </c>
      <c r="H60" s="44">
        <v>2</v>
      </c>
      <c r="I60" s="18" t="s">
        <v>56</v>
      </c>
      <c r="J60" s="20">
        <v>41728000</v>
      </c>
      <c r="K60" s="17"/>
      <c r="L60" s="18"/>
      <c r="M60" s="21"/>
      <c r="N60" s="17"/>
      <c r="O60" s="18"/>
      <c r="P60" s="21"/>
      <c r="Q60" s="17"/>
      <c r="R60" s="18"/>
      <c r="S60" s="21"/>
      <c r="T60" s="17"/>
      <c r="U60" s="18"/>
      <c r="V60" s="21"/>
      <c r="W60" s="17"/>
      <c r="X60" s="18"/>
      <c r="Y60" s="21"/>
      <c r="Z60" s="62"/>
      <c r="AA60" s="18"/>
      <c r="AB60" s="61"/>
      <c r="AC60" s="34"/>
      <c r="AD60" s="40"/>
      <c r="AE60" s="61"/>
      <c r="AF60" s="34"/>
      <c r="AG60" s="62">
        <f t="shared" ref="AG60" si="44">H60+Z60</f>
        <v>2</v>
      </c>
      <c r="AH60" s="18" t="s">
        <v>56</v>
      </c>
      <c r="AI60" s="40">
        <f t="shared" ref="AI60" si="45">J60+AD60</f>
        <v>41728000</v>
      </c>
      <c r="AJ60" s="61">
        <f t="shared" ref="AJ60" si="46">AG60/E60*100</f>
        <v>100</v>
      </c>
      <c r="AK60" s="34" t="s">
        <v>60</v>
      </c>
      <c r="AL60" s="61">
        <f t="shared" ref="AL60" si="47">AI60/G60*100</f>
        <v>98.234380149724558</v>
      </c>
      <c r="AM60" s="11"/>
      <c r="AP60" s="23"/>
    </row>
    <row r="61" spans="1:42" ht="94.5" x14ac:dyDescent="0.2">
      <c r="A61" s="13"/>
      <c r="B61" s="14"/>
      <c r="C61" s="15" t="s">
        <v>119</v>
      </c>
      <c r="D61" s="16" t="s">
        <v>132</v>
      </c>
      <c r="E61" s="45">
        <v>100</v>
      </c>
      <c r="F61" s="46" t="s">
        <v>60</v>
      </c>
      <c r="G61" s="42">
        <f>SUM(G62:G67)</f>
        <v>13038380000</v>
      </c>
      <c r="H61" s="60">
        <v>100</v>
      </c>
      <c r="I61" s="46" t="s">
        <v>60</v>
      </c>
      <c r="J61" s="42">
        <f>SUM(J62:J71)</f>
        <v>5050798470</v>
      </c>
      <c r="K61" s="45">
        <v>100</v>
      </c>
      <c r="L61" s="46" t="s">
        <v>60</v>
      </c>
      <c r="M61" s="42">
        <f>SUM(M62:M67)</f>
        <v>2189735000</v>
      </c>
      <c r="N61" s="45">
        <v>25</v>
      </c>
      <c r="O61" s="46" t="s">
        <v>60</v>
      </c>
      <c r="P61" s="42">
        <f>SUM(P62:P67)</f>
        <v>10721372</v>
      </c>
      <c r="Q61" s="45">
        <v>10</v>
      </c>
      <c r="R61" s="46" t="s">
        <v>60</v>
      </c>
      <c r="S61" s="42">
        <f>SUM(S62:S67)</f>
        <v>1464914596</v>
      </c>
      <c r="T61" s="45">
        <v>25</v>
      </c>
      <c r="U61" s="46" t="s">
        <v>60</v>
      </c>
      <c r="V61" s="42">
        <f>SUM(V62:V67)</f>
        <v>64029284</v>
      </c>
      <c r="W61" s="45">
        <v>40</v>
      </c>
      <c r="X61" s="46" t="s">
        <v>60</v>
      </c>
      <c r="Y61" s="42">
        <f>SUM(Y62:Y67)</f>
        <v>201570599</v>
      </c>
      <c r="Z61" s="66">
        <f t="shared" si="1"/>
        <v>100</v>
      </c>
      <c r="AA61" s="46" t="s">
        <v>60</v>
      </c>
      <c r="AB61" s="63">
        <f t="shared" ref="AB61:AB67" si="48">Z61/K61*100</f>
        <v>100</v>
      </c>
      <c r="AC61" s="65" t="s">
        <v>60</v>
      </c>
      <c r="AD61" s="64">
        <f t="shared" si="6"/>
        <v>1741235851</v>
      </c>
      <c r="AE61" s="63">
        <f>AD61/M61*100</f>
        <v>79.518108401244902</v>
      </c>
      <c r="AF61" s="65" t="s">
        <v>60</v>
      </c>
      <c r="AG61" s="66">
        <f t="shared" si="2"/>
        <v>200</v>
      </c>
      <c r="AH61" s="46" t="s">
        <v>60</v>
      </c>
      <c r="AI61" s="64">
        <f t="shared" si="3"/>
        <v>6792034321</v>
      </c>
      <c r="AJ61" s="63">
        <f t="shared" si="5"/>
        <v>200</v>
      </c>
      <c r="AK61" s="65" t="s">
        <v>60</v>
      </c>
      <c r="AL61" s="63">
        <f t="shared" si="4"/>
        <v>52.092624398123078</v>
      </c>
      <c r="AM61" s="11"/>
      <c r="AP61" s="23"/>
    </row>
    <row r="62" spans="1:42" ht="90" x14ac:dyDescent="0.2">
      <c r="A62" s="13"/>
      <c r="B62" s="14"/>
      <c r="C62" s="24" t="s">
        <v>120</v>
      </c>
      <c r="D62" s="28" t="s">
        <v>126</v>
      </c>
      <c r="E62" s="17">
        <f>2*5</f>
        <v>10</v>
      </c>
      <c r="F62" s="18" t="s">
        <v>56</v>
      </c>
      <c r="G62" s="50">
        <v>231330000</v>
      </c>
      <c r="H62" s="44">
        <v>2</v>
      </c>
      <c r="I62" s="18" t="s">
        <v>56</v>
      </c>
      <c r="J62" s="20">
        <v>22550550</v>
      </c>
      <c r="K62" s="17">
        <v>2</v>
      </c>
      <c r="L62" s="47" t="s">
        <v>56</v>
      </c>
      <c r="M62" s="21">
        <v>29280000</v>
      </c>
      <c r="N62" s="17">
        <v>0</v>
      </c>
      <c r="O62" s="47" t="s">
        <v>56</v>
      </c>
      <c r="P62" s="21">
        <v>0</v>
      </c>
      <c r="Q62" s="17">
        <v>0</v>
      </c>
      <c r="R62" s="47" t="s">
        <v>56</v>
      </c>
      <c r="S62" s="21">
        <v>0</v>
      </c>
      <c r="T62" s="17">
        <v>2</v>
      </c>
      <c r="U62" s="47" t="s">
        <v>56</v>
      </c>
      <c r="V62" s="21">
        <v>855250</v>
      </c>
      <c r="W62" s="17">
        <v>0</v>
      </c>
      <c r="X62" s="47" t="s">
        <v>56</v>
      </c>
      <c r="Y62" s="21">
        <v>21815500</v>
      </c>
      <c r="Z62" s="62">
        <f t="shared" si="1"/>
        <v>2</v>
      </c>
      <c r="AA62" s="18" t="s">
        <v>56</v>
      </c>
      <c r="AB62" s="61">
        <f t="shared" si="48"/>
        <v>100</v>
      </c>
      <c r="AC62" s="34" t="s">
        <v>60</v>
      </c>
      <c r="AD62" s="40">
        <f t="shared" si="6"/>
        <v>22670750</v>
      </c>
      <c r="AE62" s="61">
        <f t="shared" ref="AE62:AE67" si="49">AD62/M62*100</f>
        <v>77.427424863387984</v>
      </c>
      <c r="AF62" s="34" t="s">
        <v>60</v>
      </c>
      <c r="AG62" s="62">
        <f t="shared" si="2"/>
        <v>4</v>
      </c>
      <c r="AH62" s="18" t="s">
        <v>56</v>
      </c>
      <c r="AI62" s="40">
        <f t="shared" si="3"/>
        <v>45221300</v>
      </c>
      <c r="AJ62" s="61">
        <f t="shared" si="5"/>
        <v>40</v>
      </c>
      <c r="AK62" s="34" t="s">
        <v>60</v>
      </c>
      <c r="AL62" s="61">
        <f t="shared" si="4"/>
        <v>19.548394069078807</v>
      </c>
      <c r="AM62" s="11"/>
      <c r="AP62" s="23"/>
    </row>
    <row r="63" spans="1:42" ht="60" x14ac:dyDescent="0.2">
      <c r="A63" s="13"/>
      <c r="B63" s="14"/>
      <c r="C63" s="24" t="s">
        <v>121</v>
      </c>
      <c r="D63" s="28" t="s">
        <v>127</v>
      </c>
      <c r="E63" s="17">
        <v>19</v>
      </c>
      <c r="F63" s="18" t="s">
        <v>58</v>
      </c>
      <c r="G63" s="50">
        <v>4033250000</v>
      </c>
      <c r="H63" s="44">
        <v>4</v>
      </c>
      <c r="I63" s="18" t="s">
        <v>58</v>
      </c>
      <c r="J63" s="20">
        <v>774924059</v>
      </c>
      <c r="K63" s="17">
        <v>4</v>
      </c>
      <c r="L63" s="53" t="s">
        <v>58</v>
      </c>
      <c r="M63" s="21">
        <v>73250000</v>
      </c>
      <c r="N63" s="17">
        <v>0</v>
      </c>
      <c r="O63" s="53" t="s">
        <v>58</v>
      </c>
      <c r="P63" s="21">
        <v>844122</v>
      </c>
      <c r="Q63" s="17">
        <v>0</v>
      </c>
      <c r="R63" s="53" t="s">
        <v>58</v>
      </c>
      <c r="S63" s="21">
        <v>24218596</v>
      </c>
      <c r="T63" s="17">
        <v>0</v>
      </c>
      <c r="U63" s="53" t="s">
        <v>58</v>
      </c>
      <c r="V63" s="21">
        <v>1108634</v>
      </c>
      <c r="W63" s="17">
        <v>0</v>
      </c>
      <c r="X63" s="53" t="s">
        <v>58</v>
      </c>
      <c r="Y63" s="21">
        <v>4035999</v>
      </c>
      <c r="Z63" s="62">
        <f t="shared" si="1"/>
        <v>0</v>
      </c>
      <c r="AA63" s="18" t="s">
        <v>58</v>
      </c>
      <c r="AB63" s="61">
        <f t="shared" si="48"/>
        <v>0</v>
      </c>
      <c r="AC63" s="34" t="s">
        <v>60</v>
      </c>
      <c r="AD63" s="40">
        <f t="shared" si="6"/>
        <v>30207351</v>
      </c>
      <c r="AE63" s="61">
        <f t="shared" si="49"/>
        <v>41.238704436860068</v>
      </c>
      <c r="AF63" s="34" t="s">
        <v>60</v>
      </c>
      <c r="AG63" s="62">
        <f t="shared" si="2"/>
        <v>4</v>
      </c>
      <c r="AH63" s="18" t="s">
        <v>58</v>
      </c>
      <c r="AI63" s="40">
        <f t="shared" si="3"/>
        <v>805131410</v>
      </c>
      <c r="AJ63" s="61">
        <f t="shared" si="5"/>
        <v>21.052631578947366</v>
      </c>
      <c r="AK63" s="34" t="s">
        <v>60</v>
      </c>
      <c r="AL63" s="61">
        <f t="shared" si="4"/>
        <v>19.962348230335337</v>
      </c>
      <c r="AM63" s="11"/>
      <c r="AP63" s="23"/>
    </row>
    <row r="64" spans="1:42" ht="45" x14ac:dyDescent="0.2">
      <c r="A64" s="13"/>
      <c r="B64" s="14"/>
      <c r="C64" s="24" t="s">
        <v>122</v>
      </c>
      <c r="D64" s="28" t="s">
        <v>128</v>
      </c>
      <c r="E64" s="17">
        <v>100</v>
      </c>
      <c r="F64" s="18" t="s">
        <v>60</v>
      </c>
      <c r="G64" s="50">
        <f>4*118500000</f>
        <v>474000000</v>
      </c>
      <c r="H64" s="44"/>
      <c r="I64" s="18"/>
      <c r="J64" s="20"/>
      <c r="K64" s="17">
        <v>100</v>
      </c>
      <c r="L64" s="18" t="s">
        <v>60</v>
      </c>
      <c r="M64" s="21">
        <v>101330000</v>
      </c>
      <c r="N64" s="17">
        <v>20</v>
      </c>
      <c r="O64" s="18" t="s">
        <v>60</v>
      </c>
      <c r="P64" s="21">
        <v>2415000</v>
      </c>
      <c r="Q64" s="17">
        <v>15</v>
      </c>
      <c r="R64" s="18" t="s">
        <v>60</v>
      </c>
      <c r="S64" s="21">
        <v>3900000</v>
      </c>
      <c r="T64" s="17">
        <v>40</v>
      </c>
      <c r="U64" s="18" t="s">
        <v>60</v>
      </c>
      <c r="V64" s="21">
        <v>120000</v>
      </c>
      <c r="W64" s="17">
        <v>25</v>
      </c>
      <c r="X64" s="18" t="s">
        <v>60</v>
      </c>
      <c r="Y64" s="21">
        <v>34072500</v>
      </c>
      <c r="Z64" s="62">
        <f t="shared" si="1"/>
        <v>100</v>
      </c>
      <c r="AA64" s="18" t="s">
        <v>60</v>
      </c>
      <c r="AB64" s="61">
        <f t="shared" si="48"/>
        <v>100</v>
      </c>
      <c r="AC64" s="34" t="s">
        <v>60</v>
      </c>
      <c r="AD64" s="40">
        <f t="shared" si="6"/>
        <v>40507500</v>
      </c>
      <c r="AE64" s="61">
        <f t="shared" si="49"/>
        <v>39.975821573078065</v>
      </c>
      <c r="AF64" s="34" t="s">
        <v>60</v>
      </c>
      <c r="AG64" s="62">
        <f t="shared" si="2"/>
        <v>100</v>
      </c>
      <c r="AH64" s="18" t="s">
        <v>60</v>
      </c>
      <c r="AI64" s="40">
        <f t="shared" si="3"/>
        <v>40507500</v>
      </c>
      <c r="AJ64" s="61">
        <f t="shared" si="5"/>
        <v>100</v>
      </c>
      <c r="AK64" s="34" t="s">
        <v>60</v>
      </c>
      <c r="AL64" s="61">
        <f t="shared" si="4"/>
        <v>8.5458860759493671</v>
      </c>
      <c r="AM64" s="11"/>
      <c r="AP64" s="23"/>
    </row>
    <row r="65" spans="1:42" ht="60" x14ac:dyDescent="0.2">
      <c r="A65" s="13"/>
      <c r="B65" s="14"/>
      <c r="C65" s="24" t="s">
        <v>123</v>
      </c>
      <c r="D65" s="28" t="s">
        <v>129</v>
      </c>
      <c r="E65" s="17">
        <v>4</v>
      </c>
      <c r="F65" s="18" t="s">
        <v>70</v>
      </c>
      <c r="G65" s="50">
        <f>242875000*4</f>
        <v>971500000</v>
      </c>
      <c r="H65" s="44"/>
      <c r="I65" s="18"/>
      <c r="J65" s="20"/>
      <c r="K65" s="17">
        <v>1</v>
      </c>
      <c r="L65" s="47" t="s">
        <v>70</v>
      </c>
      <c r="M65" s="21">
        <v>93475000</v>
      </c>
      <c r="N65" s="17">
        <v>0</v>
      </c>
      <c r="O65" s="47" t="s">
        <v>70</v>
      </c>
      <c r="P65" s="21">
        <v>3687500</v>
      </c>
      <c r="Q65" s="17">
        <v>0</v>
      </c>
      <c r="R65" s="47" t="s">
        <v>70</v>
      </c>
      <c r="S65" s="21">
        <v>2594000</v>
      </c>
      <c r="T65" s="17">
        <v>0</v>
      </c>
      <c r="U65" s="47" t="s">
        <v>70</v>
      </c>
      <c r="V65" s="21">
        <v>1839500</v>
      </c>
      <c r="W65" s="17">
        <v>1</v>
      </c>
      <c r="X65" s="47" t="s">
        <v>70</v>
      </c>
      <c r="Y65" s="21">
        <v>5895000</v>
      </c>
      <c r="Z65" s="62">
        <f t="shared" si="1"/>
        <v>1</v>
      </c>
      <c r="AA65" s="18" t="s">
        <v>70</v>
      </c>
      <c r="AB65" s="61">
        <f t="shared" si="48"/>
        <v>100</v>
      </c>
      <c r="AC65" s="34" t="s">
        <v>60</v>
      </c>
      <c r="AD65" s="40">
        <f t="shared" si="6"/>
        <v>14016000</v>
      </c>
      <c r="AE65" s="61">
        <f t="shared" si="49"/>
        <v>14.994383525006686</v>
      </c>
      <c r="AF65" s="34" t="s">
        <v>60</v>
      </c>
      <c r="AG65" s="62">
        <f t="shared" si="2"/>
        <v>1</v>
      </c>
      <c r="AH65" s="18" t="s">
        <v>70</v>
      </c>
      <c r="AI65" s="40">
        <f t="shared" si="3"/>
        <v>14016000</v>
      </c>
      <c r="AJ65" s="61">
        <f t="shared" si="5"/>
        <v>25</v>
      </c>
      <c r="AK65" s="34" t="s">
        <v>60</v>
      </c>
      <c r="AL65" s="61">
        <f t="shared" si="4"/>
        <v>1.4427174472465261</v>
      </c>
      <c r="AM65" s="11"/>
      <c r="AP65" s="23"/>
    </row>
    <row r="66" spans="1:42" ht="45" x14ac:dyDescent="0.2">
      <c r="A66" s="13"/>
      <c r="B66" s="14"/>
      <c r="C66" s="24" t="s">
        <v>124</v>
      </c>
      <c r="D66" s="28" t="s">
        <v>130</v>
      </c>
      <c r="E66" s="17">
        <v>400</v>
      </c>
      <c r="F66" s="18" t="s">
        <v>136</v>
      </c>
      <c r="G66" s="50">
        <f>600200000*4</f>
        <v>2400800000</v>
      </c>
      <c r="H66" s="44"/>
      <c r="I66" s="18"/>
      <c r="J66" s="20"/>
      <c r="K66" s="17">
        <v>100</v>
      </c>
      <c r="L66" s="18" t="s">
        <v>136</v>
      </c>
      <c r="M66" s="21">
        <v>470375000</v>
      </c>
      <c r="N66" s="17">
        <v>0</v>
      </c>
      <c r="O66" s="18" t="s">
        <v>136</v>
      </c>
      <c r="P66" s="21">
        <v>3774750</v>
      </c>
      <c r="Q66" s="17">
        <v>0</v>
      </c>
      <c r="R66" s="18" t="s">
        <v>136</v>
      </c>
      <c r="S66" s="21">
        <v>23202000</v>
      </c>
      <c r="T66" s="17">
        <v>10</v>
      </c>
      <c r="U66" s="18" t="s">
        <v>136</v>
      </c>
      <c r="V66" s="21">
        <v>60105900</v>
      </c>
      <c r="W66" s="17">
        <v>20</v>
      </c>
      <c r="X66" s="18" t="s">
        <v>136</v>
      </c>
      <c r="Y66" s="21">
        <v>135751600</v>
      </c>
      <c r="Z66" s="62">
        <f t="shared" si="1"/>
        <v>30</v>
      </c>
      <c r="AA66" s="18" t="s">
        <v>136</v>
      </c>
      <c r="AB66" s="61">
        <f t="shared" si="48"/>
        <v>30</v>
      </c>
      <c r="AC66" s="34" t="s">
        <v>60</v>
      </c>
      <c r="AD66" s="40">
        <f t="shared" si="6"/>
        <v>222834250</v>
      </c>
      <c r="AE66" s="61">
        <f t="shared" si="49"/>
        <v>47.373744352909917</v>
      </c>
      <c r="AF66" s="34" t="s">
        <v>60</v>
      </c>
      <c r="AG66" s="62">
        <f t="shared" si="2"/>
        <v>30</v>
      </c>
      <c r="AH66" s="18" t="s">
        <v>136</v>
      </c>
      <c r="AI66" s="40">
        <f t="shared" si="3"/>
        <v>222834250</v>
      </c>
      <c r="AJ66" s="61">
        <f t="shared" si="5"/>
        <v>7.5</v>
      </c>
      <c r="AK66" s="34" t="s">
        <v>60</v>
      </c>
      <c r="AL66" s="61">
        <f t="shared" si="4"/>
        <v>9.2816665278240595</v>
      </c>
      <c r="AM66" s="11"/>
      <c r="AP66" s="23"/>
    </row>
    <row r="67" spans="1:42" ht="60" x14ac:dyDescent="0.2">
      <c r="A67" s="13"/>
      <c r="B67" s="14"/>
      <c r="C67" s="24" t="s">
        <v>125</v>
      </c>
      <c r="D67" s="28" t="s">
        <v>131</v>
      </c>
      <c r="E67" s="17">
        <v>8</v>
      </c>
      <c r="F67" s="18" t="s">
        <v>70</v>
      </c>
      <c r="G67" s="50">
        <f>1231875000*4</f>
        <v>4927500000</v>
      </c>
      <c r="H67" s="44"/>
      <c r="I67" s="18"/>
      <c r="J67" s="20"/>
      <c r="K67" s="17">
        <v>2</v>
      </c>
      <c r="L67" s="18" t="s">
        <v>70</v>
      </c>
      <c r="M67" s="21">
        <v>1422025000</v>
      </c>
      <c r="N67" s="17">
        <v>0</v>
      </c>
      <c r="O67" s="18" t="s">
        <v>70</v>
      </c>
      <c r="P67" s="21">
        <v>0</v>
      </c>
      <c r="Q67" s="17">
        <v>2</v>
      </c>
      <c r="R67" s="18" t="s">
        <v>70</v>
      </c>
      <c r="S67" s="21">
        <v>1411000000</v>
      </c>
      <c r="T67" s="17">
        <v>0</v>
      </c>
      <c r="U67" s="18" t="s">
        <v>70</v>
      </c>
      <c r="V67" s="21">
        <v>0</v>
      </c>
      <c r="W67" s="17">
        <v>0</v>
      </c>
      <c r="X67" s="18" t="s">
        <v>70</v>
      </c>
      <c r="Y67" s="21">
        <v>0</v>
      </c>
      <c r="Z67" s="62">
        <f t="shared" si="1"/>
        <v>2</v>
      </c>
      <c r="AA67" s="18" t="s">
        <v>70</v>
      </c>
      <c r="AB67" s="61">
        <f t="shared" si="48"/>
        <v>100</v>
      </c>
      <c r="AC67" s="34" t="s">
        <v>60</v>
      </c>
      <c r="AD67" s="40">
        <f t="shared" si="6"/>
        <v>1411000000</v>
      </c>
      <c r="AE67" s="61">
        <f t="shared" si="49"/>
        <v>99.224697174803538</v>
      </c>
      <c r="AF67" s="34" t="s">
        <v>60</v>
      </c>
      <c r="AG67" s="62">
        <f t="shared" si="2"/>
        <v>2</v>
      </c>
      <c r="AH67" s="18" t="s">
        <v>70</v>
      </c>
      <c r="AI67" s="40">
        <f t="shared" si="3"/>
        <v>1411000000</v>
      </c>
      <c r="AJ67" s="61">
        <f t="shared" si="5"/>
        <v>25</v>
      </c>
      <c r="AK67" s="34" t="s">
        <v>60</v>
      </c>
      <c r="AL67" s="61">
        <f t="shared" si="4"/>
        <v>28.635210553018769</v>
      </c>
      <c r="AM67" s="11"/>
      <c r="AP67" s="23"/>
    </row>
    <row r="68" spans="1:42" ht="45" x14ac:dyDescent="0.2">
      <c r="A68" s="13"/>
      <c r="B68" s="14"/>
      <c r="C68" s="73" t="s">
        <v>155</v>
      </c>
      <c r="D68" s="74" t="s">
        <v>159</v>
      </c>
      <c r="E68" s="17">
        <v>500</v>
      </c>
      <c r="F68" s="18" t="s">
        <v>160</v>
      </c>
      <c r="G68" s="50">
        <v>151375000</v>
      </c>
      <c r="H68" s="44">
        <v>500</v>
      </c>
      <c r="I68" s="18" t="s">
        <v>160</v>
      </c>
      <c r="J68" s="20">
        <v>51008000</v>
      </c>
      <c r="K68" s="17"/>
      <c r="L68" s="18"/>
      <c r="M68" s="21"/>
      <c r="N68" s="17"/>
      <c r="O68" s="18"/>
      <c r="P68" s="21"/>
      <c r="Q68" s="17"/>
      <c r="R68" s="18"/>
      <c r="S68" s="21"/>
      <c r="T68" s="17"/>
      <c r="U68" s="18"/>
      <c r="V68" s="21"/>
      <c r="W68" s="17"/>
      <c r="X68" s="18"/>
      <c r="Y68" s="21"/>
      <c r="Z68" s="62"/>
      <c r="AA68" s="18"/>
      <c r="AB68" s="61"/>
      <c r="AC68" s="34"/>
      <c r="AD68" s="40"/>
      <c r="AE68" s="61"/>
      <c r="AF68" s="34"/>
      <c r="AG68" s="62">
        <f t="shared" ref="AG68:AG71" si="50">H68+Z68</f>
        <v>500</v>
      </c>
      <c r="AH68" s="18" t="s">
        <v>160</v>
      </c>
      <c r="AI68" s="40">
        <f t="shared" ref="AI68:AI71" si="51">J68+AD68</f>
        <v>51008000</v>
      </c>
      <c r="AJ68" s="61">
        <f t="shared" ref="AJ68:AJ71" si="52">AG68/E68*100</f>
        <v>100</v>
      </c>
      <c r="AK68" s="34" t="s">
        <v>60</v>
      </c>
      <c r="AL68" s="61">
        <f t="shared" ref="AL68:AL71" si="53">AI68/G68*100</f>
        <v>33.69644921552436</v>
      </c>
      <c r="AM68" s="11"/>
      <c r="AP68" s="23"/>
    </row>
    <row r="69" spans="1:42" ht="105" x14ac:dyDescent="0.2">
      <c r="A69" s="13"/>
      <c r="B69" s="14"/>
      <c r="C69" s="73" t="s">
        <v>156</v>
      </c>
      <c r="D69" s="74" t="s">
        <v>170</v>
      </c>
      <c r="E69" s="17">
        <v>100</v>
      </c>
      <c r="F69" s="18" t="s">
        <v>136</v>
      </c>
      <c r="G69" s="50">
        <v>725400000</v>
      </c>
      <c r="H69" s="44">
        <v>100</v>
      </c>
      <c r="I69" s="18" t="s">
        <v>136</v>
      </c>
      <c r="J69" s="20">
        <v>459470861</v>
      </c>
      <c r="K69" s="17"/>
      <c r="L69" s="47"/>
      <c r="M69" s="21"/>
      <c r="N69" s="17"/>
      <c r="O69" s="47"/>
      <c r="P69" s="21"/>
      <c r="Q69" s="17"/>
      <c r="R69" s="47"/>
      <c r="S69" s="21"/>
      <c r="T69" s="17"/>
      <c r="U69" s="47"/>
      <c r="V69" s="21"/>
      <c r="W69" s="17"/>
      <c r="X69" s="47"/>
      <c r="Y69" s="21"/>
      <c r="Z69" s="62"/>
      <c r="AA69" s="47"/>
      <c r="AB69" s="61"/>
      <c r="AC69" s="34"/>
      <c r="AD69" s="40"/>
      <c r="AE69" s="61"/>
      <c r="AF69" s="34"/>
      <c r="AG69" s="62">
        <f t="shared" si="50"/>
        <v>100</v>
      </c>
      <c r="AH69" s="18" t="s">
        <v>136</v>
      </c>
      <c r="AI69" s="40">
        <f t="shared" si="51"/>
        <v>459470861</v>
      </c>
      <c r="AJ69" s="61">
        <f t="shared" si="52"/>
        <v>100</v>
      </c>
      <c r="AK69" s="34" t="s">
        <v>60</v>
      </c>
      <c r="AL69" s="61">
        <f t="shared" si="53"/>
        <v>63.340344775296387</v>
      </c>
      <c r="AM69" s="11"/>
      <c r="AP69" s="23"/>
    </row>
    <row r="70" spans="1:42" ht="60" x14ac:dyDescent="0.2">
      <c r="A70" s="13"/>
      <c r="B70" s="14"/>
      <c r="C70" s="73" t="s">
        <v>157</v>
      </c>
      <c r="D70" s="74" t="s">
        <v>161</v>
      </c>
      <c r="E70" s="17">
        <v>4</v>
      </c>
      <c r="F70" s="18" t="s">
        <v>70</v>
      </c>
      <c r="G70" s="50">
        <v>183575000</v>
      </c>
      <c r="H70" s="44">
        <v>4</v>
      </c>
      <c r="I70" s="18" t="s">
        <v>70</v>
      </c>
      <c r="J70" s="20">
        <v>84195000</v>
      </c>
      <c r="K70" s="17"/>
      <c r="L70" s="18"/>
      <c r="M70" s="21"/>
      <c r="N70" s="17"/>
      <c r="O70" s="18"/>
      <c r="P70" s="21"/>
      <c r="Q70" s="17"/>
      <c r="R70" s="18"/>
      <c r="S70" s="21"/>
      <c r="T70" s="17"/>
      <c r="U70" s="18"/>
      <c r="V70" s="21"/>
      <c r="W70" s="17"/>
      <c r="X70" s="18"/>
      <c r="Y70" s="21"/>
      <c r="Z70" s="62"/>
      <c r="AA70" s="18"/>
      <c r="AB70" s="61"/>
      <c r="AC70" s="34"/>
      <c r="AD70" s="40"/>
      <c r="AE70" s="61"/>
      <c r="AF70" s="34"/>
      <c r="AG70" s="62">
        <f t="shared" si="50"/>
        <v>4</v>
      </c>
      <c r="AH70" s="18" t="s">
        <v>70</v>
      </c>
      <c r="AI70" s="40">
        <f t="shared" si="51"/>
        <v>84195000</v>
      </c>
      <c r="AJ70" s="61">
        <f t="shared" si="52"/>
        <v>100</v>
      </c>
      <c r="AK70" s="34" t="s">
        <v>60</v>
      </c>
      <c r="AL70" s="61">
        <f t="shared" si="53"/>
        <v>45.864088247310363</v>
      </c>
      <c r="AM70" s="11"/>
      <c r="AP70" s="23"/>
    </row>
    <row r="71" spans="1:42" ht="60" x14ac:dyDescent="0.2">
      <c r="A71" s="13"/>
      <c r="B71" s="14"/>
      <c r="C71" s="73" t="s">
        <v>158</v>
      </c>
      <c r="D71" s="74" t="s">
        <v>131</v>
      </c>
      <c r="E71" s="17">
        <v>56</v>
      </c>
      <c r="F71" s="18" t="s">
        <v>58</v>
      </c>
      <c r="G71" s="50">
        <v>4244215000</v>
      </c>
      <c r="H71" s="44">
        <v>56</v>
      </c>
      <c r="I71" s="18" t="s">
        <v>58</v>
      </c>
      <c r="J71" s="20">
        <v>3658650000</v>
      </c>
      <c r="K71" s="17"/>
      <c r="L71" s="18"/>
      <c r="M71" s="21"/>
      <c r="N71" s="17"/>
      <c r="O71" s="18"/>
      <c r="P71" s="21"/>
      <c r="Q71" s="17"/>
      <c r="R71" s="18"/>
      <c r="S71" s="21"/>
      <c r="T71" s="17"/>
      <c r="U71" s="18"/>
      <c r="V71" s="21"/>
      <c r="W71" s="17"/>
      <c r="X71" s="18"/>
      <c r="Y71" s="21"/>
      <c r="Z71" s="62"/>
      <c r="AA71" s="18"/>
      <c r="AB71" s="61"/>
      <c r="AC71" s="34"/>
      <c r="AD71" s="40"/>
      <c r="AE71" s="61"/>
      <c r="AF71" s="34"/>
      <c r="AG71" s="62">
        <f t="shared" si="50"/>
        <v>56</v>
      </c>
      <c r="AH71" s="18" t="s">
        <v>58</v>
      </c>
      <c r="AI71" s="40">
        <f t="shared" si="51"/>
        <v>3658650000</v>
      </c>
      <c r="AJ71" s="61">
        <f t="shared" si="52"/>
        <v>100</v>
      </c>
      <c r="AK71" s="34" t="s">
        <v>60</v>
      </c>
      <c r="AL71" s="61">
        <f t="shared" si="53"/>
        <v>86.203220147895436</v>
      </c>
      <c r="AM71" s="11"/>
      <c r="AP71" s="23"/>
    </row>
    <row r="72" spans="1:42" ht="15" x14ac:dyDescent="0.2">
      <c r="A72" s="133" t="s">
        <v>169</v>
      </c>
      <c r="B72" s="134"/>
      <c r="C72" s="134"/>
      <c r="D72" s="134"/>
      <c r="E72" s="134"/>
      <c r="F72" s="134"/>
      <c r="G72" s="134"/>
      <c r="H72" s="134"/>
      <c r="I72" s="134"/>
      <c r="J72" s="134"/>
      <c r="K72" s="134"/>
      <c r="L72" s="134"/>
      <c r="M72" s="134"/>
      <c r="N72" s="134"/>
      <c r="O72" s="134"/>
      <c r="P72" s="134"/>
      <c r="Q72" s="134"/>
      <c r="R72" s="134"/>
      <c r="S72" s="134"/>
      <c r="T72" s="134"/>
      <c r="U72" s="134"/>
      <c r="V72" s="134"/>
      <c r="W72" s="134"/>
      <c r="X72" s="134"/>
      <c r="Y72" s="134"/>
      <c r="Z72" s="134"/>
      <c r="AA72" s="135"/>
      <c r="AB72" s="89">
        <f>AVERAGE(AB13:AB71)</f>
        <v>103.37290184689627</v>
      </c>
      <c r="AC72" s="68"/>
      <c r="AD72" s="67"/>
      <c r="AE72" s="89">
        <f>AVERAGE(AE13,AE17,AE24,AE30,AE32,AE36,AE41,AE50,AE53,AE61)</f>
        <v>71.735658294506749</v>
      </c>
      <c r="AF72" s="68"/>
      <c r="AG72" s="67"/>
      <c r="AH72" s="68"/>
      <c r="AI72" s="67"/>
      <c r="AJ72" s="67"/>
      <c r="AK72" s="68"/>
      <c r="AL72" s="69"/>
      <c r="AM72" s="11"/>
    </row>
    <row r="73" spans="1:42" ht="15" x14ac:dyDescent="0.2">
      <c r="A73" s="136" t="s">
        <v>36</v>
      </c>
      <c r="B73" s="137"/>
      <c r="C73" s="137"/>
      <c r="D73" s="137"/>
      <c r="E73" s="137"/>
      <c r="F73" s="137"/>
      <c r="G73" s="137"/>
      <c r="H73" s="137"/>
      <c r="I73" s="137"/>
      <c r="J73" s="137"/>
      <c r="K73" s="137"/>
      <c r="L73" s="137"/>
      <c r="M73" s="137"/>
      <c r="N73" s="137"/>
      <c r="O73" s="137"/>
      <c r="P73" s="137"/>
      <c r="Q73" s="137"/>
      <c r="R73" s="137"/>
      <c r="S73" s="137"/>
      <c r="T73" s="137"/>
      <c r="U73" s="137"/>
      <c r="V73" s="137"/>
      <c r="W73" s="137"/>
      <c r="X73" s="137"/>
      <c r="Y73" s="137"/>
      <c r="Z73" s="137"/>
      <c r="AA73" s="138"/>
      <c r="AB73" s="30" t="str">
        <f>IF(AB72&gt;=91,"Sangat Tinggi",IF(AB72&gt;=76,"Tinggi",IF(AB72&gt;=66,"Sedang",IF(AB72&gt;=51,"Rendah",IF(AB72&lt;=50,"Sangat Rendah")))))</f>
        <v>Sangat Tinggi</v>
      </c>
      <c r="AC73" s="68"/>
      <c r="AD73" s="70"/>
      <c r="AE73" s="30" t="str">
        <f>IF(AE72&gt;=91,"Sangat Tinggi",IF(AE72&gt;=76,"Tinggi",IF(AE72&gt;=66,"Sedang",IF(AE72&gt;=51,"Rendah",IF(AE72&lt;=50,"Sangat Rendah")))))</f>
        <v>Sedang</v>
      </c>
      <c r="AF73" s="68"/>
      <c r="AG73" s="71"/>
      <c r="AH73" s="68"/>
      <c r="AI73" s="70"/>
      <c r="AJ73" s="71"/>
      <c r="AK73" s="68"/>
      <c r="AL73" s="72"/>
      <c r="AM73" s="11"/>
    </row>
    <row r="74" spans="1:42" ht="15" x14ac:dyDescent="0.2">
      <c r="A74" s="125" t="s">
        <v>183</v>
      </c>
      <c r="B74" s="125"/>
      <c r="C74" s="125"/>
      <c r="D74" s="125"/>
      <c r="E74" s="125"/>
      <c r="F74" s="125"/>
      <c r="G74" s="125"/>
      <c r="H74" s="125"/>
      <c r="I74" s="125"/>
      <c r="J74" s="125"/>
      <c r="K74" s="125"/>
      <c r="L74" s="125"/>
      <c r="M74" s="125"/>
      <c r="N74" s="125"/>
      <c r="O74" s="125"/>
      <c r="P74" s="125"/>
      <c r="Q74" s="125"/>
      <c r="R74" s="125"/>
      <c r="S74" s="125"/>
      <c r="T74" s="125"/>
      <c r="U74" s="125"/>
      <c r="V74" s="125"/>
      <c r="W74" s="125"/>
      <c r="X74" s="125"/>
      <c r="Y74" s="125"/>
      <c r="Z74" s="125"/>
      <c r="AA74" s="125"/>
      <c r="AB74" s="125"/>
      <c r="AC74" s="125"/>
      <c r="AD74" s="125"/>
      <c r="AE74" s="125"/>
      <c r="AF74" s="125"/>
      <c r="AG74" s="125"/>
      <c r="AH74" s="125"/>
      <c r="AI74" s="125"/>
      <c r="AJ74" s="125"/>
      <c r="AK74" s="125"/>
      <c r="AL74" s="125"/>
      <c r="AM74" s="11"/>
    </row>
    <row r="75" spans="1:42" ht="15" x14ac:dyDescent="0.2">
      <c r="A75" s="125" t="s">
        <v>184</v>
      </c>
      <c r="B75" s="125"/>
      <c r="C75" s="125"/>
      <c r="D75" s="125"/>
      <c r="E75" s="125"/>
      <c r="F75" s="125"/>
      <c r="G75" s="125"/>
      <c r="H75" s="125"/>
      <c r="I75" s="125"/>
      <c r="J75" s="125"/>
      <c r="K75" s="125"/>
      <c r="L75" s="125"/>
      <c r="M75" s="125"/>
      <c r="N75" s="125"/>
      <c r="O75" s="125"/>
      <c r="P75" s="125"/>
      <c r="Q75" s="125"/>
      <c r="R75" s="125"/>
      <c r="S75" s="125"/>
      <c r="T75" s="125"/>
      <c r="U75" s="125"/>
      <c r="V75" s="125"/>
      <c r="W75" s="125"/>
      <c r="X75" s="125"/>
      <c r="Y75" s="125"/>
      <c r="Z75" s="125"/>
      <c r="AA75" s="125"/>
      <c r="AB75" s="125"/>
      <c r="AC75" s="125"/>
      <c r="AD75" s="125"/>
      <c r="AE75" s="125"/>
      <c r="AF75" s="125"/>
      <c r="AG75" s="125"/>
      <c r="AH75" s="125"/>
      <c r="AI75" s="125"/>
      <c r="AJ75" s="125"/>
      <c r="AK75" s="125"/>
      <c r="AL75" s="125"/>
      <c r="AM75" s="11"/>
    </row>
    <row r="76" spans="1:42" ht="15" x14ac:dyDescent="0.2">
      <c r="A76" s="125" t="s">
        <v>185</v>
      </c>
      <c r="B76" s="125"/>
      <c r="C76" s="125"/>
      <c r="D76" s="125"/>
      <c r="E76" s="125"/>
      <c r="F76" s="125"/>
      <c r="G76" s="125"/>
      <c r="H76" s="125"/>
      <c r="I76" s="125"/>
      <c r="J76" s="125"/>
      <c r="K76" s="125"/>
      <c r="L76" s="125"/>
      <c r="M76" s="125"/>
      <c r="N76" s="125"/>
      <c r="O76" s="125"/>
      <c r="P76" s="125"/>
      <c r="Q76" s="125"/>
      <c r="R76" s="125"/>
      <c r="S76" s="125"/>
      <c r="T76" s="125"/>
      <c r="U76" s="125"/>
      <c r="V76" s="125"/>
      <c r="W76" s="125"/>
      <c r="X76" s="125"/>
      <c r="Y76" s="125"/>
      <c r="Z76" s="125"/>
      <c r="AA76" s="125"/>
      <c r="AB76" s="125"/>
      <c r="AC76" s="125"/>
      <c r="AD76" s="125"/>
      <c r="AE76" s="125"/>
      <c r="AF76" s="125"/>
      <c r="AG76" s="125"/>
      <c r="AH76" s="125"/>
      <c r="AI76" s="125"/>
      <c r="AJ76" s="125"/>
      <c r="AK76" s="125"/>
      <c r="AL76" s="125"/>
      <c r="AM76" s="11"/>
    </row>
    <row r="77" spans="1:42" ht="15" x14ac:dyDescent="0.2">
      <c r="A77" s="125" t="s">
        <v>186</v>
      </c>
      <c r="B77" s="125"/>
      <c r="C77" s="125"/>
      <c r="D77" s="125"/>
      <c r="E77" s="125"/>
      <c r="F77" s="125"/>
      <c r="G77" s="125"/>
      <c r="H77" s="125"/>
      <c r="I77" s="125"/>
      <c r="J77" s="125"/>
      <c r="K77" s="125"/>
      <c r="L77" s="125"/>
      <c r="M77" s="125"/>
      <c r="N77" s="125"/>
      <c r="O77" s="125"/>
      <c r="P77" s="125"/>
      <c r="Q77" s="125"/>
      <c r="R77" s="125"/>
      <c r="S77" s="125"/>
      <c r="T77" s="125"/>
      <c r="U77" s="125"/>
      <c r="V77" s="125"/>
      <c r="W77" s="125"/>
      <c r="X77" s="125"/>
      <c r="Y77" s="125"/>
      <c r="Z77" s="125"/>
      <c r="AA77" s="125"/>
      <c r="AB77" s="125"/>
      <c r="AC77" s="125"/>
      <c r="AD77" s="125"/>
      <c r="AE77" s="125"/>
      <c r="AF77" s="125"/>
      <c r="AG77" s="125"/>
      <c r="AH77" s="125"/>
      <c r="AI77" s="125"/>
      <c r="AJ77" s="125"/>
      <c r="AK77" s="125"/>
      <c r="AL77" s="125"/>
      <c r="AM77" s="31"/>
    </row>
    <row r="78" spans="1:42" ht="15" x14ac:dyDescent="0.2">
      <c r="A78" s="32"/>
      <c r="B78" s="32"/>
      <c r="C78" s="32"/>
      <c r="D78" s="32"/>
      <c r="E78" s="32"/>
      <c r="F78" s="32"/>
      <c r="G78" s="32"/>
      <c r="H78" s="32"/>
      <c r="I78" s="32"/>
      <c r="J78" s="32"/>
      <c r="K78" s="32"/>
      <c r="L78" s="32"/>
      <c r="M78" s="32"/>
      <c r="N78" s="32"/>
      <c r="O78" s="32"/>
      <c r="P78" s="32"/>
      <c r="Q78" s="32"/>
      <c r="R78" s="32"/>
      <c r="S78" s="32"/>
      <c r="T78" s="32"/>
      <c r="U78" s="32"/>
      <c r="V78" s="32"/>
      <c r="W78" s="32"/>
      <c r="X78" s="32"/>
      <c r="Y78" s="32"/>
      <c r="Z78" s="32"/>
      <c r="AA78" s="33"/>
      <c r="AB78" s="32"/>
      <c r="AC78" s="33"/>
      <c r="AD78" s="32"/>
      <c r="AE78" s="32"/>
      <c r="AF78" s="33"/>
      <c r="AG78" s="32"/>
      <c r="AH78" s="33"/>
      <c r="AI78" s="32"/>
      <c r="AJ78" s="32"/>
      <c r="AK78" s="33"/>
      <c r="AL78" s="32"/>
    </row>
    <row r="79" spans="1:42" ht="15" x14ac:dyDescent="0.2">
      <c r="A79" s="32"/>
      <c r="B79" s="32"/>
      <c r="C79" s="32"/>
      <c r="D79" s="32"/>
      <c r="E79" s="32"/>
      <c r="F79" s="32"/>
      <c r="G79" s="32"/>
      <c r="H79" s="32"/>
      <c r="I79" s="32"/>
      <c r="J79" s="32"/>
      <c r="K79" s="32"/>
      <c r="L79" s="32"/>
      <c r="M79" s="32"/>
      <c r="N79" s="32"/>
      <c r="O79" s="32"/>
      <c r="P79" s="32"/>
      <c r="Q79" s="32"/>
      <c r="R79" s="32"/>
      <c r="S79" s="32"/>
      <c r="T79" s="32"/>
      <c r="U79" s="32"/>
      <c r="V79" s="32"/>
      <c r="W79" s="32"/>
      <c r="X79" s="32"/>
      <c r="Y79" s="32"/>
      <c r="Z79" s="90" t="s">
        <v>175</v>
      </c>
      <c r="AA79" s="90"/>
      <c r="AB79" s="90"/>
      <c r="AC79" s="90"/>
      <c r="AD79" s="90"/>
      <c r="AE79" s="90"/>
      <c r="AF79" s="33"/>
      <c r="AG79" s="32"/>
      <c r="AH79" s="90" t="s">
        <v>176</v>
      </c>
      <c r="AI79" s="90"/>
      <c r="AJ79" s="90"/>
      <c r="AK79" s="90"/>
      <c r="AL79" s="90"/>
      <c r="AM79" s="90"/>
    </row>
    <row r="80" spans="1:42" ht="15.75" x14ac:dyDescent="0.25">
      <c r="A80" s="38"/>
      <c r="B80" s="39"/>
      <c r="C80" s="32"/>
      <c r="D80" s="32"/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2"/>
      <c r="P80" s="32"/>
      <c r="Q80" s="32"/>
      <c r="R80" s="32"/>
      <c r="S80" s="32"/>
      <c r="T80" s="32"/>
      <c r="U80" s="32"/>
      <c r="V80" s="32"/>
      <c r="W80" s="32"/>
      <c r="X80" s="32"/>
      <c r="Y80" s="32"/>
      <c r="Z80" s="90" t="s">
        <v>188</v>
      </c>
      <c r="AA80" s="90"/>
      <c r="AB80" s="90"/>
      <c r="AC80" s="90"/>
      <c r="AD80" s="90"/>
      <c r="AE80" s="90"/>
      <c r="AF80" s="33"/>
      <c r="AG80" s="32"/>
      <c r="AH80" s="90" t="s">
        <v>188</v>
      </c>
      <c r="AI80" s="90"/>
      <c r="AJ80" s="90"/>
      <c r="AK80" s="90"/>
      <c r="AL80" s="90"/>
      <c r="AM80" s="90"/>
    </row>
    <row r="81" spans="1:39" ht="15.75" customHeight="1" x14ac:dyDescent="0.2">
      <c r="Y81" s="90" t="s">
        <v>190</v>
      </c>
      <c r="Z81" s="90"/>
      <c r="AA81" s="90"/>
      <c r="AB81" s="90"/>
      <c r="AC81" s="90"/>
      <c r="AD81" s="90"/>
      <c r="AE81" s="90"/>
      <c r="AF81" s="90"/>
      <c r="AG81" s="90"/>
      <c r="AH81" s="90" t="s">
        <v>177</v>
      </c>
      <c r="AI81" s="90"/>
      <c r="AJ81" s="90"/>
      <c r="AK81" s="90"/>
      <c r="AL81" s="90"/>
      <c r="AM81" s="90"/>
    </row>
    <row r="82" spans="1:39" ht="15" x14ac:dyDescent="0.2">
      <c r="Z82" s="90" t="s">
        <v>178</v>
      </c>
      <c r="AA82" s="90"/>
      <c r="AB82" s="90"/>
      <c r="AC82" s="90"/>
      <c r="AD82" s="90"/>
      <c r="AE82" s="90"/>
      <c r="AH82" s="90" t="s">
        <v>178</v>
      </c>
      <c r="AI82" s="90"/>
      <c r="AJ82" s="90"/>
      <c r="AK82" s="90"/>
      <c r="AL82" s="90"/>
      <c r="AM82" s="90"/>
    </row>
    <row r="83" spans="1:39" ht="51" x14ac:dyDescent="0.2">
      <c r="A83" s="35" t="s">
        <v>37</v>
      </c>
      <c r="B83" s="35" t="s">
        <v>38</v>
      </c>
      <c r="C83" s="35" t="s">
        <v>39</v>
      </c>
      <c r="Z83" s="32"/>
      <c r="AA83" s="33"/>
      <c r="AB83" s="32"/>
      <c r="AC83" s="33"/>
      <c r="AD83" s="32"/>
      <c r="AH83" s="32"/>
      <c r="AI83" s="33"/>
      <c r="AJ83" s="32"/>
      <c r="AK83" s="33"/>
      <c r="AL83" s="32"/>
    </row>
    <row r="84" spans="1:39" ht="25.5" x14ac:dyDescent="0.25">
      <c r="A84" s="36" t="s">
        <v>40</v>
      </c>
      <c r="B84" s="36" t="s">
        <v>41</v>
      </c>
      <c r="C84" s="36" t="s">
        <v>42</v>
      </c>
      <c r="Z84" s="91" t="s">
        <v>181</v>
      </c>
      <c r="AA84" s="91"/>
      <c r="AB84" s="91"/>
      <c r="AC84" s="91"/>
      <c r="AD84" s="91"/>
      <c r="AE84" s="91"/>
      <c r="AH84" s="91" t="s">
        <v>179</v>
      </c>
      <c r="AI84" s="91"/>
      <c r="AJ84" s="91"/>
      <c r="AK84" s="91"/>
      <c r="AL84" s="91"/>
      <c r="AM84" s="91"/>
    </row>
    <row r="85" spans="1:39" ht="25.5" x14ac:dyDescent="0.2">
      <c r="A85" s="36" t="s">
        <v>43</v>
      </c>
      <c r="B85" s="36" t="s">
        <v>44</v>
      </c>
      <c r="C85" s="36" t="s">
        <v>45</v>
      </c>
      <c r="Z85" s="92" t="s">
        <v>182</v>
      </c>
      <c r="AA85" s="92"/>
      <c r="AB85" s="92"/>
      <c r="AC85" s="92"/>
      <c r="AD85" s="92"/>
      <c r="AE85" s="92"/>
      <c r="AH85" s="92" t="s">
        <v>180</v>
      </c>
      <c r="AI85" s="92"/>
      <c r="AJ85" s="92"/>
      <c r="AK85" s="92"/>
      <c r="AL85" s="92"/>
      <c r="AM85" s="92"/>
    </row>
    <row r="86" spans="1:39" ht="25.5" x14ac:dyDescent="0.2">
      <c r="A86" s="36" t="s">
        <v>46</v>
      </c>
      <c r="B86" s="36" t="s">
        <v>47</v>
      </c>
      <c r="C86" s="36" t="s">
        <v>48</v>
      </c>
    </row>
    <row r="87" spans="1:39" ht="25.5" x14ac:dyDescent="0.2">
      <c r="A87" s="36" t="s">
        <v>49</v>
      </c>
      <c r="B87" s="36" t="s">
        <v>50</v>
      </c>
      <c r="C87" s="36" t="s">
        <v>51</v>
      </c>
    </row>
    <row r="88" spans="1:39" ht="25.5" x14ac:dyDescent="0.2">
      <c r="A88" s="36" t="s">
        <v>52</v>
      </c>
      <c r="B88" s="37" t="s">
        <v>53</v>
      </c>
      <c r="C88" s="36" t="s">
        <v>54</v>
      </c>
    </row>
  </sheetData>
  <mergeCells count="82">
    <mergeCell ref="A73:AA73"/>
    <mergeCell ref="A75:AL75"/>
    <mergeCell ref="A76:AL76"/>
    <mergeCell ref="T11:U12"/>
    <mergeCell ref="V11:V12"/>
    <mergeCell ref="W11:X12"/>
    <mergeCell ref="Y11:Y12"/>
    <mergeCell ref="A10:A12"/>
    <mergeCell ref="B10:B12"/>
    <mergeCell ref="C10:C12"/>
    <mergeCell ref="D10:D12"/>
    <mergeCell ref="Q11:R12"/>
    <mergeCell ref="S11:S12"/>
    <mergeCell ref="Z12:AA12"/>
    <mergeCell ref="AB12:AC12"/>
    <mergeCell ref="AE12:AF12"/>
    <mergeCell ref="A77:AL77"/>
    <mergeCell ref="A74:AL74"/>
    <mergeCell ref="E11:F12"/>
    <mergeCell ref="G11:G12"/>
    <mergeCell ref="H11:I12"/>
    <mergeCell ref="J11:J12"/>
    <mergeCell ref="K11:L12"/>
    <mergeCell ref="M11:M12"/>
    <mergeCell ref="N11:O12"/>
    <mergeCell ref="P11:P12"/>
    <mergeCell ref="AG12:AH12"/>
    <mergeCell ref="AJ12:AK12"/>
    <mergeCell ref="Z11:AA11"/>
    <mergeCell ref="AG11:AH11"/>
    <mergeCell ref="A72:AA72"/>
    <mergeCell ref="AJ11:AK11"/>
    <mergeCell ref="AB11:AC11"/>
    <mergeCell ref="E10:G10"/>
    <mergeCell ref="H10:J10"/>
    <mergeCell ref="AG10:AI10"/>
    <mergeCell ref="AJ10:AL10"/>
    <mergeCell ref="K10:M10"/>
    <mergeCell ref="N10:P10"/>
    <mergeCell ref="Q10:S10"/>
    <mergeCell ref="T10:V10"/>
    <mergeCell ref="W10:Y10"/>
    <mergeCell ref="Z10:AF10"/>
    <mergeCell ref="AE11:AF11"/>
    <mergeCell ref="AM7:AM8"/>
    <mergeCell ref="K9:M9"/>
    <mergeCell ref="N9:P9"/>
    <mergeCell ref="Q9:S9"/>
    <mergeCell ref="T9:V9"/>
    <mergeCell ref="W9:Y9"/>
    <mergeCell ref="AG9:AI9"/>
    <mergeCell ref="AJ9:AL9"/>
    <mergeCell ref="K7:M8"/>
    <mergeCell ref="N7:Y8"/>
    <mergeCell ref="AG7:AI8"/>
    <mergeCell ref="AJ7:AL8"/>
    <mergeCell ref="Z7:AF8"/>
    <mergeCell ref="H7:J9"/>
    <mergeCell ref="A6:AL6"/>
    <mergeCell ref="Z9:AF9"/>
    <mergeCell ref="A1:AL1"/>
    <mergeCell ref="A2:AL2"/>
    <mergeCell ref="A3:AL3"/>
    <mergeCell ref="A4:AL4"/>
    <mergeCell ref="A5:AL5"/>
    <mergeCell ref="A7:A9"/>
    <mergeCell ref="B7:B9"/>
    <mergeCell ref="C7:C9"/>
    <mergeCell ref="D7:D9"/>
    <mergeCell ref="E7:G9"/>
    <mergeCell ref="Z79:AE79"/>
    <mergeCell ref="AH79:AM79"/>
    <mergeCell ref="Z80:AE80"/>
    <mergeCell ref="AH80:AM80"/>
    <mergeCell ref="AH81:AM81"/>
    <mergeCell ref="Y81:AG81"/>
    <mergeCell ref="Z82:AE82"/>
    <mergeCell ref="AH82:AM82"/>
    <mergeCell ref="Z84:AE84"/>
    <mergeCell ref="AH84:AM84"/>
    <mergeCell ref="Z85:AE85"/>
    <mergeCell ref="AH85:AM85"/>
  </mergeCells>
  <printOptions horizontalCentered="1"/>
  <pageMargins left="0.23622047244094491" right="0.23622047244094491" top="3.937007874015748E-2" bottom="3.937007874015748E-2" header="0" footer="0"/>
  <pageSetup paperSize="5" scale="39" orientation="landscape" horizontalDpi="4294967293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Bakeuda</vt:lpstr>
      <vt:lpstr>Bakeuda!Print_Area</vt:lpstr>
      <vt:lpstr>Bakeuda!Print_Titles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W10 PRO</dc:creator>
  <cp:lastModifiedBy>W10 PRO</cp:lastModifiedBy>
  <cp:lastPrinted>2020-04-28T04:04:09Z</cp:lastPrinted>
  <dcterms:created xsi:type="dcterms:W3CDTF">2020-03-18T05:59:44Z</dcterms:created>
  <dcterms:modified xsi:type="dcterms:W3CDTF">2021-10-25T05:56:17Z</dcterms:modified>
</cp:coreProperties>
</file>