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PE\Downloads\Evalusi Renja TW IV 2022 Ori\"/>
    </mc:Choice>
  </mc:AlternateContent>
  <xr:revisionPtr revIDLastSave="0" documentId="13_ncr:1_{9B92E4CB-0079-46AF-A6A8-4EDB19E821C7}" xr6:coauthVersionLast="47" xr6:coauthVersionMax="47" xr10:uidLastSave="{00000000-0000-0000-0000-000000000000}"/>
  <bookViews>
    <workbookView xWindow="-120" yWindow="-120" windowWidth="29040" windowHeight="15840" xr2:uid="{00000000-000D-0000-FFFF-FFFF00000000}"/>
  </bookViews>
  <sheets>
    <sheet name="Evaluasi RKPD" sheetId="1" r:id="rId1"/>
  </sheets>
  <externalReferences>
    <externalReference r:id="rId2"/>
    <externalReference r:id="rId3"/>
  </externalReferences>
  <definedNames>
    <definedName name="_xlnm.Print_Area" localSheetId="0">'Evaluasi RKPD'!$A$1:$AE$2166</definedName>
    <definedName name="_xlnm.Print_Titles" localSheetId="0">'Evaluasi RKPD'!$7:$12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564" i="1" l="1"/>
  <c r="X1564" i="1" s="1"/>
  <c r="T1564" i="1"/>
  <c r="U1564" i="1" s="1"/>
  <c r="G1564" i="1"/>
  <c r="E1564" i="1"/>
  <c r="W1563" i="1"/>
  <c r="AA1563" i="1" s="1"/>
  <c r="AD1563" i="1" s="1"/>
  <c r="T1563" i="1"/>
  <c r="U1563" i="1" s="1"/>
  <c r="E1563" i="1"/>
  <c r="T1562" i="1"/>
  <c r="U1562" i="1" s="1"/>
  <c r="S1562" i="1"/>
  <c r="Q1562" i="1"/>
  <c r="O1562" i="1"/>
  <c r="M1562" i="1"/>
  <c r="K1562" i="1"/>
  <c r="I1562" i="1"/>
  <c r="G1562" i="1"/>
  <c r="W1561" i="1"/>
  <c r="AA1561" i="1" s="1"/>
  <c r="AD1561" i="1" s="1"/>
  <c r="T1561" i="1"/>
  <c r="U1561" i="1" s="1"/>
  <c r="E1561" i="1"/>
  <c r="S1560" i="1"/>
  <c r="Q1560" i="1"/>
  <c r="Q1559" i="1" s="1"/>
  <c r="P1560" i="1"/>
  <c r="O1560" i="1"/>
  <c r="N1560" i="1"/>
  <c r="M1560" i="1"/>
  <c r="M1559" i="1" s="1"/>
  <c r="K1560" i="1"/>
  <c r="I1560" i="1"/>
  <c r="G1560" i="1"/>
  <c r="G1559" i="1" s="1"/>
  <c r="E1560" i="1"/>
  <c r="U1559" i="1"/>
  <c r="T1559" i="1"/>
  <c r="Z1559" i="1" s="1"/>
  <c r="AB1559" i="1" s="1"/>
  <c r="W1557" i="1"/>
  <c r="AA1557" i="1" s="1"/>
  <c r="AD1557" i="1" s="1"/>
  <c r="T1557" i="1"/>
  <c r="U1557" i="1" s="1"/>
  <c r="S1555" i="1"/>
  <c r="S1554" i="1" s="1"/>
  <c r="Q1555" i="1"/>
  <c r="Q1554" i="1" s="1"/>
  <c r="O1555" i="1"/>
  <c r="O1554" i="1" s="1"/>
  <c r="N1555" i="1"/>
  <c r="T1555" i="1" s="1"/>
  <c r="M1555" i="1"/>
  <c r="I1555" i="1"/>
  <c r="G1555" i="1"/>
  <c r="G1554" i="1" s="1"/>
  <c r="T1554" i="1"/>
  <c r="K1554" i="1"/>
  <c r="J1554" i="1"/>
  <c r="H1554" i="1"/>
  <c r="E1554" i="1"/>
  <c r="W1553" i="1"/>
  <c r="X1553" i="1" s="1"/>
  <c r="T1553" i="1"/>
  <c r="U1553" i="1" s="1"/>
  <c r="G1553" i="1"/>
  <c r="E1553" i="1"/>
  <c r="E1550" i="1" s="1"/>
  <c r="W1552" i="1"/>
  <c r="AA1552" i="1" s="1"/>
  <c r="AD1552" i="1" s="1"/>
  <c r="T1552" i="1"/>
  <c r="U1552" i="1" s="1"/>
  <c r="E1552" i="1"/>
  <c r="W1551" i="1"/>
  <c r="AA1551" i="1" s="1"/>
  <c r="T1551" i="1"/>
  <c r="U1551" i="1" s="1"/>
  <c r="G1551" i="1"/>
  <c r="E1551" i="1"/>
  <c r="E1548" i="1" s="1"/>
  <c r="AD1550" i="1"/>
  <c r="S1550" i="1"/>
  <c r="R1550" i="1"/>
  <c r="R1544" i="1" s="1"/>
  <c r="Q1550" i="1"/>
  <c r="P1550" i="1"/>
  <c r="N1550" i="1"/>
  <c r="L1550" i="1"/>
  <c r="J1550" i="1"/>
  <c r="AD1549" i="1"/>
  <c r="S1549" i="1"/>
  <c r="R1549" i="1"/>
  <c r="R1543" i="1" s="1"/>
  <c r="Q1549" i="1"/>
  <c r="P1549" i="1"/>
  <c r="P1543" i="1" s="1"/>
  <c r="N1549" i="1"/>
  <c r="J1549" i="1"/>
  <c r="J1543" i="1" s="1"/>
  <c r="E1549" i="1"/>
  <c r="L1543" i="1" s="1"/>
  <c r="S1548" i="1"/>
  <c r="R1548" i="1"/>
  <c r="Q1548" i="1"/>
  <c r="P1548" i="1"/>
  <c r="O1548" i="1"/>
  <c r="N1548" i="1"/>
  <c r="M1548" i="1"/>
  <c r="L1548" i="1"/>
  <c r="K1548" i="1"/>
  <c r="J1548" i="1"/>
  <c r="I1548" i="1"/>
  <c r="G1548" i="1"/>
  <c r="W1547" i="1"/>
  <c r="AA1547" i="1" s="1"/>
  <c r="AD1547" i="1" s="1"/>
  <c r="T1547" i="1"/>
  <c r="Z1547" i="1" s="1"/>
  <c r="E1547" i="1"/>
  <c r="S1546" i="1"/>
  <c r="S1545" i="1" s="1"/>
  <c r="R1546" i="1"/>
  <c r="Q1546" i="1"/>
  <c r="P1546" i="1"/>
  <c r="O1546" i="1"/>
  <c r="N1546" i="1"/>
  <c r="M1546" i="1"/>
  <c r="L1546" i="1"/>
  <c r="K1546" i="1"/>
  <c r="J1546" i="1"/>
  <c r="I1546" i="1"/>
  <c r="G1546" i="1"/>
  <c r="F1546" i="1"/>
  <c r="E1546" i="1"/>
  <c r="AD1545" i="1"/>
  <c r="Z1545" i="1"/>
  <c r="AB1545" i="1" s="1"/>
  <c r="U1545" i="1"/>
  <c r="AD1544" i="1"/>
  <c r="S1544" i="1"/>
  <c r="Q1544" i="1"/>
  <c r="E1544" i="1"/>
  <c r="AD1543" i="1"/>
  <c r="S1543" i="1"/>
  <c r="Q1543" i="1"/>
  <c r="G1542" i="1"/>
  <c r="W1541" i="1"/>
  <c r="T1541" i="1"/>
  <c r="E1541" i="1"/>
  <c r="Q1540" i="1"/>
  <c r="P1540" i="1"/>
  <c r="O1540" i="1"/>
  <c r="N1540" i="1"/>
  <c r="M1540" i="1"/>
  <c r="L1540" i="1"/>
  <c r="K1540" i="1"/>
  <c r="I1540" i="1"/>
  <c r="G1540" i="1"/>
  <c r="W1539" i="1"/>
  <c r="T1539" i="1"/>
  <c r="U1539" i="1" s="1"/>
  <c r="G1539" i="1"/>
  <c r="G1538" i="1" s="1"/>
  <c r="E1539" i="1"/>
  <c r="E1538" i="1" s="1"/>
  <c r="S1538" i="1"/>
  <c r="R1538" i="1"/>
  <c r="Q1538" i="1"/>
  <c r="P1538" i="1"/>
  <c r="O1538" i="1"/>
  <c r="N1538" i="1"/>
  <c r="M1538" i="1"/>
  <c r="L1538" i="1"/>
  <c r="K1538" i="1"/>
  <c r="K1537" i="1" s="1"/>
  <c r="J1538" i="1"/>
  <c r="I1538" i="1"/>
  <c r="I1537" i="1" s="1"/>
  <c r="H1538" i="1"/>
  <c r="F1538" i="1"/>
  <c r="T1537" i="1"/>
  <c r="Z1537" i="1" s="1"/>
  <c r="AB1537" i="1" s="1"/>
  <c r="W1536" i="1"/>
  <c r="AA1536" i="1" s="1"/>
  <c r="T1536" i="1"/>
  <c r="U1536" i="1" s="1"/>
  <c r="G1536" i="1"/>
  <c r="W1535" i="1"/>
  <c r="T1535" i="1"/>
  <c r="U1535" i="1" s="1"/>
  <c r="G1535" i="1"/>
  <c r="T1534" i="1"/>
  <c r="Z1534" i="1" s="1"/>
  <c r="AB1534" i="1" s="1"/>
  <c r="S1534" i="1"/>
  <c r="Q1534" i="1"/>
  <c r="O1534" i="1"/>
  <c r="M1534" i="1"/>
  <c r="K1534" i="1"/>
  <c r="I1534" i="1"/>
  <c r="W1533" i="1"/>
  <c r="X1533" i="1" s="1"/>
  <c r="T1533" i="1"/>
  <c r="U1533" i="1" s="1"/>
  <c r="G1533" i="1"/>
  <c r="E1533" i="1"/>
  <c r="W1532" i="1"/>
  <c r="AA1532" i="1" s="1"/>
  <c r="T1532" i="1"/>
  <c r="U1532" i="1" s="1"/>
  <c r="G1532" i="1"/>
  <c r="W1531" i="1"/>
  <c r="X1531" i="1" s="1"/>
  <c r="T1531" i="1"/>
  <c r="U1531" i="1" s="1"/>
  <c r="G1531" i="1"/>
  <c r="E1531" i="1"/>
  <c r="W1530" i="1"/>
  <c r="X1530" i="1" s="1"/>
  <c r="T1530" i="1"/>
  <c r="Z1530" i="1" s="1"/>
  <c r="G1530" i="1"/>
  <c r="E1530" i="1"/>
  <c r="T1529" i="1"/>
  <c r="Z1529" i="1" s="1"/>
  <c r="AB1529" i="1" s="1"/>
  <c r="S1529" i="1"/>
  <c r="Q1529" i="1"/>
  <c r="O1529" i="1"/>
  <c r="M1529" i="1"/>
  <c r="K1529" i="1"/>
  <c r="I1529" i="1"/>
  <c r="AH1528" i="1"/>
  <c r="AA1528" i="1"/>
  <c r="Z1528" i="1"/>
  <c r="AB1528" i="1" s="1"/>
  <c r="G1528" i="1"/>
  <c r="W1527" i="1"/>
  <c r="T1527" i="1"/>
  <c r="U1527" i="1" s="1"/>
  <c r="G1527" i="1"/>
  <c r="W1526" i="1"/>
  <c r="AA1526" i="1" s="1"/>
  <c r="T1526" i="1"/>
  <c r="Z1526" i="1" s="1"/>
  <c r="AB1526" i="1" s="1"/>
  <c r="G1526" i="1"/>
  <c r="W1525" i="1"/>
  <c r="AA1525" i="1" s="1"/>
  <c r="T1525" i="1"/>
  <c r="U1525" i="1" s="1"/>
  <c r="G1525" i="1"/>
  <c r="W1524" i="1"/>
  <c r="AA1524" i="1" s="1"/>
  <c r="T1524" i="1"/>
  <c r="Z1524" i="1" s="1"/>
  <c r="AB1524" i="1" s="1"/>
  <c r="G1524" i="1"/>
  <c r="S1523" i="1"/>
  <c r="R1523" i="1"/>
  <c r="T1523" i="1" s="1"/>
  <c r="Z1523" i="1" s="1"/>
  <c r="AB1523" i="1" s="1"/>
  <c r="Q1523" i="1"/>
  <c r="O1523" i="1"/>
  <c r="M1523" i="1"/>
  <c r="K1523" i="1"/>
  <c r="I1523" i="1"/>
  <c r="AH1522" i="1"/>
  <c r="W1522" i="1"/>
  <c r="AA1522" i="1" s="1"/>
  <c r="T1522" i="1"/>
  <c r="U1522" i="1" s="1"/>
  <c r="G1522" i="1"/>
  <c r="E1522" i="1"/>
  <c r="AH1521" i="1"/>
  <c r="W1521" i="1"/>
  <c r="X1521" i="1" s="1"/>
  <c r="T1521" i="1"/>
  <c r="Z1521" i="1" s="1"/>
  <c r="G1521" i="1"/>
  <c r="E1521" i="1"/>
  <c r="AH1520" i="1"/>
  <c r="W1520" i="1"/>
  <c r="T1520" i="1"/>
  <c r="Z1520" i="1" s="1"/>
  <c r="G1520" i="1"/>
  <c r="E1520" i="1"/>
  <c r="E1518" i="1" s="1"/>
  <c r="AH1519" i="1"/>
  <c r="W1519" i="1"/>
  <c r="AA1519" i="1" s="1"/>
  <c r="T1519" i="1"/>
  <c r="U1519" i="1" s="1"/>
  <c r="G1519" i="1"/>
  <c r="E1519" i="1"/>
  <c r="S1518" i="1"/>
  <c r="R1518" i="1"/>
  <c r="Q1518" i="1"/>
  <c r="P1518" i="1"/>
  <c r="O1518" i="1"/>
  <c r="N1518" i="1"/>
  <c r="M1518" i="1"/>
  <c r="L1518" i="1"/>
  <c r="K1518" i="1"/>
  <c r="J1518" i="1"/>
  <c r="I1518" i="1"/>
  <c r="W1517" i="1"/>
  <c r="AA1517" i="1" s="1"/>
  <c r="T1517" i="1"/>
  <c r="U1517" i="1" s="1"/>
  <c r="G1517" i="1"/>
  <c r="W1516" i="1"/>
  <c r="AA1516" i="1" s="1"/>
  <c r="T1516" i="1"/>
  <c r="Z1516" i="1" s="1"/>
  <c r="G1516" i="1"/>
  <c r="E1516" i="1"/>
  <c r="E1515" i="1" s="1"/>
  <c r="S1515" i="1"/>
  <c r="Q1515" i="1"/>
  <c r="P1515" i="1"/>
  <c r="O1515" i="1"/>
  <c r="N1515" i="1"/>
  <c r="M1515" i="1"/>
  <c r="L1515" i="1"/>
  <c r="K1515" i="1"/>
  <c r="J1515" i="1"/>
  <c r="I1515" i="1"/>
  <c r="T1514" i="1"/>
  <c r="K1514" i="1"/>
  <c r="W742" i="1"/>
  <c r="T742" i="1"/>
  <c r="U742" i="1" s="1"/>
  <c r="T741" i="1"/>
  <c r="U741" i="1" s="1"/>
  <c r="S741" i="1"/>
  <c r="Q741" i="1"/>
  <c r="O741" i="1"/>
  <c r="M741" i="1"/>
  <c r="I741" i="1"/>
  <c r="G741" i="1"/>
  <c r="AA740" i="1"/>
  <c r="Z740" i="1"/>
  <c r="W739" i="1"/>
  <c r="T739" i="1"/>
  <c r="U739" i="1" s="1"/>
  <c r="T738" i="1"/>
  <c r="U738" i="1" s="1"/>
  <c r="Q738" i="1"/>
  <c r="O738" i="1"/>
  <c r="M738" i="1"/>
  <c r="I738" i="1"/>
  <c r="G738" i="1"/>
  <c r="W737" i="1"/>
  <c r="T737" i="1"/>
  <c r="Z737" i="1" s="1"/>
  <c r="T736" i="1"/>
  <c r="Q736" i="1"/>
  <c r="O736" i="1"/>
  <c r="M736" i="1"/>
  <c r="I736" i="1"/>
  <c r="G736" i="1"/>
  <c r="T735" i="1"/>
  <c r="U735" i="1" s="1"/>
  <c r="W734" i="1"/>
  <c r="AA734" i="1" s="1"/>
  <c r="T734" i="1"/>
  <c r="T733" i="1"/>
  <c r="Z733" i="1" s="1"/>
  <c r="Q733" i="1"/>
  <c r="O733" i="1"/>
  <c r="M733" i="1"/>
  <c r="I733" i="1"/>
  <c r="G733" i="1"/>
  <c r="W732" i="1"/>
  <c r="X732" i="1" s="1"/>
  <c r="T732" i="1"/>
  <c r="U732" i="1" s="1"/>
  <c r="W731" i="1"/>
  <c r="T731" i="1"/>
  <c r="U731" i="1" s="1"/>
  <c r="W730" i="1"/>
  <c r="X730" i="1" s="1"/>
  <c r="T730" i="1"/>
  <c r="W729" i="1"/>
  <c r="T729" i="1"/>
  <c r="U729" i="1" s="1"/>
  <c r="W728" i="1"/>
  <c r="X728" i="1" s="1"/>
  <c r="T728" i="1"/>
  <c r="U728" i="1" s="1"/>
  <c r="W727" i="1"/>
  <c r="T727" i="1"/>
  <c r="U727" i="1" s="1"/>
  <c r="W726" i="1"/>
  <c r="X726" i="1" s="1"/>
  <c r="T726" i="1"/>
  <c r="U726" i="1" s="1"/>
  <c r="W725" i="1"/>
  <c r="T725" i="1"/>
  <c r="U725" i="1" s="1"/>
  <c r="W724" i="1"/>
  <c r="X724" i="1" s="1"/>
  <c r="T724" i="1"/>
  <c r="T723" i="1"/>
  <c r="U723" i="1" s="1"/>
  <c r="Q723" i="1"/>
  <c r="O723" i="1"/>
  <c r="M723" i="1"/>
  <c r="I723" i="1"/>
  <c r="G723" i="1"/>
  <c r="W722" i="1"/>
  <c r="X722" i="1" s="1"/>
  <c r="T722" i="1"/>
  <c r="W721" i="1"/>
  <c r="X721" i="1" s="1"/>
  <c r="T721" i="1"/>
  <c r="Z721" i="1" s="1"/>
  <c r="W720" i="1"/>
  <c r="T720" i="1"/>
  <c r="Z720" i="1" s="1"/>
  <c r="W719" i="1"/>
  <c r="AA719" i="1" s="1"/>
  <c r="T719" i="1"/>
  <c r="Z719" i="1" s="1"/>
  <c r="W718" i="1"/>
  <c r="AA718" i="1" s="1"/>
  <c r="T718" i="1"/>
  <c r="T717" i="1"/>
  <c r="Z717" i="1" s="1"/>
  <c r="M717" i="1"/>
  <c r="T716" i="1"/>
  <c r="U716" i="1" s="1"/>
  <c r="Q716" i="1"/>
  <c r="O716" i="1"/>
  <c r="I716" i="1"/>
  <c r="G716" i="1"/>
  <c r="T715" i="1"/>
  <c r="Z715" i="1" s="1"/>
  <c r="AA714" i="1"/>
  <c r="Z714" i="1"/>
  <c r="W713" i="1"/>
  <c r="T713" i="1"/>
  <c r="U713" i="1" s="1"/>
  <c r="E713" i="1"/>
  <c r="W712" i="1"/>
  <c r="T712" i="1"/>
  <c r="Z712" i="1" s="1"/>
  <c r="E712" i="1"/>
  <c r="W711" i="1"/>
  <c r="X711" i="1" s="1"/>
  <c r="T711" i="1"/>
  <c r="Z711" i="1" s="1"/>
  <c r="E711" i="1"/>
  <c r="W710" i="1"/>
  <c r="T710" i="1"/>
  <c r="U710" i="1" s="1"/>
  <c r="E710" i="1"/>
  <c r="W709" i="1"/>
  <c r="AA709" i="1" s="1"/>
  <c r="T709" i="1"/>
  <c r="Z709" i="1" s="1"/>
  <c r="E709" i="1"/>
  <c r="W708" i="1"/>
  <c r="X708" i="1" s="1"/>
  <c r="T708" i="1"/>
  <c r="U708" i="1" s="1"/>
  <c r="E708" i="1"/>
  <c r="W707" i="1"/>
  <c r="AA707" i="1" s="1"/>
  <c r="T707" i="1"/>
  <c r="E707" i="1"/>
  <c r="W706" i="1"/>
  <c r="T706" i="1"/>
  <c r="U706" i="1" s="1"/>
  <c r="G706" i="1"/>
  <c r="G704" i="1" s="1"/>
  <c r="G703" i="1" s="1"/>
  <c r="E706" i="1"/>
  <c r="W705" i="1"/>
  <c r="T705" i="1"/>
  <c r="U705" i="1" s="1"/>
  <c r="S704" i="1"/>
  <c r="S703" i="1" s="1"/>
  <c r="R704" i="1"/>
  <c r="Q704" i="1"/>
  <c r="Q703" i="1" s="1"/>
  <c r="O704" i="1"/>
  <c r="M704" i="1"/>
  <c r="M703" i="1" s="1"/>
  <c r="L704" i="1"/>
  <c r="T704" i="1" s="1"/>
  <c r="K704" i="1"/>
  <c r="K703" i="1" s="1"/>
  <c r="J704" i="1"/>
  <c r="E704" i="1" s="1"/>
  <c r="I704" i="1"/>
  <c r="I703" i="1" s="1"/>
  <c r="H704" i="1"/>
  <c r="T703" i="1"/>
  <c r="U703" i="1" s="1"/>
  <c r="T702" i="1"/>
  <c r="Z702" i="1" s="1"/>
  <c r="S702" i="1"/>
  <c r="T701" i="1"/>
  <c r="U701" i="1" s="1"/>
  <c r="S701" i="1"/>
  <c r="W701" i="1" s="1"/>
  <c r="E701" i="1"/>
  <c r="Q700" i="1"/>
  <c r="Q699" i="1" s="1"/>
  <c r="O700" i="1"/>
  <c r="O699" i="1" s="1"/>
  <c r="M700" i="1"/>
  <c r="M699" i="1" s="1"/>
  <c r="L700" i="1"/>
  <c r="T700" i="1" s="1"/>
  <c r="K700" i="1"/>
  <c r="K699" i="1" s="1"/>
  <c r="J700" i="1"/>
  <c r="I700" i="1"/>
  <c r="G700" i="1"/>
  <c r="G699" i="1" s="1"/>
  <c r="R699" i="1"/>
  <c r="P699" i="1"/>
  <c r="H699" i="1"/>
  <c r="AA698" i="1"/>
  <c r="Z698" i="1"/>
  <c r="T697" i="1"/>
  <c r="S697" i="1"/>
  <c r="W697" i="1" s="1"/>
  <c r="AA697" i="1" s="1"/>
  <c r="T696" i="1"/>
  <c r="U696" i="1" s="1"/>
  <c r="S696" i="1"/>
  <c r="W696" i="1" s="1"/>
  <c r="W695" i="1"/>
  <c r="X695" i="1" s="1"/>
  <c r="T695" i="1"/>
  <c r="Z695" i="1" s="1"/>
  <c r="R694" i="1"/>
  <c r="T694" i="1" s="1"/>
  <c r="Q694" i="1"/>
  <c r="Q693" i="1" s="1"/>
  <c r="O694" i="1"/>
  <c r="O693" i="1" s="1"/>
  <c r="M694" i="1"/>
  <c r="K694" i="1"/>
  <c r="K693" i="1" s="1"/>
  <c r="I694" i="1"/>
  <c r="I693" i="1" s="1"/>
  <c r="G694" i="1"/>
  <c r="G693" i="1" s="1"/>
  <c r="T692" i="1"/>
  <c r="Z692" i="1" s="1"/>
  <c r="S692" i="1"/>
  <c r="W692" i="1" s="1"/>
  <c r="AA692" i="1" s="1"/>
  <c r="E692" i="1"/>
  <c r="T691" i="1"/>
  <c r="Z691" i="1" s="1"/>
  <c r="S691" i="1"/>
  <c r="W691" i="1" s="1"/>
  <c r="AA691" i="1" s="1"/>
  <c r="E691" i="1"/>
  <c r="R690" i="1"/>
  <c r="R689" i="1" s="1"/>
  <c r="Q690" i="1"/>
  <c r="Q689" i="1" s="1"/>
  <c r="P690" i="1"/>
  <c r="P689" i="1" s="1"/>
  <c r="T689" i="1" s="1"/>
  <c r="O690" i="1"/>
  <c r="O689" i="1" s="1"/>
  <c r="M690" i="1"/>
  <c r="L690" i="1"/>
  <c r="K690" i="1"/>
  <c r="K689" i="1" s="1"/>
  <c r="J690" i="1"/>
  <c r="I690" i="1"/>
  <c r="I689" i="1" s="1"/>
  <c r="G690" i="1"/>
  <c r="G689" i="1" s="1"/>
  <c r="M689" i="1"/>
  <c r="T688" i="1"/>
  <c r="S688" i="1"/>
  <c r="W688" i="1" s="1"/>
  <c r="AA688" i="1" s="1"/>
  <c r="T687" i="1"/>
  <c r="U687" i="1" s="1"/>
  <c r="S687" i="1"/>
  <c r="R686" i="1"/>
  <c r="Q686" i="1"/>
  <c r="Q685" i="1" s="1"/>
  <c r="P686" i="1"/>
  <c r="P685" i="1" s="1"/>
  <c r="O686" i="1"/>
  <c r="O685" i="1" s="1"/>
  <c r="M686" i="1"/>
  <c r="L686" i="1"/>
  <c r="K686" i="1"/>
  <c r="K685" i="1" s="1"/>
  <c r="J686" i="1"/>
  <c r="E686" i="1" s="1"/>
  <c r="I686" i="1"/>
  <c r="G686" i="1"/>
  <c r="G685" i="1" s="1"/>
  <c r="R685" i="1"/>
  <c r="M685" i="1"/>
  <c r="I685" i="1"/>
  <c r="AA684" i="1"/>
  <c r="Z684" i="1"/>
  <c r="W683" i="1"/>
  <c r="T683" i="1"/>
  <c r="U683" i="1" s="1"/>
  <c r="W682" i="1"/>
  <c r="T682" i="1"/>
  <c r="U682" i="1" s="1"/>
  <c r="W681" i="1"/>
  <c r="T681" i="1"/>
  <c r="W680" i="1"/>
  <c r="X680" i="1" s="1"/>
  <c r="T680" i="1"/>
  <c r="W679" i="1"/>
  <c r="X679" i="1" s="1"/>
  <c r="T679" i="1"/>
  <c r="W678" i="1"/>
  <c r="AA678" i="1" s="1"/>
  <c r="T678" i="1"/>
  <c r="U678" i="1" s="1"/>
  <c r="G678" i="1"/>
  <c r="G677" i="1" s="1"/>
  <c r="S677" i="1"/>
  <c r="Q677" i="1"/>
  <c r="O677" i="1"/>
  <c r="M677" i="1"/>
  <c r="L677" i="1"/>
  <c r="T677" i="1" s="1"/>
  <c r="K677" i="1"/>
  <c r="W676" i="1"/>
  <c r="T676" i="1"/>
  <c r="U676" i="1" s="1"/>
  <c r="W675" i="1"/>
  <c r="X675" i="1" s="1"/>
  <c r="T675" i="1"/>
  <c r="Z675" i="1" s="1"/>
  <c r="W674" i="1"/>
  <c r="AA674" i="1" s="1"/>
  <c r="T674" i="1"/>
  <c r="U674" i="1" s="1"/>
  <c r="W673" i="1"/>
  <c r="X673" i="1" s="1"/>
  <c r="T673" i="1"/>
  <c r="S672" i="1"/>
  <c r="Q672" i="1"/>
  <c r="O672" i="1"/>
  <c r="M672" i="1"/>
  <c r="L672" i="1"/>
  <c r="T672" i="1" s="1"/>
  <c r="K672" i="1"/>
  <c r="G672" i="1"/>
  <c r="T671" i="1"/>
  <c r="Z671" i="1" s="1"/>
  <c r="W670" i="1"/>
  <c r="T670" i="1"/>
  <c r="Z670" i="1" s="1"/>
  <c r="E670" i="1"/>
  <c r="W669" i="1"/>
  <c r="T669" i="1"/>
  <c r="U669" i="1" s="1"/>
  <c r="E669" i="1"/>
  <c r="T668" i="1"/>
  <c r="Z668" i="1" s="1"/>
  <c r="M668" i="1"/>
  <c r="M667" i="1" s="1"/>
  <c r="E668" i="1"/>
  <c r="T667" i="1"/>
  <c r="Z667" i="1" s="1"/>
  <c r="S667" i="1"/>
  <c r="Q667" i="1"/>
  <c r="O667" i="1"/>
  <c r="K667" i="1"/>
  <c r="I667" i="1"/>
  <c r="G667" i="1"/>
  <c r="W666" i="1"/>
  <c r="AA666" i="1" s="1"/>
  <c r="T666" i="1"/>
  <c r="U666" i="1" s="1"/>
  <c r="E666" i="1"/>
  <c r="W665" i="1"/>
  <c r="AA665" i="1" s="1"/>
  <c r="T665" i="1"/>
  <c r="Z665" i="1" s="1"/>
  <c r="E665" i="1"/>
  <c r="T664" i="1"/>
  <c r="Z664" i="1" s="1"/>
  <c r="S664" i="1"/>
  <c r="Q664" i="1"/>
  <c r="O664" i="1"/>
  <c r="M664" i="1"/>
  <c r="K664" i="1"/>
  <c r="I664" i="1"/>
  <c r="G664" i="1"/>
  <c r="E664" i="1"/>
  <c r="W663" i="1"/>
  <c r="AA663" i="1" s="1"/>
  <c r="T663" i="1"/>
  <c r="U663" i="1" s="1"/>
  <c r="E663" i="1"/>
  <c r="W662" i="1"/>
  <c r="AA662" i="1" s="1"/>
  <c r="T662" i="1"/>
  <c r="E662" i="1"/>
  <c r="W661" i="1"/>
  <c r="X661" i="1" s="1"/>
  <c r="T661" i="1"/>
  <c r="Z661" i="1" s="1"/>
  <c r="E661" i="1"/>
  <c r="W660" i="1"/>
  <c r="AA660" i="1" s="1"/>
  <c r="T660" i="1"/>
  <c r="U660" i="1" s="1"/>
  <c r="E660" i="1"/>
  <c r="W659" i="1"/>
  <c r="AA659" i="1" s="1"/>
  <c r="T659" i="1"/>
  <c r="U659" i="1" s="1"/>
  <c r="E659" i="1"/>
  <c r="W658" i="1"/>
  <c r="AA658" i="1" s="1"/>
  <c r="T658" i="1"/>
  <c r="Z658" i="1" s="1"/>
  <c r="E658" i="1"/>
  <c r="T657" i="1"/>
  <c r="Z657" i="1" s="1"/>
  <c r="S657" i="1"/>
  <c r="Q657" i="1"/>
  <c r="O657" i="1"/>
  <c r="M657" i="1"/>
  <c r="K657" i="1"/>
  <c r="I657" i="1"/>
  <c r="G657" i="1"/>
  <c r="AH656" i="1"/>
  <c r="W656" i="1"/>
  <c r="AA656" i="1" s="1"/>
  <c r="T656" i="1"/>
  <c r="U656" i="1" s="1"/>
  <c r="E656" i="1"/>
  <c r="AH655" i="1"/>
  <c r="W655" i="1"/>
  <c r="T655" i="1"/>
  <c r="U655" i="1" s="1"/>
  <c r="E655" i="1"/>
  <c r="AH654" i="1"/>
  <c r="W654" i="1"/>
  <c r="AA654" i="1" s="1"/>
  <c r="T654" i="1"/>
  <c r="U654" i="1" s="1"/>
  <c r="E654" i="1"/>
  <c r="E652" i="1" s="1"/>
  <c r="AH653" i="1"/>
  <c r="W653" i="1"/>
  <c r="T653" i="1"/>
  <c r="Z653" i="1" s="1"/>
  <c r="S652" i="1"/>
  <c r="Q652" i="1"/>
  <c r="P652" i="1"/>
  <c r="O652" i="1"/>
  <c r="N652" i="1"/>
  <c r="M652" i="1"/>
  <c r="L652" i="1"/>
  <c r="K652" i="1"/>
  <c r="J652" i="1"/>
  <c r="I652" i="1"/>
  <c r="W651" i="1"/>
  <c r="AA651" i="1" s="1"/>
  <c r="T651" i="1"/>
  <c r="Z651" i="1" s="1"/>
  <c r="E651" i="1"/>
  <c r="W650" i="1"/>
  <c r="AA650" i="1" s="1"/>
  <c r="T650" i="1"/>
  <c r="U650" i="1" s="1"/>
  <c r="E650" i="1"/>
  <c r="S649" i="1"/>
  <c r="Q649" i="1"/>
  <c r="P649" i="1"/>
  <c r="O649" i="1"/>
  <c r="N649" i="1"/>
  <c r="M649" i="1"/>
  <c r="L649" i="1"/>
  <c r="K649" i="1"/>
  <c r="J649" i="1"/>
  <c r="I649" i="1"/>
  <c r="G649" i="1"/>
  <c r="T648" i="1"/>
  <c r="U648" i="1" s="1"/>
  <c r="AA695" i="1" l="1"/>
  <c r="X719" i="1"/>
  <c r="X1551" i="1"/>
  <c r="X1557" i="1"/>
  <c r="T1560" i="1"/>
  <c r="S694" i="1"/>
  <c r="S693" i="1" s="1"/>
  <c r="G715" i="1"/>
  <c r="U1526" i="1"/>
  <c r="AA1531" i="1"/>
  <c r="Z1532" i="1"/>
  <c r="AB1532" i="1" s="1"/>
  <c r="AB1516" i="1"/>
  <c r="AB1521" i="1"/>
  <c r="AD1525" i="1"/>
  <c r="G1529" i="1"/>
  <c r="Z1539" i="1"/>
  <c r="U1547" i="1"/>
  <c r="U1554" i="1"/>
  <c r="X1516" i="1"/>
  <c r="AB1530" i="1"/>
  <c r="J1544" i="1"/>
  <c r="K1542" i="1"/>
  <c r="R1542" i="1"/>
  <c r="N1543" i="1"/>
  <c r="S1559" i="1"/>
  <c r="W1559" i="1" s="1"/>
  <c r="Z1517" i="1"/>
  <c r="AB1517" i="1" s="1"/>
  <c r="AB1520" i="1"/>
  <c r="W1548" i="1"/>
  <c r="X666" i="1"/>
  <c r="U667" i="1"/>
  <c r="U668" i="1"/>
  <c r="T699" i="1"/>
  <c r="U699" i="1" s="1"/>
  <c r="U737" i="1"/>
  <c r="G1515" i="1"/>
  <c r="W1523" i="1"/>
  <c r="X1523" i="1" s="1"/>
  <c r="AA1530" i="1"/>
  <c r="AB1547" i="1"/>
  <c r="U1516" i="1"/>
  <c r="X1519" i="1"/>
  <c r="U1530" i="1"/>
  <c r="J1542" i="1"/>
  <c r="Z682" i="1"/>
  <c r="T686" i="1"/>
  <c r="Z686" i="1" s="1"/>
  <c r="T690" i="1"/>
  <c r="Z690" i="1" s="1"/>
  <c r="U720" i="1"/>
  <c r="AA721" i="1"/>
  <c r="X734" i="1"/>
  <c r="Z1522" i="1"/>
  <c r="AB1522" i="1" s="1"/>
  <c r="AD1524" i="1"/>
  <c r="AD1536" i="1"/>
  <c r="L1542" i="1"/>
  <c r="T1548" i="1"/>
  <c r="U1548" i="1" s="1"/>
  <c r="U664" i="1"/>
  <c r="R693" i="1"/>
  <c r="T693" i="1" s="1"/>
  <c r="Z693" i="1" s="1"/>
  <c r="X707" i="1"/>
  <c r="X718" i="1"/>
  <c r="AA722" i="1"/>
  <c r="U1529" i="1"/>
  <c r="U1537" i="1"/>
  <c r="X1548" i="1"/>
  <c r="S1542" i="1"/>
  <c r="Q648" i="1"/>
  <c r="X656" i="1"/>
  <c r="U658" i="1"/>
  <c r="S648" i="1"/>
  <c r="X663" i="1"/>
  <c r="X674" i="1"/>
  <c r="AA679" i="1"/>
  <c r="Q715" i="1"/>
  <c r="T1515" i="1"/>
  <c r="Z1515" i="1" s="1"/>
  <c r="AB1515" i="1" s="1"/>
  <c r="AD1517" i="1"/>
  <c r="Z1535" i="1"/>
  <c r="AB1535" i="1" s="1"/>
  <c r="G1537" i="1"/>
  <c r="AD1531" i="1"/>
  <c r="X650" i="1"/>
  <c r="X651" i="1"/>
  <c r="W657" i="1"/>
  <c r="AA657" i="1" s="1"/>
  <c r="AA673" i="1"/>
  <c r="Z732" i="1"/>
  <c r="G735" i="1"/>
  <c r="Q735" i="1"/>
  <c r="W1515" i="1"/>
  <c r="X1515" i="1" s="1"/>
  <c r="AD1516" i="1"/>
  <c r="U1520" i="1"/>
  <c r="U1521" i="1"/>
  <c r="X1522" i="1"/>
  <c r="X1524" i="1"/>
  <c r="AA1533" i="1"/>
  <c r="AD1533" i="1" s="1"/>
  <c r="U1534" i="1"/>
  <c r="X1536" i="1"/>
  <c r="P1542" i="1"/>
  <c r="T1543" i="1"/>
  <c r="Z1543" i="1" s="1"/>
  <c r="AB1543" i="1" s="1"/>
  <c r="W741" i="1"/>
  <c r="X741" i="1" s="1"/>
  <c r="T1518" i="1"/>
  <c r="Z1518" i="1" s="1"/>
  <c r="AB1518" i="1" s="1"/>
  <c r="Z1525" i="1"/>
  <c r="AB1525" i="1" s="1"/>
  <c r="AD1530" i="1"/>
  <c r="W1534" i="1"/>
  <c r="X1534" i="1" s="1"/>
  <c r="G1534" i="1"/>
  <c r="Q1537" i="1"/>
  <c r="X1547" i="1"/>
  <c r="Z1554" i="1"/>
  <c r="AB1554" i="1" s="1"/>
  <c r="K1559" i="1"/>
  <c r="G671" i="1"/>
  <c r="T652" i="1"/>
  <c r="U652" i="1" s="1"/>
  <c r="X654" i="1"/>
  <c r="AA661" i="1"/>
  <c r="U665" i="1"/>
  <c r="M671" i="1"/>
  <c r="AA675" i="1"/>
  <c r="X678" i="1"/>
  <c r="U700" i="1"/>
  <c r="U712" i="1"/>
  <c r="U715" i="1"/>
  <c r="U717" i="1"/>
  <c r="O735" i="1"/>
  <c r="W1518" i="1"/>
  <c r="X1518" i="1" s="1"/>
  <c r="G1518" i="1"/>
  <c r="Z1519" i="1"/>
  <c r="AB1519" i="1" s="1"/>
  <c r="AA1521" i="1"/>
  <c r="AD1521" i="1" s="1"/>
  <c r="U1523" i="1"/>
  <c r="U1524" i="1"/>
  <c r="AD1526" i="1"/>
  <c r="Z1527" i="1"/>
  <c r="AB1527" i="1" s="1"/>
  <c r="T1540" i="1"/>
  <c r="U1540" i="1" s="1"/>
  <c r="I1542" i="1"/>
  <c r="M1542" i="1"/>
  <c r="AD1551" i="1"/>
  <c r="AA1553" i="1"/>
  <c r="AD1553" i="1" s="1"/>
  <c r="I1554" i="1"/>
  <c r="W1555" i="1"/>
  <c r="X1555" i="1" s="1"/>
  <c r="W1560" i="1"/>
  <c r="X1560" i="1" s="1"/>
  <c r="W1562" i="1"/>
  <c r="X1562" i="1" s="1"/>
  <c r="AA1564" i="1"/>
  <c r="AD1564" i="1" s="1"/>
  <c r="Z722" i="1"/>
  <c r="U722" i="1"/>
  <c r="Z734" i="1"/>
  <c r="U734" i="1"/>
  <c r="P1544" i="1"/>
  <c r="U1555" i="1"/>
  <c r="Z1555" i="1"/>
  <c r="AB1555" i="1" s="1"/>
  <c r="U1560" i="1"/>
  <c r="Z1560" i="1"/>
  <c r="AB1560" i="1" s="1"/>
  <c r="Z662" i="1"/>
  <c r="U662" i="1"/>
  <c r="U680" i="1"/>
  <c r="Z680" i="1"/>
  <c r="AA712" i="1"/>
  <c r="X712" i="1"/>
  <c r="U721" i="1"/>
  <c r="I1514" i="1"/>
  <c r="AD1519" i="1"/>
  <c r="W1538" i="1"/>
  <c r="X1538" i="1" s="1"/>
  <c r="O1537" i="1"/>
  <c r="AA653" i="1"/>
  <c r="X653" i="1"/>
  <c r="O648" i="1"/>
  <c r="U657" i="1"/>
  <c r="X659" i="1"/>
  <c r="X660" i="1"/>
  <c r="AA670" i="1"/>
  <c r="X670" i="1"/>
  <c r="Z679" i="1"/>
  <c r="U679" i="1"/>
  <c r="U686" i="1"/>
  <c r="Z688" i="1"/>
  <c r="U688" i="1"/>
  <c r="U691" i="1"/>
  <c r="U692" i="1"/>
  <c r="U695" i="1"/>
  <c r="X709" i="1"/>
  <c r="Z718" i="1"/>
  <c r="U718" i="1"/>
  <c r="U724" i="1"/>
  <c r="Z724" i="1"/>
  <c r="U730" i="1"/>
  <c r="Z730" i="1"/>
  <c r="Z736" i="1"/>
  <c r="U736" i="1"/>
  <c r="M1514" i="1"/>
  <c r="S1514" i="1"/>
  <c r="AD1522" i="1"/>
  <c r="AA1523" i="1"/>
  <c r="X1526" i="1"/>
  <c r="X1527" i="1"/>
  <c r="AA1527" i="1"/>
  <c r="AD1527" i="1" s="1"/>
  <c r="AD1528" i="1"/>
  <c r="Z1533" i="1"/>
  <c r="AB1533" i="1" s="1"/>
  <c r="T1538" i="1"/>
  <c r="U1541" i="1"/>
  <c r="Z1541" i="1"/>
  <c r="AB1541" i="1" s="1"/>
  <c r="Z673" i="1"/>
  <c r="U673" i="1"/>
  <c r="Z697" i="1"/>
  <c r="U697" i="1"/>
  <c r="Z707" i="1"/>
  <c r="U707" i="1"/>
  <c r="AB1539" i="1"/>
  <c r="L1544" i="1"/>
  <c r="N1544" i="1"/>
  <c r="T1550" i="1"/>
  <c r="U661" i="1"/>
  <c r="AA737" i="1"/>
  <c r="X737" i="1"/>
  <c r="Q1514" i="1"/>
  <c r="X1517" i="1"/>
  <c r="X1535" i="1"/>
  <c r="AA1535" i="1"/>
  <c r="AD1535" i="1" s="1"/>
  <c r="W1540" i="1"/>
  <c r="M1537" i="1"/>
  <c r="W1537" i="1" s="1"/>
  <c r="X1537" i="1" s="1"/>
  <c r="K648" i="1"/>
  <c r="AA655" i="1"/>
  <c r="X655" i="1"/>
  <c r="W664" i="1"/>
  <c r="X664" i="1" s="1"/>
  <c r="AA669" i="1"/>
  <c r="X669" i="1"/>
  <c r="S671" i="1"/>
  <c r="U675" i="1"/>
  <c r="AA676" i="1"/>
  <c r="X676" i="1"/>
  <c r="U681" i="1"/>
  <c r="Z681" i="1"/>
  <c r="T685" i="1"/>
  <c r="Z685" i="1" s="1"/>
  <c r="W687" i="1"/>
  <c r="X687" i="1" s="1"/>
  <c r="S686" i="1"/>
  <c r="S685" i="1" s="1"/>
  <c r="W685" i="1" s="1"/>
  <c r="Z694" i="1"/>
  <c r="U694" i="1"/>
  <c r="AA720" i="1"/>
  <c r="X720" i="1"/>
  <c r="W723" i="1"/>
  <c r="X723" i="1" s="1"/>
  <c r="U1514" i="1"/>
  <c r="Z1514" i="1"/>
  <c r="AB1514" i="1" s="1"/>
  <c r="O1514" i="1"/>
  <c r="X1520" i="1"/>
  <c r="AA1520" i="1"/>
  <c r="AD1520" i="1" s="1"/>
  <c r="X1525" i="1"/>
  <c r="W1529" i="1"/>
  <c r="Z1531" i="1"/>
  <c r="AB1531" i="1" s="1"/>
  <c r="AD1532" i="1"/>
  <c r="Z1536" i="1"/>
  <c r="AB1536" i="1" s="1"/>
  <c r="X1539" i="1"/>
  <c r="AA1539" i="1"/>
  <c r="AD1539" i="1" s="1"/>
  <c r="AA1541" i="1"/>
  <c r="AD1541" i="1" s="1"/>
  <c r="X1541" i="1"/>
  <c r="Z1548" i="1"/>
  <c r="AB1548" i="1" s="1"/>
  <c r="T1549" i="1"/>
  <c r="T649" i="1"/>
  <c r="U649" i="1" s="1"/>
  <c r="W652" i="1"/>
  <c r="X652" i="1" s="1"/>
  <c r="G654" i="1"/>
  <c r="G652" i="1" s="1"/>
  <c r="G648" i="1" s="1"/>
  <c r="W668" i="1"/>
  <c r="AA668" i="1" s="1"/>
  <c r="O671" i="1"/>
  <c r="X692" i="1"/>
  <c r="Z699" i="1"/>
  <c r="G1523" i="1"/>
  <c r="N1542" i="1"/>
  <c r="T1542" i="1" s="1"/>
  <c r="T1546" i="1"/>
  <c r="W649" i="1"/>
  <c r="X649" i="1" s="1"/>
  <c r="W672" i="1"/>
  <c r="AA672" i="1" s="1"/>
  <c r="K671" i="1"/>
  <c r="W677" i="1"/>
  <c r="X677" i="1" s="1"/>
  <c r="U702" i="1"/>
  <c r="U709" i="1"/>
  <c r="O715" i="1"/>
  <c r="U719" i="1"/>
  <c r="W733" i="1"/>
  <c r="U733" i="1"/>
  <c r="AH1523" i="1"/>
  <c r="X1532" i="1"/>
  <c r="O1542" i="1"/>
  <c r="W1542" i="1" s="1"/>
  <c r="X1542" i="1" s="1"/>
  <c r="Q1545" i="1"/>
  <c r="Q1542" i="1"/>
  <c r="W1546" i="1"/>
  <c r="AA1548" i="1"/>
  <c r="AD1548" i="1" s="1"/>
  <c r="W738" i="1"/>
  <c r="X738" i="1" s="1"/>
  <c r="Z1553" i="1"/>
  <c r="AB1553" i="1" s="1"/>
  <c r="Z1564" i="1"/>
  <c r="AB1564" i="1" s="1"/>
  <c r="Z1551" i="1"/>
  <c r="AB1551" i="1" s="1"/>
  <c r="X1552" i="1"/>
  <c r="Z1557" i="1"/>
  <c r="AB1557" i="1" s="1"/>
  <c r="X1561" i="1"/>
  <c r="Z1562" i="1"/>
  <c r="AB1562" i="1" s="1"/>
  <c r="X1563" i="1"/>
  <c r="Z1552" i="1"/>
  <c r="AB1552" i="1" s="1"/>
  <c r="M1554" i="1"/>
  <c r="W1554" i="1" s="1"/>
  <c r="X1554" i="1" s="1"/>
  <c r="I1559" i="1"/>
  <c r="Z1561" i="1"/>
  <c r="AB1561" i="1" s="1"/>
  <c r="Z1563" i="1"/>
  <c r="AB1563" i="1" s="1"/>
  <c r="AA677" i="1"/>
  <c r="U672" i="1"/>
  <c r="Z672" i="1"/>
  <c r="U677" i="1"/>
  <c r="Z677" i="1"/>
  <c r="X672" i="1"/>
  <c r="W667" i="1"/>
  <c r="X667" i="1" s="1"/>
  <c r="M648" i="1"/>
  <c r="Z652" i="1"/>
  <c r="U689" i="1"/>
  <c r="Z689" i="1"/>
  <c r="Z648" i="1"/>
  <c r="Z660" i="1"/>
  <c r="U704" i="1"/>
  <c r="AA729" i="1"/>
  <c r="X729" i="1"/>
  <c r="W736" i="1"/>
  <c r="M735" i="1"/>
  <c r="Z650" i="1"/>
  <c r="U651" i="1"/>
  <c r="U653" i="1"/>
  <c r="Z654" i="1"/>
  <c r="Z655" i="1"/>
  <c r="Z656" i="1"/>
  <c r="X658" i="1"/>
  <c r="Z659" i="1"/>
  <c r="X662" i="1"/>
  <c r="Z663" i="1"/>
  <c r="X665" i="1"/>
  <c r="Z666" i="1"/>
  <c r="Z669" i="1"/>
  <c r="U670" i="1"/>
  <c r="U671" i="1"/>
  <c r="Z674" i="1"/>
  <c r="Z676" i="1"/>
  <c r="Z678" i="1"/>
  <c r="AA680" i="1"/>
  <c r="X683" i="1"/>
  <c r="AA683" i="1"/>
  <c r="AA687" i="1"/>
  <c r="S690" i="1"/>
  <c r="S689" i="1" s="1"/>
  <c r="W702" i="1"/>
  <c r="S700" i="1"/>
  <c r="Z704" i="1"/>
  <c r="Z708" i="1"/>
  <c r="Z726" i="1"/>
  <c r="AA731" i="1"/>
  <c r="X731" i="1"/>
  <c r="Z735" i="1"/>
  <c r="Z738" i="1"/>
  <c r="Z741" i="1"/>
  <c r="AA701" i="1"/>
  <c r="X701" i="1"/>
  <c r="O703" i="1"/>
  <c r="W703" i="1" s="1"/>
  <c r="X703" i="1" s="1"/>
  <c r="W704" i="1"/>
  <c r="X704" i="1" s="1"/>
  <c r="Q671" i="1"/>
  <c r="AA682" i="1"/>
  <c r="X682" i="1"/>
  <c r="Z683" i="1"/>
  <c r="Z687" i="1"/>
  <c r="X688" i="1"/>
  <c r="W689" i="1"/>
  <c r="X689" i="1" s="1"/>
  <c r="AA710" i="1"/>
  <c r="X710" i="1"/>
  <c r="W717" i="1"/>
  <c r="M716" i="1"/>
  <c r="AA725" i="1"/>
  <c r="X725" i="1"/>
  <c r="Z728" i="1"/>
  <c r="I735" i="1"/>
  <c r="W694" i="1"/>
  <c r="X694" i="1" s="1"/>
  <c r="M693" i="1"/>
  <c r="W693" i="1" s="1"/>
  <c r="X681" i="1"/>
  <c r="AA681" i="1"/>
  <c r="U690" i="1"/>
  <c r="X691" i="1"/>
  <c r="AA696" i="1"/>
  <c r="X696" i="1"/>
  <c r="X697" i="1"/>
  <c r="AA705" i="1"/>
  <c r="X705" i="1"/>
  <c r="AA706" i="1"/>
  <c r="X706" i="1"/>
  <c r="AA713" i="1"/>
  <c r="X713" i="1"/>
  <c r="AA727" i="1"/>
  <c r="X727" i="1"/>
  <c r="AA739" i="1"/>
  <c r="X739" i="1"/>
  <c r="AA742" i="1"/>
  <c r="X742" i="1"/>
  <c r="AA708" i="1"/>
  <c r="AA711" i="1"/>
  <c r="AA724" i="1"/>
  <c r="AA726" i="1"/>
  <c r="AA728" i="1"/>
  <c r="AA730" i="1"/>
  <c r="AA732" i="1"/>
  <c r="Z696" i="1"/>
  <c r="Z700" i="1"/>
  <c r="Z701" i="1"/>
  <c r="Z703" i="1"/>
  <c r="Z705" i="1"/>
  <c r="Z706" i="1"/>
  <c r="Z710" i="1"/>
  <c r="Z713" i="1"/>
  <c r="Z716" i="1"/>
  <c r="Z723" i="1"/>
  <c r="Z725" i="1"/>
  <c r="Z727" i="1"/>
  <c r="Z729" i="1"/>
  <c r="Z731" i="1"/>
  <c r="Z739" i="1"/>
  <c r="Z742" i="1"/>
  <c r="I699" i="1"/>
  <c r="I715" i="1"/>
  <c r="Z649" i="1" l="1"/>
  <c r="AA1559" i="1"/>
  <c r="AD1559" i="1" s="1"/>
  <c r="AA1534" i="1"/>
  <c r="U1515" i="1"/>
  <c r="AA1560" i="1"/>
  <c r="AD1560" i="1" s="1"/>
  <c r="W686" i="1"/>
  <c r="AA1515" i="1"/>
  <c r="AD1515" i="1" s="1"/>
  <c r="U693" i="1"/>
  <c r="AA649" i="1"/>
  <c r="AA652" i="1"/>
  <c r="U1543" i="1"/>
  <c r="AA1555" i="1"/>
  <c r="AD1555" i="1" s="1"/>
  <c r="AA1542" i="1"/>
  <c r="AD1542" i="1" s="1"/>
  <c r="X1559" i="1"/>
  <c r="AA664" i="1"/>
  <c r="G1514" i="1"/>
  <c r="AA704" i="1"/>
  <c r="X657" i="1"/>
  <c r="AD1534" i="1"/>
  <c r="Z1540" i="1"/>
  <c r="AB1540" i="1" s="1"/>
  <c r="AA741" i="1"/>
  <c r="W735" i="1"/>
  <c r="X735" i="1" s="1"/>
  <c r="AA738" i="1"/>
  <c r="T1544" i="1"/>
  <c r="Z1544" i="1" s="1"/>
  <c r="AB1544" i="1" s="1"/>
  <c r="AA1518" i="1"/>
  <c r="AD1518" i="1" s="1"/>
  <c r="U1518" i="1"/>
  <c r="AA1562" i="1"/>
  <c r="AD1562" i="1" s="1"/>
  <c r="U1542" i="1"/>
  <c r="Z1542" i="1"/>
  <c r="AB1542" i="1" s="1"/>
  <c r="U1538" i="1"/>
  <c r="Z1538" i="1"/>
  <c r="AB1538" i="1" s="1"/>
  <c r="W671" i="1"/>
  <c r="X671" i="1" s="1"/>
  <c r="AA723" i="1"/>
  <c r="X668" i="1"/>
  <c r="AA1538" i="1"/>
  <c r="AD1538" i="1" s="1"/>
  <c r="X733" i="1"/>
  <c r="AA733" i="1"/>
  <c r="X1540" i="1"/>
  <c r="AA1540" i="1"/>
  <c r="AD1540" i="1" s="1"/>
  <c r="U1550" i="1"/>
  <c r="Z1550" i="1"/>
  <c r="AB1550" i="1" s="1"/>
  <c r="AD1523" i="1"/>
  <c r="U685" i="1"/>
  <c r="X1546" i="1"/>
  <c r="AA1546" i="1"/>
  <c r="AD1546" i="1" s="1"/>
  <c r="X1529" i="1"/>
  <c r="AA1529" i="1"/>
  <c r="AD1529" i="1" s="1"/>
  <c r="AH1514" i="1"/>
  <c r="W1514" i="1"/>
  <c r="X1514" i="1" s="1"/>
  <c r="AA703" i="1"/>
  <c r="AA1554" i="1"/>
  <c r="AD1554" i="1" s="1"/>
  <c r="Z1546" i="1"/>
  <c r="AB1546" i="1" s="1"/>
  <c r="U1546" i="1"/>
  <c r="Z1549" i="1"/>
  <c r="AB1549" i="1" s="1"/>
  <c r="U1549" i="1"/>
  <c r="AA1537" i="1"/>
  <c r="AD1537" i="1" s="1"/>
  <c r="S699" i="1"/>
  <c r="W699" i="1" s="1"/>
  <c r="X699" i="1" s="1"/>
  <c r="W700" i="1"/>
  <c r="X736" i="1"/>
  <c r="AA736" i="1"/>
  <c r="W690" i="1"/>
  <c r="X693" i="1"/>
  <c r="AA693" i="1"/>
  <c r="M715" i="1"/>
  <c r="W715" i="1" s="1"/>
  <c r="X715" i="1" s="1"/>
  <c r="W716" i="1"/>
  <c r="AA694" i="1"/>
  <c r="AA686" i="1"/>
  <c r="X686" i="1"/>
  <c r="AA689" i="1"/>
  <c r="AA702" i="1"/>
  <c r="X702" i="1"/>
  <c r="X685" i="1"/>
  <c r="AA685" i="1"/>
  <c r="AA717" i="1"/>
  <c r="X717" i="1"/>
  <c r="AH648" i="1"/>
  <c r="W648" i="1"/>
  <c r="AA667" i="1"/>
  <c r="U1544" i="1" l="1"/>
  <c r="AA1514" i="1"/>
  <c r="AD1514" i="1" s="1"/>
  <c r="AA735" i="1"/>
  <c r="AA671" i="1"/>
  <c r="AA699" i="1"/>
  <c r="AA690" i="1"/>
  <c r="X690" i="1"/>
  <c r="X648" i="1"/>
  <c r="AA648" i="1"/>
  <c r="AA715" i="1"/>
  <c r="X716" i="1"/>
  <c r="AA716" i="1"/>
  <c r="X700" i="1"/>
  <c r="AA700" i="1"/>
  <c r="W1076" i="1" l="1"/>
  <c r="T1076" i="1"/>
  <c r="U1076" i="1" s="1"/>
  <c r="W1075" i="1"/>
  <c r="X1075" i="1" s="1"/>
  <c r="T1075" i="1"/>
  <c r="U1075" i="1" s="1"/>
  <c r="W1074" i="1"/>
  <c r="T1074" i="1"/>
  <c r="U1074" i="1" s="1"/>
  <c r="G1074" i="1"/>
  <c r="G1073" i="1" s="1"/>
  <c r="G1072" i="1" s="1"/>
  <c r="E1074" i="1"/>
  <c r="T1073" i="1"/>
  <c r="U1073" i="1" s="1"/>
  <c r="S1073" i="1"/>
  <c r="S1072" i="1" s="1"/>
  <c r="Q1073" i="1"/>
  <c r="Q1072" i="1" s="1"/>
  <c r="O1073" i="1"/>
  <c r="O1072" i="1" s="1"/>
  <c r="M1073" i="1"/>
  <c r="K1073" i="1"/>
  <c r="K1072" i="1" s="1"/>
  <c r="I1073" i="1"/>
  <c r="T1072" i="1"/>
  <c r="Z1072" i="1" s="1"/>
  <c r="U1072" i="1" s="1"/>
  <c r="M1072" i="1"/>
  <c r="J1072" i="1"/>
  <c r="E1072" i="1"/>
  <c r="W1071" i="1"/>
  <c r="AA1071" i="1" s="1"/>
  <c r="T1071" i="1"/>
  <c r="U1071" i="1" s="1"/>
  <c r="G1071" i="1"/>
  <c r="G1070" i="1" s="1"/>
  <c r="G1069" i="1" s="1"/>
  <c r="E1071" i="1"/>
  <c r="E1070" i="1" s="1"/>
  <c r="S1070" i="1"/>
  <c r="S1069" i="1" s="1"/>
  <c r="Q1070" i="1"/>
  <c r="O1070" i="1"/>
  <c r="O1069" i="1" s="1"/>
  <c r="M1070" i="1"/>
  <c r="M1069" i="1" s="1"/>
  <c r="L1070" i="1"/>
  <c r="T1070" i="1" s="1"/>
  <c r="K1070" i="1"/>
  <c r="K1069" i="1" s="1"/>
  <c r="J1070" i="1"/>
  <c r="I1070" i="1"/>
  <c r="I1069" i="1" s="1"/>
  <c r="T1069" i="1"/>
  <c r="Z1069" i="1" s="1"/>
  <c r="Q1069" i="1"/>
  <c r="J1069" i="1"/>
  <c r="J1064" i="1" s="1"/>
  <c r="E1069" i="1"/>
  <c r="E1064" i="1" s="1"/>
  <c r="W1068" i="1"/>
  <c r="X1068" i="1" s="1"/>
  <c r="T1068" i="1"/>
  <c r="Z1068" i="1" s="1"/>
  <c r="G1068" i="1"/>
  <c r="E1068" i="1"/>
  <c r="W1067" i="1"/>
  <c r="X1067" i="1" s="1"/>
  <c r="T1067" i="1"/>
  <c r="Z1067" i="1" s="1"/>
  <c r="W1066" i="1"/>
  <c r="AA1066" i="1" s="1"/>
  <c r="T1066" i="1"/>
  <c r="U1066" i="1" s="1"/>
  <c r="G1066" i="1"/>
  <c r="G1065" i="1" s="1"/>
  <c r="G1064" i="1" s="1"/>
  <c r="E1066" i="1"/>
  <c r="E1065" i="1" s="1"/>
  <c r="T1065" i="1"/>
  <c r="S1065" i="1"/>
  <c r="S1064" i="1" s="1"/>
  <c r="Q1065" i="1"/>
  <c r="Q1064" i="1" s="1"/>
  <c r="O1065" i="1"/>
  <c r="O1064" i="1" s="1"/>
  <c r="M1065" i="1"/>
  <c r="K1065" i="1"/>
  <c r="K1064" i="1" s="1"/>
  <c r="J1065" i="1"/>
  <c r="I1065" i="1"/>
  <c r="I1064" i="1" s="1"/>
  <c r="L1064" i="1"/>
  <c r="T1064" i="1" s="1"/>
  <c r="Z1064" i="1" s="1"/>
  <c r="U1064" i="1" s="1"/>
  <c r="W1063" i="1"/>
  <c r="AA1063" i="1" s="1"/>
  <c r="T1063" i="1"/>
  <c r="Z1063" i="1" s="1"/>
  <c r="G1063" i="1"/>
  <c r="E1063" i="1"/>
  <c r="S1062" i="1"/>
  <c r="S1061" i="1" s="1"/>
  <c r="Q1062" i="1"/>
  <c r="O1062" i="1"/>
  <c r="M1062" i="1"/>
  <c r="L1062" i="1"/>
  <c r="T1062" i="1" s="1"/>
  <c r="Z1062" i="1" s="1"/>
  <c r="K1062" i="1"/>
  <c r="K1061" i="1" s="1"/>
  <c r="J1062" i="1"/>
  <c r="I1062" i="1"/>
  <c r="I1061" i="1" s="1"/>
  <c r="G1062" i="1"/>
  <c r="G1061" i="1" s="1"/>
  <c r="T1061" i="1"/>
  <c r="Z1061" i="1" s="1"/>
  <c r="O1061" i="1"/>
  <c r="M1061" i="1"/>
  <c r="J1061" i="1"/>
  <c r="E1061" i="1"/>
  <c r="W1060" i="1"/>
  <c r="X1060" i="1" s="1"/>
  <c r="T1060" i="1"/>
  <c r="Z1060" i="1" s="1"/>
  <c r="G1060" i="1"/>
  <c r="G1059" i="1" s="1"/>
  <c r="G1058" i="1" s="1"/>
  <c r="S1059" i="1"/>
  <c r="S1058" i="1" s="1"/>
  <c r="Q1059" i="1"/>
  <c r="Q1058" i="1" s="1"/>
  <c r="O1059" i="1"/>
  <c r="O1058" i="1" s="1"/>
  <c r="M1059" i="1"/>
  <c r="L1059" i="1"/>
  <c r="T1059" i="1" s="1"/>
  <c r="K1059" i="1"/>
  <c r="K1058" i="1" s="1"/>
  <c r="J1059" i="1"/>
  <c r="J1058" i="1" s="1"/>
  <c r="I1059" i="1"/>
  <c r="E1059" i="1"/>
  <c r="E1058" i="1" s="1"/>
  <c r="T1058" i="1"/>
  <c r="Z1058" i="1" s="1"/>
  <c r="M1058" i="1"/>
  <c r="W1057" i="1"/>
  <c r="AA1057" i="1" s="1"/>
  <c r="T1057" i="1"/>
  <c r="Z1057" i="1" s="1"/>
  <c r="G1057" i="1"/>
  <c r="G1056" i="1" s="1"/>
  <c r="G1055" i="1" s="1"/>
  <c r="E1057" i="1"/>
  <c r="T1056" i="1"/>
  <c r="Z1056" i="1" s="1"/>
  <c r="M1056" i="1"/>
  <c r="M1055" i="1" s="1"/>
  <c r="W1055" i="1" s="1"/>
  <c r="K1056" i="1"/>
  <c r="K1055" i="1" s="1"/>
  <c r="J1056" i="1"/>
  <c r="I1056" i="1"/>
  <c r="E1056" i="1"/>
  <c r="E1055" i="1" s="1"/>
  <c r="T1055" i="1"/>
  <c r="Z1055" i="1" s="1"/>
  <c r="I1055" i="1"/>
  <c r="W1054" i="1"/>
  <c r="AA1054" i="1" s="1"/>
  <c r="T1054" i="1"/>
  <c r="Z1054" i="1" s="1"/>
  <c r="G1054" i="1"/>
  <c r="G1053" i="1" s="1"/>
  <c r="G1052" i="1" s="1"/>
  <c r="E1054" i="1"/>
  <c r="E1053" i="1" s="1"/>
  <c r="T1053" i="1"/>
  <c r="Z1053" i="1" s="1"/>
  <c r="S1053" i="1"/>
  <c r="S1052" i="1" s="1"/>
  <c r="Q1053" i="1"/>
  <c r="Q1052" i="1" s="1"/>
  <c r="O1053" i="1"/>
  <c r="O1052" i="1" s="1"/>
  <c r="M1053" i="1"/>
  <c r="K1053" i="1"/>
  <c r="K1052" i="1" s="1"/>
  <c r="J1053" i="1"/>
  <c r="I1053" i="1"/>
  <c r="I1052" i="1" s="1"/>
  <c r="E1052" i="1"/>
  <c r="W1051" i="1"/>
  <c r="X1051" i="1" s="1"/>
  <c r="T1051" i="1"/>
  <c r="Z1051" i="1" s="1"/>
  <c r="G1051" i="1"/>
  <c r="W1050" i="1"/>
  <c r="AA1050" i="1" s="1"/>
  <c r="T1050" i="1"/>
  <c r="U1050" i="1" s="1"/>
  <c r="G1050" i="1"/>
  <c r="G1049" i="1" s="1"/>
  <c r="G1048" i="1" s="1"/>
  <c r="E1050" i="1"/>
  <c r="T1049" i="1"/>
  <c r="Z1049" i="1" s="1"/>
  <c r="S1049" i="1"/>
  <c r="S1048" i="1" s="1"/>
  <c r="Q1049" i="1"/>
  <c r="Q1048" i="1" s="1"/>
  <c r="O1049" i="1"/>
  <c r="O1048" i="1" s="1"/>
  <c r="M1049" i="1"/>
  <c r="K1049" i="1"/>
  <c r="K1048" i="1" s="1"/>
  <c r="J1049" i="1"/>
  <c r="J1048" i="1" s="1"/>
  <c r="J1052" i="1" s="1"/>
  <c r="E1049" i="1"/>
  <c r="E1048" i="1" s="1"/>
  <c r="L1048" i="1"/>
  <c r="AA1047" i="1"/>
  <c r="Z1047" i="1"/>
  <c r="W1046" i="1"/>
  <c r="AA1046" i="1" s="1"/>
  <c r="T1046" i="1"/>
  <c r="U1046" i="1" s="1"/>
  <c r="W1045" i="1"/>
  <c r="X1045" i="1" s="1"/>
  <c r="T1045" i="1"/>
  <c r="Z1045" i="1" s="1"/>
  <c r="T1044" i="1"/>
  <c r="U1044" i="1" s="1"/>
  <c r="S1044" i="1"/>
  <c r="Q1044" i="1"/>
  <c r="O1044" i="1"/>
  <c r="M1044" i="1"/>
  <c r="K1044" i="1"/>
  <c r="I1044" i="1"/>
  <c r="G1044" i="1"/>
  <c r="W1043" i="1"/>
  <c r="AA1043" i="1" s="1"/>
  <c r="T1043" i="1"/>
  <c r="U1043" i="1" s="1"/>
  <c r="W1042" i="1"/>
  <c r="AA1042" i="1" s="1"/>
  <c r="T1042" i="1"/>
  <c r="Z1042" i="1" s="1"/>
  <c r="T1041" i="1"/>
  <c r="U1041" i="1" s="1"/>
  <c r="S1041" i="1"/>
  <c r="Q1041" i="1"/>
  <c r="O1041" i="1"/>
  <c r="M1041" i="1"/>
  <c r="K1041" i="1"/>
  <c r="I1041" i="1"/>
  <c r="G1041" i="1"/>
  <c r="W1040" i="1"/>
  <c r="X1040" i="1" s="1"/>
  <c r="T1040" i="1"/>
  <c r="Z1040" i="1" s="1"/>
  <c r="T1039" i="1"/>
  <c r="U1039" i="1" s="1"/>
  <c r="S1039" i="1"/>
  <c r="Q1039" i="1"/>
  <c r="O1039" i="1"/>
  <c r="M1039" i="1"/>
  <c r="K1039" i="1"/>
  <c r="I1039" i="1"/>
  <c r="G1039" i="1"/>
  <c r="W1038" i="1"/>
  <c r="AA1038" i="1" s="1"/>
  <c r="T1038" i="1"/>
  <c r="Z1038" i="1" s="1"/>
  <c r="W1037" i="1"/>
  <c r="AA1037" i="1" s="1"/>
  <c r="T1037" i="1"/>
  <c r="Z1037" i="1" s="1"/>
  <c r="W1036" i="1"/>
  <c r="X1036" i="1" s="1"/>
  <c r="T1036" i="1"/>
  <c r="Z1036" i="1" s="1"/>
  <c r="W1035" i="1"/>
  <c r="AA1035" i="1" s="1"/>
  <c r="T1035" i="1"/>
  <c r="Z1035" i="1" s="1"/>
  <c r="W1034" i="1"/>
  <c r="AA1034" i="1" s="1"/>
  <c r="T1034" i="1"/>
  <c r="Z1034" i="1" s="1"/>
  <c r="T1033" i="1"/>
  <c r="U1033" i="1" s="1"/>
  <c r="S1033" i="1"/>
  <c r="Q1033" i="1"/>
  <c r="O1033" i="1"/>
  <c r="M1033" i="1"/>
  <c r="K1033" i="1"/>
  <c r="I1033" i="1"/>
  <c r="G1033" i="1"/>
  <c r="E1033" i="1"/>
  <c r="AH1032" i="1"/>
  <c r="W1032" i="1"/>
  <c r="AA1032" i="1" s="1"/>
  <c r="T1032" i="1"/>
  <c r="Z1032" i="1" s="1"/>
  <c r="E1032" i="1"/>
  <c r="AH1031" i="1"/>
  <c r="W1031" i="1"/>
  <c r="X1031" i="1" s="1"/>
  <c r="T1031" i="1"/>
  <c r="Z1031" i="1" s="1"/>
  <c r="E1031" i="1"/>
  <c r="AH1030" i="1"/>
  <c r="W1030" i="1"/>
  <c r="AA1030" i="1" s="1"/>
  <c r="T1030" i="1"/>
  <c r="Z1030" i="1" s="1"/>
  <c r="E1030" i="1"/>
  <c r="W1029" i="1"/>
  <c r="X1029" i="1" s="1"/>
  <c r="T1029" i="1"/>
  <c r="Z1029" i="1" s="1"/>
  <c r="E1029" i="1"/>
  <c r="S1028" i="1"/>
  <c r="Q1028" i="1"/>
  <c r="P1028" i="1"/>
  <c r="O1028" i="1"/>
  <c r="N1028" i="1"/>
  <c r="M1028" i="1"/>
  <c r="L1028" i="1"/>
  <c r="K1028" i="1"/>
  <c r="J1028" i="1"/>
  <c r="I1028" i="1"/>
  <c r="G1028" i="1"/>
  <c r="AA1027" i="1"/>
  <c r="Z1027" i="1"/>
  <c r="E1027" i="1"/>
  <c r="W1026" i="1"/>
  <c r="X1026" i="1" s="1"/>
  <c r="T1026" i="1"/>
  <c r="Z1026" i="1" s="1"/>
  <c r="E1026" i="1"/>
  <c r="S1025" i="1"/>
  <c r="Q1025" i="1"/>
  <c r="P1025" i="1"/>
  <c r="O1025" i="1"/>
  <c r="N1025" i="1"/>
  <c r="M1025" i="1"/>
  <c r="L1025" i="1"/>
  <c r="K1025" i="1"/>
  <c r="J1025" i="1"/>
  <c r="I1025" i="1"/>
  <c r="G1025" i="1"/>
  <c r="T1024" i="1"/>
  <c r="U1024" i="1" s="1"/>
  <c r="T1838" i="1"/>
  <c r="U1838" i="1" s="1"/>
  <c r="M1838" i="1"/>
  <c r="S1838" i="1" s="1"/>
  <c r="E1838" i="1"/>
  <c r="T1837" i="1"/>
  <c r="U1837" i="1" s="1"/>
  <c r="S1837" i="1"/>
  <c r="W1837" i="1" s="1"/>
  <c r="X1837" i="1" s="1"/>
  <c r="E1837" i="1"/>
  <c r="T1836" i="1"/>
  <c r="U1836" i="1" s="1"/>
  <c r="S1836" i="1"/>
  <c r="W1836" i="1" s="1"/>
  <c r="X1836" i="1" s="1"/>
  <c r="E1836" i="1"/>
  <c r="T1835" i="1"/>
  <c r="U1835" i="1" s="1"/>
  <c r="M1835" i="1"/>
  <c r="S1835" i="1" s="1"/>
  <c r="E1835" i="1"/>
  <c r="T1834" i="1"/>
  <c r="U1834" i="1" s="1"/>
  <c r="Q1834" i="1"/>
  <c r="O1834" i="1"/>
  <c r="K1834" i="1"/>
  <c r="I1834" i="1"/>
  <c r="G1834" i="1"/>
  <c r="W1833" i="1"/>
  <c r="X1833" i="1" s="1"/>
  <c r="T1833" i="1"/>
  <c r="U1833" i="1" s="1"/>
  <c r="E1833" i="1"/>
  <c r="T1832" i="1"/>
  <c r="U1832" i="1" s="1"/>
  <c r="S1832" i="1"/>
  <c r="M1832" i="1"/>
  <c r="K1832" i="1"/>
  <c r="I1832" i="1"/>
  <c r="G1832" i="1"/>
  <c r="T1831" i="1"/>
  <c r="U1831" i="1" s="1"/>
  <c r="S1831" i="1"/>
  <c r="W1831" i="1" s="1"/>
  <c r="X1831" i="1" s="1"/>
  <c r="E1831" i="1"/>
  <c r="T1830" i="1"/>
  <c r="U1830" i="1" s="1"/>
  <c r="S1830" i="1"/>
  <c r="W1830" i="1" s="1"/>
  <c r="X1830" i="1" s="1"/>
  <c r="E1830" i="1"/>
  <c r="W1829" i="1"/>
  <c r="X1829" i="1" s="1"/>
  <c r="T1829" i="1"/>
  <c r="U1829" i="1" s="1"/>
  <c r="E1829" i="1"/>
  <c r="T1828" i="1"/>
  <c r="U1828" i="1" s="1"/>
  <c r="Q1828" i="1"/>
  <c r="O1828" i="1"/>
  <c r="M1828" i="1"/>
  <c r="K1828" i="1"/>
  <c r="I1828" i="1"/>
  <c r="G1828" i="1"/>
  <c r="T1827" i="1"/>
  <c r="U1827" i="1" s="1"/>
  <c r="S1827" i="1"/>
  <c r="W1827" i="1" s="1"/>
  <c r="X1827" i="1" s="1"/>
  <c r="E1827" i="1"/>
  <c r="T1826" i="1"/>
  <c r="U1826" i="1" s="1"/>
  <c r="S1826" i="1"/>
  <c r="W1826" i="1" s="1"/>
  <c r="X1826" i="1" s="1"/>
  <c r="E1826" i="1"/>
  <c r="T1825" i="1"/>
  <c r="U1825" i="1" s="1"/>
  <c r="S1825" i="1"/>
  <c r="W1825" i="1" s="1"/>
  <c r="X1825" i="1" s="1"/>
  <c r="E1825" i="1"/>
  <c r="T1824" i="1"/>
  <c r="U1824" i="1" s="1"/>
  <c r="M1824" i="1"/>
  <c r="E1824" i="1"/>
  <c r="T1823" i="1"/>
  <c r="U1823" i="1" s="1"/>
  <c r="M1823" i="1"/>
  <c r="S1823" i="1" s="1"/>
  <c r="E1823" i="1"/>
  <c r="T1822" i="1"/>
  <c r="U1822" i="1" s="1"/>
  <c r="Q1822" i="1"/>
  <c r="O1822" i="1"/>
  <c r="K1822" i="1"/>
  <c r="I1822" i="1"/>
  <c r="G1822" i="1"/>
  <c r="T1821" i="1"/>
  <c r="U1821" i="1" s="1"/>
  <c r="S1821" i="1"/>
  <c r="W1821" i="1" s="1"/>
  <c r="X1821" i="1" s="1"/>
  <c r="E1821" i="1"/>
  <c r="T1820" i="1"/>
  <c r="U1820" i="1" s="1"/>
  <c r="S1820" i="1"/>
  <c r="W1820" i="1" s="1"/>
  <c r="X1820" i="1" s="1"/>
  <c r="W1819" i="1"/>
  <c r="T1819" i="1"/>
  <c r="U1819" i="1" s="1"/>
  <c r="T1818" i="1"/>
  <c r="U1818" i="1" s="1"/>
  <c r="S1818" i="1"/>
  <c r="W1818" i="1" s="1"/>
  <c r="X1818" i="1" s="1"/>
  <c r="E1818" i="1"/>
  <c r="T1817" i="1"/>
  <c r="U1817" i="1" s="1"/>
  <c r="S1817" i="1"/>
  <c r="W1817" i="1" s="1"/>
  <c r="X1817" i="1" s="1"/>
  <c r="E1817" i="1"/>
  <c r="T1816" i="1"/>
  <c r="U1816" i="1" s="1"/>
  <c r="S1816" i="1"/>
  <c r="W1816" i="1" s="1"/>
  <c r="X1816" i="1" s="1"/>
  <c r="E1816" i="1"/>
  <c r="T1815" i="1"/>
  <c r="U1815" i="1" s="1"/>
  <c r="S1815" i="1"/>
  <c r="W1815" i="1" s="1"/>
  <c r="X1815" i="1" s="1"/>
  <c r="E1815" i="1"/>
  <c r="T1814" i="1"/>
  <c r="U1814" i="1" s="1"/>
  <c r="S1814" i="1"/>
  <c r="W1814" i="1" s="1"/>
  <c r="X1814" i="1" s="1"/>
  <c r="E1814" i="1"/>
  <c r="T1813" i="1"/>
  <c r="U1813" i="1" s="1"/>
  <c r="Q1813" i="1"/>
  <c r="O1813" i="1"/>
  <c r="M1813" i="1"/>
  <c r="K1813" i="1"/>
  <c r="I1813" i="1"/>
  <c r="G1813" i="1"/>
  <c r="T1812" i="1"/>
  <c r="U1812" i="1" s="1"/>
  <c r="S1812" i="1"/>
  <c r="W1812" i="1" s="1"/>
  <c r="X1812" i="1" s="1"/>
  <c r="E1812" i="1"/>
  <c r="W1811" i="1"/>
  <c r="X1811" i="1" s="1"/>
  <c r="T1811" i="1"/>
  <c r="U1811" i="1" s="1"/>
  <c r="E1811" i="1"/>
  <c r="T1810" i="1"/>
  <c r="U1810" i="1" s="1"/>
  <c r="S1810" i="1"/>
  <c r="W1810" i="1" s="1"/>
  <c r="X1810" i="1" s="1"/>
  <c r="E1810" i="1"/>
  <c r="T1809" i="1"/>
  <c r="U1809" i="1" s="1"/>
  <c r="S1809" i="1"/>
  <c r="W1809" i="1" s="1"/>
  <c r="X1809" i="1" s="1"/>
  <c r="E1809" i="1"/>
  <c r="T1808" i="1"/>
  <c r="U1808" i="1" s="1"/>
  <c r="S1808" i="1"/>
  <c r="W1808" i="1" s="1"/>
  <c r="X1808" i="1" s="1"/>
  <c r="E1808" i="1"/>
  <c r="T1807" i="1"/>
  <c r="U1807" i="1" s="1"/>
  <c r="S1807" i="1"/>
  <c r="E1807" i="1"/>
  <c r="T1806" i="1"/>
  <c r="U1806" i="1" s="1"/>
  <c r="Q1806" i="1"/>
  <c r="M1806" i="1"/>
  <c r="K1806" i="1"/>
  <c r="I1806" i="1"/>
  <c r="G1806" i="1"/>
  <c r="T1805" i="1"/>
  <c r="U1805" i="1" s="1"/>
  <c r="S1805" i="1"/>
  <c r="W1805" i="1" s="1"/>
  <c r="X1805" i="1" s="1"/>
  <c r="E1805" i="1"/>
  <c r="T1804" i="1"/>
  <c r="U1804" i="1" s="1"/>
  <c r="S1804" i="1"/>
  <c r="W1804" i="1" s="1"/>
  <c r="X1804" i="1" s="1"/>
  <c r="E1804" i="1"/>
  <c r="T1803" i="1"/>
  <c r="U1803" i="1" s="1"/>
  <c r="S1803" i="1"/>
  <c r="W1803" i="1" s="1"/>
  <c r="X1803" i="1" s="1"/>
  <c r="E1803" i="1"/>
  <c r="T1802" i="1"/>
  <c r="U1802" i="1" s="1"/>
  <c r="S1802" i="1"/>
  <c r="W1802" i="1" s="1"/>
  <c r="X1802" i="1" s="1"/>
  <c r="T1801" i="1"/>
  <c r="U1801" i="1" s="1"/>
  <c r="Q1801" i="1"/>
  <c r="O1801" i="1"/>
  <c r="M1801" i="1"/>
  <c r="K1801" i="1"/>
  <c r="I1801" i="1"/>
  <c r="G1801" i="1"/>
  <c r="T1800" i="1"/>
  <c r="U1800" i="1" s="1"/>
  <c r="T1799" i="1"/>
  <c r="U1799" i="1" s="1"/>
  <c r="S1799" i="1"/>
  <c r="W1799" i="1" s="1"/>
  <c r="X1799" i="1" s="1"/>
  <c r="E1799" i="1"/>
  <c r="T1798" i="1"/>
  <c r="U1798" i="1" s="1"/>
  <c r="S1798" i="1"/>
  <c r="W1798" i="1" s="1"/>
  <c r="X1798" i="1" s="1"/>
  <c r="E1798" i="1"/>
  <c r="T1797" i="1"/>
  <c r="U1797" i="1" s="1"/>
  <c r="M1797" i="1"/>
  <c r="E1797" i="1"/>
  <c r="T1796" i="1"/>
  <c r="U1796" i="1" s="1"/>
  <c r="M1796" i="1"/>
  <c r="E1796" i="1"/>
  <c r="T1795" i="1"/>
  <c r="U1795" i="1" s="1"/>
  <c r="Q1795" i="1"/>
  <c r="O1795" i="1"/>
  <c r="K1795" i="1"/>
  <c r="I1795" i="1"/>
  <c r="G1795" i="1"/>
  <c r="T1794" i="1"/>
  <c r="U1794" i="1" s="1"/>
  <c r="S1794" i="1"/>
  <c r="W1794" i="1" s="1"/>
  <c r="X1794" i="1" s="1"/>
  <c r="E1794" i="1"/>
  <c r="T1793" i="1"/>
  <c r="U1793" i="1" s="1"/>
  <c r="S1793" i="1"/>
  <c r="W1793" i="1" s="1"/>
  <c r="X1793" i="1" s="1"/>
  <c r="E1793" i="1"/>
  <c r="T1792" i="1"/>
  <c r="U1792" i="1" s="1"/>
  <c r="M1792" i="1"/>
  <c r="S1792" i="1" s="1"/>
  <c r="E1792" i="1"/>
  <c r="T1791" i="1"/>
  <c r="U1791" i="1" s="1"/>
  <c r="Q1791" i="1"/>
  <c r="O1791" i="1"/>
  <c r="K1791" i="1"/>
  <c r="I1791" i="1"/>
  <c r="G1791" i="1"/>
  <c r="T1790" i="1"/>
  <c r="U1790" i="1" s="1"/>
  <c r="S1790" i="1"/>
  <c r="W1790" i="1" s="1"/>
  <c r="X1790" i="1" s="1"/>
  <c r="E1790" i="1"/>
  <c r="U1789" i="1"/>
  <c r="S1789" i="1"/>
  <c r="W1789" i="1" s="1"/>
  <c r="X1789" i="1" s="1"/>
  <c r="E1789" i="1"/>
  <c r="T1788" i="1"/>
  <c r="U1788" i="1" s="1"/>
  <c r="S1788" i="1"/>
  <c r="W1788" i="1" s="1"/>
  <c r="X1788" i="1" s="1"/>
  <c r="T1787" i="1"/>
  <c r="U1787" i="1" s="1"/>
  <c r="Q1787" i="1"/>
  <c r="O1787" i="1"/>
  <c r="K1787" i="1"/>
  <c r="I1787" i="1"/>
  <c r="G1787" i="1"/>
  <c r="T1786" i="1"/>
  <c r="U1786" i="1" s="1"/>
  <c r="M1786" i="1"/>
  <c r="S1786" i="1" s="1"/>
  <c r="E1786" i="1"/>
  <c r="T1785" i="1"/>
  <c r="U1785" i="1" s="1"/>
  <c r="S1785" i="1"/>
  <c r="W1785" i="1" s="1"/>
  <c r="X1785" i="1" s="1"/>
  <c r="E1785" i="1"/>
  <c r="W1784" i="1"/>
  <c r="X1784" i="1" s="1"/>
  <c r="T1784" i="1"/>
  <c r="U1784" i="1" s="1"/>
  <c r="E1784" i="1"/>
  <c r="T1783" i="1"/>
  <c r="U1783" i="1" s="1"/>
  <c r="Q1783" i="1"/>
  <c r="O1783" i="1"/>
  <c r="K1783" i="1"/>
  <c r="I1783" i="1"/>
  <c r="G1783" i="1"/>
  <c r="T1782" i="1"/>
  <c r="U1782" i="1" s="1"/>
  <c r="S1782" i="1"/>
  <c r="W1782" i="1" s="1"/>
  <c r="X1782" i="1" s="1"/>
  <c r="T1781" i="1"/>
  <c r="U1781" i="1" s="1"/>
  <c r="M1781" i="1"/>
  <c r="K1781" i="1"/>
  <c r="I1781" i="1"/>
  <c r="G1781" i="1"/>
  <c r="T1780" i="1"/>
  <c r="U1780" i="1" s="1"/>
  <c r="S1780" i="1"/>
  <c r="W1780" i="1" s="1"/>
  <c r="X1780" i="1" s="1"/>
  <c r="E1780" i="1"/>
  <c r="T1779" i="1"/>
  <c r="U1779" i="1" s="1"/>
  <c r="S1779" i="1"/>
  <c r="W1779" i="1" s="1"/>
  <c r="X1779" i="1" s="1"/>
  <c r="E1779" i="1"/>
  <c r="T1778" i="1"/>
  <c r="U1778" i="1" s="1"/>
  <c r="S1778" i="1"/>
  <c r="W1778" i="1" s="1"/>
  <c r="X1778" i="1" s="1"/>
  <c r="E1778" i="1"/>
  <c r="T1777" i="1"/>
  <c r="U1777" i="1" s="1"/>
  <c r="S1777" i="1"/>
  <c r="W1777" i="1" s="1"/>
  <c r="E1777" i="1"/>
  <c r="T1776" i="1"/>
  <c r="U1776" i="1" s="1"/>
  <c r="Q1776" i="1"/>
  <c r="O1776" i="1"/>
  <c r="M1776" i="1"/>
  <c r="K1776" i="1"/>
  <c r="I1776" i="1"/>
  <c r="G1776" i="1"/>
  <c r="W1775" i="1"/>
  <c r="X1775" i="1" s="1"/>
  <c r="T1775" i="1"/>
  <c r="U1775" i="1" s="1"/>
  <c r="E1775" i="1"/>
  <c r="W1774" i="1"/>
  <c r="X1774" i="1" s="1"/>
  <c r="U1774" i="1"/>
  <c r="E1774" i="1"/>
  <c r="W1773" i="1"/>
  <c r="X1773" i="1" s="1"/>
  <c r="T1773" i="1"/>
  <c r="U1773" i="1" s="1"/>
  <c r="E1773" i="1"/>
  <c r="T1772" i="1"/>
  <c r="U1772" i="1" s="1"/>
  <c r="M1772" i="1"/>
  <c r="W1772" i="1" s="1"/>
  <c r="E1772" i="1"/>
  <c r="T1771" i="1"/>
  <c r="U1771" i="1" s="1"/>
  <c r="S1771" i="1"/>
  <c r="Q1771" i="1"/>
  <c r="O1771" i="1"/>
  <c r="K1771" i="1"/>
  <c r="I1771" i="1"/>
  <c r="G1771" i="1"/>
  <c r="T1770" i="1"/>
  <c r="U1770" i="1" s="1"/>
  <c r="M1770" i="1"/>
  <c r="S1770" i="1" s="1"/>
  <c r="S1768" i="1" s="1"/>
  <c r="W1769" i="1"/>
  <c r="X1769" i="1" s="1"/>
  <c r="T1769" i="1"/>
  <c r="U1769" i="1" s="1"/>
  <c r="T1768" i="1"/>
  <c r="U1768" i="1" s="1"/>
  <c r="Q1768" i="1"/>
  <c r="O1768" i="1"/>
  <c r="K1768" i="1"/>
  <c r="I1768" i="1"/>
  <c r="G1768" i="1"/>
  <c r="W1767" i="1"/>
  <c r="X1767" i="1" s="1"/>
  <c r="T1767" i="1"/>
  <c r="U1767" i="1" s="1"/>
  <c r="I1767" i="1"/>
  <c r="G1767" i="1"/>
  <c r="T1766" i="1"/>
  <c r="U1766" i="1" s="1"/>
  <c r="W2148" i="1"/>
  <c r="AA2148" i="1" s="1"/>
  <c r="T2148" i="1"/>
  <c r="U2148" i="1" s="1"/>
  <c r="W2147" i="1"/>
  <c r="X2147" i="1" s="1"/>
  <c r="T2147" i="1"/>
  <c r="Z2147" i="1" s="1"/>
  <c r="S2146" i="1"/>
  <c r="R2146" i="1"/>
  <c r="L2146" i="1"/>
  <c r="K2146" i="1"/>
  <c r="K2145" i="1" s="1"/>
  <c r="J2146" i="1"/>
  <c r="J2145" i="1" s="1"/>
  <c r="I2146" i="1"/>
  <c r="H2146" i="1"/>
  <c r="H2145" i="1" s="1"/>
  <c r="G2146" i="1"/>
  <c r="G2145" i="1" s="1"/>
  <c r="E2146" i="1"/>
  <c r="E2145" i="1" s="1"/>
  <c r="AA2144" i="1"/>
  <c r="Z2144" i="1"/>
  <c r="W2143" i="1"/>
  <c r="X2143" i="1" s="1"/>
  <c r="T2143" i="1"/>
  <c r="Z2143" i="1" s="1"/>
  <c r="S2142" i="1"/>
  <c r="W2142" i="1" s="1"/>
  <c r="R2142" i="1"/>
  <c r="L2142" i="1"/>
  <c r="K2142" i="1"/>
  <c r="K2141" i="1" s="1"/>
  <c r="J2142" i="1"/>
  <c r="I2142" i="1"/>
  <c r="I2141" i="1" s="1"/>
  <c r="H2142" i="1"/>
  <c r="G2142" i="1"/>
  <c r="G2141" i="1" s="1"/>
  <c r="E2142" i="1"/>
  <c r="T2141" i="1"/>
  <c r="U2141" i="1" s="1"/>
  <c r="W2140" i="1"/>
  <c r="T2140" i="1"/>
  <c r="Z2140" i="1" s="1"/>
  <c r="T2139" i="1"/>
  <c r="U2139" i="1" s="1"/>
  <c r="S2139" i="1"/>
  <c r="W2139" i="1" s="1"/>
  <c r="K2139" i="1"/>
  <c r="K2138" i="1" s="1"/>
  <c r="I2139" i="1"/>
  <c r="T2138" i="1"/>
  <c r="U2138" i="1" s="1"/>
  <c r="W2137" i="1"/>
  <c r="X2137" i="1" s="1"/>
  <c r="T2137" i="1"/>
  <c r="U2137" i="1" s="1"/>
  <c r="W2136" i="1"/>
  <c r="AA2136" i="1" s="1"/>
  <c r="T2136" i="1"/>
  <c r="Z2136" i="1" s="1"/>
  <c r="T2135" i="1"/>
  <c r="U2135" i="1" s="1"/>
  <c r="S2135" i="1"/>
  <c r="W2135" i="1" s="1"/>
  <c r="K2135" i="1"/>
  <c r="K2134" i="1" s="1"/>
  <c r="I2135" i="1"/>
  <c r="I2134" i="1" s="1"/>
  <c r="T2134" i="1"/>
  <c r="Z2134" i="1" s="1"/>
  <c r="AA2133" i="1"/>
  <c r="Z2133" i="1"/>
  <c r="AA2132" i="1"/>
  <c r="Z2132" i="1"/>
  <c r="Z2131" i="1"/>
  <c r="I2131" i="1"/>
  <c r="AA2131" i="1" s="1"/>
  <c r="Z2130" i="1"/>
  <c r="AA2129" i="1"/>
  <c r="Z2129" i="1"/>
  <c r="W2128" i="1"/>
  <c r="AA2128" i="1" s="1"/>
  <c r="T2128" i="1"/>
  <c r="Z2128" i="1" s="1"/>
  <c r="E2128" i="1"/>
  <c r="T2127" i="1"/>
  <c r="Z2127" i="1" s="1"/>
  <c r="S2127" i="1"/>
  <c r="W2127" i="1" s="1"/>
  <c r="K2127" i="1"/>
  <c r="I2127" i="1"/>
  <c r="W2126" i="1"/>
  <c r="AA2126" i="1" s="1"/>
  <c r="T2126" i="1"/>
  <c r="Z2126" i="1" s="1"/>
  <c r="E2126" i="1"/>
  <c r="W2125" i="1"/>
  <c r="T2125" i="1"/>
  <c r="E2125" i="1"/>
  <c r="W2124" i="1"/>
  <c r="X2124" i="1" s="1"/>
  <c r="T2124" i="1"/>
  <c r="U2124" i="1" s="1"/>
  <c r="E2124" i="1"/>
  <c r="T2123" i="1"/>
  <c r="U2123" i="1" s="1"/>
  <c r="S2123" i="1"/>
  <c r="W2123" i="1" s="1"/>
  <c r="K2123" i="1"/>
  <c r="I2123" i="1"/>
  <c r="AA2122" i="1"/>
  <c r="Z2122" i="1"/>
  <c r="E2122" i="1"/>
  <c r="Z2121" i="1"/>
  <c r="I2121" i="1"/>
  <c r="AA2121" i="1" s="1"/>
  <c r="W2120" i="1"/>
  <c r="AA2120" i="1" s="1"/>
  <c r="T2120" i="1"/>
  <c r="E2120" i="1"/>
  <c r="W2119" i="1"/>
  <c r="X2119" i="1" s="1"/>
  <c r="T2119" i="1"/>
  <c r="Z2119" i="1" s="1"/>
  <c r="E2119" i="1"/>
  <c r="W2118" i="1"/>
  <c r="AA2118" i="1" s="1"/>
  <c r="T2118" i="1"/>
  <c r="U2118" i="1" s="1"/>
  <c r="E2118" i="1"/>
  <c r="W2117" i="1"/>
  <c r="AA2117" i="1" s="1"/>
  <c r="T2117" i="1"/>
  <c r="U2117" i="1" s="1"/>
  <c r="E2117" i="1"/>
  <c r="W2116" i="1"/>
  <c r="AA2116" i="1" s="1"/>
  <c r="T2116" i="1"/>
  <c r="E2116" i="1"/>
  <c r="T2115" i="1"/>
  <c r="S2115" i="1"/>
  <c r="W2115" i="1" s="1"/>
  <c r="K2115" i="1"/>
  <c r="I2115" i="1"/>
  <c r="E2115" i="1"/>
  <c r="AH2041" i="1"/>
  <c r="W2114" i="1"/>
  <c r="T2114" i="1"/>
  <c r="U2114" i="1" s="1"/>
  <c r="E2114" i="1"/>
  <c r="AH2040" i="1"/>
  <c r="W2113" i="1"/>
  <c r="T2113" i="1"/>
  <c r="U2113" i="1" s="1"/>
  <c r="E2113" i="1"/>
  <c r="AH2039" i="1"/>
  <c r="W2112" i="1"/>
  <c r="X2112" i="1" s="1"/>
  <c r="T2112" i="1"/>
  <c r="U2112" i="1" s="1"/>
  <c r="E2112" i="1"/>
  <c r="AH2038" i="1"/>
  <c r="W2111" i="1"/>
  <c r="T2111" i="1"/>
  <c r="U2111" i="1" s="1"/>
  <c r="S2110" i="1"/>
  <c r="AH2037" i="1" s="1"/>
  <c r="R2110" i="1"/>
  <c r="L2110" i="1"/>
  <c r="K2110" i="1"/>
  <c r="J2110" i="1"/>
  <c r="I2110" i="1"/>
  <c r="H2110" i="1"/>
  <c r="W2109" i="1"/>
  <c r="AA2109" i="1" s="1"/>
  <c r="T2109" i="1"/>
  <c r="Z2109" i="1" s="1"/>
  <c r="E2109" i="1"/>
  <c r="W2108" i="1"/>
  <c r="AA2108" i="1" s="1"/>
  <c r="T2108" i="1"/>
  <c r="U2108" i="1" s="1"/>
  <c r="E2108" i="1"/>
  <c r="S2107" i="1"/>
  <c r="W2107" i="1" s="1"/>
  <c r="R2107" i="1"/>
  <c r="L2107" i="1"/>
  <c r="K2107" i="1"/>
  <c r="J2107" i="1"/>
  <c r="I2107" i="1"/>
  <c r="H2107" i="1"/>
  <c r="T2106" i="1"/>
  <c r="Z2106" i="1" s="1"/>
  <c r="U1049" i="1" l="1"/>
  <c r="E1025" i="1"/>
  <c r="X1038" i="1"/>
  <c r="AA1040" i="1"/>
  <c r="Q1024" i="1"/>
  <c r="U1057" i="1"/>
  <c r="O1766" i="1"/>
  <c r="K2106" i="1"/>
  <c r="S1783" i="1"/>
  <c r="U1029" i="1"/>
  <c r="U1036" i="1"/>
  <c r="U1056" i="1"/>
  <c r="U1068" i="1"/>
  <c r="O1024" i="1"/>
  <c r="W1062" i="1"/>
  <c r="AA1062" i="1" s="1"/>
  <c r="G1024" i="1"/>
  <c r="W1041" i="1"/>
  <c r="X1041" i="1" s="1"/>
  <c r="W1053" i="1"/>
  <c r="X1053" i="1" s="1"/>
  <c r="U1061" i="1"/>
  <c r="U1062" i="1"/>
  <c r="U1065" i="1"/>
  <c r="X2115" i="1"/>
  <c r="X2123" i="1"/>
  <c r="S1806" i="1"/>
  <c r="U1026" i="1"/>
  <c r="E1028" i="1"/>
  <c r="U1035" i="1"/>
  <c r="X1046" i="1"/>
  <c r="K1024" i="1"/>
  <c r="X1030" i="1"/>
  <c r="U1031" i="1"/>
  <c r="I1024" i="1"/>
  <c r="X1037" i="1"/>
  <c r="W1039" i="1"/>
  <c r="X1039" i="1" s="1"/>
  <c r="U1045" i="1"/>
  <c r="AA1060" i="1"/>
  <c r="K1766" i="1"/>
  <c r="M1771" i="1"/>
  <c r="S1024" i="1"/>
  <c r="X1032" i="1"/>
  <c r="U1034" i="1"/>
  <c r="AA1036" i="1"/>
  <c r="U1042" i="1"/>
  <c r="X1043" i="1"/>
  <c r="M1052" i="1"/>
  <c r="W1052" i="1" s="1"/>
  <c r="W1056" i="1"/>
  <c r="AA1056" i="1" s="1"/>
  <c r="U1067" i="1"/>
  <c r="W1073" i="1"/>
  <c r="X1073" i="1" s="1"/>
  <c r="U1058" i="1"/>
  <c r="M1783" i="1"/>
  <c r="S1813" i="1"/>
  <c r="W1832" i="1"/>
  <c r="X1832" i="1" s="1"/>
  <c r="U1030" i="1"/>
  <c r="AA1031" i="1"/>
  <c r="U1032" i="1"/>
  <c r="X1034" i="1"/>
  <c r="U1037" i="1"/>
  <c r="U1038" i="1"/>
  <c r="Z1041" i="1"/>
  <c r="Z1044" i="1"/>
  <c r="X1050" i="1"/>
  <c r="U1051" i="1"/>
  <c r="U1060" i="1"/>
  <c r="U1063" i="1"/>
  <c r="X1066" i="1"/>
  <c r="U1069" i="1"/>
  <c r="S2138" i="1"/>
  <c r="W2138" i="1" s="1"/>
  <c r="X2138" i="1" s="1"/>
  <c r="G1766" i="1"/>
  <c r="I1766" i="1"/>
  <c r="Q1766" i="1"/>
  <c r="S1781" i="1"/>
  <c r="W1781" i="1" s="1"/>
  <c r="X1781" i="1" s="1"/>
  <c r="M1791" i="1"/>
  <c r="S1834" i="1"/>
  <c r="T1025" i="1"/>
  <c r="U1025" i="1" s="1"/>
  <c r="AA1026" i="1"/>
  <c r="T1028" i="1"/>
  <c r="U1028" i="1" s="1"/>
  <c r="AA1029" i="1"/>
  <c r="X1035" i="1"/>
  <c r="U1040" i="1"/>
  <c r="AA1053" i="1"/>
  <c r="U1054" i="1"/>
  <c r="J1055" i="1"/>
  <c r="U1055" i="1" s="1"/>
  <c r="Q1061" i="1"/>
  <c r="W1061" i="1" s="1"/>
  <c r="Z1075" i="1"/>
  <c r="G1800" i="1"/>
  <c r="M1822" i="1"/>
  <c r="AA1051" i="1"/>
  <c r="U1053" i="1"/>
  <c r="W1072" i="1"/>
  <c r="X1072" i="1" s="1"/>
  <c r="X1772" i="1"/>
  <c r="W1771" i="1"/>
  <c r="X1771" i="1" s="1"/>
  <c r="Z1025" i="1"/>
  <c r="AA1055" i="1"/>
  <c r="X1055" i="1"/>
  <c r="U1059" i="1"/>
  <c r="Z1059" i="1"/>
  <c r="W1069" i="1"/>
  <c r="X1069" i="1" s="1"/>
  <c r="U1070" i="1"/>
  <c r="Z1070" i="1"/>
  <c r="Z1024" i="1"/>
  <c r="W1025" i="1"/>
  <c r="AA1041" i="1"/>
  <c r="X1042" i="1"/>
  <c r="AA1045" i="1"/>
  <c r="Z1046" i="1"/>
  <c r="X1056" i="1"/>
  <c r="I1058" i="1"/>
  <c r="W1059" i="1"/>
  <c r="X1059" i="1" s="1"/>
  <c r="X1063" i="1"/>
  <c r="W1065" i="1"/>
  <c r="X1065" i="1" s="1"/>
  <c r="M1064" i="1"/>
  <c r="W1064" i="1" s="1"/>
  <c r="X1064" i="1" s="1"/>
  <c r="Z1066" i="1"/>
  <c r="AA1067" i="1"/>
  <c r="AA1070" i="1"/>
  <c r="W1070" i="1"/>
  <c r="X1070" i="1" s="1"/>
  <c r="W1835" i="1"/>
  <c r="X1835" i="1" s="1"/>
  <c r="M1834" i="1"/>
  <c r="W1049" i="1"/>
  <c r="M1048" i="1"/>
  <c r="W1048" i="1" s="1"/>
  <c r="U2143" i="1"/>
  <c r="S1801" i="1"/>
  <c r="W1807" i="1"/>
  <c r="X1807" i="1" s="1"/>
  <c r="Z1033" i="1"/>
  <c r="AA1039" i="1"/>
  <c r="Z1039" i="1"/>
  <c r="Z1043" i="1"/>
  <c r="Z1050" i="1"/>
  <c r="I1072" i="1"/>
  <c r="AA1074" i="1"/>
  <c r="X1074" i="1"/>
  <c r="AH1033" i="1"/>
  <c r="W1033" i="1"/>
  <c r="X1033" i="1" s="1"/>
  <c r="W1058" i="1"/>
  <c r="X1058" i="1" s="1"/>
  <c r="AA1064" i="1"/>
  <c r="AA2137" i="1"/>
  <c r="T2107" i="1"/>
  <c r="Z2107" i="1" s="1"/>
  <c r="U2127" i="1"/>
  <c r="S1791" i="1"/>
  <c r="S1797" i="1"/>
  <c r="W1797" i="1" s="1"/>
  <c r="X1797" i="1" s="1"/>
  <c r="W1813" i="1"/>
  <c r="X1813" i="1" s="1"/>
  <c r="M1024" i="1"/>
  <c r="W1028" i="1"/>
  <c r="W1044" i="1"/>
  <c r="X1044" i="1" s="1"/>
  <c r="L1052" i="1"/>
  <c r="T1052" i="1" s="1"/>
  <c r="Z1052" i="1" s="1"/>
  <c r="U1052" i="1" s="1"/>
  <c r="T1048" i="1"/>
  <c r="Z1048" i="1" s="1"/>
  <c r="U1048" i="1" s="1"/>
  <c r="X1054" i="1"/>
  <c r="X1057" i="1"/>
  <c r="Z1065" i="1"/>
  <c r="AA1068" i="1"/>
  <c r="X1071" i="1"/>
  <c r="AA1076" i="1"/>
  <c r="X1076" i="1"/>
  <c r="AA1075" i="1"/>
  <c r="I1800" i="1"/>
  <c r="Q1800" i="1"/>
  <c r="S1828" i="1"/>
  <c r="W1828" i="1" s="1"/>
  <c r="X1828" i="1" s="1"/>
  <c r="Z1071" i="1"/>
  <c r="Z1073" i="1"/>
  <c r="Z1074" i="1"/>
  <c r="Z1076" i="1"/>
  <c r="X2139" i="1"/>
  <c r="AA2119" i="1"/>
  <c r="AA2124" i="1"/>
  <c r="M1768" i="1"/>
  <c r="W1770" i="1"/>
  <c r="X1770" i="1" s="1"/>
  <c r="K1800" i="1"/>
  <c r="M1795" i="1"/>
  <c r="S1796" i="1"/>
  <c r="W1796" i="1" s="1"/>
  <c r="T2110" i="1"/>
  <c r="Z2110" i="1" s="1"/>
  <c r="AA2112" i="1"/>
  <c r="X2114" i="1"/>
  <c r="AA2114" i="1"/>
  <c r="W1776" i="1"/>
  <c r="X1776" i="1" s="1"/>
  <c r="X1777" i="1"/>
  <c r="S1776" i="1"/>
  <c r="S1787" i="1"/>
  <c r="W1787" i="1" s="1"/>
  <c r="X1787" i="1" s="1"/>
  <c r="O1800" i="1"/>
  <c r="W1801" i="1"/>
  <c r="AA2123" i="1"/>
  <c r="W1786" i="1"/>
  <c r="X1786" i="1" s="1"/>
  <c r="W1792" i="1"/>
  <c r="W1823" i="1"/>
  <c r="X1823" i="1" s="1"/>
  <c r="S1824" i="1"/>
  <c r="S1822" i="1" s="1"/>
  <c r="W1838" i="1"/>
  <c r="X1838" i="1" s="1"/>
  <c r="U2106" i="1"/>
  <c r="X2108" i="1"/>
  <c r="X2117" i="1"/>
  <c r="X2118" i="1"/>
  <c r="U2119" i="1"/>
  <c r="U2126" i="1"/>
  <c r="X2127" i="1"/>
  <c r="AA2143" i="1"/>
  <c r="E2110" i="1"/>
  <c r="U2134" i="1"/>
  <c r="T2142" i="1"/>
  <c r="U2142" i="1" s="1"/>
  <c r="U2128" i="1"/>
  <c r="U2136" i="1"/>
  <c r="AA2147" i="1"/>
  <c r="AA2107" i="1"/>
  <c r="I2106" i="1"/>
  <c r="Z2115" i="1"/>
  <c r="U2115" i="1"/>
  <c r="AA2139" i="1"/>
  <c r="I2138" i="1"/>
  <c r="X2113" i="1"/>
  <c r="AA2113" i="1"/>
  <c r="X2125" i="1"/>
  <c r="AA2125" i="1"/>
  <c r="Z2120" i="1"/>
  <c r="U2120" i="1"/>
  <c r="X2107" i="1"/>
  <c r="AA2127" i="1"/>
  <c r="X2140" i="1"/>
  <c r="AA2140" i="1"/>
  <c r="X2111" i="1"/>
  <c r="AA2111" i="1"/>
  <c r="Z2125" i="1"/>
  <c r="U2125" i="1"/>
  <c r="S2145" i="1"/>
  <c r="W2145" i="1" s="1"/>
  <c r="X2145" i="1" s="1"/>
  <c r="W2146" i="1"/>
  <c r="X2146" i="1" s="1"/>
  <c r="Z2116" i="1"/>
  <c r="U2116" i="1"/>
  <c r="E2107" i="1"/>
  <c r="S2106" i="1"/>
  <c r="W2106" i="1" s="1"/>
  <c r="AA2115" i="1"/>
  <c r="X2135" i="1"/>
  <c r="T2146" i="1"/>
  <c r="U2146" i="1" s="1"/>
  <c r="AA2135" i="1"/>
  <c r="AA2142" i="1"/>
  <c r="X2142" i="1"/>
  <c r="Z2111" i="1"/>
  <c r="Z2112" i="1"/>
  <c r="Z2118" i="1"/>
  <c r="Z2124" i="1"/>
  <c r="Z2135" i="1"/>
  <c r="Z2137" i="1"/>
  <c r="U2109" i="1"/>
  <c r="X2128" i="1"/>
  <c r="X2136" i="1"/>
  <c r="Z2138" i="1"/>
  <c r="U2140" i="1"/>
  <c r="S2141" i="1"/>
  <c r="W2141" i="1" s="1"/>
  <c r="X2141" i="1" s="1"/>
  <c r="R2145" i="1"/>
  <c r="T2145" i="1" s="1"/>
  <c r="U2145" i="1" s="1"/>
  <c r="U2147" i="1"/>
  <c r="X2148" i="1"/>
  <c r="Z2113" i="1"/>
  <c r="Z2114" i="1"/>
  <c r="Z2108" i="1"/>
  <c r="Z2117" i="1"/>
  <c r="Z2123" i="1"/>
  <c r="I2130" i="1"/>
  <c r="AA2130" i="1" s="1"/>
  <c r="S2134" i="1"/>
  <c r="W2134" i="1" s="1"/>
  <c r="X2134" i="1" s="1"/>
  <c r="Z2139" i="1"/>
  <c r="Z2141" i="1"/>
  <c r="I2145" i="1"/>
  <c r="Z2148" i="1"/>
  <c r="X2116" i="1"/>
  <c r="X2120" i="1"/>
  <c r="X2126" i="1"/>
  <c r="W2110" i="1"/>
  <c r="X2106" i="1" l="1"/>
  <c r="X1062" i="1"/>
  <c r="Z1028" i="1"/>
  <c r="AA1072" i="1"/>
  <c r="W1783" i="1"/>
  <c r="X1783" i="1" s="1"/>
  <c r="X1052" i="1"/>
  <c r="AA1052" i="1"/>
  <c r="AA2138" i="1"/>
  <c r="AA1073" i="1"/>
  <c r="S1800" i="1"/>
  <c r="X1061" i="1"/>
  <c r="AA1061" i="1"/>
  <c r="M1800" i="1"/>
  <c r="W1806" i="1"/>
  <c r="X1806" i="1" s="1"/>
  <c r="AA1065" i="1"/>
  <c r="U2107" i="1"/>
  <c r="U2110" i="1"/>
  <c r="AH2033" i="1"/>
  <c r="X1028" i="1"/>
  <c r="AA1028" i="1"/>
  <c r="AA1048" i="1"/>
  <c r="X1048" i="1"/>
  <c r="W1834" i="1"/>
  <c r="X1834" i="1" s="1"/>
  <c r="W1024" i="1"/>
  <c r="AH1024" i="1"/>
  <c r="X1049" i="1"/>
  <c r="AA1049" i="1"/>
  <c r="AA1058" i="1"/>
  <c r="AA1025" i="1"/>
  <c r="X1025" i="1"/>
  <c r="AA1033" i="1"/>
  <c r="AA2146" i="1"/>
  <c r="S1795" i="1"/>
  <c r="S1766" i="1" s="1"/>
  <c r="AA1069" i="1"/>
  <c r="AA1059" i="1"/>
  <c r="AA1044" i="1"/>
  <c r="Z2142" i="1"/>
  <c r="X1801" i="1"/>
  <c r="W1822" i="1"/>
  <c r="X1822" i="1" s="1"/>
  <c r="W1824" i="1"/>
  <c r="X1824" i="1" s="1"/>
  <c r="X1792" i="1"/>
  <c r="W1791" i="1"/>
  <c r="X1791" i="1" s="1"/>
  <c r="X1796" i="1"/>
  <c r="W1795" i="1"/>
  <c r="X1795" i="1" s="1"/>
  <c r="W1768" i="1"/>
  <c r="X1768" i="1" s="1"/>
  <c r="M1766" i="1"/>
  <c r="AA2106" i="1"/>
  <c r="AA2145" i="1"/>
  <c r="Z2146" i="1"/>
  <c r="AA2134" i="1"/>
  <c r="AA2110" i="1"/>
  <c r="X2110" i="1"/>
  <c r="Z2145" i="1"/>
  <c r="AA2141" i="1"/>
  <c r="X1024" i="1" l="1"/>
  <c r="AA1024" i="1"/>
  <c r="W1766" i="1"/>
  <c r="X1766" i="1" s="1"/>
  <c r="W1800" i="1"/>
  <c r="X1800" i="1" s="1"/>
  <c r="W2055" i="1"/>
  <c r="T2055" i="1"/>
  <c r="U2055" i="1" s="1"/>
  <c r="W2054" i="1"/>
  <c r="X2054" i="1" s="1"/>
  <c r="T2054" i="1"/>
  <c r="U2054" i="1" s="1"/>
  <c r="T2053" i="1"/>
  <c r="U2053" i="1" s="1"/>
  <c r="S2053" i="1"/>
  <c r="Q2053" i="1"/>
  <c r="O2053" i="1"/>
  <c r="M2053" i="1"/>
  <c r="K2053" i="1"/>
  <c r="I2053" i="1"/>
  <c r="G2053" i="1"/>
  <c r="W2052" i="1"/>
  <c r="AA2052" i="1" s="1"/>
  <c r="T2052" i="1"/>
  <c r="Z2052" i="1" s="1"/>
  <c r="T2051" i="1"/>
  <c r="Z2051" i="1" s="1"/>
  <c r="S2051" i="1"/>
  <c r="Q2051" i="1"/>
  <c r="O2051" i="1"/>
  <c r="M2051" i="1"/>
  <c r="K2051" i="1"/>
  <c r="I2051" i="1"/>
  <c r="G2051" i="1"/>
  <c r="T2050" i="1"/>
  <c r="Z2050" i="1" s="1"/>
  <c r="T2049" i="1"/>
  <c r="Z2049" i="1" s="1"/>
  <c r="W2048" i="1"/>
  <c r="T2048" i="1"/>
  <c r="U2048" i="1" s="1"/>
  <c r="W2047" i="1"/>
  <c r="X2047" i="1" s="1"/>
  <c r="T2047" i="1"/>
  <c r="U2047" i="1" s="1"/>
  <c r="W2046" i="1"/>
  <c r="T2046" i="1"/>
  <c r="U2046" i="1" s="1"/>
  <c r="T2045" i="1"/>
  <c r="Z2045" i="1" s="1"/>
  <c r="T2044" i="1"/>
  <c r="Z2044" i="1" s="1"/>
  <c r="S2044" i="1"/>
  <c r="Q2044" i="1"/>
  <c r="O2044" i="1"/>
  <c r="M2044" i="1"/>
  <c r="K2044" i="1"/>
  <c r="I2044" i="1"/>
  <c r="G2044" i="1"/>
  <c r="W2043" i="1"/>
  <c r="X2043" i="1" s="1"/>
  <c r="T2043" i="1"/>
  <c r="U2043" i="1" s="1"/>
  <c r="W2042" i="1"/>
  <c r="T2042" i="1"/>
  <c r="U2042" i="1" s="1"/>
  <c r="T2041" i="1"/>
  <c r="U2041" i="1" s="1"/>
  <c r="S2041" i="1"/>
  <c r="Q2041" i="1"/>
  <c r="O2041" i="1"/>
  <c r="M2041" i="1"/>
  <c r="K2041" i="1"/>
  <c r="I2041" i="1"/>
  <c r="I2036" i="1" s="1"/>
  <c r="G2041" i="1"/>
  <c r="T2040" i="1"/>
  <c r="U2040" i="1" s="1"/>
  <c r="T2039" i="1"/>
  <c r="Z2039" i="1" s="1"/>
  <c r="W2038" i="1"/>
  <c r="T2038" i="1"/>
  <c r="U2038" i="1" s="1"/>
  <c r="T2037" i="1"/>
  <c r="T2036" i="1"/>
  <c r="U2036" i="1" s="1"/>
  <c r="W2035" i="1"/>
  <c r="AA2035" i="1" s="1"/>
  <c r="T2035" i="1"/>
  <c r="Z2035" i="1" s="1"/>
  <c r="W2034" i="1"/>
  <c r="AA2034" i="1" s="1"/>
  <c r="T2034" i="1"/>
  <c r="Z2034" i="1" s="1"/>
  <c r="T2033" i="1"/>
  <c r="Z2033" i="1" s="1"/>
  <c r="S2033" i="1"/>
  <c r="Q2033" i="1"/>
  <c r="O2033" i="1"/>
  <c r="M2033" i="1"/>
  <c r="K2033" i="1"/>
  <c r="I2033" i="1"/>
  <c r="G2033" i="1"/>
  <c r="W2032" i="1"/>
  <c r="X2032" i="1" s="1"/>
  <c r="T2032" i="1"/>
  <c r="U2032" i="1" s="1"/>
  <c r="W2031" i="1"/>
  <c r="T2031" i="1"/>
  <c r="U2031" i="1" s="1"/>
  <c r="W2030" i="1"/>
  <c r="X2030" i="1" s="1"/>
  <c r="T2030" i="1"/>
  <c r="U2030" i="1" s="1"/>
  <c r="T2029" i="1"/>
  <c r="Z2029" i="1" s="1"/>
  <c r="T2028" i="1"/>
  <c r="U2028" i="1" s="1"/>
  <c r="T2027" i="1"/>
  <c r="U2027" i="1" s="1"/>
  <c r="S2027" i="1"/>
  <c r="Q2027" i="1"/>
  <c r="Q2024" i="1" s="1"/>
  <c r="O2027" i="1"/>
  <c r="O2024" i="1" s="1"/>
  <c r="M2027" i="1"/>
  <c r="K2027" i="1"/>
  <c r="I2027" i="1"/>
  <c r="I2024" i="1" s="1"/>
  <c r="G2027" i="1"/>
  <c r="G2024" i="1" s="1"/>
  <c r="W2026" i="1"/>
  <c r="T2026" i="1"/>
  <c r="Z2026" i="1" s="1"/>
  <c r="W2025" i="1"/>
  <c r="T2025" i="1"/>
  <c r="Z2025" i="1" s="1"/>
  <c r="L2024" i="1"/>
  <c r="T2024" i="1" s="1"/>
  <c r="Z2024" i="1" s="1"/>
  <c r="W2023" i="1"/>
  <c r="X2023" i="1" s="1"/>
  <c r="T2023" i="1"/>
  <c r="Z2023" i="1" s="1"/>
  <c r="W2022" i="1"/>
  <c r="AA2022" i="1" s="1"/>
  <c r="T2022" i="1"/>
  <c r="Z2022" i="1" s="1"/>
  <c r="W2021" i="1"/>
  <c r="AA2021" i="1" s="1"/>
  <c r="T2021" i="1"/>
  <c r="Z2021" i="1" s="1"/>
  <c r="T2020" i="1"/>
  <c r="Z2020" i="1" s="1"/>
  <c r="S2020" i="1"/>
  <c r="Q2020" i="1"/>
  <c r="O2020" i="1"/>
  <c r="M2020" i="1"/>
  <c r="K2020" i="1"/>
  <c r="I2020" i="1"/>
  <c r="G2020" i="1"/>
  <c r="W2019" i="1"/>
  <c r="T2019" i="1"/>
  <c r="U2019" i="1" s="1"/>
  <c r="W2018" i="1"/>
  <c r="T2018" i="1"/>
  <c r="U2018" i="1" s="1"/>
  <c r="W2017" i="1"/>
  <c r="T2017" i="1"/>
  <c r="U2017" i="1" s="1"/>
  <c r="T2016" i="1"/>
  <c r="U2016" i="1" s="1"/>
  <c r="S2016" i="1"/>
  <c r="Q2016" i="1"/>
  <c r="O2016" i="1"/>
  <c r="M2016" i="1"/>
  <c r="K2016" i="1"/>
  <c r="I2016" i="1"/>
  <c r="G2016" i="1"/>
  <c r="W2015" i="1"/>
  <c r="AA2015" i="1" s="1"/>
  <c r="T2015" i="1"/>
  <c r="Z2015" i="1" s="1"/>
  <c r="T2014" i="1"/>
  <c r="Z2014" i="1" s="1"/>
  <c r="I2014" i="1"/>
  <c r="W2013" i="1"/>
  <c r="T2013" i="1"/>
  <c r="U2013" i="1" s="1"/>
  <c r="W2012" i="1"/>
  <c r="T2012" i="1"/>
  <c r="U2012" i="1" s="1"/>
  <c r="W2011" i="1"/>
  <c r="T2011" i="1"/>
  <c r="U2011" i="1" s="1"/>
  <c r="W2010" i="1"/>
  <c r="T2010" i="1"/>
  <c r="U2010" i="1" s="1"/>
  <c r="W2009" i="1"/>
  <c r="T2009" i="1"/>
  <c r="U2009" i="1" s="1"/>
  <c r="W2008" i="1"/>
  <c r="T2008" i="1"/>
  <c r="U2008" i="1" s="1"/>
  <c r="T2007" i="1"/>
  <c r="U2007" i="1" s="1"/>
  <c r="S2007" i="1"/>
  <c r="Q2007" i="1"/>
  <c r="O2007" i="1"/>
  <c r="M2007" i="1"/>
  <c r="K2007" i="1"/>
  <c r="I2007" i="1"/>
  <c r="G2007" i="1"/>
  <c r="W2006" i="1"/>
  <c r="X2006" i="1" s="1"/>
  <c r="T2006" i="1"/>
  <c r="Z2006" i="1" s="1"/>
  <c r="W2005" i="1"/>
  <c r="AA2005" i="1" s="1"/>
  <c r="T2005" i="1"/>
  <c r="Z2005" i="1" s="1"/>
  <c r="W2004" i="1"/>
  <c r="AA2004" i="1" s="1"/>
  <c r="T2004" i="1"/>
  <c r="Z2004" i="1" s="1"/>
  <c r="W2003" i="1"/>
  <c r="AA2003" i="1" s="1"/>
  <c r="T2003" i="1"/>
  <c r="Z2003" i="1" s="1"/>
  <c r="S2002" i="1"/>
  <c r="Q2002" i="1"/>
  <c r="P2002" i="1"/>
  <c r="O2002" i="1"/>
  <c r="N2002" i="1"/>
  <c r="M2002" i="1"/>
  <c r="L2002" i="1"/>
  <c r="K2002" i="1"/>
  <c r="X2002" i="1" s="1"/>
  <c r="I2002" i="1"/>
  <c r="AA2002" i="1" s="1"/>
  <c r="G2002" i="1"/>
  <c r="W2001" i="1"/>
  <c r="T2001" i="1"/>
  <c r="U2001" i="1" s="1"/>
  <c r="W2000" i="1"/>
  <c r="T2000" i="1"/>
  <c r="U2000" i="1" s="1"/>
  <c r="S1999" i="1"/>
  <c r="R1999" i="1"/>
  <c r="Q1999" i="1"/>
  <c r="P1999" i="1"/>
  <c r="O1999" i="1"/>
  <c r="N1999" i="1"/>
  <c r="M1999" i="1"/>
  <c r="L1999" i="1"/>
  <c r="K1999" i="1"/>
  <c r="I1999" i="1"/>
  <c r="G1999" i="1"/>
  <c r="T1998" i="1"/>
  <c r="Z1998" i="1" s="1"/>
  <c r="T1997" i="1"/>
  <c r="Z1997" i="1" s="1"/>
  <c r="T1996" i="1"/>
  <c r="U1996" i="1" s="1"/>
  <c r="T1995" i="1"/>
  <c r="Z1995" i="1" s="1"/>
  <c r="T1994" i="1"/>
  <c r="Z1994" i="1" s="1"/>
  <c r="U2003" i="1" l="1"/>
  <c r="W1999" i="1"/>
  <c r="S1994" i="1"/>
  <c r="U2049" i="1"/>
  <c r="S2049" i="1"/>
  <c r="G2049" i="1"/>
  <c r="Z2055" i="1"/>
  <c r="X2005" i="1"/>
  <c r="AA2006" i="1"/>
  <c r="U2023" i="1"/>
  <c r="U2034" i="1"/>
  <c r="Z2038" i="1"/>
  <c r="K2024" i="1"/>
  <c r="S2024" i="1"/>
  <c r="U1995" i="1"/>
  <c r="U2021" i="1"/>
  <c r="U2022" i="1"/>
  <c r="Z2028" i="1"/>
  <c r="Z2040" i="1"/>
  <c r="K1994" i="1"/>
  <c r="X2003" i="1"/>
  <c r="U2005" i="1"/>
  <c r="Z2011" i="1"/>
  <c r="Z2019" i="1"/>
  <c r="AA2023" i="1"/>
  <c r="U2026" i="1"/>
  <c r="U2033" i="1"/>
  <c r="X2034" i="1"/>
  <c r="X2035" i="1"/>
  <c r="G2036" i="1"/>
  <c r="O2036" i="1"/>
  <c r="U2050" i="1"/>
  <c r="X2052" i="1"/>
  <c r="K2049" i="1"/>
  <c r="Z2054" i="1"/>
  <c r="U1998" i="1"/>
  <c r="U1994" i="1"/>
  <c r="Z1996" i="1"/>
  <c r="T1999" i="1"/>
  <c r="Z1999" i="1" s="1"/>
  <c r="Z2001" i="1"/>
  <c r="T2002" i="1"/>
  <c r="Z2002" i="1" s="1"/>
  <c r="Z2010" i="1"/>
  <c r="Z2018" i="1"/>
  <c r="W2020" i="1"/>
  <c r="AA2020" i="1" s="1"/>
  <c r="U2020" i="1"/>
  <c r="X2021" i="1"/>
  <c r="U2025" i="1"/>
  <c r="U2029" i="1"/>
  <c r="U2039" i="1"/>
  <c r="Q2036" i="1"/>
  <c r="O2049" i="1"/>
  <c r="U2051" i="1"/>
  <c r="M2049" i="1"/>
  <c r="G1994" i="1"/>
  <c r="X2004" i="1"/>
  <c r="U2006" i="1"/>
  <c r="Z2007" i="1"/>
  <c r="W2016" i="1"/>
  <c r="X2016" i="1" s="1"/>
  <c r="X2022" i="1"/>
  <c r="Z2030" i="1"/>
  <c r="U2035" i="1"/>
  <c r="Z2041" i="1"/>
  <c r="K2036" i="1"/>
  <c r="S2036" i="1"/>
  <c r="U2045" i="1"/>
  <c r="U2052" i="1"/>
  <c r="W2053" i="1"/>
  <c r="X2053" i="1" s="1"/>
  <c r="W2007" i="1"/>
  <c r="X2007" i="1" s="1"/>
  <c r="Z2043" i="1"/>
  <c r="W2051" i="1"/>
  <c r="X2051" i="1" s="1"/>
  <c r="Q2049" i="1"/>
  <c r="M1994" i="1"/>
  <c r="O1994" i="1"/>
  <c r="U2004" i="1"/>
  <c r="U2044" i="1"/>
  <c r="AA2001" i="1"/>
  <c r="X2001" i="1"/>
  <c r="X2010" i="1"/>
  <c r="AA2010" i="1"/>
  <c r="AA2009" i="1"/>
  <c r="X2009" i="1"/>
  <c r="W2014" i="1"/>
  <c r="AA2014" i="1" s="1"/>
  <c r="M2024" i="1"/>
  <c r="W2024" i="1" s="1"/>
  <c r="W2027" i="1"/>
  <c r="X2027" i="1" s="1"/>
  <c r="U1997" i="1"/>
  <c r="X1999" i="1"/>
  <c r="Z2000" i="1"/>
  <c r="Q1994" i="1"/>
  <c r="X2008" i="1"/>
  <c r="AA2008" i="1"/>
  <c r="Z2009" i="1"/>
  <c r="X2012" i="1"/>
  <c r="AA2012" i="1"/>
  <c r="Z2013" i="1"/>
  <c r="Z2017" i="1"/>
  <c r="Z2027" i="1"/>
  <c r="Z2032" i="1"/>
  <c r="W2033" i="1"/>
  <c r="AA2042" i="1"/>
  <c r="X2042" i="1"/>
  <c r="Z2047" i="1"/>
  <c r="I2049" i="1"/>
  <c r="AA2055" i="1"/>
  <c r="X2055" i="1"/>
  <c r="U2002" i="1"/>
  <c r="X2018" i="1"/>
  <c r="AA2018" i="1"/>
  <c r="AA2048" i="1"/>
  <c r="X2048" i="1"/>
  <c r="X2000" i="1"/>
  <c r="AA2000" i="1"/>
  <c r="AA2013" i="1"/>
  <c r="X2013" i="1"/>
  <c r="AA2017" i="1"/>
  <c r="X2017" i="1"/>
  <c r="W2044" i="1"/>
  <c r="AA1999" i="1"/>
  <c r="I1994" i="1"/>
  <c r="Z2008" i="1"/>
  <c r="AA2011" i="1"/>
  <c r="X2011" i="1"/>
  <c r="Z2012" i="1"/>
  <c r="Z2016" i="1"/>
  <c r="AA2019" i="1"/>
  <c r="X2019" i="1"/>
  <c r="U2024" i="1"/>
  <c r="AA2031" i="1"/>
  <c r="X2031" i="1"/>
  <c r="Z2037" i="1"/>
  <c r="U2037" i="1"/>
  <c r="W2041" i="1"/>
  <c r="X2041" i="1" s="1"/>
  <c r="M2036" i="1"/>
  <c r="AA2046" i="1"/>
  <c r="X2046" i="1"/>
  <c r="AA2030" i="1"/>
  <c r="AA2032" i="1"/>
  <c r="AA2043" i="1"/>
  <c r="AA2047" i="1"/>
  <c r="AA2054" i="1"/>
  <c r="Z2031" i="1"/>
  <c r="Z2036" i="1"/>
  <c r="Z2042" i="1"/>
  <c r="Z2046" i="1"/>
  <c r="Z2048" i="1"/>
  <c r="Z2053" i="1"/>
  <c r="AA2007" i="1" l="1"/>
  <c r="AA2027" i="1"/>
  <c r="U1999" i="1"/>
  <c r="AA2053" i="1"/>
  <c r="W2049" i="1"/>
  <c r="X2049" i="1" s="1"/>
  <c r="AA2016" i="1"/>
  <c r="AA2051" i="1"/>
  <c r="W1994" i="1"/>
  <c r="X1994" i="1" s="1"/>
  <c r="X2020" i="1"/>
  <c r="W2036" i="1"/>
  <c r="X2036" i="1" s="1"/>
  <c r="AA2033" i="1"/>
  <c r="X2033" i="1"/>
  <c r="AA2024" i="1"/>
  <c r="X2024" i="1"/>
  <c r="AA2044" i="1"/>
  <c r="X2044" i="1"/>
  <c r="AA2041" i="1"/>
  <c r="AA2049" i="1" l="1"/>
  <c r="AA2036" i="1"/>
  <c r="AA1994" i="1"/>
  <c r="W1902" i="1"/>
  <c r="AA1902" i="1" s="1"/>
  <c r="T1902" i="1"/>
  <c r="U1902" i="1" s="1"/>
  <c r="W1901" i="1"/>
  <c r="X1901" i="1" s="1"/>
  <c r="T1901" i="1"/>
  <c r="Z1901" i="1" s="1"/>
  <c r="S1900" i="1"/>
  <c r="Q1900" i="1"/>
  <c r="Q1898" i="1" s="1"/>
  <c r="P1900" i="1"/>
  <c r="P1898" i="1" s="1"/>
  <c r="O1900" i="1"/>
  <c r="O1898" i="1" s="1"/>
  <c r="N1900" i="1"/>
  <c r="M1900" i="1"/>
  <c r="L1900" i="1"/>
  <c r="L1898" i="1" s="1"/>
  <c r="K1900" i="1"/>
  <c r="K1898" i="1" s="1"/>
  <c r="I1900" i="1"/>
  <c r="G1900" i="1"/>
  <c r="G1898" i="1" s="1"/>
  <c r="W1899" i="1"/>
  <c r="AA1899" i="1" s="1"/>
  <c r="T1899" i="1"/>
  <c r="U1899" i="1" s="1"/>
  <c r="J1898" i="1"/>
  <c r="T1897" i="1"/>
  <c r="Z1897" i="1" s="1"/>
  <c r="K1897" i="1"/>
  <c r="AA1896" i="1"/>
  <c r="AA1895" i="1"/>
  <c r="Z1895" i="1"/>
  <c r="W1894" i="1"/>
  <c r="X1894" i="1" s="1"/>
  <c r="U1894" i="1"/>
  <c r="W1893" i="1"/>
  <c r="X1893" i="1" s="1"/>
  <c r="P1893" i="1"/>
  <c r="N1893" i="1"/>
  <c r="L1893" i="1"/>
  <c r="J1893" i="1"/>
  <c r="S1892" i="1"/>
  <c r="Q1892" i="1"/>
  <c r="P1892" i="1"/>
  <c r="O1892" i="1"/>
  <c r="N1892" i="1"/>
  <c r="M1892" i="1"/>
  <c r="L1892" i="1"/>
  <c r="K1892" i="1"/>
  <c r="I1892" i="1"/>
  <c r="G1892" i="1"/>
  <c r="AA1891" i="1"/>
  <c r="Z1891" i="1"/>
  <c r="W1890" i="1"/>
  <c r="X1890" i="1" s="1"/>
  <c r="T1890" i="1"/>
  <c r="Z1890" i="1" s="1"/>
  <c r="W1889" i="1"/>
  <c r="AA1889" i="1" s="1"/>
  <c r="T1889" i="1"/>
  <c r="U1889" i="1" s="1"/>
  <c r="T1888" i="1"/>
  <c r="Z1888" i="1" s="1"/>
  <c r="S1888" i="1"/>
  <c r="Q1888" i="1"/>
  <c r="O1888" i="1"/>
  <c r="M1888" i="1"/>
  <c r="K1888" i="1"/>
  <c r="I1888" i="1"/>
  <c r="G1888" i="1"/>
  <c r="AA1887" i="1"/>
  <c r="Z1887" i="1"/>
  <c r="AA1886" i="1"/>
  <c r="Z1886" i="1"/>
  <c r="AA1885" i="1"/>
  <c r="Z1885" i="1"/>
  <c r="W1884" i="1"/>
  <c r="X1884" i="1" s="1"/>
  <c r="T1884" i="1"/>
  <c r="U1884" i="1" s="1"/>
  <c r="W1883" i="1"/>
  <c r="AA1883" i="1" s="1"/>
  <c r="T1883" i="1"/>
  <c r="U1883" i="1" s="1"/>
  <c r="S1882" i="1"/>
  <c r="Q1882" i="1"/>
  <c r="P1882" i="1"/>
  <c r="O1882" i="1"/>
  <c r="N1882" i="1"/>
  <c r="M1882" i="1"/>
  <c r="L1882" i="1"/>
  <c r="K1882" i="1"/>
  <c r="I1882" i="1"/>
  <c r="I1881" i="1" s="1"/>
  <c r="G1882" i="1"/>
  <c r="T1881" i="1"/>
  <c r="U1881" i="1" s="1"/>
  <c r="AA1880" i="1"/>
  <c r="X1880" i="1"/>
  <c r="T1880" i="1"/>
  <c r="Z1880" i="1" s="1"/>
  <c r="T1879" i="1"/>
  <c r="U1879" i="1" s="1"/>
  <c r="S1879" i="1"/>
  <c r="Q1879" i="1"/>
  <c r="O1879" i="1"/>
  <c r="M1879" i="1"/>
  <c r="K1879" i="1"/>
  <c r="I1879" i="1"/>
  <c r="G1879" i="1"/>
  <c r="AA1878" i="1"/>
  <c r="Z1878" i="1"/>
  <c r="W1877" i="1"/>
  <c r="X1877" i="1" s="1"/>
  <c r="T1877" i="1"/>
  <c r="Z1877" i="1" s="1"/>
  <c r="S1876" i="1"/>
  <c r="R1876" i="1"/>
  <c r="Q1876" i="1"/>
  <c r="P1876" i="1"/>
  <c r="O1876" i="1"/>
  <c r="N1876" i="1"/>
  <c r="M1876" i="1"/>
  <c r="L1876" i="1"/>
  <c r="K1876" i="1"/>
  <c r="J1876" i="1"/>
  <c r="I1876" i="1"/>
  <c r="G1876" i="1"/>
  <c r="W1875" i="1"/>
  <c r="X1875" i="1" s="1"/>
  <c r="T1875" i="1"/>
  <c r="Z1875" i="1" s="1"/>
  <c r="W1874" i="1"/>
  <c r="AA1874" i="1" s="1"/>
  <c r="T1874" i="1"/>
  <c r="U1874" i="1" s="1"/>
  <c r="W1873" i="1"/>
  <c r="AA1873" i="1" s="1"/>
  <c r="T1873" i="1"/>
  <c r="Z1873" i="1" s="1"/>
  <c r="W1872" i="1"/>
  <c r="AA1872" i="1" s="1"/>
  <c r="T1872" i="1"/>
  <c r="Z1872" i="1" s="1"/>
  <c r="W1871" i="1"/>
  <c r="AA1871" i="1" s="1"/>
  <c r="T1871" i="1"/>
  <c r="Z1871" i="1" s="1"/>
  <c r="W1870" i="1"/>
  <c r="AA1870" i="1" s="1"/>
  <c r="T1870" i="1"/>
  <c r="Z1870" i="1" s="1"/>
  <c r="W1869" i="1"/>
  <c r="AA1869" i="1" s="1"/>
  <c r="T1869" i="1"/>
  <c r="Z1869" i="1" s="1"/>
  <c r="T1868" i="1"/>
  <c r="U1868" i="1" s="1"/>
  <c r="S1868" i="1"/>
  <c r="Q1868" i="1"/>
  <c r="O1868" i="1"/>
  <c r="M1868" i="1"/>
  <c r="K1868" i="1"/>
  <c r="I1868" i="1"/>
  <c r="G1868" i="1"/>
  <c r="T1867" i="1"/>
  <c r="Z1867" i="1" s="1"/>
  <c r="T1866" i="1"/>
  <c r="Z1866" i="1" s="1"/>
  <c r="W1865" i="1"/>
  <c r="X1865" i="1" s="1"/>
  <c r="T1865" i="1"/>
  <c r="U1865" i="1" s="1"/>
  <c r="E1865" i="1"/>
  <c r="W1864" i="1"/>
  <c r="AA1864" i="1" s="1"/>
  <c r="T1864" i="1"/>
  <c r="U1864" i="1" s="1"/>
  <c r="E1864" i="1"/>
  <c r="AH1790" i="1"/>
  <c r="W1863" i="1"/>
  <c r="X1863" i="1" s="1"/>
  <c r="T1863" i="1"/>
  <c r="U1863" i="1" s="1"/>
  <c r="E1863" i="1"/>
  <c r="T1862" i="1"/>
  <c r="U1862" i="1" s="1"/>
  <c r="S1862" i="1"/>
  <c r="Q1862" i="1"/>
  <c r="O1862" i="1"/>
  <c r="M1862" i="1"/>
  <c r="K1862" i="1"/>
  <c r="I1862" i="1"/>
  <c r="G1862" i="1"/>
  <c r="AH1788" i="1"/>
  <c r="W1861" i="1"/>
  <c r="X1861" i="1" s="1"/>
  <c r="T1861" i="1"/>
  <c r="Z1861" i="1" s="1"/>
  <c r="E1861" i="1"/>
  <c r="AH1787" i="1"/>
  <c r="W1860" i="1"/>
  <c r="X1860" i="1" s="1"/>
  <c r="T1860" i="1"/>
  <c r="U1860" i="1" s="1"/>
  <c r="E1860" i="1"/>
  <c r="T1859" i="1"/>
  <c r="Z1859" i="1" s="1"/>
  <c r="S1859" i="1"/>
  <c r="Q1859" i="1"/>
  <c r="O1859" i="1"/>
  <c r="M1859" i="1"/>
  <c r="K1859" i="1"/>
  <c r="I1859" i="1"/>
  <c r="G1859" i="1"/>
  <c r="W1858" i="1"/>
  <c r="X1858" i="1" s="1"/>
  <c r="T1858" i="1"/>
  <c r="U1858" i="1" s="1"/>
  <c r="T1857" i="1"/>
  <c r="U1857" i="1" s="1"/>
  <c r="S1857" i="1"/>
  <c r="Q1857" i="1"/>
  <c r="O1857" i="1"/>
  <c r="M1857" i="1"/>
  <c r="K1857" i="1"/>
  <c r="I1857" i="1"/>
  <c r="G1857" i="1"/>
  <c r="W1856" i="1"/>
  <c r="AA1856" i="1" s="1"/>
  <c r="T1856" i="1"/>
  <c r="U1856" i="1" s="1"/>
  <c r="E1856" i="1"/>
  <c r="W1855" i="1"/>
  <c r="AA1855" i="1" s="1"/>
  <c r="T1855" i="1"/>
  <c r="U1855" i="1" s="1"/>
  <c r="E1855" i="1"/>
  <c r="AH1781" i="1"/>
  <c r="W1854" i="1"/>
  <c r="AA1854" i="1" s="1"/>
  <c r="T1854" i="1"/>
  <c r="U1854" i="1" s="1"/>
  <c r="E1854" i="1"/>
  <c r="W1853" i="1"/>
  <c r="X1853" i="1" s="1"/>
  <c r="T1853" i="1"/>
  <c r="Z1853" i="1" s="1"/>
  <c r="E1853" i="1"/>
  <c r="W1852" i="1"/>
  <c r="X1852" i="1" s="1"/>
  <c r="T1852" i="1"/>
  <c r="U1852" i="1" s="1"/>
  <c r="E1852" i="1"/>
  <c r="T1851" i="1"/>
  <c r="Z1851" i="1" s="1"/>
  <c r="E1851" i="1"/>
  <c r="T1850" i="1"/>
  <c r="Z1850" i="1" s="1"/>
  <c r="T1849" i="1"/>
  <c r="U1849" i="1" s="1"/>
  <c r="S1849" i="1"/>
  <c r="Q1849" i="1"/>
  <c r="O1849" i="1"/>
  <c r="M1849" i="1"/>
  <c r="K1849" i="1"/>
  <c r="I1849" i="1"/>
  <c r="G1849" i="1"/>
  <c r="E1849" i="1"/>
  <c r="W1848" i="1"/>
  <c r="X1848" i="1" s="1"/>
  <c r="T1848" i="1"/>
  <c r="U1848" i="1" s="1"/>
  <c r="E1848" i="1"/>
  <c r="W1847" i="1"/>
  <c r="AA1847" i="1" s="1"/>
  <c r="T1847" i="1"/>
  <c r="Z1847" i="1" s="1"/>
  <c r="E1847" i="1"/>
  <c r="W1846" i="1"/>
  <c r="AA1846" i="1" s="1"/>
  <c r="T1846" i="1"/>
  <c r="U1846" i="1" s="1"/>
  <c r="E1846" i="1"/>
  <c r="W1845" i="1"/>
  <c r="X1845" i="1" s="1"/>
  <c r="T1845" i="1"/>
  <c r="Z1845" i="1" s="1"/>
  <c r="S1844" i="1"/>
  <c r="R1844" i="1"/>
  <c r="Q1844" i="1"/>
  <c r="P1844" i="1"/>
  <c r="O1844" i="1"/>
  <c r="N1844" i="1"/>
  <c r="M1844" i="1"/>
  <c r="L1844" i="1"/>
  <c r="K1844" i="1"/>
  <c r="J1844" i="1"/>
  <c r="I1844" i="1"/>
  <c r="G1844" i="1"/>
  <c r="W1843" i="1"/>
  <c r="AA1843" i="1" s="1"/>
  <c r="T1843" i="1"/>
  <c r="Z1843" i="1" s="1"/>
  <c r="E1843" i="1"/>
  <c r="W1842" i="1"/>
  <c r="X1842" i="1" s="1"/>
  <c r="T1842" i="1"/>
  <c r="Z1842" i="1" s="1"/>
  <c r="E1842" i="1"/>
  <c r="S1841" i="1"/>
  <c r="R1841" i="1"/>
  <c r="Q1841" i="1"/>
  <c r="P1841" i="1"/>
  <c r="O1841" i="1"/>
  <c r="N1841" i="1"/>
  <c r="M1841" i="1"/>
  <c r="L1841" i="1"/>
  <c r="K1841" i="1"/>
  <c r="J1841" i="1"/>
  <c r="I1841" i="1"/>
  <c r="G1841" i="1"/>
  <c r="T1839" i="1"/>
  <c r="U1839" i="1" s="1"/>
  <c r="AA1863" i="1" l="1"/>
  <c r="K1866" i="1"/>
  <c r="S1866" i="1"/>
  <c r="Z1852" i="1"/>
  <c r="AA1853" i="1"/>
  <c r="Z1854" i="1"/>
  <c r="Z1857" i="1"/>
  <c r="Z1839" i="1"/>
  <c r="AA1842" i="1"/>
  <c r="X1847" i="1"/>
  <c r="U1850" i="1"/>
  <c r="Z1868" i="1"/>
  <c r="AA1875" i="1"/>
  <c r="S1839" i="1"/>
  <c r="Z1848" i="1"/>
  <c r="Z1858" i="1"/>
  <c r="AA1860" i="1"/>
  <c r="X1872" i="1"/>
  <c r="T1876" i="1"/>
  <c r="Z1876" i="1" s="1"/>
  <c r="U1890" i="1"/>
  <c r="G1881" i="1"/>
  <c r="W1892" i="1"/>
  <c r="X1892" i="1" s="1"/>
  <c r="U1845" i="1"/>
  <c r="AA1861" i="1"/>
  <c r="X1864" i="1"/>
  <c r="Q1881" i="1"/>
  <c r="I1839" i="1"/>
  <c r="U1847" i="1"/>
  <c r="W1849" i="1"/>
  <c r="X1849" i="1" s="1"/>
  <c r="U1869" i="1"/>
  <c r="X1870" i="1"/>
  <c r="U1872" i="1"/>
  <c r="U1875" i="1"/>
  <c r="I1866" i="1"/>
  <c r="M1866" i="1"/>
  <c r="Q1866" i="1"/>
  <c r="U1877" i="1"/>
  <c r="X1889" i="1"/>
  <c r="T1892" i="1"/>
  <c r="U1892" i="1" s="1"/>
  <c r="O1897" i="1"/>
  <c r="W1900" i="1"/>
  <c r="X1900" i="1" s="1"/>
  <c r="AA1845" i="1"/>
  <c r="X1846" i="1"/>
  <c r="U1851" i="1"/>
  <c r="W1857" i="1"/>
  <c r="X1857" i="1" s="1"/>
  <c r="Z1862" i="1"/>
  <c r="U1867" i="1"/>
  <c r="Z1881" i="1"/>
  <c r="T1882" i="1"/>
  <c r="Z1882" i="1" s="1"/>
  <c r="M1881" i="1"/>
  <c r="K1839" i="1"/>
  <c r="T1841" i="1"/>
  <c r="Z1841" i="1" s="1"/>
  <c r="T1844" i="1"/>
  <c r="Z1844" i="1" s="1"/>
  <c r="Z1846" i="1"/>
  <c r="U1853" i="1"/>
  <c r="Z1855" i="1"/>
  <c r="X1856" i="1"/>
  <c r="U1859" i="1"/>
  <c r="W1862" i="1"/>
  <c r="X1862" i="1" s="1"/>
  <c r="Z1865" i="1"/>
  <c r="U1866" i="1"/>
  <c r="X1873" i="1"/>
  <c r="X1874" i="1"/>
  <c r="Z1884" i="1"/>
  <c r="W1888" i="1"/>
  <c r="X1888" i="1" s="1"/>
  <c r="U1888" i="1"/>
  <c r="Z1889" i="1"/>
  <c r="U1897" i="1"/>
  <c r="AA1901" i="1"/>
  <c r="Q1839" i="1"/>
  <c r="Z1849" i="1"/>
  <c r="AA1865" i="1"/>
  <c r="O1866" i="1"/>
  <c r="AA1884" i="1"/>
  <c r="AA1894" i="1"/>
  <c r="W1844" i="1"/>
  <c r="X1844" i="1" s="1"/>
  <c r="Z1860" i="1"/>
  <c r="U1843" i="1"/>
  <c r="U1871" i="1"/>
  <c r="U1873" i="1"/>
  <c r="G1866" i="1"/>
  <c r="W1879" i="1"/>
  <c r="X1879" i="1" s="1"/>
  <c r="K1881" i="1"/>
  <c r="O1881" i="1"/>
  <c r="S1881" i="1"/>
  <c r="T1893" i="1"/>
  <c r="AA1849" i="1"/>
  <c r="X1871" i="1"/>
  <c r="U1880" i="1"/>
  <c r="AA1890" i="1"/>
  <c r="I1898" i="1"/>
  <c r="N1898" i="1"/>
  <c r="T1898" i="1" s="1"/>
  <c r="T1900" i="1"/>
  <c r="S1898" i="1"/>
  <c r="S1897" i="1"/>
  <c r="U1901" i="1"/>
  <c r="O1839" i="1"/>
  <c r="U1842" i="1"/>
  <c r="X1843" i="1"/>
  <c r="U1861" i="1"/>
  <c r="U1870" i="1"/>
  <c r="M1839" i="1"/>
  <c r="G1839" i="1"/>
  <c r="AA1848" i="1"/>
  <c r="Z1856" i="1"/>
  <c r="Z1863" i="1"/>
  <c r="Z1864" i="1"/>
  <c r="W1868" i="1"/>
  <c r="X1869" i="1"/>
  <c r="Z1874" i="1"/>
  <c r="W1876" i="1"/>
  <c r="AA1877" i="1"/>
  <c r="W1882" i="1"/>
  <c r="X1883" i="1"/>
  <c r="G1897" i="1"/>
  <c r="Q1897" i="1"/>
  <c r="M1897" i="1"/>
  <c r="M1898" i="1"/>
  <c r="W1898" i="1" s="1"/>
  <c r="X1898" i="1" s="1"/>
  <c r="X1854" i="1"/>
  <c r="AA1857" i="1"/>
  <c r="W1841" i="1"/>
  <c r="AA1852" i="1"/>
  <c r="X1855" i="1"/>
  <c r="AA1858" i="1"/>
  <c r="W1859" i="1"/>
  <c r="Z1879" i="1"/>
  <c r="AA1893" i="1"/>
  <c r="I1897" i="1"/>
  <c r="X1899" i="1"/>
  <c r="X1902" i="1"/>
  <c r="Z1883" i="1"/>
  <c r="Z1899" i="1"/>
  <c r="Z1902" i="1"/>
  <c r="U1841" i="1" l="1"/>
  <c r="W1866" i="1"/>
  <c r="X1866" i="1" s="1"/>
  <c r="U1876" i="1"/>
  <c r="U1844" i="1"/>
  <c r="AA1862" i="1"/>
  <c r="Z1892" i="1"/>
  <c r="U1882" i="1"/>
  <c r="AA1900" i="1"/>
  <c r="AA1888" i="1"/>
  <c r="AA1892" i="1"/>
  <c r="AA1879" i="1"/>
  <c r="W1881" i="1"/>
  <c r="AA1881" i="1" s="1"/>
  <c r="Z1893" i="1"/>
  <c r="U1893" i="1"/>
  <c r="AA1844" i="1"/>
  <c r="W1897" i="1"/>
  <c r="X1897" i="1" s="1"/>
  <c r="AA1859" i="1"/>
  <c r="X1859" i="1"/>
  <c r="Z1898" i="1"/>
  <c r="U1898" i="1"/>
  <c r="AA1841" i="1"/>
  <c r="X1841" i="1"/>
  <c r="X1868" i="1"/>
  <c r="AA1868" i="1"/>
  <c r="X1882" i="1"/>
  <c r="AA1882" i="1"/>
  <c r="W1839" i="1"/>
  <c r="AA1898" i="1"/>
  <c r="U1900" i="1"/>
  <c r="Z1900" i="1"/>
  <c r="X1876" i="1"/>
  <c r="AA1876" i="1"/>
  <c r="AA1866" i="1" l="1"/>
  <c r="X1881" i="1"/>
  <c r="AA1897" i="1"/>
  <c r="X1839" i="1"/>
  <c r="AA1839" i="1"/>
  <c r="AC2105" i="1" l="1"/>
  <c r="W2105" i="1"/>
  <c r="X2105" i="1" s="1"/>
  <c r="T2105" i="1"/>
  <c r="Z2105" i="1" s="1"/>
  <c r="AB2105" i="1" s="1"/>
  <c r="AC2104" i="1"/>
  <c r="W2104" i="1"/>
  <c r="T2104" i="1"/>
  <c r="U2104" i="1" s="1"/>
  <c r="AC2103" i="1"/>
  <c r="W2103" i="1"/>
  <c r="AA2103" i="1" s="1"/>
  <c r="AD2103" i="1" s="1"/>
  <c r="T2103" i="1"/>
  <c r="Z2103" i="1" s="1"/>
  <c r="AB2103" i="1" s="1"/>
  <c r="AC2102" i="1"/>
  <c r="W2102" i="1"/>
  <c r="X2102" i="1" s="1"/>
  <c r="T2102" i="1"/>
  <c r="U2102" i="1" s="1"/>
  <c r="AC2101" i="1"/>
  <c r="S2101" i="1"/>
  <c r="S2100" i="1" s="1"/>
  <c r="R2101" i="1"/>
  <c r="T2101" i="1" s="1"/>
  <c r="Z2101" i="1" s="1"/>
  <c r="AB2101" i="1" s="1"/>
  <c r="Q2101" i="1"/>
  <c r="Q2100" i="1" s="1"/>
  <c r="O2101" i="1"/>
  <c r="O2100" i="1" s="1"/>
  <c r="M2101" i="1"/>
  <c r="K2101" i="1"/>
  <c r="K2100" i="1" s="1"/>
  <c r="I2101" i="1"/>
  <c r="I2100" i="1" s="1"/>
  <c r="G2101" i="1"/>
  <c r="G2100" i="1" s="1"/>
  <c r="AC2100" i="1"/>
  <c r="R2100" i="1"/>
  <c r="T2100" i="1" s="1"/>
  <c r="AC2099" i="1"/>
  <c r="W2099" i="1"/>
  <c r="AA2099" i="1" s="1"/>
  <c r="AD2099" i="1" s="1"/>
  <c r="T2099" i="1"/>
  <c r="Z2099" i="1" s="1"/>
  <c r="AB2099" i="1" s="1"/>
  <c r="AC2098" i="1"/>
  <c r="W2098" i="1"/>
  <c r="X2098" i="1" s="1"/>
  <c r="T2098" i="1"/>
  <c r="U2098" i="1" s="1"/>
  <c r="AC2097" i="1"/>
  <c r="S2097" i="1"/>
  <c r="R2097" i="1"/>
  <c r="T2097" i="1" s="1"/>
  <c r="Z2097" i="1" s="1"/>
  <c r="AB2097" i="1" s="1"/>
  <c r="Q2097" i="1"/>
  <c r="O2097" i="1"/>
  <c r="M2097" i="1"/>
  <c r="K2097" i="1"/>
  <c r="I2097" i="1"/>
  <c r="G2097" i="1"/>
  <c r="AC2096" i="1"/>
  <c r="W2096" i="1"/>
  <c r="T2096" i="1"/>
  <c r="U2096" i="1" s="1"/>
  <c r="AC2095" i="1"/>
  <c r="W2095" i="1"/>
  <c r="AA2095" i="1" s="1"/>
  <c r="AD2095" i="1" s="1"/>
  <c r="T2095" i="1"/>
  <c r="Z2095" i="1" s="1"/>
  <c r="AB2095" i="1" s="1"/>
  <c r="AC2094" i="1"/>
  <c r="W2094" i="1"/>
  <c r="T2094" i="1"/>
  <c r="U2094" i="1" s="1"/>
  <c r="AC2093" i="1"/>
  <c r="W2093" i="1"/>
  <c r="AA2093" i="1" s="1"/>
  <c r="AD2093" i="1" s="1"/>
  <c r="T2093" i="1"/>
  <c r="Z2093" i="1" s="1"/>
  <c r="AB2093" i="1" s="1"/>
  <c r="AC2092" i="1"/>
  <c r="W2092" i="1"/>
  <c r="T2092" i="1"/>
  <c r="U2092" i="1" s="1"/>
  <c r="AC2091" i="1"/>
  <c r="W2091" i="1"/>
  <c r="AA2091" i="1" s="1"/>
  <c r="AD2091" i="1" s="1"/>
  <c r="T2091" i="1"/>
  <c r="Z2091" i="1" s="1"/>
  <c r="AB2091" i="1" s="1"/>
  <c r="AC2090" i="1"/>
  <c r="S2090" i="1"/>
  <c r="R2090" i="1"/>
  <c r="Q2090" i="1"/>
  <c r="O2090" i="1"/>
  <c r="N2090" i="1"/>
  <c r="M2090" i="1"/>
  <c r="M2086" i="1" s="1"/>
  <c r="K2090" i="1"/>
  <c r="I2090" i="1"/>
  <c r="G2090" i="1"/>
  <c r="AC2089" i="1"/>
  <c r="AA2089" i="1"/>
  <c r="T2089" i="1"/>
  <c r="Z2089" i="1" s="1"/>
  <c r="AB2089" i="1" s="1"/>
  <c r="AC2088" i="1"/>
  <c r="AA2088" i="1"/>
  <c r="T2088" i="1"/>
  <c r="Z2088" i="1" s="1"/>
  <c r="AB2088" i="1" s="1"/>
  <c r="AC2087" i="1"/>
  <c r="AA2087" i="1"/>
  <c r="T2087" i="1"/>
  <c r="Z2087" i="1" s="1"/>
  <c r="AB2087" i="1" s="1"/>
  <c r="AC2086" i="1"/>
  <c r="T2086" i="1"/>
  <c r="U2086" i="1" s="1"/>
  <c r="AC2085" i="1"/>
  <c r="W2085" i="1"/>
  <c r="T2085" i="1"/>
  <c r="U2085" i="1" s="1"/>
  <c r="E2085" i="1"/>
  <c r="AC2084" i="1"/>
  <c r="W2084" i="1"/>
  <c r="T2084" i="1"/>
  <c r="U2084" i="1" s="1"/>
  <c r="E2084" i="1"/>
  <c r="AC2083" i="1"/>
  <c r="W2083" i="1"/>
  <c r="T2083" i="1"/>
  <c r="U2083" i="1" s="1"/>
  <c r="E2083" i="1"/>
  <c r="AC2082" i="1"/>
  <c r="S2082" i="1"/>
  <c r="R2082" i="1"/>
  <c r="T2082" i="1" s="1"/>
  <c r="Q2082" i="1"/>
  <c r="O2082" i="1"/>
  <c r="M2082" i="1"/>
  <c r="K2082" i="1"/>
  <c r="I2082" i="1"/>
  <c r="G2082" i="1"/>
  <c r="AC2081" i="1"/>
  <c r="W2081" i="1"/>
  <c r="AA2081" i="1" s="1"/>
  <c r="AD2081" i="1" s="1"/>
  <c r="T2081" i="1"/>
  <c r="Z2081" i="1" s="1"/>
  <c r="E2081" i="1"/>
  <c r="AC2080" i="1"/>
  <c r="W2080" i="1"/>
  <c r="AA2080" i="1" s="1"/>
  <c r="AD2080" i="1" s="1"/>
  <c r="T2080" i="1"/>
  <c r="Z2080" i="1" s="1"/>
  <c r="E2080" i="1"/>
  <c r="AC2079" i="1"/>
  <c r="W2079" i="1"/>
  <c r="AA2079" i="1" s="1"/>
  <c r="AD2079" i="1" s="1"/>
  <c r="T2079" i="1"/>
  <c r="Z2079" i="1" s="1"/>
  <c r="E2079" i="1"/>
  <c r="AC2078" i="1"/>
  <c r="S2078" i="1"/>
  <c r="R2078" i="1"/>
  <c r="T2078" i="1" s="1"/>
  <c r="Z2078" i="1" s="1"/>
  <c r="Q2078" i="1"/>
  <c r="O2078" i="1"/>
  <c r="M2078" i="1"/>
  <c r="K2078" i="1"/>
  <c r="I2078" i="1"/>
  <c r="G2078" i="1"/>
  <c r="E2078" i="1"/>
  <c r="AC2077" i="1"/>
  <c r="W2077" i="1"/>
  <c r="X2077" i="1" s="1"/>
  <c r="T2077" i="1"/>
  <c r="Z2077" i="1" s="1"/>
  <c r="E2077" i="1"/>
  <c r="AC2076" i="1"/>
  <c r="S2076" i="1"/>
  <c r="R2076" i="1"/>
  <c r="T2076" i="1" s="1"/>
  <c r="Z2076" i="1" s="1"/>
  <c r="Q2076" i="1"/>
  <c r="O2076" i="1"/>
  <c r="M2076" i="1"/>
  <c r="K2076" i="1"/>
  <c r="I2076" i="1"/>
  <c r="G2076" i="1"/>
  <c r="E2076" i="1"/>
  <c r="AC2075" i="1"/>
  <c r="W2075" i="1"/>
  <c r="AA2075" i="1" s="1"/>
  <c r="AD2075" i="1" s="1"/>
  <c r="T2075" i="1"/>
  <c r="Z2075" i="1" s="1"/>
  <c r="E2075" i="1"/>
  <c r="AC2074" i="1"/>
  <c r="W2074" i="1"/>
  <c r="AA2074" i="1" s="1"/>
  <c r="AD2074" i="1" s="1"/>
  <c r="T2074" i="1"/>
  <c r="Z2074" i="1" s="1"/>
  <c r="E2074" i="1"/>
  <c r="AC2073" i="1"/>
  <c r="W2073" i="1"/>
  <c r="AA2073" i="1" s="1"/>
  <c r="AD2073" i="1" s="1"/>
  <c r="T2073" i="1"/>
  <c r="Z2073" i="1" s="1"/>
  <c r="E2073" i="1"/>
  <c r="AC2072" i="1"/>
  <c r="W2072" i="1"/>
  <c r="X2072" i="1" s="1"/>
  <c r="T2072" i="1"/>
  <c r="Z2072" i="1" s="1"/>
  <c r="E2072" i="1"/>
  <c r="AC2071" i="1"/>
  <c r="W2071" i="1"/>
  <c r="AA2071" i="1" s="1"/>
  <c r="AD2071" i="1" s="1"/>
  <c r="T2071" i="1"/>
  <c r="Z2071" i="1" s="1"/>
  <c r="E2071" i="1"/>
  <c r="AC2070" i="1"/>
  <c r="W2070" i="1"/>
  <c r="AA2070" i="1" s="1"/>
  <c r="AD2070" i="1" s="1"/>
  <c r="T2070" i="1"/>
  <c r="U2070" i="1" s="1"/>
  <c r="E2070" i="1"/>
  <c r="AC2069" i="1"/>
  <c r="S2069" i="1"/>
  <c r="R2069" i="1"/>
  <c r="T2069" i="1" s="1"/>
  <c r="Z2069" i="1" s="1"/>
  <c r="AB2069" i="1" s="1"/>
  <c r="Q2069" i="1"/>
  <c r="O2069" i="1"/>
  <c r="M2069" i="1"/>
  <c r="K2069" i="1"/>
  <c r="I2069" i="1"/>
  <c r="G2069" i="1"/>
  <c r="AC2068" i="1"/>
  <c r="W2068" i="1"/>
  <c r="AA2068" i="1" s="1"/>
  <c r="AD2068" i="1" s="1"/>
  <c r="T2068" i="1"/>
  <c r="U2068" i="1" s="1"/>
  <c r="AC2067" i="1"/>
  <c r="W2067" i="1"/>
  <c r="AA2067" i="1" s="1"/>
  <c r="AD2067" i="1" s="1"/>
  <c r="T2067" i="1"/>
  <c r="Z2067" i="1" s="1"/>
  <c r="AB2067" i="1" s="1"/>
  <c r="AC2066" i="1"/>
  <c r="W2066" i="1"/>
  <c r="X2066" i="1" s="1"/>
  <c r="T2066" i="1"/>
  <c r="Z2066" i="1" s="1"/>
  <c r="AB2066" i="1" s="1"/>
  <c r="AC2065" i="1"/>
  <c r="S2065" i="1"/>
  <c r="R2065" i="1"/>
  <c r="T2065" i="1" s="1"/>
  <c r="Z2065" i="1" s="1"/>
  <c r="AB2065" i="1" s="1"/>
  <c r="Q2065" i="1"/>
  <c r="O2065" i="1"/>
  <c r="M2065" i="1"/>
  <c r="K2065" i="1"/>
  <c r="I2065" i="1"/>
  <c r="G2065" i="1"/>
  <c r="AC2064" i="1"/>
  <c r="W2064" i="1"/>
  <c r="AA2064" i="1" s="1"/>
  <c r="AD2064" i="1" s="1"/>
  <c r="T2064" i="1"/>
  <c r="U2064" i="1" s="1"/>
  <c r="AC2063" i="1"/>
  <c r="W2063" i="1"/>
  <c r="AA2063" i="1" s="1"/>
  <c r="AD2063" i="1" s="1"/>
  <c r="T2063" i="1"/>
  <c r="Z2063" i="1" s="1"/>
  <c r="E2063" i="1"/>
  <c r="AC2062" i="1"/>
  <c r="W2062" i="1"/>
  <c r="AA2062" i="1" s="1"/>
  <c r="AD2062" i="1" s="1"/>
  <c r="T2062" i="1"/>
  <c r="Z2062" i="1" s="1"/>
  <c r="AB2062" i="1" s="1"/>
  <c r="AC2061" i="1"/>
  <c r="W2061" i="1"/>
  <c r="AA2061" i="1" s="1"/>
  <c r="AD2061" i="1" s="1"/>
  <c r="T2061" i="1"/>
  <c r="U2061" i="1" s="1"/>
  <c r="AC2060" i="1"/>
  <c r="S2060" i="1"/>
  <c r="R2060" i="1"/>
  <c r="Q2060" i="1"/>
  <c r="P2060" i="1"/>
  <c r="O2060" i="1"/>
  <c r="N2060" i="1"/>
  <c r="M2060" i="1"/>
  <c r="L2060" i="1"/>
  <c r="K2060" i="1"/>
  <c r="J2060" i="1"/>
  <c r="I2060" i="1"/>
  <c r="G2060" i="1"/>
  <c r="AC2059" i="1"/>
  <c r="W2059" i="1"/>
  <c r="X2059" i="1" s="1"/>
  <c r="T2059" i="1"/>
  <c r="U2059" i="1" s="1"/>
  <c r="AC2058" i="1"/>
  <c r="W2058" i="1"/>
  <c r="AA2058" i="1" s="1"/>
  <c r="AD2058" i="1" s="1"/>
  <c r="T2058" i="1"/>
  <c r="Z2058" i="1" s="1"/>
  <c r="AB2058" i="1" s="1"/>
  <c r="AC2057" i="1"/>
  <c r="S2057" i="1"/>
  <c r="R2057" i="1"/>
  <c r="Q2057" i="1"/>
  <c r="P2057" i="1"/>
  <c r="O2057" i="1"/>
  <c r="M2057" i="1"/>
  <c r="L2057" i="1"/>
  <c r="K2057" i="1"/>
  <c r="J2057" i="1"/>
  <c r="I2057" i="1"/>
  <c r="G2057" i="1"/>
  <c r="AC2056" i="1"/>
  <c r="T2056" i="1"/>
  <c r="Z2056" i="1" s="1"/>
  <c r="AB2056" i="1" s="1"/>
  <c r="S2086" i="1" l="1"/>
  <c r="X2063" i="1"/>
  <c r="Z2064" i="1"/>
  <c r="AB2064" i="1" s="1"/>
  <c r="X2070" i="1"/>
  <c r="U2071" i="1"/>
  <c r="AB2072" i="1"/>
  <c r="U2087" i="1"/>
  <c r="U2088" i="1"/>
  <c r="U2089" i="1"/>
  <c r="X2091" i="1"/>
  <c r="U2095" i="1"/>
  <c r="U2062" i="1"/>
  <c r="AB2074" i="1"/>
  <c r="AB2077" i="1"/>
  <c r="AB2080" i="1"/>
  <c r="Z2083" i="1"/>
  <c r="AB2083" i="1" s="1"/>
  <c r="W2101" i="1"/>
  <c r="X2101" i="1" s="1"/>
  <c r="G2056" i="1"/>
  <c r="X2073" i="1"/>
  <c r="U2075" i="1"/>
  <c r="X2079" i="1"/>
  <c r="U2081" i="1"/>
  <c r="K2086" i="1"/>
  <c r="Q2086" i="1"/>
  <c r="G2086" i="1"/>
  <c r="U2097" i="1"/>
  <c r="Z2098" i="1"/>
  <c r="AB2098" i="1" s="1"/>
  <c r="I2056" i="1"/>
  <c r="W2057" i="1"/>
  <c r="X2057" i="1" s="1"/>
  <c r="X2071" i="1"/>
  <c r="U2105" i="1"/>
  <c r="U2056" i="1"/>
  <c r="O2056" i="1"/>
  <c r="K2056" i="1"/>
  <c r="U2063" i="1"/>
  <c r="W2065" i="1"/>
  <c r="AA2065" i="1" s="1"/>
  <c r="AD2065" i="1" s="1"/>
  <c r="AA2066" i="1"/>
  <c r="AD2066" i="1" s="1"/>
  <c r="X2067" i="1"/>
  <c r="W2069" i="1"/>
  <c r="X2069" i="1" s="1"/>
  <c r="AB2071" i="1"/>
  <c r="AA2072" i="1"/>
  <c r="AD2072" i="1" s="1"/>
  <c r="U2073" i="1"/>
  <c r="X2075" i="1"/>
  <c r="AA2077" i="1"/>
  <c r="AD2077" i="1" s="1"/>
  <c r="U2078" i="1"/>
  <c r="U2079" i="1"/>
  <c r="X2081" i="1"/>
  <c r="U2091" i="1"/>
  <c r="X2095" i="1"/>
  <c r="U2103" i="1"/>
  <c r="Q2056" i="1"/>
  <c r="U2058" i="1"/>
  <c r="AB2076" i="1"/>
  <c r="W2082" i="1"/>
  <c r="X2082" i="1" s="1"/>
  <c r="T2090" i="1"/>
  <c r="U2090" i="1" s="1"/>
  <c r="S2056" i="1"/>
  <c r="T2057" i="1"/>
  <c r="U2057" i="1" s="1"/>
  <c r="Z2059" i="1"/>
  <c r="AB2059" i="1" s="1"/>
  <c r="T2060" i="1"/>
  <c r="Z2060" i="1" s="1"/>
  <c r="AB2060" i="1" s="1"/>
  <c r="X2068" i="1"/>
  <c r="U2072" i="1"/>
  <c r="X2074" i="1"/>
  <c r="U2076" i="1"/>
  <c r="U2077" i="1"/>
  <c r="X2080" i="1"/>
  <c r="W2090" i="1"/>
  <c r="X2090" i="1" s="1"/>
  <c r="X2093" i="1"/>
  <c r="X2099" i="1"/>
  <c r="U2101" i="1"/>
  <c r="X2103" i="1"/>
  <c r="W2078" i="1"/>
  <c r="X2078" i="1" s="1"/>
  <c r="AA2105" i="1"/>
  <c r="AD2105" i="1" s="1"/>
  <c r="AA2059" i="1"/>
  <c r="AD2059" i="1" s="1"/>
  <c r="AB2063" i="1"/>
  <c r="U2074" i="1"/>
  <c r="U2080" i="1"/>
  <c r="O2086" i="1"/>
  <c r="U2093" i="1"/>
  <c r="U2099" i="1"/>
  <c r="U2082" i="1"/>
  <c r="Z2082" i="1"/>
  <c r="AB2082" i="1" s="1"/>
  <c r="AA2104" i="1"/>
  <c r="AD2104" i="1" s="1"/>
  <c r="X2104" i="1"/>
  <c r="X2058" i="1"/>
  <c r="X2064" i="1"/>
  <c r="U2066" i="1"/>
  <c r="U2067" i="1"/>
  <c r="AB2075" i="1"/>
  <c r="AB2078" i="1"/>
  <c r="AB2081" i="1"/>
  <c r="X2085" i="1"/>
  <c r="AA2085" i="1"/>
  <c r="AD2085" i="1" s="1"/>
  <c r="AA2092" i="1"/>
  <c r="AD2092" i="1" s="1"/>
  <c r="X2092" i="1"/>
  <c r="X2094" i="1"/>
  <c r="AA2094" i="1"/>
  <c r="AD2094" i="1" s="1"/>
  <c r="AA2096" i="1"/>
  <c r="AD2096" i="1" s="1"/>
  <c r="X2096" i="1"/>
  <c r="U2100" i="1"/>
  <c r="Z2100" i="1"/>
  <c r="AB2100" i="1" s="1"/>
  <c r="W2060" i="1"/>
  <c r="X2060" i="1" s="1"/>
  <c r="X2061" i="1"/>
  <c r="X2062" i="1"/>
  <c r="U2065" i="1"/>
  <c r="Z2070" i="1"/>
  <c r="AB2070" i="1" s="1"/>
  <c r="AA2084" i="1"/>
  <c r="AD2084" i="1" s="1"/>
  <c r="X2084" i="1"/>
  <c r="Z2085" i="1"/>
  <c r="AB2085" i="1" s="1"/>
  <c r="Z2086" i="1"/>
  <c r="AB2086" i="1" s="1"/>
  <c r="Z2092" i="1"/>
  <c r="AB2092" i="1" s="1"/>
  <c r="Z2094" i="1"/>
  <c r="AB2094" i="1" s="1"/>
  <c r="Z2102" i="1"/>
  <c r="AB2102" i="1" s="1"/>
  <c r="M2056" i="1"/>
  <c r="Z2061" i="1"/>
  <c r="AB2061" i="1" s="1"/>
  <c r="Z2068" i="1"/>
  <c r="AB2068" i="1" s="1"/>
  <c r="U2069" i="1"/>
  <c r="AB2073" i="1"/>
  <c r="W2076" i="1"/>
  <c r="X2076" i="1" s="1"/>
  <c r="AB2079" i="1"/>
  <c r="X2083" i="1"/>
  <c r="AA2083" i="1"/>
  <c r="AD2083" i="1" s="1"/>
  <c r="Z2084" i="1"/>
  <c r="AB2084" i="1" s="1"/>
  <c r="I2086" i="1"/>
  <c r="W2097" i="1"/>
  <c r="X2097" i="1" s="1"/>
  <c r="AA2098" i="1"/>
  <c r="AD2098" i="1" s="1"/>
  <c r="M2100" i="1"/>
  <c r="W2100" i="1" s="1"/>
  <c r="X2100" i="1" s="1"/>
  <c r="AA2102" i="1"/>
  <c r="AD2102" i="1" s="1"/>
  <c r="Z2096" i="1"/>
  <c r="AB2096" i="1" s="1"/>
  <c r="Z2104" i="1"/>
  <c r="AB2104" i="1" s="1"/>
  <c r="Z2057" i="1" l="1"/>
  <c r="AB2057" i="1" s="1"/>
  <c r="X2065" i="1"/>
  <c r="AA2101" i="1"/>
  <c r="AD2101" i="1" s="1"/>
  <c r="AA2057" i="1"/>
  <c r="AD2057" i="1" s="1"/>
  <c r="U2060" i="1"/>
  <c r="W2086" i="1"/>
  <c r="X2086" i="1" s="1"/>
  <c r="AA2069" i="1"/>
  <c r="AD2069" i="1" s="1"/>
  <c r="AA2078" i="1"/>
  <c r="AD2078" i="1" s="1"/>
  <c r="AA2082" i="1"/>
  <c r="AD2082" i="1" s="1"/>
  <c r="Z2090" i="1"/>
  <c r="AB2090" i="1" s="1"/>
  <c r="AA2090" i="1"/>
  <c r="AD2090" i="1" s="1"/>
  <c r="AA2097" i="1"/>
  <c r="AD2097" i="1" s="1"/>
  <c r="AA2100" i="1"/>
  <c r="AD2100" i="1" s="1"/>
  <c r="AH1983" i="1"/>
  <c r="W2056" i="1"/>
  <c r="AA2060" i="1"/>
  <c r="AD2060" i="1" s="1"/>
  <c r="AA2076" i="1"/>
  <c r="AD2076" i="1" s="1"/>
  <c r="AA2086" i="1" l="1"/>
  <c r="AD2086" i="1" s="1"/>
  <c r="X2056" i="1"/>
  <c r="AA2056" i="1"/>
  <c r="AD2056" i="1" s="1"/>
  <c r="W1993" i="1" l="1"/>
  <c r="T1993" i="1"/>
  <c r="U1993" i="1" s="1"/>
  <c r="E1993" i="1"/>
  <c r="W1992" i="1"/>
  <c r="X1992" i="1" s="1"/>
  <c r="T1992" i="1"/>
  <c r="Z1992" i="1" s="1"/>
  <c r="E1992" i="1"/>
  <c r="W1991" i="1"/>
  <c r="AA1991" i="1" s="1"/>
  <c r="T1991" i="1"/>
  <c r="U1991" i="1" s="1"/>
  <c r="E1991" i="1"/>
  <c r="W1990" i="1"/>
  <c r="AA1990" i="1" s="1"/>
  <c r="T1990" i="1"/>
  <c r="U1990" i="1" s="1"/>
  <c r="E1990" i="1"/>
  <c r="W1989" i="1"/>
  <c r="T1989" i="1"/>
  <c r="Z1989" i="1" s="1"/>
  <c r="W1988" i="1"/>
  <c r="AA1988" i="1" s="1"/>
  <c r="T1988" i="1"/>
  <c r="U1988" i="1" s="1"/>
  <c r="E1988" i="1"/>
  <c r="W1987" i="1"/>
  <c r="AA1987" i="1" s="1"/>
  <c r="T1987" i="1"/>
  <c r="Z1987" i="1" s="1"/>
  <c r="W1986" i="1"/>
  <c r="AA1986" i="1" s="1"/>
  <c r="T1986" i="1"/>
  <c r="Z1986" i="1" s="1"/>
  <c r="E1986" i="1"/>
  <c r="W1985" i="1"/>
  <c r="AA1985" i="1" s="1"/>
  <c r="T1985" i="1"/>
  <c r="U1985" i="1" s="1"/>
  <c r="W1984" i="1"/>
  <c r="P1984" i="1"/>
  <c r="N1984" i="1"/>
  <c r="L1984" i="1"/>
  <c r="W1983" i="1"/>
  <c r="AA1983" i="1" s="1"/>
  <c r="R1983" i="1"/>
  <c r="P1983" i="1"/>
  <c r="N1983" i="1"/>
  <c r="L1983" i="1"/>
  <c r="W1982" i="1"/>
  <c r="AA1982" i="1" s="1"/>
  <c r="R1982" i="1"/>
  <c r="P1982" i="1"/>
  <c r="N1982" i="1"/>
  <c r="L1982" i="1"/>
  <c r="W1981" i="1"/>
  <c r="AA1981" i="1" s="1"/>
  <c r="P1981" i="1"/>
  <c r="N1981" i="1"/>
  <c r="L1981" i="1"/>
  <c r="W1980" i="1"/>
  <c r="AA1980" i="1" s="1"/>
  <c r="R1980" i="1"/>
  <c r="P1980" i="1"/>
  <c r="N1980" i="1"/>
  <c r="L1980" i="1"/>
  <c r="T1979" i="1"/>
  <c r="Z1979" i="1" s="1"/>
  <c r="S1979" i="1"/>
  <c r="S1976" i="1" s="1"/>
  <c r="Q1979" i="1"/>
  <c r="Q1976" i="1" s="1"/>
  <c r="O1979" i="1"/>
  <c r="O1976" i="1" s="1"/>
  <c r="M1979" i="1"/>
  <c r="M1976" i="1" s="1"/>
  <c r="K1979" i="1"/>
  <c r="K1976" i="1" s="1"/>
  <c r="I1979" i="1"/>
  <c r="G1979" i="1"/>
  <c r="G1976" i="1" s="1"/>
  <c r="W1978" i="1"/>
  <c r="AA1978" i="1" s="1"/>
  <c r="T1978" i="1"/>
  <c r="U1978" i="1" s="1"/>
  <c r="W1977" i="1"/>
  <c r="X1977" i="1" s="1"/>
  <c r="T1977" i="1"/>
  <c r="Z1977" i="1" s="1"/>
  <c r="P1977" i="1"/>
  <c r="N1977" i="1"/>
  <c r="L1977" i="1"/>
  <c r="P1976" i="1"/>
  <c r="N1976" i="1"/>
  <c r="L1976" i="1"/>
  <c r="W1975" i="1"/>
  <c r="X1975" i="1" s="1"/>
  <c r="T1975" i="1"/>
  <c r="Z1975" i="1" s="1"/>
  <c r="G1975" i="1"/>
  <c r="W1974" i="1"/>
  <c r="X1974" i="1" s="1"/>
  <c r="T1974" i="1"/>
  <c r="U1974" i="1" s="1"/>
  <c r="G1974" i="1"/>
  <c r="W1973" i="1"/>
  <c r="AA1973" i="1" s="1"/>
  <c r="T1973" i="1"/>
  <c r="U1973" i="1" s="1"/>
  <c r="G1973" i="1"/>
  <c r="W1972" i="1"/>
  <c r="AA1972" i="1" s="1"/>
  <c r="T1972" i="1"/>
  <c r="U1972" i="1" s="1"/>
  <c r="G1972" i="1"/>
  <c r="E1972" i="1"/>
  <c r="W1971" i="1"/>
  <c r="AA1971" i="1" s="1"/>
  <c r="T1971" i="1"/>
  <c r="U1971" i="1" s="1"/>
  <c r="G1971" i="1"/>
  <c r="W1970" i="1"/>
  <c r="X1970" i="1" s="1"/>
  <c r="T1970" i="1"/>
  <c r="Z1970" i="1" s="1"/>
  <c r="G1970" i="1"/>
  <c r="W1969" i="1"/>
  <c r="X1969" i="1" s="1"/>
  <c r="T1969" i="1"/>
  <c r="U1969" i="1" s="1"/>
  <c r="G1969" i="1"/>
  <c r="W1968" i="1"/>
  <c r="AA1968" i="1" s="1"/>
  <c r="P1968" i="1"/>
  <c r="N1968" i="1"/>
  <c r="L1968" i="1"/>
  <c r="W1967" i="1"/>
  <c r="AA1967" i="1" s="1"/>
  <c r="P1967" i="1"/>
  <c r="N1967" i="1"/>
  <c r="L1967" i="1"/>
  <c r="T1966" i="1"/>
  <c r="U1966" i="1" s="1"/>
  <c r="Q1966" i="1"/>
  <c r="Q1965" i="1" s="1"/>
  <c r="O1966" i="1"/>
  <c r="O1965" i="1" s="1"/>
  <c r="M1966" i="1"/>
  <c r="K1966" i="1"/>
  <c r="K1965" i="1" s="1"/>
  <c r="I1966" i="1"/>
  <c r="I1965" i="1" s="1"/>
  <c r="T1965" i="1"/>
  <c r="U1965" i="1" s="1"/>
  <c r="W1964" i="1"/>
  <c r="AA1964" i="1" s="1"/>
  <c r="T1964" i="1"/>
  <c r="U1964" i="1" s="1"/>
  <c r="T1963" i="1"/>
  <c r="Z1963" i="1" s="1"/>
  <c r="Q1963" i="1"/>
  <c r="O1963" i="1"/>
  <c r="M1963" i="1"/>
  <c r="K1963" i="1"/>
  <c r="G1963" i="1"/>
  <c r="W1962" i="1"/>
  <c r="X1962" i="1" s="1"/>
  <c r="T1962" i="1"/>
  <c r="Z1962" i="1" s="1"/>
  <c r="W1961" i="1"/>
  <c r="AA1961" i="1" s="1"/>
  <c r="T1961" i="1"/>
  <c r="U1961" i="1" s="1"/>
  <c r="W1960" i="1"/>
  <c r="X1960" i="1" s="1"/>
  <c r="T1960" i="1"/>
  <c r="Z1960" i="1" s="1"/>
  <c r="T1959" i="1"/>
  <c r="U1959" i="1" s="1"/>
  <c r="S1959" i="1"/>
  <c r="Q1959" i="1"/>
  <c r="O1959" i="1"/>
  <c r="M1959" i="1"/>
  <c r="K1959" i="1"/>
  <c r="I1959" i="1"/>
  <c r="G1959" i="1"/>
  <c r="AA1958" i="1"/>
  <c r="Z1958" i="1"/>
  <c r="W1957" i="1"/>
  <c r="X1957" i="1" s="1"/>
  <c r="T1957" i="1"/>
  <c r="Z1957" i="1" s="1"/>
  <c r="E1957" i="1"/>
  <c r="W1956" i="1"/>
  <c r="X1956" i="1" s="1"/>
  <c r="T1956" i="1"/>
  <c r="Z1956" i="1" s="1"/>
  <c r="W1955" i="1"/>
  <c r="AA1955" i="1" s="1"/>
  <c r="T1955" i="1"/>
  <c r="U1955" i="1" s="1"/>
  <c r="W1954" i="1"/>
  <c r="X1954" i="1" s="1"/>
  <c r="R1954" i="1"/>
  <c r="P1954" i="1"/>
  <c r="N1954" i="1"/>
  <c r="L1954" i="1"/>
  <c r="J1954" i="1"/>
  <c r="W1953" i="1"/>
  <c r="AA1953" i="1" s="1"/>
  <c r="P1953" i="1"/>
  <c r="T1953" i="1" s="1"/>
  <c r="J1953" i="1"/>
  <c r="T1952" i="1"/>
  <c r="Z1952" i="1" s="1"/>
  <c r="S1952" i="1"/>
  <c r="Q1952" i="1"/>
  <c r="O1952" i="1"/>
  <c r="M1952" i="1"/>
  <c r="K1952" i="1"/>
  <c r="J1952" i="1"/>
  <c r="I1952" i="1"/>
  <c r="G1952" i="1"/>
  <c r="W1951" i="1"/>
  <c r="X1951" i="1" s="1"/>
  <c r="T1951" i="1"/>
  <c r="Z1951" i="1" s="1"/>
  <c r="W1950" i="1"/>
  <c r="AA1950" i="1" s="1"/>
  <c r="T1950" i="1"/>
  <c r="U1950" i="1" s="1"/>
  <c r="W1949" i="1"/>
  <c r="X1949" i="1" s="1"/>
  <c r="T1949" i="1"/>
  <c r="Z1949" i="1" s="1"/>
  <c r="W1948" i="1"/>
  <c r="AA1948" i="1" s="1"/>
  <c r="T1948" i="1"/>
  <c r="U1948" i="1" s="1"/>
  <c r="W1947" i="1"/>
  <c r="AA1947" i="1" s="1"/>
  <c r="T1947" i="1"/>
  <c r="Z1947" i="1" s="1"/>
  <c r="W1946" i="1"/>
  <c r="AA1946" i="1" s="1"/>
  <c r="R1946" i="1"/>
  <c r="P1946" i="1"/>
  <c r="N1946" i="1"/>
  <c r="L1946" i="1"/>
  <c r="S1945" i="1"/>
  <c r="R1945" i="1"/>
  <c r="Q1945" i="1"/>
  <c r="P1945" i="1"/>
  <c r="O1945" i="1"/>
  <c r="N1945" i="1"/>
  <c r="M1945" i="1"/>
  <c r="L1945" i="1"/>
  <c r="K1945" i="1"/>
  <c r="I1945" i="1"/>
  <c r="G1945" i="1"/>
  <c r="W1944" i="1"/>
  <c r="AA1944" i="1" s="1"/>
  <c r="T1944" i="1"/>
  <c r="U1944" i="1" s="1"/>
  <c r="W1943" i="1"/>
  <c r="AA1943" i="1" s="1"/>
  <c r="T1943" i="1"/>
  <c r="Z1943" i="1" s="1"/>
  <c r="Z1942" i="1"/>
  <c r="W1942" i="1"/>
  <c r="X1942" i="1" s="1"/>
  <c r="U1942" i="1"/>
  <c r="Z1941" i="1"/>
  <c r="W1941" i="1"/>
  <c r="X1941" i="1" s="1"/>
  <c r="U1941" i="1"/>
  <c r="Z1940" i="1"/>
  <c r="W1940" i="1"/>
  <c r="AA1940" i="1" s="1"/>
  <c r="U1940" i="1"/>
  <c r="Z1939" i="1"/>
  <c r="W1939" i="1"/>
  <c r="AA1939" i="1" s="1"/>
  <c r="U1939" i="1"/>
  <c r="W1938" i="1"/>
  <c r="X1938" i="1" s="1"/>
  <c r="T1938" i="1"/>
  <c r="Z1938" i="1" s="1"/>
  <c r="W1937" i="1"/>
  <c r="AA1937" i="1" s="1"/>
  <c r="T1937" i="1"/>
  <c r="U1937" i="1" s="1"/>
  <c r="W1936" i="1"/>
  <c r="AA1936" i="1" s="1"/>
  <c r="R1936" i="1"/>
  <c r="P1936" i="1"/>
  <c r="W1935" i="1"/>
  <c r="AA1935" i="1" s="1"/>
  <c r="R1935" i="1"/>
  <c r="P1935" i="1"/>
  <c r="S1934" i="1"/>
  <c r="Q1934" i="1"/>
  <c r="P1934" i="1"/>
  <c r="T1934" i="1" s="1"/>
  <c r="U1934" i="1" s="1"/>
  <c r="O1934" i="1"/>
  <c r="M1934" i="1"/>
  <c r="K1934" i="1"/>
  <c r="I1934" i="1"/>
  <c r="G1934" i="1"/>
  <c r="W1933" i="1"/>
  <c r="AA1933" i="1" s="1"/>
  <c r="T1933" i="1"/>
  <c r="U1933" i="1" s="1"/>
  <c r="W1932" i="1"/>
  <c r="AA1932" i="1" s="1"/>
  <c r="R1932" i="1"/>
  <c r="P1932" i="1"/>
  <c r="N1932" i="1"/>
  <c r="L1932" i="1"/>
  <c r="R1931" i="1"/>
  <c r="P1931" i="1"/>
  <c r="W1930" i="1"/>
  <c r="AA1930" i="1" s="1"/>
  <c r="T1930" i="1"/>
  <c r="Z1930" i="1" s="1"/>
  <c r="W1929" i="1"/>
  <c r="X1929" i="1" s="1"/>
  <c r="T1929" i="1"/>
  <c r="Z1929" i="1" s="1"/>
  <c r="W1928" i="1"/>
  <c r="AA1928" i="1" s="1"/>
  <c r="T1928" i="1"/>
  <c r="U1928" i="1" s="1"/>
  <c r="W1927" i="1"/>
  <c r="X1927" i="1" s="1"/>
  <c r="T1927" i="1"/>
  <c r="Z1927" i="1" s="1"/>
  <c r="T1926" i="1"/>
  <c r="U1926" i="1" s="1"/>
  <c r="S1926" i="1"/>
  <c r="Q1926" i="1"/>
  <c r="O1926" i="1"/>
  <c r="M1926" i="1"/>
  <c r="K1926" i="1"/>
  <c r="I1926" i="1"/>
  <c r="G1926" i="1"/>
  <c r="W1925" i="1"/>
  <c r="AA1925" i="1" s="1"/>
  <c r="T1925" i="1"/>
  <c r="Z1925" i="1" s="1"/>
  <c r="W1924" i="1"/>
  <c r="AA1924" i="1" s="1"/>
  <c r="T1924" i="1"/>
  <c r="U1924" i="1" s="1"/>
  <c r="W1923" i="1"/>
  <c r="X1923" i="1" s="1"/>
  <c r="T1923" i="1"/>
  <c r="Z1923" i="1" s="1"/>
  <c r="T1922" i="1"/>
  <c r="U1922" i="1" s="1"/>
  <c r="S1922" i="1"/>
  <c r="Q1922" i="1"/>
  <c r="O1922" i="1"/>
  <c r="M1922" i="1"/>
  <c r="K1922" i="1"/>
  <c r="I1922" i="1"/>
  <c r="G1922" i="1"/>
  <c r="AA1921" i="1"/>
  <c r="Z1921" i="1"/>
  <c r="G1921" i="1"/>
  <c r="G1914" i="1" s="1"/>
  <c r="W1920" i="1"/>
  <c r="AA1920" i="1" s="1"/>
  <c r="T1920" i="1"/>
  <c r="U1920" i="1" s="1"/>
  <c r="W1919" i="1"/>
  <c r="X1919" i="1" s="1"/>
  <c r="T1919" i="1"/>
  <c r="U1919" i="1" s="1"/>
  <c r="W1918" i="1"/>
  <c r="AA1918" i="1" s="1"/>
  <c r="T1918" i="1"/>
  <c r="W1917" i="1"/>
  <c r="X1917" i="1" s="1"/>
  <c r="T1917" i="1"/>
  <c r="U1917" i="1" s="1"/>
  <c r="W1916" i="1"/>
  <c r="AA1916" i="1" s="1"/>
  <c r="T1916" i="1"/>
  <c r="U1916" i="1" s="1"/>
  <c r="W1915" i="1"/>
  <c r="X1915" i="1" s="1"/>
  <c r="T1915" i="1"/>
  <c r="U1915" i="1" s="1"/>
  <c r="T1914" i="1"/>
  <c r="U1914" i="1" s="1"/>
  <c r="S1914" i="1"/>
  <c r="Q1914" i="1"/>
  <c r="O1914" i="1"/>
  <c r="M1914" i="1"/>
  <c r="K1914" i="1"/>
  <c r="I1914" i="1"/>
  <c r="W1913" i="1"/>
  <c r="AA1913" i="1" s="1"/>
  <c r="T1913" i="1"/>
  <c r="Z1913" i="1" s="1"/>
  <c r="S1912" i="1"/>
  <c r="Q1912" i="1"/>
  <c r="P1912" i="1"/>
  <c r="O1912" i="1"/>
  <c r="N1912" i="1"/>
  <c r="M1912" i="1"/>
  <c r="K1912" i="1"/>
  <c r="G1912" i="1"/>
  <c r="AH1838" i="1"/>
  <c r="W1911" i="1"/>
  <c r="X1911" i="1" s="1"/>
  <c r="T1911" i="1"/>
  <c r="Z1911" i="1" s="1"/>
  <c r="AH1837" i="1"/>
  <c r="W1910" i="1"/>
  <c r="X1910" i="1" s="1"/>
  <c r="T1910" i="1"/>
  <c r="Z1910" i="1" s="1"/>
  <c r="AH1836" i="1"/>
  <c r="W1909" i="1"/>
  <c r="AA1909" i="1" s="1"/>
  <c r="T1909" i="1"/>
  <c r="U1909" i="1" s="1"/>
  <c r="AH1835" i="1"/>
  <c r="W1908" i="1"/>
  <c r="AA1908" i="1" s="1"/>
  <c r="T1908" i="1"/>
  <c r="Z1908" i="1" s="1"/>
  <c r="S1907" i="1"/>
  <c r="Q1907" i="1"/>
  <c r="P1907" i="1"/>
  <c r="O1907" i="1"/>
  <c r="N1907" i="1"/>
  <c r="M1907" i="1"/>
  <c r="L1907" i="1"/>
  <c r="K1907" i="1"/>
  <c r="J1907" i="1"/>
  <c r="I1907" i="1"/>
  <c r="G1907" i="1"/>
  <c r="W1906" i="1"/>
  <c r="AA1906" i="1" s="1"/>
  <c r="T1906" i="1"/>
  <c r="Z1906" i="1" s="1"/>
  <c r="W1905" i="1"/>
  <c r="AA1905" i="1" s="1"/>
  <c r="T1905" i="1"/>
  <c r="Z1905" i="1" s="1"/>
  <c r="S1904" i="1"/>
  <c r="R1904" i="1"/>
  <c r="Q1904" i="1"/>
  <c r="P1904" i="1"/>
  <c r="O1904" i="1"/>
  <c r="N1904" i="1"/>
  <c r="M1904" i="1"/>
  <c r="L1904" i="1"/>
  <c r="K1904" i="1"/>
  <c r="J1904" i="1"/>
  <c r="I1904" i="1"/>
  <c r="G1904" i="1"/>
  <c r="T1903" i="1"/>
  <c r="Z1903" i="1" s="1"/>
  <c r="AA1910" i="1" l="1"/>
  <c r="U1943" i="1"/>
  <c r="W1966" i="1"/>
  <c r="X1966" i="1" s="1"/>
  <c r="T1976" i="1"/>
  <c r="Z1976" i="1" s="1"/>
  <c r="U1938" i="1"/>
  <c r="X1944" i="1"/>
  <c r="O1903" i="1"/>
  <c r="T1912" i="1"/>
  <c r="Z1912" i="1" s="1"/>
  <c r="T1936" i="1"/>
  <c r="U1936" i="1" s="1"/>
  <c r="U1975" i="1"/>
  <c r="G1903" i="1"/>
  <c r="T1904" i="1"/>
  <c r="Z1904" i="1" s="1"/>
  <c r="T1907" i="1"/>
  <c r="Z1907" i="1" s="1"/>
  <c r="S1931" i="1"/>
  <c r="X1981" i="1"/>
  <c r="Z1973" i="1"/>
  <c r="Z1985" i="1"/>
  <c r="X1913" i="1"/>
  <c r="T1935" i="1"/>
  <c r="U1935" i="1" s="1"/>
  <c r="X1978" i="1"/>
  <c r="Z1969" i="1"/>
  <c r="U1905" i="1"/>
  <c r="X1908" i="1"/>
  <c r="Z1917" i="1"/>
  <c r="X1925" i="1"/>
  <c r="W1934" i="1"/>
  <c r="X1934" i="1" s="1"/>
  <c r="M1931" i="1"/>
  <c r="X1953" i="1"/>
  <c r="AA1954" i="1"/>
  <c r="AA1970" i="1"/>
  <c r="X1971" i="1"/>
  <c r="X1973" i="1"/>
  <c r="U1913" i="1"/>
  <c r="X1937" i="1"/>
  <c r="X1939" i="1"/>
  <c r="X1940" i="1"/>
  <c r="AA1942" i="1"/>
  <c r="AA1956" i="1"/>
  <c r="AA1960" i="1"/>
  <c r="W1963" i="1"/>
  <c r="X1963" i="1" s="1"/>
  <c r="K1903" i="1"/>
  <c r="S1903" i="1"/>
  <c r="X1905" i="1"/>
  <c r="W1907" i="1"/>
  <c r="X1907" i="1" s="1"/>
  <c r="U1908" i="1"/>
  <c r="AA1938" i="1"/>
  <c r="AA1962" i="1"/>
  <c r="X1985" i="1"/>
  <c r="U1986" i="1"/>
  <c r="X1906" i="1"/>
  <c r="U1910" i="1"/>
  <c r="W1914" i="1"/>
  <c r="X1914" i="1" s="1"/>
  <c r="X1918" i="1"/>
  <c r="Z1919" i="1"/>
  <c r="X1920" i="1"/>
  <c r="U1929" i="1"/>
  <c r="X1948" i="1"/>
  <c r="U1951" i="1"/>
  <c r="U1956" i="1"/>
  <c r="AA1957" i="1"/>
  <c r="W1959" i="1"/>
  <c r="X1959" i="1" s="1"/>
  <c r="U1960" i="1"/>
  <c r="U1962" i="1"/>
  <c r="Z1966" i="1"/>
  <c r="AA1974" i="1"/>
  <c r="AA1977" i="1"/>
  <c r="U1979" i="1"/>
  <c r="X1983" i="1"/>
  <c r="U1987" i="1"/>
  <c r="U1989" i="1"/>
  <c r="U1992" i="1"/>
  <c r="W1904" i="1"/>
  <c r="X1904" i="1" s="1"/>
  <c r="Z1916" i="1"/>
  <c r="AA1919" i="1"/>
  <c r="T1932" i="1"/>
  <c r="Z1932" i="1" s="1"/>
  <c r="Z1933" i="1"/>
  <c r="Q1931" i="1"/>
  <c r="O1931" i="1"/>
  <c r="W1945" i="1"/>
  <c r="X1945" i="1" s="1"/>
  <c r="M1965" i="1"/>
  <c r="W1965" i="1" s="1"/>
  <c r="X1965" i="1" s="1"/>
  <c r="Z1965" i="1"/>
  <c r="U1970" i="1"/>
  <c r="W1979" i="1"/>
  <c r="X1979" i="1" s="1"/>
  <c r="T1980" i="1"/>
  <c r="U1980" i="1" s="1"/>
  <c r="X1982" i="1"/>
  <c r="T1984" i="1"/>
  <c r="Z1984" i="1" s="1"/>
  <c r="X1986" i="1"/>
  <c r="X1990" i="1"/>
  <c r="X1991" i="1"/>
  <c r="W1976" i="1"/>
  <c r="X1976" i="1" s="1"/>
  <c r="I1903" i="1"/>
  <c r="Q1903" i="1"/>
  <c r="M1903" i="1"/>
  <c r="U1906" i="1"/>
  <c r="W1912" i="1"/>
  <c r="AA1912" i="1" s="1"/>
  <c r="W1922" i="1"/>
  <c r="X1922" i="1" s="1"/>
  <c r="AA1923" i="1"/>
  <c r="U1927" i="1"/>
  <c r="X1928" i="1"/>
  <c r="T1931" i="1"/>
  <c r="U1931" i="1" s="1"/>
  <c r="T1945" i="1"/>
  <c r="Z1945" i="1" s="1"/>
  <c r="T1946" i="1"/>
  <c r="Z1946" i="1" s="1"/>
  <c r="U1949" i="1"/>
  <c r="X1950" i="1"/>
  <c r="G1931" i="1"/>
  <c r="W1952" i="1"/>
  <c r="X1952" i="1" s="1"/>
  <c r="U1952" i="1"/>
  <c r="T1954" i="1"/>
  <c r="Z1954" i="1" s="1"/>
  <c r="X1955" i="1"/>
  <c r="U1957" i="1"/>
  <c r="X1961" i="1"/>
  <c r="U1963" i="1"/>
  <c r="X1964" i="1"/>
  <c r="AA1969" i="1"/>
  <c r="U1977" i="1"/>
  <c r="X1980" i="1"/>
  <c r="X1987" i="1"/>
  <c r="X1988" i="1"/>
  <c r="AA1992" i="1"/>
  <c r="X1912" i="1"/>
  <c r="U1953" i="1"/>
  <c r="Z1953" i="1"/>
  <c r="Z1944" i="1"/>
  <c r="AA1984" i="1"/>
  <c r="X1984" i="1"/>
  <c r="U1903" i="1"/>
  <c r="X1909" i="1"/>
  <c r="U1911" i="1"/>
  <c r="AA1911" i="1"/>
  <c r="Z1914" i="1"/>
  <c r="Z1915" i="1"/>
  <c r="X1916" i="1"/>
  <c r="U1923" i="1"/>
  <c r="U1925" i="1"/>
  <c r="W1926" i="1"/>
  <c r="X1926" i="1" s="1"/>
  <c r="K1931" i="1"/>
  <c r="Z1948" i="1"/>
  <c r="AA1949" i="1"/>
  <c r="Z1950" i="1"/>
  <c r="AA1951" i="1"/>
  <c r="Z1964" i="1"/>
  <c r="Z1974" i="1"/>
  <c r="I1976" i="1"/>
  <c r="AH1834" i="1"/>
  <c r="AA1915" i="1"/>
  <c r="AA1959" i="1"/>
  <c r="I1931" i="1"/>
  <c r="AA1966" i="1"/>
  <c r="T1981" i="1"/>
  <c r="AA1989" i="1"/>
  <c r="X1989" i="1"/>
  <c r="U1918" i="1"/>
  <c r="Z1918" i="1"/>
  <c r="Z1909" i="1"/>
  <c r="AA1917" i="1"/>
  <c r="X1924" i="1"/>
  <c r="Z1926" i="1"/>
  <c r="AA1927" i="1"/>
  <c r="Z1928" i="1"/>
  <c r="AA1929" i="1"/>
  <c r="AA1941" i="1"/>
  <c r="X1943" i="1"/>
  <c r="U1947" i="1"/>
  <c r="T1967" i="1"/>
  <c r="T1968" i="1"/>
  <c r="G1966" i="1"/>
  <c r="G1965" i="1" s="1"/>
  <c r="X1972" i="1"/>
  <c r="AA1975" i="1"/>
  <c r="T1982" i="1"/>
  <c r="T1983" i="1"/>
  <c r="Z1988" i="1"/>
  <c r="Z1991" i="1"/>
  <c r="AA1993" i="1"/>
  <c r="X1993" i="1"/>
  <c r="Z1920" i="1"/>
  <c r="Z1922" i="1"/>
  <c r="Z1924" i="1"/>
  <c r="Z1934" i="1"/>
  <c r="Z1937" i="1"/>
  <c r="Z1955" i="1"/>
  <c r="Z1959" i="1"/>
  <c r="Z1961" i="1"/>
  <c r="Z1971" i="1"/>
  <c r="Z1972" i="1"/>
  <c r="Z1978" i="1"/>
  <c r="Z1990" i="1"/>
  <c r="Z1993" i="1"/>
  <c r="AA1904" i="1" l="1"/>
  <c r="AA1965" i="1"/>
  <c r="AA1979" i="1"/>
  <c r="Z1935" i="1"/>
  <c r="AA1934" i="1"/>
  <c r="U1984" i="1"/>
  <c r="W1903" i="1"/>
  <c r="AA1903" i="1" s="1"/>
  <c r="U1904" i="1"/>
  <c r="AA1963" i="1"/>
  <c r="AA1914" i="1"/>
  <c r="AA1907" i="1"/>
  <c r="U1976" i="1"/>
  <c r="U1912" i="1"/>
  <c r="Z1936" i="1"/>
  <c r="AA1945" i="1"/>
  <c r="AA1922" i="1"/>
  <c r="U1946" i="1"/>
  <c r="Z1931" i="1"/>
  <c r="U1907" i="1"/>
  <c r="Z1980" i="1"/>
  <c r="AH1830" i="1"/>
  <c r="W1931" i="1"/>
  <c r="X1931" i="1" s="1"/>
  <c r="AA1976" i="1"/>
  <c r="AA1952" i="1"/>
  <c r="U1932" i="1"/>
  <c r="U1945" i="1"/>
  <c r="U1954" i="1"/>
  <c r="AA1926" i="1"/>
  <c r="U1967" i="1"/>
  <c r="Z1967" i="1"/>
  <c r="U1968" i="1"/>
  <c r="Z1968" i="1"/>
  <c r="Z1982" i="1"/>
  <c r="U1982" i="1"/>
  <c r="U1983" i="1"/>
  <c r="Z1983" i="1"/>
  <c r="U1981" i="1"/>
  <c r="Z1981" i="1"/>
  <c r="X1903" i="1" l="1"/>
  <c r="AA1931" i="1"/>
  <c r="W1765" i="1"/>
  <c r="T1765" i="1"/>
  <c r="U1765" i="1" s="1"/>
  <c r="W1764" i="1"/>
  <c r="X1764" i="1" s="1"/>
  <c r="T1764" i="1"/>
  <c r="Z1764" i="1" s="1"/>
  <c r="W1763" i="1"/>
  <c r="X1763" i="1" s="1"/>
  <c r="T1763" i="1"/>
  <c r="Z1763" i="1" s="1"/>
  <c r="T1762" i="1"/>
  <c r="U1762" i="1" s="1"/>
  <c r="S1762" i="1"/>
  <c r="Q1762" i="1"/>
  <c r="O1762" i="1"/>
  <c r="M1762" i="1"/>
  <c r="K1762" i="1"/>
  <c r="I1762" i="1"/>
  <c r="G1762" i="1"/>
  <c r="W1761" i="1"/>
  <c r="X1761" i="1" s="1"/>
  <c r="T1761" i="1"/>
  <c r="U1761" i="1" s="1"/>
  <c r="W1760" i="1"/>
  <c r="T1760" i="1"/>
  <c r="U1760" i="1" s="1"/>
  <c r="W1759" i="1"/>
  <c r="X1759" i="1" s="1"/>
  <c r="T1759" i="1"/>
  <c r="U1759" i="1" s="1"/>
  <c r="T1758" i="1"/>
  <c r="U1758" i="1" s="1"/>
  <c r="S1758" i="1"/>
  <c r="Q1758" i="1"/>
  <c r="O1758" i="1"/>
  <c r="M1758" i="1"/>
  <c r="K1758" i="1"/>
  <c r="I1758" i="1"/>
  <c r="G1758" i="1"/>
  <c r="W1757" i="1"/>
  <c r="AA1757" i="1" s="1"/>
  <c r="T1757" i="1"/>
  <c r="U1757" i="1" s="1"/>
  <c r="T1756" i="1"/>
  <c r="Z1756" i="1" s="1"/>
  <c r="M1756" i="1"/>
  <c r="M1754" i="1" s="1"/>
  <c r="W1755" i="1"/>
  <c r="AA1755" i="1" s="1"/>
  <c r="T1755" i="1"/>
  <c r="U1755" i="1" s="1"/>
  <c r="T1754" i="1"/>
  <c r="Z1754" i="1" s="1"/>
  <c r="Q1754" i="1"/>
  <c r="Q1753" i="1" s="1"/>
  <c r="O1754" i="1"/>
  <c r="O1753" i="1" s="1"/>
  <c r="K1754" i="1"/>
  <c r="K1753" i="1" s="1"/>
  <c r="I1754" i="1"/>
  <c r="I1753" i="1" s="1"/>
  <c r="G1754" i="1"/>
  <c r="T1753" i="1"/>
  <c r="Z1753" i="1" s="1"/>
  <c r="W1752" i="1"/>
  <c r="X1752" i="1" s="1"/>
  <c r="T1752" i="1"/>
  <c r="U1752" i="1" s="1"/>
  <c r="W1751" i="1"/>
  <c r="T1751" i="1"/>
  <c r="Z1751" i="1" s="1"/>
  <c r="W1750" i="1"/>
  <c r="AA1750" i="1" s="1"/>
  <c r="T1750" i="1"/>
  <c r="U1750" i="1" s="1"/>
  <c r="T1749" i="1"/>
  <c r="Z1749" i="1" s="1"/>
  <c r="S1749" i="1"/>
  <c r="Q1749" i="1"/>
  <c r="O1749" i="1"/>
  <c r="M1749" i="1"/>
  <c r="K1749" i="1"/>
  <c r="I1749" i="1"/>
  <c r="G1749" i="1"/>
  <c r="E1749" i="1"/>
  <c r="W1748" i="1"/>
  <c r="X1748" i="1" s="1"/>
  <c r="T1748" i="1"/>
  <c r="U1748" i="1" s="1"/>
  <c r="W1747" i="1"/>
  <c r="X1747" i="1" s="1"/>
  <c r="T1747" i="1"/>
  <c r="Z1747" i="1" s="1"/>
  <c r="W1746" i="1"/>
  <c r="X1746" i="1" s="1"/>
  <c r="T1746" i="1"/>
  <c r="U1746" i="1" s="1"/>
  <c r="T1745" i="1"/>
  <c r="Z1745" i="1" s="1"/>
  <c r="Q1745" i="1"/>
  <c r="O1745" i="1"/>
  <c r="M1745" i="1"/>
  <c r="K1745" i="1"/>
  <c r="K1744" i="1" s="1"/>
  <c r="I1745" i="1"/>
  <c r="I1744" i="1" s="1"/>
  <c r="G1745" i="1"/>
  <c r="G1744" i="1" s="1"/>
  <c r="T1744" i="1"/>
  <c r="Z1744" i="1" s="1"/>
  <c r="S1744" i="1"/>
  <c r="Q1744" i="1"/>
  <c r="O1744" i="1"/>
  <c r="W1743" i="1"/>
  <c r="T1743" i="1"/>
  <c r="U1743" i="1" s="1"/>
  <c r="E1743" i="1"/>
  <c r="W1742" i="1"/>
  <c r="X1742" i="1" s="1"/>
  <c r="T1742" i="1"/>
  <c r="Z1742" i="1" s="1"/>
  <c r="E1742" i="1"/>
  <c r="W1741" i="1"/>
  <c r="X1741" i="1" s="1"/>
  <c r="T1741" i="1"/>
  <c r="U1741" i="1" s="1"/>
  <c r="E1741" i="1"/>
  <c r="T1740" i="1"/>
  <c r="U1740" i="1" s="1"/>
  <c r="S1740" i="1"/>
  <c r="Q1740" i="1"/>
  <c r="Q1737" i="1" s="1"/>
  <c r="O1740" i="1"/>
  <c r="O1737" i="1" s="1"/>
  <c r="M1740" i="1"/>
  <c r="K1740" i="1"/>
  <c r="K1737" i="1" s="1"/>
  <c r="I1740" i="1"/>
  <c r="I1737" i="1" s="1"/>
  <c r="G1740" i="1"/>
  <c r="G1737" i="1" s="1"/>
  <c r="T1739" i="1"/>
  <c r="Z1739" i="1" s="1"/>
  <c r="Q1739" i="1"/>
  <c r="O1739" i="1"/>
  <c r="M1739" i="1"/>
  <c r="I1739" i="1"/>
  <c r="G1739" i="1"/>
  <c r="T1738" i="1"/>
  <c r="U1738" i="1" s="1"/>
  <c r="Q1738" i="1"/>
  <c r="O1738" i="1"/>
  <c r="M1738" i="1"/>
  <c r="I1738" i="1"/>
  <c r="G1738" i="1"/>
  <c r="T1737" i="1"/>
  <c r="U1737" i="1" s="1"/>
  <c r="W1736" i="1"/>
  <c r="U1736" i="1"/>
  <c r="W1735" i="1"/>
  <c r="U1735" i="1"/>
  <c r="W1734" i="1"/>
  <c r="U1734" i="1"/>
  <c r="W1733" i="1"/>
  <c r="U1733" i="1"/>
  <c r="W1732" i="1"/>
  <c r="U1732" i="1"/>
  <c r="T1731" i="1"/>
  <c r="U1731" i="1" s="1"/>
  <c r="S1731" i="1"/>
  <c r="S1729" i="1" s="1"/>
  <c r="Q1731" i="1"/>
  <c r="Q1729" i="1" s="1"/>
  <c r="O1731" i="1"/>
  <c r="O1729" i="1" s="1"/>
  <c r="M1731" i="1"/>
  <c r="M1729" i="1" s="1"/>
  <c r="K1731" i="1"/>
  <c r="K1729" i="1" s="1"/>
  <c r="I1731" i="1"/>
  <c r="G1731" i="1"/>
  <c r="G1729" i="1" s="1"/>
  <c r="T1730" i="1"/>
  <c r="Z1730" i="1" s="1"/>
  <c r="AC1729" i="1"/>
  <c r="T1729" i="1"/>
  <c r="U1729" i="1" s="1"/>
  <c r="AK1728" i="1"/>
  <c r="W1728" i="1"/>
  <c r="X1728" i="1" s="1"/>
  <c r="T1728" i="1"/>
  <c r="U1728" i="1" s="1"/>
  <c r="G1728" i="1"/>
  <c r="AK1727" i="1"/>
  <c r="W1727" i="1"/>
  <c r="X1727" i="1" s="1"/>
  <c r="T1727" i="1"/>
  <c r="Z1727" i="1" s="1"/>
  <c r="AB1727" i="1" s="1"/>
  <c r="G1727" i="1"/>
  <c r="AK1726" i="1"/>
  <c r="W1726" i="1"/>
  <c r="X1726" i="1" s="1"/>
  <c r="T1726" i="1"/>
  <c r="U1726" i="1" s="1"/>
  <c r="G1726" i="1"/>
  <c r="AK1725" i="1"/>
  <c r="W1725" i="1"/>
  <c r="X1725" i="1" s="1"/>
  <c r="T1725" i="1"/>
  <c r="Z1725" i="1" s="1"/>
  <c r="AB1725" i="1" s="1"/>
  <c r="W1724" i="1"/>
  <c r="L1724" i="1"/>
  <c r="T1724" i="1" s="1"/>
  <c r="K1724" i="1"/>
  <c r="I1724" i="1"/>
  <c r="W1723" i="1"/>
  <c r="AA1723" i="1" s="1"/>
  <c r="AD1723" i="1" s="1"/>
  <c r="T1723" i="1"/>
  <c r="U1723" i="1" s="1"/>
  <c r="T1722" i="1"/>
  <c r="U1722" i="1" s="1"/>
  <c r="S1722" i="1"/>
  <c r="Q1722" i="1"/>
  <c r="O1722" i="1"/>
  <c r="M1722" i="1"/>
  <c r="K1722" i="1"/>
  <c r="I1722" i="1"/>
  <c r="G1722" i="1"/>
  <c r="W1721" i="1"/>
  <c r="X1721" i="1" s="1"/>
  <c r="T1721" i="1"/>
  <c r="Z1721" i="1" s="1"/>
  <c r="AB1721" i="1" s="1"/>
  <c r="T1720" i="1"/>
  <c r="Z1720" i="1" s="1"/>
  <c r="AB1720" i="1" s="1"/>
  <c r="S1720" i="1"/>
  <c r="Q1720" i="1"/>
  <c r="O1720" i="1"/>
  <c r="M1720" i="1"/>
  <c r="K1720" i="1"/>
  <c r="I1720" i="1"/>
  <c r="G1720" i="1"/>
  <c r="W1719" i="1"/>
  <c r="X1719" i="1" s="1"/>
  <c r="T1719" i="1"/>
  <c r="U1719" i="1" s="1"/>
  <c r="W1718" i="1"/>
  <c r="X1718" i="1" s="1"/>
  <c r="T1718" i="1"/>
  <c r="Z1718" i="1" s="1"/>
  <c r="AB1718" i="1" s="1"/>
  <c r="W1717" i="1"/>
  <c r="X1717" i="1" s="1"/>
  <c r="T1717" i="1"/>
  <c r="Z1717" i="1" s="1"/>
  <c r="AB1717" i="1" s="1"/>
  <c r="W1716" i="1"/>
  <c r="X1716" i="1" s="1"/>
  <c r="T1716" i="1"/>
  <c r="Z1716" i="1" s="1"/>
  <c r="AB1716" i="1" s="1"/>
  <c r="T1715" i="1"/>
  <c r="Z1715" i="1" s="1"/>
  <c r="AB1715" i="1" s="1"/>
  <c r="S1715" i="1"/>
  <c r="Q1715" i="1"/>
  <c r="O1715" i="1"/>
  <c r="M1715" i="1"/>
  <c r="K1715" i="1"/>
  <c r="I1715" i="1"/>
  <c r="G1715" i="1"/>
  <c r="W1714" i="1"/>
  <c r="AA1714" i="1" s="1"/>
  <c r="AD1714" i="1" s="1"/>
  <c r="T1714" i="1"/>
  <c r="Z1714" i="1" s="1"/>
  <c r="AB1714" i="1" s="1"/>
  <c r="W1713" i="1"/>
  <c r="X1713" i="1" s="1"/>
  <c r="T1713" i="1"/>
  <c r="U1713" i="1" s="1"/>
  <c r="W1712" i="1"/>
  <c r="AA1712" i="1" s="1"/>
  <c r="AD1712" i="1" s="1"/>
  <c r="T1712" i="1"/>
  <c r="Z1712" i="1" s="1"/>
  <c r="AB1712" i="1" s="1"/>
  <c r="T1711" i="1"/>
  <c r="Z1711" i="1" s="1"/>
  <c r="AB1711" i="1" s="1"/>
  <c r="S1711" i="1"/>
  <c r="Q1711" i="1"/>
  <c r="O1711" i="1"/>
  <c r="M1711" i="1"/>
  <c r="K1711" i="1"/>
  <c r="I1711" i="1"/>
  <c r="G1711" i="1"/>
  <c r="W1710" i="1"/>
  <c r="AA1710" i="1" s="1"/>
  <c r="AD1710" i="1" s="1"/>
  <c r="T1710" i="1"/>
  <c r="U1710" i="1" s="1"/>
  <c r="W1709" i="1"/>
  <c r="AA1709" i="1" s="1"/>
  <c r="AD1709" i="1" s="1"/>
  <c r="T1709" i="1"/>
  <c r="U1709" i="1" s="1"/>
  <c r="W1708" i="1"/>
  <c r="X1708" i="1" s="1"/>
  <c r="T1708" i="1"/>
  <c r="U1708" i="1" s="1"/>
  <c r="I1708" i="1"/>
  <c r="W1707" i="1"/>
  <c r="X1707" i="1" s="1"/>
  <c r="T1707" i="1"/>
  <c r="Z1707" i="1" s="1"/>
  <c r="AB1707" i="1" s="1"/>
  <c r="I1707" i="1"/>
  <c r="T1706" i="1"/>
  <c r="Z1706" i="1" s="1"/>
  <c r="AB1706" i="1" s="1"/>
  <c r="S1706" i="1"/>
  <c r="Q1706" i="1"/>
  <c r="O1706" i="1"/>
  <c r="M1706" i="1"/>
  <c r="K1706" i="1"/>
  <c r="G1706" i="1"/>
  <c r="W1705" i="1"/>
  <c r="AA1705" i="1" s="1"/>
  <c r="AD1705" i="1" s="1"/>
  <c r="T1705" i="1"/>
  <c r="Z1705" i="1" s="1"/>
  <c r="AB1705" i="1" s="1"/>
  <c r="T1704" i="1"/>
  <c r="Z1704" i="1" s="1"/>
  <c r="AB1704" i="1" s="1"/>
  <c r="Q1704" i="1"/>
  <c r="O1704" i="1"/>
  <c r="M1704" i="1"/>
  <c r="K1704" i="1"/>
  <c r="I1704" i="1"/>
  <c r="G1704" i="1"/>
  <c r="W1703" i="1"/>
  <c r="X1703" i="1" s="1"/>
  <c r="T1703" i="1"/>
  <c r="Z1703" i="1" s="1"/>
  <c r="AB1703" i="1" s="1"/>
  <c r="W1702" i="1"/>
  <c r="X1702" i="1" s="1"/>
  <c r="T1702" i="1"/>
  <c r="Z1702" i="1" s="1"/>
  <c r="AB1702" i="1" s="1"/>
  <c r="W1701" i="1"/>
  <c r="AA1701" i="1" s="1"/>
  <c r="AD1701" i="1" s="1"/>
  <c r="T1701" i="1"/>
  <c r="Z1701" i="1" s="1"/>
  <c r="AB1701" i="1" s="1"/>
  <c r="W1700" i="1"/>
  <c r="AA1700" i="1" s="1"/>
  <c r="AD1700" i="1" s="1"/>
  <c r="T1700" i="1"/>
  <c r="Z1700" i="1" s="1"/>
  <c r="AB1700" i="1" s="1"/>
  <c r="T1699" i="1"/>
  <c r="Z1699" i="1" s="1"/>
  <c r="AB1699" i="1" s="1"/>
  <c r="S1699" i="1"/>
  <c r="Q1699" i="1"/>
  <c r="O1699" i="1"/>
  <c r="M1699" i="1"/>
  <c r="K1699" i="1"/>
  <c r="I1699" i="1"/>
  <c r="G1699" i="1"/>
  <c r="W1697" i="1"/>
  <c r="AA1697" i="1" s="1"/>
  <c r="AD1697" i="1" s="1"/>
  <c r="T1697" i="1"/>
  <c r="Z1697" i="1" s="1"/>
  <c r="AB1697" i="1" s="1"/>
  <c r="W1696" i="1"/>
  <c r="AA1696" i="1" s="1"/>
  <c r="AD1696" i="1" s="1"/>
  <c r="T1696" i="1"/>
  <c r="Z1696" i="1" s="1"/>
  <c r="AB1696" i="1" s="1"/>
  <c r="W1695" i="1"/>
  <c r="AA1695" i="1" s="1"/>
  <c r="AD1695" i="1" s="1"/>
  <c r="T1695" i="1"/>
  <c r="J1695" i="1"/>
  <c r="H1695" i="1"/>
  <c r="E1695" i="1"/>
  <c r="T1694" i="1"/>
  <c r="Q1694" i="1"/>
  <c r="O1694" i="1"/>
  <c r="K1694" i="1"/>
  <c r="J1694" i="1"/>
  <c r="H1694" i="1"/>
  <c r="E1694" i="1"/>
  <c r="T1693" i="1"/>
  <c r="Z1693" i="1" s="1"/>
  <c r="AB1693" i="1" s="1"/>
  <c r="Z1694" i="1" l="1"/>
  <c r="AB1694" i="1" s="1"/>
  <c r="Z1728" i="1"/>
  <c r="AB1728" i="1" s="1"/>
  <c r="AA1761" i="1"/>
  <c r="S1693" i="1"/>
  <c r="U1720" i="1"/>
  <c r="X1724" i="1"/>
  <c r="X1701" i="1"/>
  <c r="AA1746" i="1"/>
  <c r="AA1707" i="1"/>
  <c r="AD1707" i="1" s="1"/>
  <c r="Z1709" i="1"/>
  <c r="AB1709" i="1" s="1"/>
  <c r="AA1702" i="1"/>
  <c r="AD1702" i="1" s="1"/>
  <c r="X1714" i="1"/>
  <c r="AA1716" i="1"/>
  <c r="AD1716" i="1" s="1"/>
  <c r="AA1764" i="1"/>
  <c r="Q1693" i="1"/>
  <c r="W1738" i="1"/>
  <c r="X1738" i="1" s="1"/>
  <c r="AA1752" i="1"/>
  <c r="AA1726" i="1"/>
  <c r="AD1726" i="1" s="1"/>
  <c r="U1745" i="1"/>
  <c r="X1696" i="1"/>
  <c r="AA1718" i="1"/>
  <c r="AD1718" i="1" s="1"/>
  <c r="U1742" i="1"/>
  <c r="U1744" i="1"/>
  <c r="W1754" i="1"/>
  <c r="X1754" i="1" s="1"/>
  <c r="X1695" i="1"/>
  <c r="U1705" i="1"/>
  <c r="AA1717" i="1"/>
  <c r="AD1717" i="1" s="1"/>
  <c r="U1725" i="1"/>
  <c r="AA1728" i="1"/>
  <c r="AD1728" i="1" s="1"/>
  <c r="AA1741" i="1"/>
  <c r="AA1748" i="1"/>
  <c r="AA1763" i="1"/>
  <c r="O1693" i="1"/>
  <c r="AA1747" i="1"/>
  <c r="Z1752" i="1"/>
  <c r="W1762" i="1"/>
  <c r="AA1762" i="1" s="1"/>
  <c r="U1694" i="1"/>
  <c r="U1699" i="1"/>
  <c r="U1712" i="1"/>
  <c r="AA1713" i="1"/>
  <c r="AD1713" i="1" s="1"/>
  <c r="AA1703" i="1"/>
  <c r="AD1703" i="1" s="1"/>
  <c r="K1693" i="1"/>
  <c r="X1705" i="1"/>
  <c r="I1706" i="1"/>
  <c r="U1716" i="1"/>
  <c r="W1720" i="1"/>
  <c r="X1720" i="1" s="1"/>
  <c r="W1722" i="1"/>
  <c r="X1722" i="1" s="1"/>
  <c r="U1727" i="1"/>
  <c r="Z1729" i="1"/>
  <c r="AA1742" i="1"/>
  <c r="X1750" i="1"/>
  <c r="W1758" i="1"/>
  <c r="X1758" i="1" s="1"/>
  <c r="U1693" i="1"/>
  <c r="Z1695" i="1"/>
  <c r="AB1695" i="1" s="1"/>
  <c r="X1697" i="1"/>
  <c r="W1699" i="1"/>
  <c r="X1699" i="1" s="1"/>
  <c r="U1700" i="1"/>
  <c r="U1701" i="1"/>
  <c r="U1702" i="1"/>
  <c r="U1707" i="1"/>
  <c r="W1711" i="1"/>
  <c r="X1711" i="1" s="1"/>
  <c r="X1712" i="1"/>
  <c r="U1715" i="1"/>
  <c r="U1717" i="1"/>
  <c r="Z1719" i="1"/>
  <c r="AB1719" i="1" s="1"/>
  <c r="U1721" i="1"/>
  <c r="AA1724" i="1"/>
  <c r="U1747" i="1"/>
  <c r="W1749" i="1"/>
  <c r="X1749" i="1" s="1"/>
  <c r="U1749" i="1"/>
  <c r="X1755" i="1"/>
  <c r="W1756" i="1"/>
  <c r="X1757" i="1"/>
  <c r="Z1759" i="1"/>
  <c r="U1763" i="1"/>
  <c r="W1694" i="1"/>
  <c r="X1694" i="1" s="1"/>
  <c r="G1693" i="1"/>
  <c r="U1703" i="1"/>
  <c r="M1693" i="1"/>
  <c r="X1709" i="1"/>
  <c r="AA1719" i="1"/>
  <c r="AD1719" i="1" s="1"/>
  <c r="Z1726" i="1"/>
  <c r="AB1726" i="1" s="1"/>
  <c r="W1739" i="1"/>
  <c r="X1739" i="1" s="1"/>
  <c r="U1739" i="1"/>
  <c r="Z1741" i="1"/>
  <c r="U1753" i="1"/>
  <c r="U1754" i="1"/>
  <c r="AA1759" i="1"/>
  <c r="AA1711" i="1"/>
  <c r="AD1711" i="1" s="1"/>
  <c r="AA1733" i="1"/>
  <c r="X1733" i="1"/>
  <c r="AA1760" i="1"/>
  <c r="X1760" i="1"/>
  <c r="U1695" i="1"/>
  <c r="U1696" i="1"/>
  <c r="U1697" i="1"/>
  <c r="X1700" i="1"/>
  <c r="W1704" i="1"/>
  <c r="U1704" i="1"/>
  <c r="U1706" i="1"/>
  <c r="X1710" i="1"/>
  <c r="U1711" i="1"/>
  <c r="Z1713" i="1"/>
  <c r="AB1713" i="1" s="1"/>
  <c r="U1714" i="1"/>
  <c r="U1718" i="1"/>
  <c r="AA1721" i="1"/>
  <c r="AD1721" i="1" s="1"/>
  <c r="X1723" i="1"/>
  <c r="G1725" i="1"/>
  <c r="G1724" i="1" s="1"/>
  <c r="AA1727" i="1"/>
  <c r="AD1727" i="1" s="1"/>
  <c r="Z1738" i="1"/>
  <c r="M1744" i="1"/>
  <c r="W1745" i="1"/>
  <c r="AA1749" i="1"/>
  <c r="I1729" i="1"/>
  <c r="AA1735" i="1"/>
  <c r="X1735" i="1"/>
  <c r="AA1743" i="1"/>
  <c r="X1743" i="1"/>
  <c r="W1706" i="1"/>
  <c r="AA1708" i="1"/>
  <c r="AD1708" i="1" s="1"/>
  <c r="Z1708" i="1"/>
  <c r="AB1708" i="1" s="1"/>
  <c r="Z1710" i="1"/>
  <c r="AB1710" i="1" s="1"/>
  <c r="W1715" i="1"/>
  <c r="U1724" i="1"/>
  <c r="Z1724" i="1"/>
  <c r="AB1724" i="1" s="1"/>
  <c r="AA1725" i="1"/>
  <c r="W1729" i="1"/>
  <c r="X1729" i="1" s="1"/>
  <c r="U1730" i="1"/>
  <c r="AA1732" i="1"/>
  <c r="X1732" i="1"/>
  <c r="AA1734" i="1"/>
  <c r="X1734" i="1"/>
  <c r="AA1736" i="1"/>
  <c r="X1736" i="1"/>
  <c r="W1740" i="1"/>
  <c r="M1737" i="1"/>
  <c r="W1737" i="1" s="1"/>
  <c r="X1737" i="1" s="1"/>
  <c r="W1731" i="1"/>
  <c r="X1731" i="1" s="1"/>
  <c r="AA1751" i="1"/>
  <c r="X1751" i="1"/>
  <c r="M1753" i="1"/>
  <c r="W1753" i="1" s="1"/>
  <c r="Z1761" i="1"/>
  <c r="AA1765" i="1"/>
  <c r="X1765" i="1"/>
  <c r="Z1740" i="1"/>
  <c r="Z1746" i="1"/>
  <c r="Z1748" i="1"/>
  <c r="Z1750" i="1"/>
  <c r="Z1755" i="1"/>
  <c r="Z1757" i="1"/>
  <c r="Z1762" i="1"/>
  <c r="Z1722" i="1"/>
  <c r="AB1722" i="1" s="1"/>
  <c r="Z1723" i="1"/>
  <c r="AB1723" i="1" s="1"/>
  <c r="Z1731" i="1"/>
  <c r="Z1737" i="1"/>
  <c r="Z1743" i="1"/>
  <c r="Z1758" i="1"/>
  <c r="Z1760" i="1"/>
  <c r="Z1765" i="1"/>
  <c r="AA1720" i="1" l="1"/>
  <c r="AD1720" i="1" s="1"/>
  <c r="AD1725" i="1"/>
  <c r="AA1738" i="1"/>
  <c r="AA1699" i="1"/>
  <c r="AD1699" i="1" s="1"/>
  <c r="X1762" i="1"/>
  <c r="AA1754" i="1"/>
  <c r="AA1694" i="1"/>
  <c r="AD1694" i="1" s="1"/>
  <c r="AA1722" i="1"/>
  <c r="AD1722" i="1" s="1"/>
  <c r="AD1724" i="1"/>
  <c r="W1693" i="1"/>
  <c r="X1693" i="1" s="1"/>
  <c r="AA1739" i="1"/>
  <c r="AA1758" i="1"/>
  <c r="X1756" i="1"/>
  <c r="AA1756" i="1"/>
  <c r="X1753" i="1"/>
  <c r="AA1753" i="1"/>
  <c r="AA1729" i="1"/>
  <c r="X1704" i="1"/>
  <c r="AA1704" i="1"/>
  <c r="AD1704" i="1" s="1"/>
  <c r="AA1737" i="1"/>
  <c r="AA1731" i="1"/>
  <c r="AA1740" i="1"/>
  <c r="X1740" i="1"/>
  <c r="X1715" i="1"/>
  <c r="AA1715" i="1"/>
  <c r="AD1715" i="1" s="1"/>
  <c r="X1706" i="1"/>
  <c r="AA1706" i="1"/>
  <c r="AD1706" i="1" s="1"/>
  <c r="X1745" i="1"/>
  <c r="W1744" i="1"/>
  <c r="AA1745" i="1"/>
  <c r="AA1693" i="1" l="1"/>
  <c r="AD1693" i="1" s="1"/>
  <c r="X1744" i="1"/>
  <c r="AA1744" i="1"/>
  <c r="W1692" i="1" l="1"/>
  <c r="T1692" i="1"/>
  <c r="U1692" i="1" s="1"/>
  <c r="T1691" i="1"/>
  <c r="U1691" i="1" s="1"/>
  <c r="S1691" i="1"/>
  <c r="S1690" i="1" s="1"/>
  <c r="Q1691" i="1"/>
  <c r="Q1690" i="1" s="1"/>
  <c r="O1691" i="1"/>
  <c r="O1690" i="1" s="1"/>
  <c r="M1691" i="1"/>
  <c r="K1691" i="1"/>
  <c r="K1690" i="1" s="1"/>
  <c r="I1691" i="1"/>
  <c r="I1690" i="1" s="1"/>
  <c r="G1691" i="1"/>
  <c r="G1690" i="1" s="1"/>
  <c r="T1690" i="1"/>
  <c r="Z1690" i="1" s="1"/>
  <c r="W1689" i="1"/>
  <c r="T1689" i="1"/>
  <c r="U1689" i="1" s="1"/>
  <c r="W1688" i="1"/>
  <c r="X1688" i="1" s="1"/>
  <c r="T1688" i="1"/>
  <c r="U1688" i="1" s="1"/>
  <c r="T1687" i="1"/>
  <c r="U1687" i="1" s="1"/>
  <c r="S1687" i="1"/>
  <c r="Q1687" i="1"/>
  <c r="Q1686" i="1" s="1"/>
  <c r="O1687" i="1"/>
  <c r="O1686" i="1" s="1"/>
  <c r="M1687" i="1"/>
  <c r="K1687" i="1"/>
  <c r="K1686" i="1" s="1"/>
  <c r="I1687" i="1"/>
  <c r="G1687" i="1"/>
  <c r="G1686" i="1" s="1"/>
  <c r="T1686" i="1"/>
  <c r="U1686" i="1" s="1"/>
  <c r="S1686" i="1"/>
  <c r="W1685" i="1"/>
  <c r="X1685" i="1" s="1"/>
  <c r="T1685" i="1"/>
  <c r="U1685" i="1" s="1"/>
  <c r="Z1684" i="1"/>
  <c r="W1684" i="1"/>
  <c r="AA1684" i="1" s="1"/>
  <c r="T1683" i="1"/>
  <c r="Z1683" i="1" s="1"/>
  <c r="S1683" i="1"/>
  <c r="Q1683" i="1"/>
  <c r="O1683" i="1"/>
  <c r="M1683" i="1"/>
  <c r="M1682" i="1" s="1"/>
  <c r="K1683" i="1"/>
  <c r="K1682" i="1" s="1"/>
  <c r="I1683" i="1"/>
  <c r="I1682" i="1" s="1"/>
  <c r="G1683" i="1"/>
  <c r="G1682" i="1" s="1"/>
  <c r="T1682" i="1"/>
  <c r="U1682" i="1" s="1"/>
  <c r="S1682" i="1"/>
  <c r="Q1682" i="1"/>
  <c r="W1681" i="1"/>
  <c r="T1681" i="1"/>
  <c r="U1681" i="1" s="1"/>
  <c r="T1680" i="1"/>
  <c r="U1680" i="1" s="1"/>
  <c r="S1680" i="1"/>
  <c r="Q1680" i="1"/>
  <c r="O1680" i="1"/>
  <c r="M1680" i="1"/>
  <c r="K1680" i="1"/>
  <c r="I1680" i="1"/>
  <c r="G1680" i="1"/>
  <c r="W1679" i="1"/>
  <c r="X1679" i="1" s="1"/>
  <c r="T1679" i="1"/>
  <c r="Z1679" i="1" s="1"/>
  <c r="W1678" i="1"/>
  <c r="X1678" i="1" s="1"/>
  <c r="T1678" i="1"/>
  <c r="U1678" i="1" s="1"/>
  <c r="T1677" i="1"/>
  <c r="Z1677" i="1" s="1"/>
  <c r="S1677" i="1"/>
  <c r="Q1677" i="1"/>
  <c r="Q1676" i="1" s="1"/>
  <c r="O1677" i="1"/>
  <c r="M1677" i="1"/>
  <c r="K1677" i="1"/>
  <c r="I1677" i="1"/>
  <c r="G1677" i="1"/>
  <c r="G1676" i="1" s="1"/>
  <c r="T1676" i="1"/>
  <c r="U1676" i="1" s="1"/>
  <c r="W1675" i="1"/>
  <c r="AA1675" i="1" s="1"/>
  <c r="T1675" i="1"/>
  <c r="Z1675" i="1" s="1"/>
  <c r="W1674" i="1"/>
  <c r="X1674" i="1" s="1"/>
  <c r="T1674" i="1"/>
  <c r="Z1674" i="1" s="1"/>
  <c r="T1673" i="1"/>
  <c r="U1673" i="1" s="1"/>
  <c r="S1673" i="1"/>
  <c r="Q1673" i="1"/>
  <c r="O1673" i="1"/>
  <c r="M1673" i="1"/>
  <c r="K1673" i="1"/>
  <c r="I1673" i="1"/>
  <c r="G1673" i="1"/>
  <c r="W1672" i="1"/>
  <c r="X1672" i="1" s="1"/>
  <c r="T1672" i="1"/>
  <c r="U1672" i="1" s="1"/>
  <c r="W1671" i="1"/>
  <c r="T1671" i="1"/>
  <c r="U1671" i="1" s="1"/>
  <c r="T1670" i="1"/>
  <c r="U1670" i="1" s="1"/>
  <c r="S1670" i="1"/>
  <c r="Q1670" i="1"/>
  <c r="Q1669" i="1" s="1"/>
  <c r="O1670" i="1"/>
  <c r="M1670" i="1"/>
  <c r="K1670" i="1"/>
  <c r="I1670" i="1"/>
  <c r="I1669" i="1" s="1"/>
  <c r="G1670" i="1"/>
  <c r="G1669" i="1" s="1"/>
  <c r="T1669" i="1"/>
  <c r="Z1669" i="1" s="1"/>
  <c r="W1668" i="1"/>
  <c r="T1668" i="1"/>
  <c r="U1668" i="1" s="1"/>
  <c r="T1667" i="1"/>
  <c r="U1667" i="1" s="1"/>
  <c r="S1667" i="1"/>
  <c r="S1666" i="1" s="1"/>
  <c r="Q1667" i="1"/>
  <c r="Q1666" i="1" s="1"/>
  <c r="O1667" i="1"/>
  <c r="O1666" i="1" s="1"/>
  <c r="M1667" i="1"/>
  <c r="K1667" i="1"/>
  <c r="K1666" i="1" s="1"/>
  <c r="I1667" i="1"/>
  <c r="I1666" i="1" s="1"/>
  <c r="G1667" i="1"/>
  <c r="G1666" i="1" s="1"/>
  <c r="T1666" i="1"/>
  <c r="Z1666" i="1" s="1"/>
  <c r="AA1665" i="1"/>
  <c r="Z1665" i="1"/>
  <c r="W1664" i="1"/>
  <c r="X1664" i="1" s="1"/>
  <c r="T1664" i="1"/>
  <c r="U1664" i="1" s="1"/>
  <c r="W1663" i="1"/>
  <c r="T1663" i="1"/>
  <c r="U1663" i="1" s="1"/>
  <c r="T1662" i="1"/>
  <c r="Z1662" i="1" s="1"/>
  <c r="S1662" i="1"/>
  <c r="Q1662" i="1"/>
  <c r="O1662" i="1"/>
  <c r="M1662" i="1"/>
  <c r="K1662" i="1"/>
  <c r="I1662" i="1"/>
  <c r="G1662" i="1"/>
  <c r="W1661" i="1"/>
  <c r="X1661" i="1" s="1"/>
  <c r="T1661" i="1"/>
  <c r="Z1661" i="1" s="1"/>
  <c r="W1660" i="1"/>
  <c r="X1660" i="1" s="1"/>
  <c r="T1660" i="1"/>
  <c r="U1660" i="1" s="1"/>
  <c r="T1659" i="1"/>
  <c r="Z1659" i="1" s="1"/>
  <c r="S1659" i="1"/>
  <c r="Q1659" i="1"/>
  <c r="O1659" i="1"/>
  <c r="M1659" i="1"/>
  <c r="K1659" i="1"/>
  <c r="I1659" i="1"/>
  <c r="G1659" i="1"/>
  <c r="AA1658" i="1"/>
  <c r="Z1658" i="1"/>
  <c r="Q1658" i="1"/>
  <c r="Z1657" i="1"/>
  <c r="I1657" i="1"/>
  <c r="AA1657" i="1" s="1"/>
  <c r="G1657" i="1"/>
  <c r="W1656" i="1"/>
  <c r="X1656" i="1" s="1"/>
  <c r="T1656" i="1"/>
  <c r="Z1656" i="1" s="1"/>
  <c r="W1655" i="1"/>
  <c r="AA1655" i="1" s="1"/>
  <c r="T1655" i="1"/>
  <c r="U1655" i="1" s="1"/>
  <c r="W1654" i="1"/>
  <c r="X1654" i="1" s="1"/>
  <c r="T1654" i="1"/>
  <c r="Z1654" i="1" s="1"/>
  <c r="W1653" i="1"/>
  <c r="X1653" i="1" s="1"/>
  <c r="T1653" i="1"/>
  <c r="U1653" i="1" s="1"/>
  <c r="W1652" i="1"/>
  <c r="X1652" i="1" s="1"/>
  <c r="T1652" i="1"/>
  <c r="Z1652" i="1" s="1"/>
  <c r="W1651" i="1"/>
  <c r="X1651" i="1" s="1"/>
  <c r="T1651" i="1"/>
  <c r="U1651" i="1" s="1"/>
  <c r="T1650" i="1"/>
  <c r="Z1650" i="1" s="1"/>
  <c r="S1650" i="1"/>
  <c r="Q1650" i="1"/>
  <c r="O1650" i="1"/>
  <c r="M1650" i="1"/>
  <c r="K1650" i="1"/>
  <c r="I1650" i="1"/>
  <c r="G1650" i="1"/>
  <c r="W1649" i="1"/>
  <c r="AA1649" i="1" s="1"/>
  <c r="T1649" i="1"/>
  <c r="U1649" i="1" s="1"/>
  <c r="W1648" i="1"/>
  <c r="X1648" i="1" s="1"/>
  <c r="T1648" i="1"/>
  <c r="Z1648" i="1" s="1"/>
  <c r="W1647" i="1"/>
  <c r="AA1647" i="1" s="1"/>
  <c r="T1647" i="1"/>
  <c r="U1647" i="1" s="1"/>
  <c r="W1646" i="1"/>
  <c r="X1646" i="1" s="1"/>
  <c r="T1646" i="1"/>
  <c r="Z1646" i="1" s="1"/>
  <c r="S1645" i="1"/>
  <c r="Q1645" i="1"/>
  <c r="O1645" i="1"/>
  <c r="N1645" i="1"/>
  <c r="T1645" i="1" s="1"/>
  <c r="M1645" i="1"/>
  <c r="K1645" i="1"/>
  <c r="I1645" i="1"/>
  <c r="G1645" i="1"/>
  <c r="W1644" i="1"/>
  <c r="X1644" i="1" s="1"/>
  <c r="T1644" i="1"/>
  <c r="U1644" i="1" s="1"/>
  <c r="W1643" i="1"/>
  <c r="AA1643" i="1" s="1"/>
  <c r="T1643" i="1"/>
  <c r="U1643" i="1" s="1"/>
  <c r="E1643" i="1"/>
  <c r="E1642" i="1" s="1"/>
  <c r="S1642" i="1"/>
  <c r="Q1642" i="1"/>
  <c r="O1642" i="1"/>
  <c r="M1642" i="1"/>
  <c r="L1642" i="1"/>
  <c r="T1642" i="1" s="1"/>
  <c r="U1642" i="1" s="1"/>
  <c r="K1642" i="1"/>
  <c r="I1642" i="1"/>
  <c r="H1642" i="1"/>
  <c r="G1642" i="1"/>
  <c r="T1641" i="1"/>
  <c r="U1641" i="1" s="1"/>
  <c r="T1640" i="1"/>
  <c r="U1640" i="1" s="1"/>
  <c r="T1639" i="1"/>
  <c r="U1639" i="1" s="1"/>
  <c r="T1638" i="1"/>
  <c r="Z1638" i="1" s="1"/>
  <c r="T1637" i="1"/>
  <c r="Z1637" i="1" s="1"/>
  <c r="U1656" i="1" l="1"/>
  <c r="AA1651" i="1"/>
  <c r="W1682" i="1"/>
  <c r="X1682" i="1" s="1"/>
  <c r="Z1688" i="1"/>
  <c r="X1647" i="1"/>
  <c r="X1643" i="1"/>
  <c r="U1638" i="1"/>
  <c r="Z1641" i="1"/>
  <c r="Z1685" i="1"/>
  <c r="AA1672" i="1"/>
  <c r="AA1678" i="1"/>
  <c r="I1676" i="1"/>
  <c r="AA1653" i="1"/>
  <c r="AA1688" i="1"/>
  <c r="AA1660" i="1"/>
  <c r="W1683" i="1"/>
  <c r="X1683" i="1" s="1"/>
  <c r="U1683" i="1"/>
  <c r="X1649" i="1"/>
  <c r="X1655" i="1"/>
  <c r="O1669" i="1"/>
  <c r="X1675" i="1"/>
  <c r="K1676" i="1"/>
  <c r="S1676" i="1"/>
  <c r="W1687" i="1"/>
  <c r="X1687" i="1" s="1"/>
  <c r="AA1644" i="1"/>
  <c r="W1645" i="1"/>
  <c r="X1645" i="1" s="1"/>
  <c r="U1652" i="1"/>
  <c r="AD1638" i="1"/>
  <c r="AA1648" i="1"/>
  <c r="G1637" i="1"/>
  <c r="W1650" i="1"/>
  <c r="X1650" i="1" s="1"/>
  <c r="U1650" i="1"/>
  <c r="Z1651" i="1"/>
  <c r="AA1654" i="1"/>
  <c r="Z1655" i="1"/>
  <c r="W1659" i="1"/>
  <c r="X1659" i="1" s="1"/>
  <c r="U1659" i="1"/>
  <c r="AA1661" i="1"/>
  <c r="W1662" i="1"/>
  <c r="X1662" i="1" s="1"/>
  <c r="U1666" i="1"/>
  <c r="U1669" i="1"/>
  <c r="U1674" i="1"/>
  <c r="U1677" i="1"/>
  <c r="AA1679" i="1"/>
  <c r="M1686" i="1"/>
  <c r="W1686" i="1" s="1"/>
  <c r="X1686" i="1" s="1"/>
  <c r="S1637" i="1"/>
  <c r="AA1650" i="1"/>
  <c r="AA1659" i="1"/>
  <c r="Z1664" i="1"/>
  <c r="Z1672" i="1"/>
  <c r="K1669" i="1"/>
  <c r="S1669" i="1"/>
  <c r="AA1685" i="1"/>
  <c r="Z1639" i="1"/>
  <c r="K1637" i="1"/>
  <c r="Q1637" i="1"/>
  <c r="Z1644" i="1"/>
  <c r="AA1646" i="1"/>
  <c r="U1654" i="1"/>
  <c r="U1661" i="1"/>
  <c r="AA1664" i="1"/>
  <c r="AA1674" i="1"/>
  <c r="U1679" i="1"/>
  <c r="U1690" i="1"/>
  <c r="M1666" i="1"/>
  <c r="W1666" i="1" s="1"/>
  <c r="W1667" i="1"/>
  <c r="M1690" i="1"/>
  <c r="W1690" i="1" s="1"/>
  <c r="W1691" i="1"/>
  <c r="Z1640" i="1"/>
  <c r="U1648" i="1"/>
  <c r="U1662" i="1"/>
  <c r="Z1667" i="1"/>
  <c r="W1673" i="1"/>
  <c r="O1676" i="1"/>
  <c r="W1677" i="1"/>
  <c r="AA1681" i="1"/>
  <c r="X1681" i="1"/>
  <c r="Z1691" i="1"/>
  <c r="M1637" i="1"/>
  <c r="Z1642" i="1"/>
  <c r="U1645" i="1"/>
  <c r="Z1645" i="1"/>
  <c r="M1669" i="1"/>
  <c r="W1670" i="1"/>
  <c r="W1680" i="1"/>
  <c r="M1676" i="1"/>
  <c r="I1686" i="1"/>
  <c r="AD1637" i="1"/>
  <c r="U1637" i="1"/>
  <c r="U1646" i="1"/>
  <c r="AA1656" i="1"/>
  <c r="AA1663" i="1"/>
  <c r="X1663" i="1"/>
  <c r="AA1671" i="1"/>
  <c r="X1671" i="1"/>
  <c r="I1637" i="1"/>
  <c r="O1637" i="1"/>
  <c r="W1642" i="1"/>
  <c r="AA1652" i="1"/>
  <c r="Z1653" i="1"/>
  <c r="Z1660" i="1"/>
  <c r="AA1668" i="1"/>
  <c r="X1668" i="1"/>
  <c r="Z1670" i="1"/>
  <c r="Z1680" i="1"/>
  <c r="AA1689" i="1"/>
  <c r="X1689" i="1"/>
  <c r="AA1692" i="1"/>
  <c r="X1692" i="1"/>
  <c r="Z1673" i="1"/>
  <c r="Z1678" i="1"/>
  <c r="Z1686" i="1"/>
  <c r="Z1643" i="1"/>
  <c r="Z1647" i="1"/>
  <c r="Z1649" i="1"/>
  <c r="Z1663" i="1"/>
  <c r="Z1668" i="1"/>
  <c r="Z1671" i="1"/>
  <c r="U1675" i="1"/>
  <c r="Z1676" i="1"/>
  <c r="Z1681" i="1"/>
  <c r="Z1682" i="1"/>
  <c r="Z1687" i="1"/>
  <c r="Z1689" i="1"/>
  <c r="Z1692" i="1"/>
  <c r="AA1682" i="1" l="1"/>
  <c r="W1676" i="1"/>
  <c r="X1676" i="1" s="1"/>
  <c r="AA1683" i="1"/>
  <c r="AA1687" i="1"/>
  <c r="W1669" i="1"/>
  <c r="X1669" i="1" s="1"/>
  <c r="AA1645" i="1"/>
  <c r="W1637" i="1"/>
  <c r="X1640" i="1" s="1"/>
  <c r="AA1686" i="1"/>
  <c r="AA1662" i="1"/>
  <c r="X1670" i="1"/>
  <c r="AA1670" i="1"/>
  <c r="X1667" i="1"/>
  <c r="AA1667" i="1"/>
  <c r="X1691" i="1"/>
  <c r="AA1691" i="1"/>
  <c r="X1642" i="1"/>
  <c r="AA1642" i="1"/>
  <c r="X1677" i="1"/>
  <c r="AA1677" i="1"/>
  <c r="X1690" i="1"/>
  <c r="AA1690" i="1"/>
  <c r="X1680" i="1"/>
  <c r="AA1680" i="1"/>
  <c r="AA1673" i="1"/>
  <c r="X1673" i="1"/>
  <c r="X1666" i="1"/>
  <c r="AA1666" i="1"/>
  <c r="AA1676" i="1" l="1"/>
  <c r="AA1669" i="1"/>
  <c r="X1641" i="1"/>
  <c r="X1637" i="1"/>
  <c r="X1639" i="1"/>
  <c r="X1638" i="1"/>
  <c r="AA1637" i="1"/>
  <c r="W1636" i="1"/>
  <c r="T1636" i="1"/>
  <c r="U1636" i="1" s="1"/>
  <c r="T1635" i="1"/>
  <c r="U1635" i="1" s="1"/>
  <c r="Q1635" i="1"/>
  <c r="Q1634" i="1" s="1"/>
  <c r="O1635" i="1"/>
  <c r="M1635" i="1"/>
  <c r="M1634" i="1" s="1"/>
  <c r="T1634" i="1"/>
  <c r="Z1634" i="1" s="1"/>
  <c r="K1634" i="1"/>
  <c r="G1634" i="1"/>
  <c r="D1634" i="1"/>
  <c r="T1633" i="1"/>
  <c r="Z1633" i="1" s="1"/>
  <c r="Q1633" i="1"/>
  <c r="O1633" i="1"/>
  <c r="W1632" i="1"/>
  <c r="X1632" i="1" s="1"/>
  <c r="T1632" i="1"/>
  <c r="Z1632" i="1" s="1"/>
  <c r="T1631" i="1"/>
  <c r="U1631" i="1" s="1"/>
  <c r="Q1631" i="1"/>
  <c r="W1630" i="1"/>
  <c r="T1630" i="1"/>
  <c r="U1630" i="1" s="1"/>
  <c r="T1629" i="1"/>
  <c r="U1629" i="1" s="1"/>
  <c r="O1629" i="1"/>
  <c r="M1629" i="1"/>
  <c r="K1629" i="1"/>
  <c r="G1629" i="1"/>
  <c r="D1629" i="1"/>
  <c r="T1628" i="1"/>
  <c r="U1628" i="1" s="1"/>
  <c r="Q1628" i="1"/>
  <c r="W1628" i="1" s="1"/>
  <c r="X1628" i="1" s="1"/>
  <c r="W1627" i="1"/>
  <c r="X1627" i="1" s="1"/>
  <c r="T1627" i="1"/>
  <c r="Z1627" i="1" s="1"/>
  <c r="W1626" i="1"/>
  <c r="AA1626" i="1" s="1"/>
  <c r="T1626" i="1"/>
  <c r="Z1626" i="1" s="1"/>
  <c r="W1625" i="1"/>
  <c r="AA1625" i="1" s="1"/>
  <c r="T1625" i="1"/>
  <c r="Z1625" i="1" s="1"/>
  <c r="W1624" i="1"/>
  <c r="AA1624" i="1" s="1"/>
  <c r="T1624" i="1"/>
  <c r="Z1624" i="1" s="1"/>
  <c r="T1623" i="1"/>
  <c r="U1623" i="1" s="1"/>
  <c r="O1623" i="1"/>
  <c r="M1623" i="1"/>
  <c r="K1623" i="1"/>
  <c r="G1623" i="1"/>
  <c r="W1622" i="1"/>
  <c r="T1622" i="1"/>
  <c r="U1622" i="1" s="1"/>
  <c r="W1621" i="1"/>
  <c r="T1621" i="1"/>
  <c r="U1621" i="1" s="1"/>
  <c r="W1620" i="1"/>
  <c r="T1620" i="1"/>
  <c r="U1620" i="1" s="1"/>
  <c r="W1619" i="1"/>
  <c r="T1619" i="1"/>
  <c r="U1619" i="1" s="1"/>
  <c r="T1618" i="1"/>
  <c r="U1618" i="1" s="1"/>
  <c r="Q1618" i="1"/>
  <c r="O1618" i="1"/>
  <c r="M1618" i="1"/>
  <c r="K1618" i="1"/>
  <c r="W1617" i="1"/>
  <c r="AA1617" i="1" s="1"/>
  <c r="T1617" i="1"/>
  <c r="Z1617" i="1" s="1"/>
  <c r="W1616" i="1"/>
  <c r="X1616" i="1" s="1"/>
  <c r="T1616" i="1"/>
  <c r="Z1616" i="1" s="1"/>
  <c r="AI1615" i="1"/>
  <c r="T1615" i="1"/>
  <c r="U1615" i="1" s="1"/>
  <c r="Q1615" i="1"/>
  <c r="O1615" i="1"/>
  <c r="M1615" i="1"/>
  <c r="K1615" i="1"/>
  <c r="G1615" i="1"/>
  <c r="T1614" i="1"/>
  <c r="Z1614" i="1" s="1"/>
  <c r="T1613" i="1"/>
  <c r="U1613" i="1" s="1"/>
  <c r="Q1613" i="1"/>
  <c r="Q1607" i="1" s="1"/>
  <c r="Q1605" i="1" s="1"/>
  <c r="M1613" i="1"/>
  <c r="M1610" i="1" s="1"/>
  <c r="W1610" i="1" s="1"/>
  <c r="W1611" i="1"/>
  <c r="T1611" i="1"/>
  <c r="U1611" i="1" s="1"/>
  <c r="R1610" i="1"/>
  <c r="T1610" i="1" s="1"/>
  <c r="K1610" i="1"/>
  <c r="K1609" i="1" s="1"/>
  <c r="K1608" i="1" s="1"/>
  <c r="K1607" i="1" s="1"/>
  <c r="K1605" i="1" s="1"/>
  <c r="T1609" i="1"/>
  <c r="Z1609" i="1" s="1"/>
  <c r="T1608" i="1"/>
  <c r="Z1608" i="1" s="1"/>
  <c r="T1607" i="1"/>
  <c r="Z1607" i="1" s="1"/>
  <c r="O1607" i="1"/>
  <c r="O1605" i="1" s="1"/>
  <c r="G1607" i="1"/>
  <c r="G1605" i="1" s="1"/>
  <c r="W1606" i="1"/>
  <c r="AA1606" i="1" s="1"/>
  <c r="T1606" i="1"/>
  <c r="U1606" i="1" s="1"/>
  <c r="T1605" i="1"/>
  <c r="Z1605" i="1" s="1"/>
  <c r="T1604" i="1"/>
  <c r="U1604" i="1" s="1"/>
  <c r="Q1604" i="1"/>
  <c r="Q1603" i="1" s="1"/>
  <c r="Q1602" i="1" s="1"/>
  <c r="M1604" i="1"/>
  <c r="M1603" i="1" s="1"/>
  <c r="M1602" i="1" s="1"/>
  <c r="T1603" i="1"/>
  <c r="U1603" i="1" s="1"/>
  <c r="O1603" i="1"/>
  <c r="O1602" i="1" s="1"/>
  <c r="K1603" i="1"/>
  <c r="K1602" i="1" s="1"/>
  <c r="G1603" i="1"/>
  <c r="G1602" i="1" s="1"/>
  <c r="T1602" i="1"/>
  <c r="Z1602" i="1" s="1"/>
  <c r="W1601" i="1"/>
  <c r="T1601" i="1"/>
  <c r="U1601" i="1" s="1"/>
  <c r="T1600" i="1"/>
  <c r="U1600" i="1" s="1"/>
  <c r="Q1600" i="1"/>
  <c r="Q1597" i="1" s="1"/>
  <c r="Q1596" i="1" s="1"/>
  <c r="T1599" i="1"/>
  <c r="Z1599" i="1" s="1"/>
  <c r="M1599" i="1"/>
  <c r="W1599" i="1" s="1"/>
  <c r="AA1599" i="1" s="1"/>
  <c r="W1598" i="1"/>
  <c r="T1598" i="1"/>
  <c r="U1598" i="1" s="1"/>
  <c r="G1598" i="1"/>
  <c r="T1597" i="1"/>
  <c r="Z1597" i="1" s="1"/>
  <c r="O1597" i="1"/>
  <c r="O1596" i="1" s="1"/>
  <c r="K1597" i="1"/>
  <c r="K1596" i="1" s="1"/>
  <c r="G1597" i="1"/>
  <c r="T1596" i="1"/>
  <c r="U1596" i="1" s="1"/>
  <c r="G1596" i="1"/>
  <c r="T1595" i="1"/>
  <c r="U1595" i="1" s="1"/>
  <c r="Q1595" i="1"/>
  <c r="Q1594" i="1" s="1"/>
  <c r="M1595" i="1"/>
  <c r="T1594" i="1"/>
  <c r="Z1594" i="1" s="1"/>
  <c r="O1594" i="1"/>
  <c r="K1594" i="1"/>
  <c r="G1594" i="1"/>
  <c r="D1594" i="1"/>
  <c r="W1593" i="1"/>
  <c r="AA1593" i="1" s="1"/>
  <c r="T1593" i="1"/>
  <c r="Z1593" i="1" s="1"/>
  <c r="T1592" i="1"/>
  <c r="Z1592" i="1" s="1"/>
  <c r="Q1592" i="1"/>
  <c r="Q1591" i="1" s="1"/>
  <c r="M1592" i="1"/>
  <c r="M1591" i="1" s="1"/>
  <c r="T1591" i="1"/>
  <c r="Z1591" i="1" s="1"/>
  <c r="O1591" i="1"/>
  <c r="K1591" i="1"/>
  <c r="G1591" i="1"/>
  <c r="W1590" i="1"/>
  <c r="AA1590" i="1" s="1"/>
  <c r="T1590" i="1"/>
  <c r="U1590" i="1" s="1"/>
  <c r="T1589" i="1"/>
  <c r="Z1589" i="1" s="1"/>
  <c r="T1588" i="1"/>
  <c r="U1588" i="1" s="1"/>
  <c r="Q1588" i="1"/>
  <c r="M1588" i="1"/>
  <c r="W1587" i="1"/>
  <c r="X1587" i="1" s="1"/>
  <c r="T1587" i="1"/>
  <c r="Z1587" i="1" s="1"/>
  <c r="W1586" i="1"/>
  <c r="AA1586" i="1" s="1"/>
  <c r="T1586" i="1"/>
  <c r="U1586" i="1" s="1"/>
  <c r="T1585" i="1"/>
  <c r="Z1585" i="1" s="1"/>
  <c r="Q1585" i="1"/>
  <c r="M1585" i="1"/>
  <c r="O1584" i="1"/>
  <c r="N1584" i="1"/>
  <c r="T1584" i="1" s="1"/>
  <c r="Z1584" i="1" s="1"/>
  <c r="K1584" i="1"/>
  <c r="K1581" i="1" s="1"/>
  <c r="G1584" i="1"/>
  <c r="E1584" i="1"/>
  <c r="W1583" i="1"/>
  <c r="X1583" i="1" s="1"/>
  <c r="T1583" i="1"/>
  <c r="Z1583" i="1" s="1"/>
  <c r="Q1582" i="1"/>
  <c r="P1582" i="1"/>
  <c r="O1582" i="1"/>
  <c r="N1582" i="1"/>
  <c r="M1582" i="1"/>
  <c r="G1582" i="1"/>
  <c r="G1581" i="1" s="1"/>
  <c r="E1582" i="1"/>
  <c r="T1581" i="1"/>
  <c r="Z1581" i="1" s="1"/>
  <c r="T1580" i="1"/>
  <c r="U1580" i="1" s="1"/>
  <c r="Q1580" i="1"/>
  <c r="Q1579" i="1" s="1"/>
  <c r="M1580" i="1"/>
  <c r="M1579" i="1" s="1"/>
  <c r="T1579" i="1"/>
  <c r="Z1579" i="1" s="1"/>
  <c r="O1579" i="1"/>
  <c r="K1579" i="1"/>
  <c r="T1578" i="1"/>
  <c r="Z1578" i="1" s="1"/>
  <c r="Q1578" i="1"/>
  <c r="M1578" i="1"/>
  <c r="T1577" i="1"/>
  <c r="Z1577" i="1" s="1"/>
  <c r="Q1577" i="1"/>
  <c r="M1577" i="1"/>
  <c r="T1576" i="1"/>
  <c r="Z1576" i="1" s="1"/>
  <c r="O1576" i="1"/>
  <c r="K1576" i="1"/>
  <c r="G1576" i="1"/>
  <c r="E1576" i="1"/>
  <c r="T1575" i="1"/>
  <c r="Z1575" i="1" s="1"/>
  <c r="Q1575" i="1"/>
  <c r="O1575" i="1"/>
  <c r="M1575" i="1"/>
  <c r="K1575" i="1"/>
  <c r="D1575" i="1"/>
  <c r="W1574" i="1"/>
  <c r="X1574" i="1" s="1"/>
  <c r="T1574" i="1"/>
  <c r="Z1574" i="1" s="1"/>
  <c r="W1573" i="1"/>
  <c r="AA1573" i="1" s="1"/>
  <c r="T1573" i="1"/>
  <c r="U1573" i="1" s="1"/>
  <c r="W1572" i="1"/>
  <c r="X1572" i="1" s="1"/>
  <c r="T1572" i="1"/>
  <c r="Z1572" i="1" s="1"/>
  <c r="W1571" i="1"/>
  <c r="AA1571" i="1" s="1"/>
  <c r="T1571" i="1"/>
  <c r="U1571" i="1" s="1"/>
  <c r="W1570" i="1"/>
  <c r="X1570" i="1" s="1"/>
  <c r="T1570" i="1"/>
  <c r="Z1570" i="1" s="1"/>
  <c r="T1569" i="1"/>
  <c r="U1569" i="1" s="1"/>
  <c r="M1569" i="1"/>
  <c r="W1569" i="1" s="1"/>
  <c r="T1568" i="1"/>
  <c r="Z1568" i="1" s="1"/>
  <c r="Q1568" i="1"/>
  <c r="O1568" i="1"/>
  <c r="G1568" i="1"/>
  <c r="W1567" i="1"/>
  <c r="AA1567" i="1" s="1"/>
  <c r="T1567" i="1"/>
  <c r="U1567" i="1" s="1"/>
  <c r="W1566" i="1"/>
  <c r="AA1566" i="1" s="1"/>
  <c r="T1566" i="1"/>
  <c r="Z1566" i="1" s="1"/>
  <c r="T1565" i="1"/>
  <c r="Z1565" i="1" s="1"/>
  <c r="AB1565" i="1" s="1"/>
  <c r="Q1584" i="1" l="1"/>
  <c r="Q1581" i="1" s="1"/>
  <c r="O1589" i="1"/>
  <c r="W1615" i="1"/>
  <c r="X1615" i="1" s="1"/>
  <c r="K1565" i="1"/>
  <c r="U1574" i="1"/>
  <c r="Z1588" i="1"/>
  <c r="Z1590" i="1"/>
  <c r="W1613" i="1"/>
  <c r="X1613" i="1" s="1"/>
  <c r="Z1596" i="1"/>
  <c r="G1565" i="1"/>
  <c r="X1586" i="1"/>
  <c r="U1607" i="1"/>
  <c r="G1614" i="1"/>
  <c r="U1570" i="1"/>
  <c r="Q1576" i="1"/>
  <c r="Q1565" i="1" s="1"/>
  <c r="W1575" i="1"/>
  <c r="AA1575" i="1" s="1"/>
  <c r="W1578" i="1"/>
  <c r="X1578" i="1" s="1"/>
  <c r="AA1616" i="1"/>
  <c r="W1618" i="1"/>
  <c r="AA1618" i="1" s="1"/>
  <c r="Z1618" i="1"/>
  <c r="W1633" i="1"/>
  <c r="X1633" i="1" s="1"/>
  <c r="G1589" i="1"/>
  <c r="W1577" i="1"/>
  <c r="X1577" i="1" s="1"/>
  <c r="W1595" i="1"/>
  <c r="AA1595" i="1" s="1"/>
  <c r="Z1601" i="1"/>
  <c r="U1614" i="1"/>
  <c r="X1624" i="1"/>
  <c r="U1634" i="1"/>
  <c r="W1591" i="1"/>
  <c r="AA1591" i="1" s="1"/>
  <c r="W1592" i="1"/>
  <c r="AA1592" i="1" s="1"/>
  <c r="U1626" i="1"/>
  <c r="AA1627" i="1"/>
  <c r="O1581" i="1"/>
  <c r="W1585" i="1"/>
  <c r="X1585" i="1" s="1"/>
  <c r="W1588" i="1"/>
  <c r="AA1588" i="1" s="1"/>
  <c r="Q1589" i="1"/>
  <c r="Z1606" i="1"/>
  <c r="Z1619" i="1"/>
  <c r="U1610" i="1"/>
  <c r="Z1610" i="1"/>
  <c r="W1602" i="1"/>
  <c r="AA1602" i="1" s="1"/>
  <c r="X1571" i="1"/>
  <c r="U1575" i="1"/>
  <c r="W1579" i="1"/>
  <c r="AA1579" i="1" s="1"/>
  <c r="U1579" i="1"/>
  <c r="X1593" i="1"/>
  <c r="X1617" i="1"/>
  <c r="X1625" i="1"/>
  <c r="U1627" i="1"/>
  <c r="AA1632" i="1"/>
  <c r="U1633" i="1"/>
  <c r="Z1569" i="1"/>
  <c r="T1582" i="1"/>
  <c r="U1582" i="1" s="1"/>
  <c r="M1594" i="1"/>
  <c r="W1594" i="1" s="1"/>
  <c r="AA1594" i="1" s="1"/>
  <c r="U1594" i="1"/>
  <c r="U1599" i="1"/>
  <c r="W1600" i="1"/>
  <c r="AA1600" i="1" s="1"/>
  <c r="U1602" i="1"/>
  <c r="U1609" i="1"/>
  <c r="K1614" i="1"/>
  <c r="U1616" i="1"/>
  <c r="U1624" i="1"/>
  <c r="X1626" i="1"/>
  <c r="W1635" i="1"/>
  <c r="X1635" i="1" s="1"/>
  <c r="U1566" i="1"/>
  <c r="U1581" i="1"/>
  <c r="AA1583" i="1"/>
  <c r="M1584" i="1"/>
  <c r="U1585" i="1"/>
  <c r="U1589" i="1"/>
  <c r="U1591" i="1"/>
  <c r="U1592" i="1"/>
  <c r="K1589" i="1"/>
  <c r="U1605" i="1"/>
  <c r="Z1613" i="1"/>
  <c r="AA1574" i="1"/>
  <c r="M1568" i="1"/>
  <c r="W1568" i="1" s="1"/>
  <c r="U1568" i="1"/>
  <c r="U1572" i="1"/>
  <c r="U1576" i="1"/>
  <c r="U1577" i="1"/>
  <c r="U1578" i="1"/>
  <c r="W1580" i="1"/>
  <c r="X1580" i="1" s="1"/>
  <c r="U1583" i="1"/>
  <c r="AA1587" i="1"/>
  <c r="U1593" i="1"/>
  <c r="M1597" i="1"/>
  <c r="M1596" i="1" s="1"/>
  <c r="W1596" i="1" s="1"/>
  <c r="X1596" i="1" s="1"/>
  <c r="U1597" i="1"/>
  <c r="Z1598" i="1"/>
  <c r="X1599" i="1"/>
  <c r="W1604" i="1"/>
  <c r="AA1604" i="1" s="1"/>
  <c r="U1608" i="1"/>
  <c r="U1617" i="1"/>
  <c r="G1618" i="1"/>
  <c r="Q1623" i="1"/>
  <c r="W1623" i="1" s="1"/>
  <c r="U1625" i="1"/>
  <c r="U1632" i="1"/>
  <c r="AA1569" i="1"/>
  <c r="X1569" i="1"/>
  <c r="X1588" i="1"/>
  <c r="AA1610" i="1"/>
  <c r="X1610" i="1"/>
  <c r="X1592" i="1"/>
  <c r="AA1622" i="1"/>
  <c r="X1622" i="1"/>
  <c r="AA1630" i="1"/>
  <c r="X1630" i="1"/>
  <c r="U1565" i="1"/>
  <c r="Z1567" i="1"/>
  <c r="O1565" i="1"/>
  <c r="AA1570" i="1"/>
  <c r="Z1571" i="1"/>
  <c r="X1573" i="1"/>
  <c r="M1576" i="1"/>
  <c r="Z1580" i="1"/>
  <c r="U1584" i="1"/>
  <c r="U1587" i="1"/>
  <c r="X1594" i="1"/>
  <c r="Z1595" i="1"/>
  <c r="Z1600" i="1"/>
  <c r="W1603" i="1"/>
  <c r="X1621" i="1"/>
  <c r="AA1621" i="1"/>
  <c r="W1631" i="1"/>
  <c r="Q1629" i="1"/>
  <c r="Z1635" i="1"/>
  <c r="AA1572" i="1"/>
  <c r="Z1573" i="1"/>
  <c r="W1582" i="1"/>
  <c r="Z1603" i="1"/>
  <c r="M1609" i="1"/>
  <c r="X1611" i="1"/>
  <c r="AA1611" i="1"/>
  <c r="M1614" i="1"/>
  <c r="AA1620" i="1"/>
  <c r="X1620" i="1"/>
  <c r="Z1621" i="1"/>
  <c r="Z1629" i="1"/>
  <c r="Z1586" i="1"/>
  <c r="X1598" i="1"/>
  <c r="AA1598" i="1"/>
  <c r="X1601" i="1"/>
  <c r="AA1601" i="1"/>
  <c r="Z1604" i="1"/>
  <c r="Z1611" i="1"/>
  <c r="Z1615" i="1"/>
  <c r="X1619" i="1"/>
  <c r="AA1619" i="1"/>
  <c r="Z1620" i="1"/>
  <c r="Z1628" i="1"/>
  <c r="AA1636" i="1"/>
  <c r="X1636" i="1"/>
  <c r="Z1623" i="1"/>
  <c r="AA1628" i="1"/>
  <c r="Z1631" i="1"/>
  <c r="O1634" i="1"/>
  <c r="O1614" i="1" s="1"/>
  <c r="Z1622" i="1"/>
  <c r="Z1630" i="1"/>
  <c r="Z1636" i="1"/>
  <c r="W1576" i="1" l="1"/>
  <c r="AA1576" i="1" s="1"/>
  <c r="X1591" i="1"/>
  <c r="AA1578" i="1"/>
  <c r="AA1613" i="1"/>
  <c r="AA1615" i="1"/>
  <c r="X1618" i="1"/>
  <c r="AA1577" i="1"/>
  <c r="X1579" i="1"/>
  <c r="AA1580" i="1"/>
  <c r="Q1614" i="1"/>
  <c r="M1589" i="1"/>
  <c r="W1589" i="1" s="1"/>
  <c r="X1589" i="1" s="1"/>
  <c r="AA1633" i="1"/>
  <c r="AA1596" i="1"/>
  <c r="W1584" i="1"/>
  <c r="AA1584" i="1" s="1"/>
  <c r="AA1585" i="1"/>
  <c r="X1575" i="1"/>
  <c r="X1600" i="1"/>
  <c r="X1595" i="1"/>
  <c r="M1581" i="1"/>
  <c r="W1581" i="1" s="1"/>
  <c r="AA1581" i="1" s="1"/>
  <c r="X1602" i="1"/>
  <c r="Z1582" i="1"/>
  <c r="X1604" i="1"/>
  <c r="W1597" i="1"/>
  <c r="AA1597" i="1" s="1"/>
  <c r="AA1635" i="1"/>
  <c r="AA1623" i="1"/>
  <c r="X1623" i="1"/>
  <c r="W1609" i="1"/>
  <c r="M1608" i="1"/>
  <c r="AA1631" i="1"/>
  <c r="X1631" i="1"/>
  <c r="X1576" i="1"/>
  <c r="AA1568" i="1"/>
  <c r="X1568" i="1"/>
  <c r="W1634" i="1"/>
  <c r="AA1603" i="1"/>
  <c r="X1603" i="1"/>
  <c r="W1614" i="1"/>
  <c r="W1629" i="1"/>
  <c r="AA1582" i="1"/>
  <c r="X1582" i="1"/>
  <c r="M1565" i="1"/>
  <c r="W1565" i="1" s="1"/>
  <c r="X1581" i="1" l="1"/>
  <c r="AA1589" i="1"/>
  <c r="X1584" i="1"/>
  <c r="X1597" i="1"/>
  <c r="W1608" i="1"/>
  <c r="M1607" i="1"/>
  <c r="AA1609" i="1"/>
  <c r="X1609" i="1"/>
  <c r="AA1614" i="1"/>
  <c r="X1614" i="1"/>
  <c r="X1565" i="1"/>
  <c r="AA1565" i="1"/>
  <c r="AD1565" i="1" s="1"/>
  <c r="X1634" i="1"/>
  <c r="AA1634" i="1"/>
  <c r="X1629" i="1"/>
  <c r="AA1629" i="1"/>
  <c r="W1607" i="1" l="1"/>
  <c r="M1605" i="1"/>
  <c r="W1605" i="1" s="1"/>
  <c r="X1608" i="1"/>
  <c r="AA1608" i="1"/>
  <c r="X1605" i="1" l="1"/>
  <c r="AA1605" i="1"/>
  <c r="AA1607" i="1"/>
  <c r="X1607" i="1"/>
  <c r="W1513" i="1" l="1"/>
  <c r="AA1513" i="1" s="1"/>
  <c r="T1513" i="1"/>
  <c r="U1513" i="1" s="1"/>
  <c r="T1512" i="1"/>
  <c r="U1512" i="1" s="1"/>
  <c r="S1512" i="1"/>
  <c r="S1511" i="1" s="1"/>
  <c r="Q1512" i="1"/>
  <c r="Q1511" i="1" s="1"/>
  <c r="O1512" i="1"/>
  <c r="O1511" i="1" s="1"/>
  <c r="M1512" i="1"/>
  <c r="M1511" i="1" s="1"/>
  <c r="K1512" i="1"/>
  <c r="K1511" i="1" s="1"/>
  <c r="I1512" i="1"/>
  <c r="I1511" i="1" s="1"/>
  <c r="G1512" i="1"/>
  <c r="G1511" i="1" s="1"/>
  <c r="T1511" i="1"/>
  <c r="Z1511" i="1" s="1"/>
  <c r="W1510" i="1"/>
  <c r="AA1510" i="1" s="1"/>
  <c r="T1510" i="1"/>
  <c r="U1510" i="1" s="1"/>
  <c r="S1509" i="1"/>
  <c r="Q1509" i="1"/>
  <c r="O1509" i="1"/>
  <c r="N1509" i="1"/>
  <c r="M1509" i="1"/>
  <c r="L1509" i="1"/>
  <c r="K1509" i="1"/>
  <c r="J1509" i="1"/>
  <c r="I1509" i="1"/>
  <c r="G1509" i="1"/>
  <c r="E1509" i="1"/>
  <c r="W1508" i="1"/>
  <c r="X1508" i="1" s="1"/>
  <c r="T1508" i="1"/>
  <c r="Z1508" i="1" s="1"/>
  <c r="T1507" i="1"/>
  <c r="U1507" i="1" s="1"/>
  <c r="S1507" i="1"/>
  <c r="Q1507" i="1"/>
  <c r="O1507" i="1"/>
  <c r="M1507" i="1"/>
  <c r="K1507" i="1"/>
  <c r="I1507" i="1"/>
  <c r="G1507" i="1"/>
  <c r="W1505" i="1"/>
  <c r="X1505" i="1" s="1"/>
  <c r="T1505" i="1"/>
  <c r="G1505" i="1"/>
  <c r="G1504" i="1" s="1"/>
  <c r="T1504" i="1"/>
  <c r="U1504" i="1" s="1"/>
  <c r="S1504" i="1"/>
  <c r="Q1504" i="1"/>
  <c r="O1504" i="1"/>
  <c r="M1504" i="1"/>
  <c r="K1504" i="1"/>
  <c r="I1504" i="1"/>
  <c r="T1503" i="1"/>
  <c r="U1503" i="1" s="1"/>
  <c r="W1501" i="1"/>
  <c r="X1501" i="1" s="1"/>
  <c r="T1501" i="1"/>
  <c r="Z1501" i="1" s="1"/>
  <c r="T1500" i="1"/>
  <c r="Z1500" i="1" s="1"/>
  <c r="S1500" i="1"/>
  <c r="Q1500" i="1"/>
  <c r="O1500" i="1"/>
  <c r="M1500" i="1"/>
  <c r="K1500" i="1"/>
  <c r="I1500" i="1"/>
  <c r="G1500" i="1"/>
  <c r="AA1499" i="1"/>
  <c r="Z1499" i="1"/>
  <c r="AA1498" i="1"/>
  <c r="Z1498" i="1"/>
  <c r="W1497" i="1"/>
  <c r="X1497" i="1" s="1"/>
  <c r="T1497" i="1"/>
  <c r="U1497" i="1" s="1"/>
  <c r="E1497" i="1"/>
  <c r="W1496" i="1"/>
  <c r="AA1496" i="1" s="1"/>
  <c r="T1496" i="1"/>
  <c r="Z1496" i="1" s="1"/>
  <c r="W1495" i="1"/>
  <c r="X1495" i="1" s="1"/>
  <c r="T1495" i="1"/>
  <c r="Z1495" i="1" s="1"/>
  <c r="T1494" i="1"/>
  <c r="U1494" i="1" s="1"/>
  <c r="S1494" i="1"/>
  <c r="Q1494" i="1"/>
  <c r="O1494" i="1"/>
  <c r="M1494" i="1"/>
  <c r="K1494" i="1"/>
  <c r="I1494" i="1"/>
  <c r="G1494" i="1"/>
  <c r="T1493" i="1"/>
  <c r="Z1493" i="1" s="1"/>
  <c r="T1492" i="1"/>
  <c r="U1492" i="1" s="1"/>
  <c r="AA1491" i="1"/>
  <c r="Z1491" i="1"/>
  <c r="E1491" i="1"/>
  <c r="AA1490" i="1"/>
  <c r="Z1490" i="1"/>
  <c r="E1490" i="1"/>
  <c r="W1489" i="1"/>
  <c r="AA1489" i="1" s="1"/>
  <c r="T1489" i="1"/>
  <c r="J1489" i="1"/>
  <c r="W1488" i="1"/>
  <c r="X1488" i="1" s="1"/>
  <c r="T1488" i="1"/>
  <c r="Z1488" i="1" s="1"/>
  <c r="T1487" i="1"/>
  <c r="Z1487" i="1" s="1"/>
  <c r="S1487" i="1"/>
  <c r="Q1487" i="1"/>
  <c r="O1487" i="1"/>
  <c r="M1487" i="1"/>
  <c r="K1487" i="1"/>
  <c r="G1487" i="1"/>
  <c r="W1486" i="1"/>
  <c r="AA1486" i="1" s="1"/>
  <c r="T1486" i="1"/>
  <c r="Z1486" i="1" s="1"/>
  <c r="E1486" i="1"/>
  <c r="W1485" i="1"/>
  <c r="AA1485" i="1" s="1"/>
  <c r="T1485" i="1"/>
  <c r="Z1485" i="1" s="1"/>
  <c r="E1485" i="1"/>
  <c r="T1484" i="1"/>
  <c r="Z1484" i="1" s="1"/>
  <c r="S1484" i="1"/>
  <c r="Q1484" i="1"/>
  <c r="O1484" i="1"/>
  <c r="M1484" i="1"/>
  <c r="K1484" i="1"/>
  <c r="I1484" i="1"/>
  <c r="G1484" i="1"/>
  <c r="W1483" i="1"/>
  <c r="AA1483" i="1" s="1"/>
  <c r="T1483" i="1"/>
  <c r="Z1483" i="1" s="1"/>
  <c r="W1482" i="1"/>
  <c r="AA1482" i="1" s="1"/>
  <c r="T1482" i="1"/>
  <c r="U1482" i="1" s="1"/>
  <c r="T1481" i="1"/>
  <c r="U1481" i="1" s="1"/>
  <c r="S1481" i="1"/>
  <c r="Q1481" i="1"/>
  <c r="O1481" i="1"/>
  <c r="M1481" i="1"/>
  <c r="K1481" i="1"/>
  <c r="I1481" i="1"/>
  <c r="G1481" i="1"/>
  <c r="W1480" i="1"/>
  <c r="AA1480" i="1" s="1"/>
  <c r="T1480" i="1"/>
  <c r="Z1480" i="1" s="1"/>
  <c r="E1480" i="1"/>
  <c r="W1479" i="1"/>
  <c r="AA1479" i="1" s="1"/>
  <c r="T1479" i="1"/>
  <c r="U1479" i="1" s="1"/>
  <c r="E1479" i="1"/>
  <c r="W1478" i="1"/>
  <c r="X1478" i="1" s="1"/>
  <c r="T1478" i="1"/>
  <c r="Z1478" i="1" s="1"/>
  <c r="E1478" i="1"/>
  <c r="AH1477" i="1"/>
  <c r="W1477" i="1"/>
  <c r="X1477" i="1" s="1"/>
  <c r="T1477" i="1"/>
  <c r="Z1477" i="1" s="1"/>
  <c r="E1477" i="1"/>
  <c r="AH1476" i="1"/>
  <c r="W1476" i="1"/>
  <c r="X1476" i="1" s="1"/>
  <c r="T1476" i="1"/>
  <c r="Z1476" i="1" s="1"/>
  <c r="E1476" i="1"/>
  <c r="T1475" i="1"/>
  <c r="Z1475" i="1" s="1"/>
  <c r="S1475" i="1"/>
  <c r="Q1475" i="1"/>
  <c r="O1475" i="1"/>
  <c r="M1475" i="1"/>
  <c r="K1475" i="1"/>
  <c r="I1475" i="1"/>
  <c r="G1475" i="1"/>
  <c r="AH1474" i="1"/>
  <c r="W1474" i="1"/>
  <c r="AA1474" i="1" s="1"/>
  <c r="T1474" i="1"/>
  <c r="Z1474" i="1" s="1"/>
  <c r="E1474" i="1"/>
  <c r="W1473" i="1"/>
  <c r="AA1473" i="1" s="1"/>
  <c r="T1473" i="1"/>
  <c r="Z1473" i="1" s="1"/>
  <c r="E1473" i="1"/>
  <c r="W1472" i="1"/>
  <c r="X1472" i="1" s="1"/>
  <c r="T1472" i="1"/>
  <c r="Z1472" i="1" s="1"/>
  <c r="E1472" i="1"/>
  <c r="W1471" i="1"/>
  <c r="AA1471" i="1" s="1"/>
  <c r="T1471" i="1"/>
  <c r="U1471" i="1" s="1"/>
  <c r="S1470" i="1"/>
  <c r="Q1470" i="1"/>
  <c r="P1470" i="1"/>
  <c r="O1470" i="1"/>
  <c r="N1470" i="1"/>
  <c r="M1470" i="1"/>
  <c r="L1470" i="1"/>
  <c r="K1470" i="1"/>
  <c r="I1470" i="1"/>
  <c r="G1470" i="1"/>
  <c r="W1469" i="1"/>
  <c r="AA1469" i="1" s="1"/>
  <c r="T1469" i="1"/>
  <c r="Z1469" i="1" s="1"/>
  <c r="W1468" i="1"/>
  <c r="X1468" i="1" s="1"/>
  <c r="T1468" i="1"/>
  <c r="Z1468" i="1" s="1"/>
  <c r="S1467" i="1"/>
  <c r="Q1467" i="1"/>
  <c r="O1467" i="1"/>
  <c r="M1467" i="1"/>
  <c r="L1467" i="1"/>
  <c r="T1467" i="1" s="1"/>
  <c r="K1467" i="1"/>
  <c r="J1467" i="1"/>
  <c r="I1467" i="1"/>
  <c r="G1467" i="1"/>
  <c r="E1467" i="1"/>
  <c r="T1466" i="1"/>
  <c r="Z1466" i="1" s="1"/>
  <c r="Q1503" i="1" l="1"/>
  <c r="O1503" i="1"/>
  <c r="T1509" i="1"/>
  <c r="U1509" i="1" s="1"/>
  <c r="U1511" i="1"/>
  <c r="U1468" i="1"/>
  <c r="W1511" i="1"/>
  <c r="O1492" i="1"/>
  <c r="G1492" i="1"/>
  <c r="AA1501" i="1"/>
  <c r="G1466" i="1"/>
  <c r="U1483" i="1"/>
  <c r="AA1497" i="1"/>
  <c r="W1500" i="1"/>
  <c r="X1500" i="1" s="1"/>
  <c r="X1496" i="1"/>
  <c r="K1503" i="1"/>
  <c r="S1503" i="1"/>
  <c r="E1470" i="1"/>
  <c r="I1492" i="1"/>
  <c r="Q1492" i="1"/>
  <c r="K1492" i="1"/>
  <c r="S1492" i="1"/>
  <c r="G1503" i="1"/>
  <c r="U1467" i="1"/>
  <c r="O1466" i="1"/>
  <c r="X1474" i="1"/>
  <c r="W1481" i="1"/>
  <c r="X1481" i="1" s="1"/>
  <c r="U1493" i="1"/>
  <c r="U1508" i="1"/>
  <c r="M1466" i="1"/>
  <c r="T1470" i="1"/>
  <c r="Z1470" i="1" s="1"/>
  <c r="AA1472" i="1"/>
  <c r="U1476" i="1"/>
  <c r="AA1477" i="1"/>
  <c r="U1478" i="1"/>
  <c r="K1466" i="1"/>
  <c r="X1482" i="1"/>
  <c r="U1485" i="1"/>
  <c r="W1487" i="1"/>
  <c r="X1487" i="1" s="1"/>
  <c r="AA1488" i="1"/>
  <c r="W1494" i="1"/>
  <c r="X1494" i="1" s="1"/>
  <c r="AA1495" i="1"/>
  <c r="W1509" i="1"/>
  <c r="X1509" i="1" s="1"/>
  <c r="AA1468" i="1"/>
  <c r="Q1466" i="1"/>
  <c r="X1471" i="1"/>
  <c r="U1472" i="1"/>
  <c r="W1475" i="1"/>
  <c r="X1475" i="1" s="1"/>
  <c r="U1475" i="1"/>
  <c r="X1480" i="1"/>
  <c r="W1484" i="1"/>
  <c r="AA1484" i="1" s="1"/>
  <c r="U1484" i="1"/>
  <c r="X1486" i="1"/>
  <c r="M1492" i="1"/>
  <c r="U1501" i="1"/>
  <c r="I1503" i="1"/>
  <c r="W1504" i="1"/>
  <c r="X1504" i="1" s="1"/>
  <c r="AA1505" i="1"/>
  <c r="W1507" i="1"/>
  <c r="X1507" i="1" s="1"/>
  <c r="AA1508" i="1"/>
  <c r="X1469" i="1"/>
  <c r="I1466" i="1"/>
  <c r="W1470" i="1"/>
  <c r="X1470" i="1" s="1"/>
  <c r="U1466" i="1"/>
  <c r="S1466" i="1"/>
  <c r="U1473" i="1"/>
  <c r="AA1476" i="1"/>
  <c r="U1477" i="1"/>
  <c r="AA1478" i="1"/>
  <c r="U1488" i="1"/>
  <c r="U1489" i="1"/>
  <c r="U1495" i="1"/>
  <c r="M1503" i="1"/>
  <c r="AA1511" i="1"/>
  <c r="X1511" i="1"/>
  <c r="U1505" i="1"/>
  <c r="Z1505" i="1"/>
  <c r="Z1467" i="1"/>
  <c r="Z1471" i="1"/>
  <c r="Z1482" i="1"/>
  <c r="Z1497" i="1"/>
  <c r="Z1503" i="1"/>
  <c r="Z1512" i="1"/>
  <c r="AH1475" i="1"/>
  <c r="X1489" i="1"/>
  <c r="Z1492" i="1"/>
  <c r="Z1494" i="1"/>
  <c r="Z1504" i="1"/>
  <c r="Z1507" i="1"/>
  <c r="X1510" i="1"/>
  <c r="X1513" i="1"/>
  <c r="W1467" i="1"/>
  <c r="X1467" i="1" s="1"/>
  <c r="AH1467" i="1"/>
  <c r="U1469" i="1"/>
  <c r="U1474" i="1"/>
  <c r="Z1479" i="1"/>
  <c r="U1480" i="1"/>
  <c r="Z1481" i="1"/>
  <c r="U1486" i="1"/>
  <c r="U1487" i="1"/>
  <c r="Z1489" i="1"/>
  <c r="U1496" i="1"/>
  <c r="U1500" i="1"/>
  <c r="Z1510" i="1"/>
  <c r="W1512" i="1"/>
  <c r="Z1513" i="1"/>
  <c r="X1473" i="1"/>
  <c r="X1479" i="1"/>
  <c r="X1483" i="1"/>
  <c r="X1485" i="1"/>
  <c r="Z1509" i="1" l="1"/>
  <c r="AA1475" i="1"/>
  <c r="W1492" i="1"/>
  <c r="AA1492" i="1" s="1"/>
  <c r="AA1500" i="1"/>
  <c r="U1470" i="1"/>
  <c r="AA1494" i="1"/>
  <c r="W1503" i="1"/>
  <c r="X1503" i="1" s="1"/>
  <c r="X1484" i="1"/>
  <c r="AH1466" i="1"/>
  <c r="AA1487" i="1"/>
  <c r="AA1470" i="1"/>
  <c r="AA1481" i="1"/>
  <c r="W1466" i="1"/>
  <c r="X1466" i="1" s="1"/>
  <c r="AA1509" i="1"/>
  <c r="AA1507" i="1"/>
  <c r="AA1504" i="1"/>
  <c r="X1512" i="1"/>
  <c r="AA1512" i="1"/>
  <c r="AA1467" i="1"/>
  <c r="X1492" i="1" l="1"/>
  <c r="AA1503" i="1"/>
  <c r="AA1466" i="1"/>
  <c r="T1465" i="1"/>
  <c r="U1465" i="1" s="1"/>
  <c r="Q1465" i="1"/>
  <c r="G1465" i="1"/>
  <c r="E1465" i="1"/>
  <c r="E1461" i="1" s="1"/>
  <c r="T1464" i="1"/>
  <c r="U1464" i="1" s="1"/>
  <c r="S1464" i="1"/>
  <c r="W1464" i="1" s="1"/>
  <c r="X1464" i="1" s="1"/>
  <c r="G1464" i="1"/>
  <c r="E1464" i="1"/>
  <c r="E1460" i="1" s="1"/>
  <c r="T1461" i="1"/>
  <c r="U1461" i="1" s="1"/>
  <c r="O1460" i="1"/>
  <c r="M1460" i="1"/>
  <c r="M1459" i="1" s="1"/>
  <c r="L1460" i="1"/>
  <c r="T1460" i="1" s="1"/>
  <c r="Z1460" i="1" s="1"/>
  <c r="K1460" i="1"/>
  <c r="K1459" i="1" s="1"/>
  <c r="I1460" i="1"/>
  <c r="I1459" i="1" s="1"/>
  <c r="T1459" i="1"/>
  <c r="U1459" i="1" s="1"/>
  <c r="H1459" i="1"/>
  <c r="T1458" i="1"/>
  <c r="U1458" i="1" s="1"/>
  <c r="O1458" i="1"/>
  <c r="Q1458" i="1" s="1"/>
  <c r="S1458" i="1" s="1"/>
  <c r="G1458" i="1"/>
  <c r="T1457" i="1"/>
  <c r="U1457" i="1" s="1"/>
  <c r="O1457" i="1"/>
  <c r="G1457" i="1"/>
  <c r="W1455" i="1"/>
  <c r="T1455" i="1"/>
  <c r="U1455" i="1" s="1"/>
  <c r="T1454" i="1"/>
  <c r="U1454" i="1" s="1"/>
  <c r="M1454" i="1"/>
  <c r="M1451" i="1" s="1"/>
  <c r="K1454" i="1"/>
  <c r="K1451" i="1" s="1"/>
  <c r="Z1453" i="1"/>
  <c r="I1453" i="1"/>
  <c r="AA1453" i="1" s="1"/>
  <c r="E1453" i="1"/>
  <c r="L1451" i="1"/>
  <c r="T1451" i="1" s="1"/>
  <c r="U1451" i="1" s="1"/>
  <c r="H1451" i="1"/>
  <c r="E1451" i="1"/>
  <c r="AA1450" i="1"/>
  <c r="Z1450" i="1"/>
  <c r="G1450" i="1"/>
  <c r="G1449" i="1" s="1"/>
  <c r="E1450" i="1"/>
  <c r="E1449" i="1" s="1"/>
  <c r="AA1449" i="1"/>
  <c r="Z1449" i="1"/>
  <c r="L1449" i="1"/>
  <c r="K1449" i="1"/>
  <c r="J1449" i="1"/>
  <c r="T1448" i="1"/>
  <c r="Z1448" i="1" s="1"/>
  <c r="Q1448" i="1"/>
  <c r="S1448" i="1" s="1"/>
  <c r="S1444" i="1" s="1"/>
  <c r="G1448" i="1"/>
  <c r="G1444" i="1" s="1"/>
  <c r="O1444" i="1"/>
  <c r="M1444" i="1"/>
  <c r="L1444" i="1"/>
  <c r="T1444" i="1" s="1"/>
  <c r="K1444" i="1"/>
  <c r="E1444" i="1"/>
  <c r="T1443" i="1"/>
  <c r="U1443" i="1" s="1"/>
  <c r="O1443" i="1"/>
  <c r="G1443" i="1"/>
  <c r="G1442" i="1" s="1"/>
  <c r="E1443" i="1"/>
  <c r="E1442" i="1" s="1"/>
  <c r="T1442" i="1"/>
  <c r="M1442" i="1"/>
  <c r="K1442" i="1"/>
  <c r="J1442" i="1"/>
  <c r="I1442" i="1"/>
  <c r="I1441" i="1" s="1"/>
  <c r="H1442" i="1"/>
  <c r="T1441" i="1"/>
  <c r="U1441" i="1" s="1"/>
  <c r="W1440" i="1"/>
  <c r="AA1440" i="1" s="1"/>
  <c r="T1440" i="1"/>
  <c r="U1440" i="1" s="1"/>
  <c r="G1440" i="1"/>
  <c r="G1439" i="1" s="1"/>
  <c r="G1438" i="1" s="1"/>
  <c r="T1439" i="1"/>
  <c r="U1439" i="1" s="1"/>
  <c r="S1439" i="1"/>
  <c r="S1438" i="1" s="1"/>
  <c r="Q1439" i="1"/>
  <c r="Q1438" i="1" s="1"/>
  <c r="O1439" i="1"/>
  <c r="M1439" i="1"/>
  <c r="M1438" i="1" s="1"/>
  <c r="K1439" i="1"/>
  <c r="K1438" i="1" s="1"/>
  <c r="I1439" i="1"/>
  <c r="I1438" i="1" s="1"/>
  <c r="O1438" i="1"/>
  <c r="L1438" i="1"/>
  <c r="T1438" i="1" s="1"/>
  <c r="J1438" i="1"/>
  <c r="H1438" i="1"/>
  <c r="E1438" i="1"/>
  <c r="W1437" i="1"/>
  <c r="X1437" i="1" s="1"/>
  <c r="G1437" i="1"/>
  <c r="T1436" i="1"/>
  <c r="U1436" i="1" s="1"/>
  <c r="S1436" i="1"/>
  <c r="W1436" i="1" s="1"/>
  <c r="G1436" i="1"/>
  <c r="E1436" i="1"/>
  <c r="T1435" i="1"/>
  <c r="Z1435" i="1" s="1"/>
  <c r="O1435" i="1"/>
  <c r="G1435" i="1"/>
  <c r="T1434" i="1"/>
  <c r="U1434" i="1" s="1"/>
  <c r="S1434" i="1"/>
  <c r="G1434" i="1"/>
  <c r="E1434" i="1"/>
  <c r="T1431" i="1"/>
  <c r="U1431" i="1" s="1"/>
  <c r="H1431" i="1"/>
  <c r="T1430" i="1"/>
  <c r="M1430" i="1"/>
  <c r="K1430" i="1"/>
  <c r="J1430" i="1"/>
  <c r="I1430" i="1"/>
  <c r="W1429" i="1"/>
  <c r="AA1429" i="1" s="1"/>
  <c r="T1429" i="1"/>
  <c r="U1429" i="1" s="1"/>
  <c r="G1429" i="1"/>
  <c r="G1428" i="1" s="1"/>
  <c r="E1429" i="1"/>
  <c r="E1428" i="1" s="1"/>
  <c r="S1428" i="1"/>
  <c r="Q1428" i="1"/>
  <c r="O1428" i="1"/>
  <c r="N1428" i="1"/>
  <c r="M1428" i="1"/>
  <c r="L1428" i="1"/>
  <c r="K1428" i="1"/>
  <c r="J1428" i="1"/>
  <c r="I1428" i="1"/>
  <c r="T1427" i="1"/>
  <c r="U1427" i="1" s="1"/>
  <c r="Q1427" i="1"/>
  <c r="S1427" i="1" s="1"/>
  <c r="G1427" i="1"/>
  <c r="T1426" i="1"/>
  <c r="Z1426" i="1" s="1"/>
  <c r="O1426" i="1"/>
  <c r="G1426" i="1"/>
  <c r="E1426" i="1"/>
  <c r="E1424" i="1" s="1"/>
  <c r="T1425" i="1"/>
  <c r="H1425" i="1"/>
  <c r="T1424" i="1"/>
  <c r="U1424" i="1" s="1"/>
  <c r="M1424" i="1"/>
  <c r="K1424" i="1"/>
  <c r="I1424" i="1"/>
  <c r="T1423" i="1"/>
  <c r="Z1423" i="1" s="1"/>
  <c r="O1423" i="1"/>
  <c r="Q1423" i="1" s="1"/>
  <c r="Q1422" i="1" s="1"/>
  <c r="G1423" i="1"/>
  <c r="G1422" i="1" s="1"/>
  <c r="M1422" i="1"/>
  <c r="L1422" i="1"/>
  <c r="T1422" i="1" s="1"/>
  <c r="U1422" i="1" s="1"/>
  <c r="K1422" i="1"/>
  <c r="I1422" i="1"/>
  <c r="T1421" i="1"/>
  <c r="U1421" i="1" s="1"/>
  <c r="T1420" i="1"/>
  <c r="U1420" i="1" s="1"/>
  <c r="T1419" i="1"/>
  <c r="U1419" i="1" s="1"/>
  <c r="T1418" i="1"/>
  <c r="Z1418" i="1" s="1"/>
  <c r="W1417" i="1"/>
  <c r="X1417" i="1" s="1"/>
  <c r="T1417" i="1"/>
  <c r="Z1417" i="1" s="1"/>
  <c r="G1417" i="1"/>
  <c r="G1416" i="1" s="1"/>
  <c r="E1417" i="1"/>
  <c r="S1416" i="1"/>
  <c r="Q1416" i="1"/>
  <c r="O1416" i="1"/>
  <c r="M1416" i="1"/>
  <c r="L1416" i="1"/>
  <c r="T1416" i="1" s="1"/>
  <c r="Z1416" i="1" s="1"/>
  <c r="K1416" i="1"/>
  <c r="I1416" i="1"/>
  <c r="AA1415" i="1"/>
  <c r="Z1415" i="1"/>
  <c r="T1414" i="1"/>
  <c r="Z1414" i="1" s="1"/>
  <c r="O1414" i="1"/>
  <c r="Q1414" i="1" s="1"/>
  <c r="G1414" i="1"/>
  <c r="T1413" i="1"/>
  <c r="U1413" i="1" s="1"/>
  <c r="O1413" i="1"/>
  <c r="G1413" i="1"/>
  <c r="T1412" i="1"/>
  <c r="Z1412" i="1" s="1"/>
  <c r="Q1412" i="1"/>
  <c r="G1412" i="1"/>
  <c r="T1411" i="1"/>
  <c r="Z1411" i="1" s="1"/>
  <c r="T1410" i="1"/>
  <c r="Z1410" i="1" s="1"/>
  <c r="M1410" i="1"/>
  <c r="K1410" i="1"/>
  <c r="I1410" i="1"/>
  <c r="I1408" i="1" s="1"/>
  <c r="T1409" i="1"/>
  <c r="J1409" i="1"/>
  <c r="H1409" i="1"/>
  <c r="E1409" i="1"/>
  <c r="L1408" i="1"/>
  <c r="T1408" i="1" s="1"/>
  <c r="U1408" i="1" s="1"/>
  <c r="H1408" i="1"/>
  <c r="E1408" i="1"/>
  <c r="T1407" i="1"/>
  <c r="U1407" i="1" s="1"/>
  <c r="O1407" i="1"/>
  <c r="Q1407" i="1" s="1"/>
  <c r="G1407" i="1"/>
  <c r="E1407" i="1"/>
  <c r="T1406" i="1"/>
  <c r="Z1406" i="1" s="1"/>
  <c r="Q1406" i="1"/>
  <c r="S1406" i="1" s="1"/>
  <c r="G1406" i="1"/>
  <c r="E1406" i="1"/>
  <c r="T1405" i="1"/>
  <c r="Z1405" i="1" s="1"/>
  <c r="O1405" i="1"/>
  <c r="O1402" i="1" s="1"/>
  <c r="G1405" i="1"/>
  <c r="G1402" i="1" s="1"/>
  <c r="E1405" i="1"/>
  <c r="T1402" i="1"/>
  <c r="U1402" i="1" s="1"/>
  <c r="M1402" i="1"/>
  <c r="K1402" i="1"/>
  <c r="I1402" i="1"/>
  <c r="T1401" i="1"/>
  <c r="Z1401" i="1" s="1"/>
  <c r="O1401" i="1"/>
  <c r="O1400" i="1" s="1"/>
  <c r="G1401" i="1"/>
  <c r="G1400" i="1" s="1"/>
  <c r="E1401" i="1"/>
  <c r="T1400" i="1"/>
  <c r="Z1400" i="1" s="1"/>
  <c r="M1400" i="1"/>
  <c r="K1400" i="1"/>
  <c r="I1400" i="1"/>
  <c r="T1399" i="1"/>
  <c r="Z1399" i="1" s="1"/>
  <c r="O1399" i="1"/>
  <c r="G1399" i="1"/>
  <c r="E1399" i="1"/>
  <c r="T1398" i="1"/>
  <c r="Z1398" i="1" s="1"/>
  <c r="O1398" i="1"/>
  <c r="G1398" i="1"/>
  <c r="E1398" i="1"/>
  <c r="T1397" i="1"/>
  <c r="U1397" i="1" s="1"/>
  <c r="O1397" i="1"/>
  <c r="Q1397" i="1" s="1"/>
  <c r="G1397" i="1"/>
  <c r="E1397" i="1"/>
  <c r="T1396" i="1"/>
  <c r="Z1396" i="1" s="1"/>
  <c r="O1396" i="1"/>
  <c r="G1396" i="1"/>
  <c r="E1396" i="1"/>
  <c r="T1395" i="1"/>
  <c r="Z1395" i="1" s="1"/>
  <c r="O1395" i="1"/>
  <c r="G1395" i="1"/>
  <c r="E1395" i="1"/>
  <c r="T1394" i="1"/>
  <c r="U1394" i="1" s="1"/>
  <c r="O1394" i="1"/>
  <c r="G1394" i="1"/>
  <c r="G1388" i="1" s="1"/>
  <c r="E1394" i="1"/>
  <c r="T1388" i="1"/>
  <c r="Z1388" i="1" s="1"/>
  <c r="M1388" i="1"/>
  <c r="K1388" i="1"/>
  <c r="I1388" i="1"/>
  <c r="E1388" i="1"/>
  <c r="AH1387" i="1"/>
  <c r="W1387" i="1"/>
  <c r="X1387" i="1" s="1"/>
  <c r="T1387" i="1"/>
  <c r="Z1387" i="1" s="1"/>
  <c r="G1387" i="1"/>
  <c r="E1387" i="1"/>
  <c r="T1386" i="1"/>
  <c r="Z1386" i="1" s="1"/>
  <c r="O1386" i="1"/>
  <c r="G1386" i="1"/>
  <c r="E1386" i="1"/>
  <c r="T1385" i="1"/>
  <c r="Z1385" i="1" s="1"/>
  <c r="Q1385" i="1"/>
  <c r="AH1385" i="1" s="1"/>
  <c r="G1385" i="1"/>
  <c r="E1385" i="1"/>
  <c r="T1384" i="1"/>
  <c r="U1384" i="1" s="1"/>
  <c r="O1384" i="1"/>
  <c r="Q1384" i="1" s="1"/>
  <c r="S1384" i="1" s="1"/>
  <c r="S1380" i="1" s="1"/>
  <c r="G1384" i="1"/>
  <c r="E1384" i="1"/>
  <c r="N1380" i="1"/>
  <c r="M1380" i="1"/>
  <c r="L1380" i="1"/>
  <c r="K1380" i="1"/>
  <c r="J1380" i="1"/>
  <c r="I1380" i="1"/>
  <c r="H1380" i="1"/>
  <c r="T1379" i="1"/>
  <c r="U1379" i="1" s="1"/>
  <c r="O1379" i="1"/>
  <c r="G1379" i="1"/>
  <c r="E1379" i="1"/>
  <c r="T1378" i="1"/>
  <c r="U1378" i="1" s="1"/>
  <c r="O1378" i="1"/>
  <c r="O1376" i="1" s="1"/>
  <c r="G1378" i="1"/>
  <c r="G1376" i="1" s="1"/>
  <c r="E1378" i="1"/>
  <c r="E1376" i="1" s="1"/>
  <c r="R1376" i="1"/>
  <c r="P1376" i="1"/>
  <c r="N1376" i="1"/>
  <c r="M1376" i="1"/>
  <c r="L1376" i="1"/>
  <c r="K1376" i="1"/>
  <c r="J1376" i="1"/>
  <c r="I1376" i="1"/>
  <c r="T1371" i="1"/>
  <c r="U1371" i="1" s="1"/>
  <c r="O1410" i="1" l="1"/>
  <c r="O1408" i="1" s="1"/>
  <c r="M1408" i="1"/>
  <c r="M1418" i="1"/>
  <c r="G1410" i="1"/>
  <c r="G1408" i="1" s="1"/>
  <c r="Z1431" i="1"/>
  <c r="M1441" i="1"/>
  <c r="I1451" i="1"/>
  <c r="Z1442" i="1"/>
  <c r="K1408" i="1"/>
  <c r="W1385" i="1"/>
  <c r="X1385" i="1" s="1"/>
  <c r="U1409" i="1"/>
  <c r="U1438" i="1"/>
  <c r="U1442" i="1"/>
  <c r="T1380" i="1"/>
  <c r="U1380" i="1" s="1"/>
  <c r="O1388" i="1"/>
  <c r="Z1425" i="1"/>
  <c r="Z1459" i="1"/>
  <c r="U1418" i="1"/>
  <c r="U1423" i="1"/>
  <c r="W1438" i="1"/>
  <c r="X1438" i="1" s="1"/>
  <c r="G1460" i="1"/>
  <c r="G1459" i="1" s="1"/>
  <c r="U1399" i="1"/>
  <c r="Z1409" i="1"/>
  <c r="G1453" i="1"/>
  <c r="G1451" i="1" s="1"/>
  <c r="Z1461" i="1"/>
  <c r="Z1397" i="1"/>
  <c r="W1416" i="1"/>
  <c r="X1416" i="1" s="1"/>
  <c r="U1425" i="1"/>
  <c r="I1371" i="1"/>
  <c r="K1371" i="1"/>
  <c r="U1412" i="1"/>
  <c r="Z1413" i="1"/>
  <c r="G1424" i="1"/>
  <c r="T1428" i="1"/>
  <c r="U1428" i="1" s="1"/>
  <c r="X1429" i="1"/>
  <c r="G1430" i="1"/>
  <c r="K1441" i="1"/>
  <c r="G1441" i="1"/>
  <c r="Q1444" i="1"/>
  <c r="W1444" i="1" s="1"/>
  <c r="X1444" i="1" s="1"/>
  <c r="AA1387" i="1"/>
  <c r="U1398" i="1"/>
  <c r="Z1402" i="1"/>
  <c r="Z1407" i="1"/>
  <c r="U1414" i="1"/>
  <c r="W1439" i="1"/>
  <c r="X1439" i="1" s="1"/>
  <c r="X1440" i="1"/>
  <c r="U1388" i="1"/>
  <c r="U1405" i="1"/>
  <c r="U1410" i="1"/>
  <c r="S1412" i="1"/>
  <c r="W1412" i="1" s="1"/>
  <c r="U1417" i="1"/>
  <c r="Z1419" i="1"/>
  <c r="Z1427" i="1"/>
  <c r="U1430" i="1"/>
  <c r="Z1440" i="1"/>
  <c r="W1458" i="1"/>
  <c r="AA1458" i="1" s="1"/>
  <c r="AA1464" i="1"/>
  <c r="AH1384" i="1"/>
  <c r="S1397" i="1"/>
  <c r="W1397" i="1" s="1"/>
  <c r="E1430" i="1"/>
  <c r="U1396" i="1"/>
  <c r="Q1399" i="1"/>
  <c r="Q1401" i="1"/>
  <c r="S1401" i="1" s="1"/>
  <c r="S1400" i="1" s="1"/>
  <c r="U1426" i="1"/>
  <c r="U1448" i="1"/>
  <c r="Z1457" i="1"/>
  <c r="G1380" i="1"/>
  <c r="G1371" i="1" s="1"/>
  <c r="Q1394" i="1"/>
  <c r="T1376" i="1"/>
  <c r="Z1376" i="1" s="1"/>
  <c r="E1380" i="1"/>
  <c r="U1385" i="1"/>
  <c r="U1386" i="1"/>
  <c r="U1387" i="1"/>
  <c r="U1401" i="1"/>
  <c r="Z1408" i="1"/>
  <c r="K1418" i="1"/>
  <c r="W1427" i="1"/>
  <c r="AA1427" i="1" s="1"/>
  <c r="W1428" i="1"/>
  <c r="X1428" i="1" s="1"/>
  <c r="Z1430" i="1"/>
  <c r="U1435" i="1"/>
  <c r="Z1443" i="1"/>
  <c r="Z1378" i="1"/>
  <c r="M1371" i="1"/>
  <c r="Z1371" i="1"/>
  <c r="Z1394" i="1"/>
  <c r="U1395" i="1"/>
  <c r="Q1396" i="1"/>
  <c r="S1396" i="1" s="1"/>
  <c r="W1396" i="1" s="1"/>
  <c r="U1400" i="1"/>
  <c r="Q1405" i="1"/>
  <c r="Q1402" i="1" s="1"/>
  <c r="U1406" i="1"/>
  <c r="U1411" i="1"/>
  <c r="Z1422" i="1"/>
  <c r="Z1424" i="1"/>
  <c r="Q1379" i="1"/>
  <c r="S1379" i="1" s="1"/>
  <c r="Z1384" i="1"/>
  <c r="Q1386" i="1"/>
  <c r="Q1380" i="1" s="1"/>
  <c r="Q1378" i="1"/>
  <c r="O1380" i="1"/>
  <c r="Q1395" i="1"/>
  <c r="Q1398" i="1"/>
  <c r="S1398" i="1" s="1"/>
  <c r="W1406" i="1"/>
  <c r="U1416" i="1"/>
  <c r="AA1417" i="1"/>
  <c r="X1436" i="1"/>
  <c r="AA1436" i="1"/>
  <c r="U1444" i="1"/>
  <c r="Z1444" i="1"/>
  <c r="Z1451" i="1"/>
  <c r="Z1464" i="1"/>
  <c r="S1465" i="1"/>
  <c r="Q1460" i="1"/>
  <c r="Q1459" i="1" s="1"/>
  <c r="Z1379" i="1"/>
  <c r="W1384" i="1"/>
  <c r="S1407" i="1"/>
  <c r="W1407" i="1" s="1"/>
  <c r="Q1413" i="1"/>
  <c r="S1413" i="1" s="1"/>
  <c r="S1414" i="1"/>
  <c r="W1414" i="1" s="1"/>
  <c r="S1423" i="1"/>
  <c r="S1422" i="1" s="1"/>
  <c r="Q1426" i="1"/>
  <c r="Q1424" i="1" s="1"/>
  <c r="O1424" i="1"/>
  <c r="O1459" i="1"/>
  <c r="I1418" i="1"/>
  <c r="W1434" i="1"/>
  <c r="Q1435" i="1"/>
  <c r="Q1430" i="1" s="1"/>
  <c r="O1430" i="1"/>
  <c r="Z1436" i="1"/>
  <c r="Z1438" i="1"/>
  <c r="U1460" i="1"/>
  <c r="O1422" i="1"/>
  <c r="Z1429" i="1"/>
  <c r="Z1434" i="1"/>
  <c r="Z1439" i="1"/>
  <c r="Z1441" i="1"/>
  <c r="W1448" i="1"/>
  <c r="O1442" i="1"/>
  <c r="O1441" i="1" s="1"/>
  <c r="Q1443" i="1"/>
  <c r="Q1442" i="1" s="1"/>
  <c r="Q1457" i="1"/>
  <c r="Q1454" i="1" s="1"/>
  <c r="Q1451" i="1" s="1"/>
  <c r="Z1458" i="1"/>
  <c r="Z1465" i="1"/>
  <c r="O1454" i="1"/>
  <c r="Q1400" i="1" l="1"/>
  <c r="W1400" i="1" s="1"/>
  <c r="X1400" i="1" s="1"/>
  <c r="AA1385" i="1"/>
  <c r="AA1416" i="1"/>
  <c r="Q1441" i="1"/>
  <c r="X1458" i="1"/>
  <c r="S1405" i="1"/>
  <c r="W1405" i="1" s="1"/>
  <c r="Z1428" i="1"/>
  <c r="AA1439" i="1"/>
  <c r="Z1380" i="1"/>
  <c r="AA1428" i="1"/>
  <c r="AA1438" i="1"/>
  <c r="G1418" i="1"/>
  <c r="AA1412" i="1"/>
  <c r="X1412" i="1"/>
  <c r="X1427" i="1"/>
  <c r="Q1418" i="1"/>
  <c r="S1410" i="1"/>
  <c r="S1408" i="1" s="1"/>
  <c r="AA1444" i="1"/>
  <c r="U1376" i="1"/>
  <c r="S1399" i="1"/>
  <c r="W1399" i="1" s="1"/>
  <c r="W1422" i="1"/>
  <c r="X1422" i="1" s="1"/>
  <c r="S1435" i="1"/>
  <c r="W1435" i="1" s="1"/>
  <c r="X1435" i="1" s="1"/>
  <c r="W1386" i="1"/>
  <c r="AA1386" i="1" s="1"/>
  <c r="W1423" i="1"/>
  <c r="AA1423" i="1" s="1"/>
  <c r="W1380" i="1"/>
  <c r="X1380" i="1" s="1"/>
  <c r="S1394" i="1"/>
  <c r="W1394" i="1" s="1"/>
  <c r="X1407" i="1"/>
  <c r="AA1407" i="1"/>
  <c r="AA1422" i="1"/>
  <c r="X1414" i="1"/>
  <c r="AA1414" i="1"/>
  <c r="AA1396" i="1"/>
  <c r="X1396" i="1"/>
  <c r="X1448" i="1"/>
  <c r="AA1448" i="1"/>
  <c r="Q1376" i="1"/>
  <c r="S1378" i="1"/>
  <c r="S1376" i="1" s="1"/>
  <c r="S1457" i="1"/>
  <c r="Q1410" i="1"/>
  <c r="W1379" i="1"/>
  <c r="W1378" i="1"/>
  <c r="O1451" i="1"/>
  <c r="AA1434" i="1"/>
  <c r="X1434" i="1"/>
  <c r="S1426" i="1"/>
  <c r="S1424" i="1" s="1"/>
  <c r="W1413" i="1"/>
  <c r="X1397" i="1"/>
  <c r="AA1397" i="1"/>
  <c r="S1460" i="1"/>
  <c r="W1465" i="1"/>
  <c r="S1443" i="1"/>
  <c r="S1442" i="1" s="1"/>
  <c r="S1441" i="1" s="1"/>
  <c r="O1418" i="1"/>
  <c r="X1384" i="1"/>
  <c r="AA1384" i="1"/>
  <c r="Q1388" i="1"/>
  <c r="S1395" i="1"/>
  <c r="W1398" i="1"/>
  <c r="AA1406" i="1"/>
  <c r="X1406" i="1"/>
  <c r="AH1380" i="1"/>
  <c r="W1401" i="1"/>
  <c r="AH1386" i="1"/>
  <c r="O1371" i="1"/>
  <c r="W1441" i="1" l="1"/>
  <c r="X1441" i="1" s="1"/>
  <c r="W1442" i="1"/>
  <c r="X1442" i="1" s="1"/>
  <c r="S1402" i="1"/>
  <c r="W1402" i="1" s="1"/>
  <c r="AA1402" i="1" s="1"/>
  <c r="W1443" i="1"/>
  <c r="AA1443" i="1" s="1"/>
  <c r="AA1400" i="1"/>
  <c r="S1388" i="1"/>
  <c r="W1388" i="1" s="1"/>
  <c r="X1423" i="1"/>
  <c r="X1386" i="1"/>
  <c r="AA1394" i="1"/>
  <c r="X1394" i="1"/>
  <c r="X1399" i="1"/>
  <c r="AA1399" i="1"/>
  <c r="S1430" i="1"/>
  <c r="W1430" i="1" s="1"/>
  <c r="X1430" i="1" s="1"/>
  <c r="AA1435" i="1"/>
  <c r="AA1380" i="1"/>
  <c r="S1459" i="1"/>
  <c r="W1459" i="1" s="1"/>
  <c r="W1460" i="1"/>
  <c r="AA1378" i="1"/>
  <c r="X1378" i="1"/>
  <c r="W1426" i="1"/>
  <c r="AA1442" i="1"/>
  <c r="X1398" i="1"/>
  <c r="AA1398" i="1"/>
  <c r="X1379" i="1"/>
  <c r="AA1379" i="1"/>
  <c r="W1376" i="1"/>
  <c r="Q1371" i="1"/>
  <c r="W1424" i="1"/>
  <c r="W1395" i="1"/>
  <c r="AA1405" i="1"/>
  <c r="X1405" i="1"/>
  <c r="AA1465" i="1"/>
  <c r="X1465" i="1"/>
  <c r="X1413" i="1"/>
  <c r="AA1413" i="1"/>
  <c r="Q1408" i="1"/>
  <c r="W1408" i="1" s="1"/>
  <c r="W1410" i="1"/>
  <c r="AA1401" i="1"/>
  <c r="X1401" i="1"/>
  <c r="S1454" i="1"/>
  <c r="W1457" i="1"/>
  <c r="X1402" i="1"/>
  <c r="X1443" i="1" l="1"/>
  <c r="AA1441" i="1"/>
  <c r="S1371" i="1"/>
  <c r="W1371" i="1" s="1"/>
  <c r="S1418" i="1"/>
  <c r="W1418" i="1" s="1"/>
  <c r="AA1418" i="1" s="1"/>
  <c r="AA1430" i="1"/>
  <c r="X1388" i="1"/>
  <c r="AA1388" i="1"/>
  <c r="X1457" i="1"/>
  <c r="AA1457" i="1"/>
  <c r="AA1410" i="1"/>
  <c r="X1410" i="1"/>
  <c r="X1376" i="1"/>
  <c r="AA1376" i="1"/>
  <c r="S1451" i="1"/>
  <c r="W1451" i="1" s="1"/>
  <c r="W1454" i="1"/>
  <c r="X1408" i="1"/>
  <c r="AA1408" i="1"/>
  <c r="X1395" i="1"/>
  <c r="AA1395" i="1"/>
  <c r="X1460" i="1"/>
  <c r="AA1460" i="1"/>
  <c r="X1424" i="1"/>
  <c r="AA1424" i="1"/>
  <c r="X1426" i="1"/>
  <c r="AA1426" i="1"/>
  <c r="X1459" i="1"/>
  <c r="AA1459" i="1"/>
  <c r="AH1371" i="1" l="1"/>
  <c r="X1418" i="1"/>
  <c r="X1451" i="1"/>
  <c r="AA1451" i="1"/>
  <c r="X1371" i="1"/>
  <c r="AA1371" i="1"/>
  <c r="W902" i="1" l="1"/>
  <c r="AA902" i="1" s="1"/>
  <c r="T902" i="1"/>
  <c r="U902" i="1" s="1"/>
  <c r="E902" i="1"/>
  <c r="T901" i="1"/>
  <c r="Z901" i="1" s="1"/>
  <c r="S901" i="1"/>
  <c r="Q901" i="1"/>
  <c r="O901" i="1"/>
  <c r="K901" i="1"/>
  <c r="J901" i="1"/>
  <c r="I901" i="1"/>
  <c r="G901" i="1"/>
  <c r="E901" i="1"/>
  <c r="W900" i="1"/>
  <c r="AA900" i="1" s="1"/>
  <c r="T900" i="1"/>
  <c r="U900" i="1" s="1"/>
  <c r="T899" i="1"/>
  <c r="Z899" i="1" s="1"/>
  <c r="O899" i="1"/>
  <c r="M899" i="1"/>
  <c r="W898" i="1"/>
  <c r="L898" i="1"/>
  <c r="T898" i="1" s="1"/>
  <c r="K898" i="1"/>
  <c r="I898" i="1"/>
  <c r="G898" i="1"/>
  <c r="W897" i="1"/>
  <c r="L897" i="1"/>
  <c r="T897" i="1" s="1"/>
  <c r="T896" i="1"/>
  <c r="Z896" i="1" s="1"/>
  <c r="O896" i="1"/>
  <c r="M896" i="1"/>
  <c r="T895" i="1"/>
  <c r="Z895" i="1" s="1"/>
  <c r="K895" i="1"/>
  <c r="I895" i="1"/>
  <c r="G895" i="1"/>
  <c r="W894" i="1"/>
  <c r="AA894" i="1" s="1"/>
  <c r="T894" i="1"/>
  <c r="U894" i="1" s="1"/>
  <c r="G894" i="1"/>
  <c r="G892" i="1" s="1"/>
  <c r="T893" i="1"/>
  <c r="Z893" i="1" s="1"/>
  <c r="O893" i="1"/>
  <c r="M893" i="1"/>
  <c r="W892" i="1"/>
  <c r="T892" i="1"/>
  <c r="Z892" i="1" s="1"/>
  <c r="K892" i="1"/>
  <c r="J892" i="1"/>
  <c r="I892" i="1"/>
  <c r="AA892" i="1" s="1"/>
  <c r="W891" i="1"/>
  <c r="AA891" i="1" s="1"/>
  <c r="T891" i="1"/>
  <c r="U891" i="1" s="1"/>
  <c r="G891" i="1"/>
  <c r="T890" i="1"/>
  <c r="Z890" i="1" s="1"/>
  <c r="O890" i="1"/>
  <c r="M890" i="1"/>
  <c r="G890" i="1"/>
  <c r="W889" i="1"/>
  <c r="X889" i="1" s="1"/>
  <c r="T889" i="1"/>
  <c r="U889" i="1" s="1"/>
  <c r="G889" i="1"/>
  <c r="E889" i="1"/>
  <c r="W888" i="1"/>
  <c r="X888" i="1" s="1"/>
  <c r="T888" i="1"/>
  <c r="Z888" i="1" s="1"/>
  <c r="G888" i="1"/>
  <c r="W887" i="1"/>
  <c r="T887" i="1"/>
  <c r="U887" i="1" s="1"/>
  <c r="K887" i="1"/>
  <c r="I887" i="1"/>
  <c r="W886" i="1"/>
  <c r="L886" i="1"/>
  <c r="T886" i="1" s="1"/>
  <c r="T885" i="1"/>
  <c r="Z885" i="1" s="1"/>
  <c r="M885" i="1"/>
  <c r="W885" i="1" s="1"/>
  <c r="E885" i="1"/>
  <c r="T884" i="1"/>
  <c r="Z884" i="1" s="1"/>
  <c r="E884" i="1"/>
  <c r="W883" i="1"/>
  <c r="AA883" i="1" s="1"/>
  <c r="T883" i="1"/>
  <c r="Z883" i="1" s="1"/>
  <c r="W882" i="1"/>
  <c r="T882" i="1"/>
  <c r="Z882" i="1" s="1"/>
  <c r="K882" i="1"/>
  <c r="I882" i="1"/>
  <c r="G882" i="1"/>
  <c r="W881" i="1"/>
  <c r="X881" i="1" s="1"/>
  <c r="T881" i="1"/>
  <c r="U881" i="1" s="1"/>
  <c r="E881" i="1"/>
  <c r="T880" i="1"/>
  <c r="Z880" i="1" s="1"/>
  <c r="O880" i="1"/>
  <c r="M880" i="1"/>
  <c r="E880" i="1"/>
  <c r="W879" i="1"/>
  <c r="X879" i="1" s="1"/>
  <c r="T879" i="1"/>
  <c r="U879" i="1" s="1"/>
  <c r="E879" i="1"/>
  <c r="W878" i="1"/>
  <c r="T878" i="1"/>
  <c r="Z878" i="1" s="1"/>
  <c r="K878" i="1"/>
  <c r="I878" i="1"/>
  <c r="G878" i="1"/>
  <c r="W877" i="1"/>
  <c r="X877" i="1" s="1"/>
  <c r="T877" i="1"/>
  <c r="Z877" i="1" s="1"/>
  <c r="T876" i="1"/>
  <c r="Z876" i="1" s="1"/>
  <c r="O876" i="1"/>
  <c r="M876" i="1"/>
  <c r="I876" i="1"/>
  <c r="G876" i="1"/>
  <c r="W875" i="1"/>
  <c r="AA875" i="1" s="1"/>
  <c r="T875" i="1"/>
  <c r="Z875" i="1" s="1"/>
  <c r="E875" i="1"/>
  <c r="W874" i="1"/>
  <c r="AA874" i="1" s="1"/>
  <c r="T874" i="1"/>
  <c r="U874" i="1" s="1"/>
  <c r="E874" i="1"/>
  <c r="W873" i="1"/>
  <c r="AA873" i="1" s="1"/>
  <c r="T873" i="1"/>
  <c r="Z873" i="1" s="1"/>
  <c r="E873" i="1"/>
  <c r="W872" i="1"/>
  <c r="T872" i="1"/>
  <c r="U872" i="1" s="1"/>
  <c r="E872" i="1"/>
  <c r="W871" i="1"/>
  <c r="AA871" i="1" s="1"/>
  <c r="T871" i="1"/>
  <c r="Z871" i="1" s="1"/>
  <c r="E871" i="1"/>
  <c r="W870" i="1"/>
  <c r="AA870" i="1" s="1"/>
  <c r="T870" i="1"/>
  <c r="U870" i="1" s="1"/>
  <c r="E870" i="1"/>
  <c r="T869" i="1"/>
  <c r="Z869" i="1" s="1"/>
  <c r="O869" i="1"/>
  <c r="M869" i="1"/>
  <c r="K869" i="1"/>
  <c r="I869" i="1"/>
  <c r="G869" i="1"/>
  <c r="W868" i="1"/>
  <c r="T868" i="1"/>
  <c r="U868" i="1" s="1"/>
  <c r="E868" i="1"/>
  <c r="T867" i="1"/>
  <c r="Z867" i="1" s="1"/>
  <c r="O867" i="1"/>
  <c r="M867" i="1"/>
  <c r="K867" i="1"/>
  <c r="I867" i="1"/>
  <c r="G867" i="1"/>
  <c r="W866" i="1"/>
  <c r="AA866" i="1" s="1"/>
  <c r="T866" i="1"/>
  <c r="U866" i="1" s="1"/>
  <c r="E866" i="1"/>
  <c r="W865" i="1"/>
  <c r="X865" i="1" s="1"/>
  <c r="T865" i="1"/>
  <c r="Z865" i="1" s="1"/>
  <c r="E865" i="1"/>
  <c r="W864" i="1"/>
  <c r="T864" i="1"/>
  <c r="U864" i="1" s="1"/>
  <c r="E864" i="1"/>
  <c r="W863" i="1"/>
  <c r="AA863" i="1" s="1"/>
  <c r="T863" i="1"/>
  <c r="Z863" i="1" s="1"/>
  <c r="E863" i="1"/>
  <c r="P862" i="1"/>
  <c r="O862" i="1"/>
  <c r="N862" i="1"/>
  <c r="M862" i="1"/>
  <c r="L862" i="1"/>
  <c r="K862" i="1"/>
  <c r="I862" i="1"/>
  <c r="G862" i="1"/>
  <c r="E862" i="1"/>
  <c r="W861" i="1"/>
  <c r="AA861" i="1" s="1"/>
  <c r="T861" i="1"/>
  <c r="Z861" i="1" s="1"/>
  <c r="E861" i="1"/>
  <c r="W860" i="1"/>
  <c r="T860" i="1"/>
  <c r="U860" i="1" s="1"/>
  <c r="E860" i="1"/>
  <c r="O859" i="1"/>
  <c r="N859" i="1"/>
  <c r="M859" i="1"/>
  <c r="L859" i="1"/>
  <c r="K859" i="1"/>
  <c r="J859" i="1"/>
  <c r="I859" i="1"/>
  <c r="G859" i="1"/>
  <c r="AC858" i="1"/>
  <c r="T858" i="1"/>
  <c r="Z858" i="1" s="1"/>
  <c r="M895" i="1" l="1"/>
  <c r="W895" i="1" s="1"/>
  <c r="X895" i="1" s="1"/>
  <c r="W867" i="1"/>
  <c r="X867" i="1" s="1"/>
  <c r="K886" i="1"/>
  <c r="X886" i="1" s="1"/>
  <c r="AA882" i="1"/>
  <c r="K897" i="1"/>
  <c r="X897" i="1" s="1"/>
  <c r="T859" i="1"/>
  <c r="Z859" i="1" s="1"/>
  <c r="I858" i="1"/>
  <c r="AA878" i="1"/>
  <c r="U883" i="1"/>
  <c r="X887" i="1"/>
  <c r="I897" i="1"/>
  <c r="AA897" i="1" s="1"/>
  <c r="X875" i="1"/>
  <c r="U882" i="1"/>
  <c r="U863" i="1"/>
  <c r="AA865" i="1"/>
  <c r="Z866" i="1"/>
  <c r="W890" i="1"/>
  <c r="AA890" i="1" s="1"/>
  <c r="T862" i="1"/>
  <c r="U862" i="1" s="1"/>
  <c r="U871" i="1"/>
  <c r="W880" i="1"/>
  <c r="X880" i="1" s="1"/>
  <c r="X894" i="1"/>
  <c r="W899" i="1"/>
  <c r="AA899" i="1" s="1"/>
  <c r="Z898" i="1"/>
  <c r="U898" i="1"/>
  <c r="U858" i="1"/>
  <c r="G858" i="1"/>
  <c r="W862" i="1"/>
  <c r="X862" i="1" s="1"/>
  <c r="U865" i="1"/>
  <c r="U869" i="1"/>
  <c r="X871" i="1"/>
  <c r="U875" i="1"/>
  <c r="X883" i="1"/>
  <c r="U884" i="1"/>
  <c r="U885" i="1"/>
  <c r="E859" i="1"/>
  <c r="X861" i="1"/>
  <c r="X863" i="1"/>
  <c r="X873" i="1"/>
  <c r="U876" i="1"/>
  <c r="U878" i="1"/>
  <c r="X882" i="1"/>
  <c r="AA887" i="1"/>
  <c r="G887" i="1"/>
  <c r="G886" i="1" s="1"/>
  <c r="U890" i="1"/>
  <c r="X891" i="1"/>
  <c r="X900" i="1"/>
  <c r="K858" i="1"/>
  <c r="U867" i="1"/>
  <c r="X892" i="1"/>
  <c r="U893" i="1"/>
  <c r="X898" i="1"/>
  <c r="U899" i="1"/>
  <c r="U861" i="1"/>
  <c r="U873" i="1"/>
  <c r="X878" i="1"/>
  <c r="U880" i="1"/>
  <c r="U892" i="1"/>
  <c r="M884" i="1"/>
  <c r="W884" i="1" s="1"/>
  <c r="X884" i="1" s="1"/>
  <c r="U895" i="1"/>
  <c r="U896" i="1"/>
  <c r="G897" i="1"/>
  <c r="W901" i="1"/>
  <c r="X901" i="1" s="1"/>
  <c r="U901" i="1"/>
  <c r="W859" i="1"/>
  <c r="X859" i="1" s="1"/>
  <c r="M858" i="1"/>
  <c r="W858" i="1" s="1"/>
  <c r="X860" i="1"/>
  <c r="AA860" i="1"/>
  <c r="AA867" i="1"/>
  <c r="X872" i="1"/>
  <c r="AA872" i="1"/>
  <c r="X864" i="1"/>
  <c r="AA864" i="1"/>
  <c r="Z874" i="1"/>
  <c r="U897" i="1"/>
  <c r="Z897" i="1"/>
  <c r="X868" i="1"/>
  <c r="AA868" i="1"/>
  <c r="W869" i="1"/>
  <c r="Z870" i="1"/>
  <c r="W876" i="1"/>
  <c r="X876" i="1" s="1"/>
  <c r="X885" i="1"/>
  <c r="AA885" i="1"/>
  <c r="U886" i="1"/>
  <c r="Z886" i="1"/>
  <c r="X890" i="1"/>
  <c r="Z860" i="1"/>
  <c r="Z864" i="1"/>
  <c r="Z868" i="1"/>
  <c r="Z872" i="1"/>
  <c r="Z879" i="1"/>
  <c r="Z881" i="1"/>
  <c r="Z889" i="1"/>
  <c r="Z891" i="1"/>
  <c r="W893" i="1"/>
  <c r="AA898" i="1"/>
  <c r="X866" i="1"/>
  <c r="X870" i="1"/>
  <c r="X874" i="1"/>
  <c r="AA877" i="1"/>
  <c r="AA879" i="1"/>
  <c r="AA881" i="1"/>
  <c r="AA888" i="1"/>
  <c r="AA889" i="1"/>
  <c r="Z894" i="1"/>
  <c r="W896" i="1"/>
  <c r="Z900" i="1"/>
  <c r="X902" i="1"/>
  <c r="I886" i="1"/>
  <c r="AA886" i="1" s="1"/>
  <c r="Z887" i="1"/>
  <c r="Z902" i="1"/>
  <c r="AA895" i="1" l="1"/>
  <c r="X858" i="1"/>
  <c r="AA880" i="1"/>
  <c r="X899" i="1"/>
  <c r="AA862" i="1"/>
  <c r="U859" i="1"/>
  <c r="AA884" i="1"/>
  <c r="Z862" i="1"/>
  <c r="AA901" i="1"/>
  <c r="AA876" i="1"/>
  <c r="AA893" i="1"/>
  <c r="X893" i="1"/>
  <c r="X896" i="1"/>
  <c r="AA896" i="1"/>
  <c r="AA869" i="1"/>
  <c r="X869" i="1"/>
  <c r="AA858" i="1"/>
  <c r="AA859" i="1"/>
  <c r="W1370" i="1"/>
  <c r="T1370" i="1"/>
  <c r="U1370" i="1" s="1"/>
  <c r="E1370" i="1"/>
  <c r="Z1369" i="1"/>
  <c r="U1369" i="1"/>
  <c r="Q1369" i="1"/>
  <c r="W1369" i="1" s="1"/>
  <c r="K1369" i="1"/>
  <c r="K1368" i="1" s="1"/>
  <c r="I1369" i="1"/>
  <c r="I1368" i="1" s="1"/>
  <c r="G1369" i="1"/>
  <c r="G1368" i="1" s="1"/>
  <c r="Z1368" i="1"/>
  <c r="U1368" i="1"/>
  <c r="W1367" i="1"/>
  <c r="AA1367" i="1" s="1"/>
  <c r="T1367" i="1"/>
  <c r="Z1367" i="1" s="1"/>
  <c r="W1366" i="1"/>
  <c r="X1366" i="1" s="1"/>
  <c r="T1366" i="1"/>
  <c r="Z1366" i="1" s="1"/>
  <c r="W1365" i="1"/>
  <c r="AA1365" i="1" s="1"/>
  <c r="T1365" i="1"/>
  <c r="U1365" i="1" s="1"/>
  <c r="U1364" i="1"/>
  <c r="U1363" i="1"/>
  <c r="U1362" i="1"/>
  <c r="Z1361" i="1"/>
  <c r="U1361" i="1"/>
  <c r="S1361" i="1"/>
  <c r="S1359" i="1" s="1"/>
  <c r="Q1361" i="1"/>
  <c r="Q1359" i="1" s="1"/>
  <c r="O1361" i="1"/>
  <c r="K1361" i="1"/>
  <c r="K1359" i="1" s="1"/>
  <c r="I1361" i="1"/>
  <c r="G1361" i="1"/>
  <c r="G1359" i="1" s="1"/>
  <c r="U1360" i="1"/>
  <c r="T1359" i="1"/>
  <c r="J1359" i="1"/>
  <c r="H1359" i="1"/>
  <c r="T1358" i="1"/>
  <c r="U1358" i="1" s="1"/>
  <c r="W1357" i="1"/>
  <c r="X1357" i="1" s="1"/>
  <c r="T1357" i="1"/>
  <c r="U1357" i="1" s="1"/>
  <c r="W1356" i="1"/>
  <c r="T1356" i="1"/>
  <c r="U1356" i="1" s="1"/>
  <c r="U1355" i="1"/>
  <c r="U1354" i="1"/>
  <c r="U1353" i="1"/>
  <c r="U1352" i="1"/>
  <c r="U1351" i="1"/>
  <c r="U1350" i="1"/>
  <c r="Z1349" i="1"/>
  <c r="U1349" i="1"/>
  <c r="T1348" i="1"/>
  <c r="U1348" i="1" s="1"/>
  <c r="S1348" i="1"/>
  <c r="S1345" i="1" s="1"/>
  <c r="Q1348" i="1"/>
  <c r="Q1345" i="1" s="1"/>
  <c r="O1348" i="1"/>
  <c r="O1345" i="1" s="1"/>
  <c r="M1348" i="1"/>
  <c r="K1348" i="1"/>
  <c r="K1345" i="1" s="1"/>
  <c r="I1348" i="1"/>
  <c r="G1348" i="1"/>
  <c r="G1345" i="1" s="1"/>
  <c r="T1347" i="1"/>
  <c r="U1347" i="1" s="1"/>
  <c r="T1346" i="1"/>
  <c r="U1346" i="1" s="1"/>
  <c r="T1345" i="1"/>
  <c r="Z1345" i="1" s="1"/>
  <c r="W1344" i="1"/>
  <c r="X1344" i="1" s="1"/>
  <c r="T1344" i="1"/>
  <c r="Z1344" i="1" s="1"/>
  <c r="T1343" i="1"/>
  <c r="U1343" i="1" s="1"/>
  <c r="T1342" i="1"/>
  <c r="Z1342" i="1" s="1"/>
  <c r="M1342" i="1"/>
  <c r="M1340" i="1" s="1"/>
  <c r="K1342" i="1"/>
  <c r="K1340" i="1" s="1"/>
  <c r="I1342" i="1"/>
  <c r="I1340" i="1" s="1"/>
  <c r="G1342" i="1"/>
  <c r="G1340" i="1" s="1"/>
  <c r="T1341" i="1"/>
  <c r="U1341" i="1" s="1"/>
  <c r="T1340" i="1"/>
  <c r="U1340" i="1" s="1"/>
  <c r="S1340" i="1"/>
  <c r="Q1340" i="1"/>
  <c r="O1340" i="1"/>
  <c r="H1340" i="1"/>
  <c r="E1340" i="1"/>
  <c r="AA1339" i="1"/>
  <c r="Z1339" i="1"/>
  <c r="W1338" i="1"/>
  <c r="T1338" i="1"/>
  <c r="U1338" i="1" s="1"/>
  <c r="W1337" i="1"/>
  <c r="X1337" i="1" s="1"/>
  <c r="T1337" i="1"/>
  <c r="U1337" i="1" s="1"/>
  <c r="T1336" i="1"/>
  <c r="U1336" i="1" s="1"/>
  <c r="Q1336" i="1"/>
  <c r="O1336" i="1"/>
  <c r="M1336" i="1"/>
  <c r="K1336" i="1"/>
  <c r="I1336" i="1"/>
  <c r="G1336" i="1"/>
  <c r="W1335" i="1"/>
  <c r="T1335" i="1"/>
  <c r="U1335" i="1" s="1"/>
  <c r="W1334" i="1"/>
  <c r="X1334" i="1" s="1"/>
  <c r="T1334" i="1"/>
  <c r="U1334" i="1" s="1"/>
  <c r="W1333" i="1"/>
  <c r="T1333" i="1"/>
  <c r="U1333" i="1" s="1"/>
  <c r="T1332" i="1"/>
  <c r="U1332" i="1" s="1"/>
  <c r="Q1332" i="1"/>
  <c r="O1332" i="1"/>
  <c r="M1332" i="1"/>
  <c r="K1332" i="1"/>
  <c r="I1332" i="1"/>
  <c r="G1332" i="1"/>
  <c r="W1331" i="1"/>
  <c r="X1331" i="1" s="1"/>
  <c r="T1331" i="1"/>
  <c r="U1331" i="1" s="1"/>
  <c r="T1330" i="1"/>
  <c r="U1330" i="1" s="1"/>
  <c r="S1330" i="1"/>
  <c r="W1330" i="1" s="1"/>
  <c r="K1330" i="1"/>
  <c r="G1330" i="1"/>
  <c r="W1329" i="1"/>
  <c r="AA1329" i="1" s="1"/>
  <c r="T1329" i="1"/>
  <c r="U1329" i="1" s="1"/>
  <c r="W1328" i="1"/>
  <c r="X1328" i="1" s="1"/>
  <c r="T1328" i="1"/>
  <c r="Z1328" i="1" s="1"/>
  <c r="W1327" i="1"/>
  <c r="AA1327" i="1" s="1"/>
  <c r="T1327" i="1"/>
  <c r="U1327" i="1" s="1"/>
  <c r="W1326" i="1"/>
  <c r="X1326" i="1" s="1"/>
  <c r="T1326" i="1"/>
  <c r="Z1326" i="1" s="1"/>
  <c r="W1325" i="1"/>
  <c r="AA1325" i="1" s="1"/>
  <c r="T1325" i="1"/>
  <c r="Z1325" i="1" s="1"/>
  <c r="W1324" i="1"/>
  <c r="X1324" i="1" s="1"/>
  <c r="T1324" i="1"/>
  <c r="Z1324" i="1" s="1"/>
  <c r="T1323" i="1"/>
  <c r="U1323" i="1" s="1"/>
  <c r="Q1323" i="1"/>
  <c r="O1323" i="1"/>
  <c r="M1323" i="1"/>
  <c r="K1323" i="1"/>
  <c r="I1323" i="1"/>
  <c r="G1323" i="1"/>
  <c r="AH1322" i="1"/>
  <c r="W1322" i="1"/>
  <c r="X1322" i="1" s="1"/>
  <c r="T1322" i="1"/>
  <c r="Z1322" i="1" s="1"/>
  <c r="S1321" i="1"/>
  <c r="R1321" i="1"/>
  <c r="T1321" i="1" s="1"/>
  <c r="U1321" i="1" s="1"/>
  <c r="O1321" i="1"/>
  <c r="M1321" i="1"/>
  <c r="K1321" i="1"/>
  <c r="I1321" i="1"/>
  <c r="G1321" i="1"/>
  <c r="AH1320" i="1"/>
  <c r="W1320" i="1"/>
  <c r="AA1320" i="1" s="1"/>
  <c r="T1320" i="1"/>
  <c r="U1320" i="1" s="1"/>
  <c r="AH1319" i="1"/>
  <c r="W1319" i="1"/>
  <c r="X1319" i="1" s="1"/>
  <c r="T1319" i="1"/>
  <c r="Z1319" i="1" s="1"/>
  <c r="AH1318" i="1"/>
  <c r="W1318" i="1"/>
  <c r="X1318" i="1" s="1"/>
  <c r="T1318" i="1"/>
  <c r="Z1318" i="1" s="1"/>
  <c r="AH1317" i="1"/>
  <c r="W1317" i="1"/>
  <c r="AA1317" i="1" s="1"/>
  <c r="T1317" i="1"/>
  <c r="U1317" i="1" s="1"/>
  <c r="S1316" i="1"/>
  <c r="R1316" i="1"/>
  <c r="Q1316" i="1"/>
  <c r="O1316" i="1"/>
  <c r="M1316" i="1"/>
  <c r="L1316" i="1"/>
  <c r="T1316" i="1" s="1"/>
  <c r="K1316" i="1"/>
  <c r="J1316" i="1"/>
  <c r="I1316" i="1"/>
  <c r="G1316" i="1"/>
  <c r="W1315" i="1"/>
  <c r="AA1315" i="1" s="1"/>
  <c r="T1315" i="1"/>
  <c r="U1315" i="1" s="1"/>
  <c r="W1314" i="1"/>
  <c r="X1314" i="1" s="1"/>
  <c r="T1314" i="1"/>
  <c r="Z1314" i="1" s="1"/>
  <c r="S1313" i="1"/>
  <c r="Q1313" i="1"/>
  <c r="P1313" i="1"/>
  <c r="O1313" i="1"/>
  <c r="N1313" i="1"/>
  <c r="M1313" i="1"/>
  <c r="L1313" i="1"/>
  <c r="K1313" i="1"/>
  <c r="J1313" i="1"/>
  <c r="I1313" i="1"/>
  <c r="G1313" i="1"/>
  <c r="T1312" i="1"/>
  <c r="Z1312" i="1" s="1"/>
  <c r="Z1340" i="1" l="1"/>
  <c r="T1313" i="1"/>
  <c r="Z1313" i="1" s="1"/>
  <c r="W1336" i="1"/>
  <c r="AA1336" i="1" s="1"/>
  <c r="AA1357" i="1"/>
  <c r="AA1319" i="1"/>
  <c r="X1320" i="1"/>
  <c r="U1326" i="1"/>
  <c r="AA1344" i="1"/>
  <c r="X1369" i="1"/>
  <c r="K1312" i="1"/>
  <c r="AH1316" i="1"/>
  <c r="U1318" i="1"/>
  <c r="U1322" i="1"/>
  <c r="X1317" i="1"/>
  <c r="U1324" i="1"/>
  <c r="AA1328" i="1"/>
  <c r="AA1314" i="1"/>
  <c r="Z1317" i="1"/>
  <c r="X1336" i="1"/>
  <c r="AA1369" i="1"/>
  <c r="AA1318" i="1"/>
  <c r="U1328" i="1"/>
  <c r="AA1331" i="1"/>
  <c r="Z1332" i="1"/>
  <c r="U1312" i="1"/>
  <c r="AA1334" i="1"/>
  <c r="W1361" i="1"/>
  <c r="X1361" i="1" s="1"/>
  <c r="X1315" i="1"/>
  <c r="U1319" i="1"/>
  <c r="O1312" i="1"/>
  <c r="Z1321" i="1"/>
  <c r="AA1322" i="1"/>
  <c r="X1325" i="1"/>
  <c r="X1327" i="1"/>
  <c r="X1329" i="1"/>
  <c r="Z1337" i="1"/>
  <c r="U1342" i="1"/>
  <c r="U1344" i="1"/>
  <c r="O1359" i="1"/>
  <c r="W1359" i="1" s="1"/>
  <c r="X1359" i="1" s="1"/>
  <c r="U1366" i="1"/>
  <c r="W1313" i="1"/>
  <c r="X1313" i="1" s="1"/>
  <c r="Q1312" i="1"/>
  <c r="G1312" i="1"/>
  <c r="AH1323" i="1"/>
  <c r="Z1323" i="1"/>
  <c r="AA1324" i="1"/>
  <c r="AA1326" i="1"/>
  <c r="Z1331" i="1"/>
  <c r="AA1337" i="1"/>
  <c r="W1342" i="1"/>
  <c r="X1342" i="1" s="1"/>
  <c r="U1345" i="1"/>
  <c r="Z1357" i="1"/>
  <c r="X1365" i="1"/>
  <c r="X1367" i="1"/>
  <c r="Q1368" i="1"/>
  <c r="W1368" i="1" s="1"/>
  <c r="X1368" i="1" s="1"/>
  <c r="W1316" i="1"/>
  <c r="X1316" i="1" s="1"/>
  <c r="W1332" i="1"/>
  <c r="X1332" i="1" s="1"/>
  <c r="U1359" i="1"/>
  <c r="AA1366" i="1"/>
  <c r="U1313" i="1"/>
  <c r="U1314" i="1"/>
  <c r="AH1321" i="1"/>
  <c r="W1321" i="1"/>
  <c r="Z1334" i="1"/>
  <c r="AA1356" i="1"/>
  <c r="X1356" i="1"/>
  <c r="I1359" i="1"/>
  <c r="I1312" i="1"/>
  <c r="AA1330" i="1"/>
  <c r="X1330" i="1"/>
  <c r="AA1335" i="1"/>
  <c r="X1335" i="1"/>
  <c r="M1312" i="1"/>
  <c r="AA1333" i="1"/>
  <c r="X1333" i="1"/>
  <c r="AA1338" i="1"/>
  <c r="X1338" i="1"/>
  <c r="W1340" i="1"/>
  <c r="X1340" i="1" s="1"/>
  <c r="M1345" i="1"/>
  <c r="W1345" i="1" s="1"/>
  <c r="W1348" i="1"/>
  <c r="Z1359" i="1"/>
  <c r="U1316" i="1"/>
  <c r="Z1316" i="1"/>
  <c r="Z1348" i="1"/>
  <c r="AA1370" i="1"/>
  <c r="X1370" i="1"/>
  <c r="Z1327" i="1"/>
  <c r="Z1365" i="1"/>
  <c r="Z1315" i="1"/>
  <c r="Z1320" i="1"/>
  <c r="W1323" i="1"/>
  <c r="U1325" i="1"/>
  <c r="Z1330" i="1"/>
  <c r="Z1335" i="1"/>
  <c r="Z1338" i="1"/>
  <c r="Z1356" i="1"/>
  <c r="U1367" i="1"/>
  <c r="Z1370" i="1"/>
  <c r="Z1329" i="1"/>
  <c r="Z1333" i="1"/>
  <c r="Z1336" i="1"/>
  <c r="AA1316" i="1" l="1"/>
  <c r="AA1361" i="1"/>
  <c r="AA1313" i="1"/>
  <c r="AA1332" i="1"/>
  <c r="AA1342" i="1"/>
  <c r="AA1368" i="1"/>
  <c r="AA1359" i="1"/>
  <c r="X1348" i="1"/>
  <c r="AA1348" i="1"/>
  <c r="X1323" i="1"/>
  <c r="AA1323" i="1"/>
  <c r="X1345" i="1"/>
  <c r="AA1345" i="1"/>
  <c r="W1312" i="1"/>
  <c r="X1312" i="1" s="1"/>
  <c r="AH1312" i="1"/>
  <c r="X1321" i="1"/>
  <c r="AA1321" i="1"/>
  <c r="AA1340" i="1"/>
  <c r="AA1312" i="1" l="1"/>
  <c r="W1311" i="1" l="1"/>
  <c r="X1311" i="1" s="1"/>
  <c r="T1311" i="1"/>
  <c r="U1311" i="1" s="1"/>
  <c r="G1311" i="1"/>
  <c r="G1309" i="1" s="1"/>
  <c r="G1308" i="1" s="1"/>
  <c r="W1310" i="1"/>
  <c r="X1310" i="1" s="1"/>
  <c r="T1310" i="1"/>
  <c r="Z1310" i="1" s="1"/>
  <c r="AB1310" i="1" s="1"/>
  <c r="T1309" i="1"/>
  <c r="Z1309" i="1" s="1"/>
  <c r="AB1309" i="1" s="1"/>
  <c r="S1309" i="1"/>
  <c r="S1308" i="1" s="1"/>
  <c r="Q1309" i="1"/>
  <c r="Q1308" i="1" s="1"/>
  <c r="O1309" i="1"/>
  <c r="M1309" i="1"/>
  <c r="M1308" i="1" s="1"/>
  <c r="K1309" i="1"/>
  <c r="K1308" i="1" s="1"/>
  <c r="I1309" i="1"/>
  <c r="I1308" i="1" s="1"/>
  <c r="T1308" i="1"/>
  <c r="U1308" i="1" s="1"/>
  <c r="W1307" i="1"/>
  <c r="AA1307" i="1" s="1"/>
  <c r="AD1307" i="1" s="1"/>
  <c r="T1307" i="1"/>
  <c r="U1307" i="1" s="1"/>
  <c r="AA1306" i="1"/>
  <c r="X1306" i="1"/>
  <c r="T1306" i="1"/>
  <c r="U1306" i="1" s="1"/>
  <c r="G1306" i="1"/>
  <c r="G1305" i="1" s="1"/>
  <c r="T1305" i="1"/>
  <c r="U1305" i="1" s="1"/>
  <c r="S1305" i="1"/>
  <c r="Q1305" i="1"/>
  <c r="O1305" i="1"/>
  <c r="M1305" i="1"/>
  <c r="K1305" i="1"/>
  <c r="I1305" i="1"/>
  <c r="W1304" i="1"/>
  <c r="T1304" i="1"/>
  <c r="Z1304" i="1" s="1"/>
  <c r="AB1304" i="1" s="1"/>
  <c r="G1304" i="1"/>
  <c r="W1303" i="1"/>
  <c r="AA1303" i="1" s="1"/>
  <c r="T1303" i="1"/>
  <c r="U1303" i="1" s="1"/>
  <c r="G1303" i="1"/>
  <c r="W1302" i="1"/>
  <c r="AA1302" i="1" s="1"/>
  <c r="T1302" i="1"/>
  <c r="U1302" i="1" s="1"/>
  <c r="G1302" i="1"/>
  <c r="T1301" i="1"/>
  <c r="S1301" i="1"/>
  <c r="Q1301" i="1"/>
  <c r="O1301" i="1"/>
  <c r="M1301" i="1"/>
  <c r="K1301" i="1"/>
  <c r="J1301" i="1"/>
  <c r="I1301" i="1"/>
  <c r="W1300" i="1"/>
  <c r="X1300" i="1" s="1"/>
  <c r="T1300" i="1"/>
  <c r="Z1300" i="1" s="1"/>
  <c r="AB1300" i="1" s="1"/>
  <c r="G1300" i="1"/>
  <c r="S1299" i="1"/>
  <c r="R1299" i="1"/>
  <c r="Q1299" i="1"/>
  <c r="P1299" i="1"/>
  <c r="O1299" i="1"/>
  <c r="N1299" i="1"/>
  <c r="M1299" i="1"/>
  <c r="L1299" i="1"/>
  <c r="K1299" i="1"/>
  <c r="J1299" i="1"/>
  <c r="I1299" i="1"/>
  <c r="G1299" i="1"/>
  <c r="E1299" i="1"/>
  <c r="W1298" i="1"/>
  <c r="AA1298" i="1" s="1"/>
  <c r="T1298" i="1"/>
  <c r="U1298" i="1" s="1"/>
  <c r="G1298" i="1"/>
  <c r="W1297" i="1"/>
  <c r="AA1297" i="1" s="1"/>
  <c r="T1297" i="1"/>
  <c r="U1297" i="1" s="1"/>
  <c r="G1297" i="1"/>
  <c r="S1296" i="1"/>
  <c r="R1296" i="1"/>
  <c r="Q1296" i="1"/>
  <c r="P1296" i="1"/>
  <c r="O1296" i="1"/>
  <c r="N1296" i="1"/>
  <c r="M1296" i="1"/>
  <c r="L1296" i="1"/>
  <c r="K1296" i="1"/>
  <c r="J1296" i="1"/>
  <c r="I1296" i="1"/>
  <c r="AD1295" i="1"/>
  <c r="T1295" i="1"/>
  <c r="U1295" i="1" s="1"/>
  <c r="T1294" i="1"/>
  <c r="Z1294" i="1" s="1"/>
  <c r="AB1294" i="1" s="1"/>
  <c r="W1293" i="1"/>
  <c r="X1293" i="1" s="1"/>
  <c r="T1293" i="1"/>
  <c r="U1293" i="1" s="1"/>
  <c r="E1293" i="1"/>
  <c r="W1292" i="1"/>
  <c r="X1292" i="1" s="1"/>
  <c r="T1292" i="1"/>
  <c r="U1292" i="1" s="1"/>
  <c r="E1292" i="1"/>
  <c r="T1291" i="1"/>
  <c r="Z1291" i="1" s="1"/>
  <c r="AB1291" i="1" s="1"/>
  <c r="S1291" i="1"/>
  <c r="Q1291" i="1"/>
  <c r="O1291" i="1"/>
  <c r="M1291" i="1"/>
  <c r="K1291" i="1"/>
  <c r="I1291" i="1"/>
  <c r="G1291" i="1"/>
  <c r="W1290" i="1"/>
  <c r="X1290" i="1" s="1"/>
  <c r="T1290" i="1"/>
  <c r="Z1290" i="1" s="1"/>
  <c r="E1290" i="1"/>
  <c r="W1289" i="1"/>
  <c r="X1289" i="1" s="1"/>
  <c r="T1289" i="1"/>
  <c r="Z1289" i="1" s="1"/>
  <c r="E1289" i="1"/>
  <c r="W1288" i="1"/>
  <c r="AA1288" i="1" s="1"/>
  <c r="AD1288" i="1" s="1"/>
  <c r="T1288" i="1"/>
  <c r="U1288" i="1" s="1"/>
  <c r="E1288" i="1"/>
  <c r="T1287" i="1"/>
  <c r="U1287" i="1" s="1"/>
  <c r="S1287" i="1"/>
  <c r="Q1287" i="1"/>
  <c r="O1287" i="1"/>
  <c r="M1287" i="1"/>
  <c r="K1287" i="1"/>
  <c r="I1287" i="1"/>
  <c r="G1287" i="1"/>
  <c r="W1286" i="1"/>
  <c r="AA1286" i="1" s="1"/>
  <c r="AD1286" i="1" s="1"/>
  <c r="T1286" i="1"/>
  <c r="Z1286" i="1" s="1"/>
  <c r="E1286" i="1"/>
  <c r="W1285" i="1"/>
  <c r="X1285" i="1" s="1"/>
  <c r="T1285" i="1"/>
  <c r="Z1285" i="1" s="1"/>
  <c r="E1285" i="1"/>
  <c r="W1284" i="1"/>
  <c r="X1284" i="1" s="1"/>
  <c r="T1284" i="1"/>
  <c r="Z1284" i="1" s="1"/>
  <c r="E1284" i="1"/>
  <c r="W1283" i="1"/>
  <c r="AA1283" i="1" s="1"/>
  <c r="AD1283" i="1" s="1"/>
  <c r="T1283" i="1"/>
  <c r="U1283" i="1" s="1"/>
  <c r="E1283" i="1"/>
  <c r="W1282" i="1"/>
  <c r="AA1282" i="1" s="1"/>
  <c r="AD1282" i="1" s="1"/>
  <c r="T1282" i="1"/>
  <c r="U1282" i="1" s="1"/>
  <c r="E1282" i="1"/>
  <c r="W1281" i="1"/>
  <c r="X1281" i="1" s="1"/>
  <c r="T1281" i="1"/>
  <c r="U1281" i="1" s="1"/>
  <c r="E1281" i="1"/>
  <c r="T1280" i="1"/>
  <c r="Z1280" i="1" s="1"/>
  <c r="S1280" i="1"/>
  <c r="Q1280" i="1"/>
  <c r="O1280" i="1"/>
  <c r="M1280" i="1"/>
  <c r="K1280" i="1"/>
  <c r="I1280" i="1"/>
  <c r="G1280" i="1"/>
  <c r="E1280" i="1"/>
  <c r="W1279" i="1"/>
  <c r="AA1279" i="1" s="1"/>
  <c r="T1279" i="1"/>
  <c r="Z1279" i="1" s="1"/>
  <c r="G1279" i="1"/>
  <c r="E1279" i="1"/>
  <c r="AH1278" i="1"/>
  <c r="W1278" i="1"/>
  <c r="X1278" i="1" s="1"/>
  <c r="T1278" i="1"/>
  <c r="U1278" i="1" s="1"/>
  <c r="G1278" i="1"/>
  <c r="E1278" i="1"/>
  <c r="AH1277" i="1"/>
  <c r="W1277" i="1"/>
  <c r="AA1277" i="1" s="1"/>
  <c r="T1277" i="1"/>
  <c r="U1277" i="1" s="1"/>
  <c r="G1277" i="1"/>
  <c r="E1277" i="1"/>
  <c r="AH1276" i="1"/>
  <c r="W1276" i="1"/>
  <c r="AA1276" i="1" s="1"/>
  <c r="AD1276" i="1" s="1"/>
  <c r="T1276" i="1"/>
  <c r="U1276" i="1" s="1"/>
  <c r="S1275" i="1"/>
  <c r="R1275" i="1"/>
  <c r="Q1275" i="1"/>
  <c r="P1275" i="1"/>
  <c r="O1275" i="1"/>
  <c r="N1275" i="1"/>
  <c r="M1275" i="1"/>
  <c r="L1275" i="1"/>
  <c r="K1275" i="1"/>
  <c r="J1275" i="1"/>
  <c r="I1275" i="1"/>
  <c r="W1274" i="1"/>
  <c r="AA1274" i="1" s="1"/>
  <c r="T1274" i="1"/>
  <c r="U1274" i="1" s="1"/>
  <c r="G1274" i="1"/>
  <c r="W1273" i="1"/>
  <c r="X1273" i="1" s="1"/>
  <c r="T1273" i="1"/>
  <c r="U1273" i="1" s="1"/>
  <c r="G1273" i="1"/>
  <c r="S1272" i="1"/>
  <c r="R1272" i="1"/>
  <c r="Q1272" i="1"/>
  <c r="P1272" i="1"/>
  <c r="O1272" i="1"/>
  <c r="N1272" i="1"/>
  <c r="M1272" i="1"/>
  <c r="L1272" i="1"/>
  <c r="K1272" i="1"/>
  <c r="J1272" i="1"/>
  <c r="I1272" i="1"/>
  <c r="E1272" i="1"/>
  <c r="T1271" i="1"/>
  <c r="Z1271" i="1" s="1"/>
  <c r="AB1271" i="1" s="1"/>
  <c r="E1275" i="1" l="1"/>
  <c r="AD1279" i="1"/>
  <c r="AB1290" i="1"/>
  <c r="AA1284" i="1"/>
  <c r="AD1284" i="1" s="1"/>
  <c r="AA1285" i="1"/>
  <c r="AD1285" i="1" s="1"/>
  <c r="T1275" i="1"/>
  <c r="Z1275" i="1" s="1"/>
  <c r="AB1275" i="1" s="1"/>
  <c r="Z1278" i="1"/>
  <c r="AB1278" i="1" s="1"/>
  <c r="AB1279" i="1"/>
  <c r="U1284" i="1"/>
  <c r="AB1285" i="1"/>
  <c r="U1289" i="1"/>
  <c r="I1294" i="1"/>
  <c r="Q1294" i="1"/>
  <c r="G1275" i="1"/>
  <c r="X1282" i="1"/>
  <c r="AB1286" i="1"/>
  <c r="AA1293" i="1"/>
  <c r="AD1293" i="1" s="1"/>
  <c r="Z1295" i="1"/>
  <c r="AB1295" i="1" s="1"/>
  <c r="X1297" i="1"/>
  <c r="X1298" i="1"/>
  <c r="U1301" i="1"/>
  <c r="Z1306" i="1"/>
  <c r="AB1306" i="1" s="1"/>
  <c r="AA1289" i="1"/>
  <c r="AD1289" i="1" s="1"/>
  <c r="AA1290" i="1"/>
  <c r="AD1290" i="1" s="1"/>
  <c r="AD1306" i="1"/>
  <c r="M1271" i="1"/>
  <c r="AD1274" i="1"/>
  <c r="AD1277" i="1"/>
  <c r="W1280" i="1"/>
  <c r="X1280" i="1" s="1"/>
  <c r="AB1280" i="1"/>
  <c r="Z1301" i="1"/>
  <c r="AB1301" i="1" s="1"/>
  <c r="X1302" i="1"/>
  <c r="K1271" i="1"/>
  <c r="O1271" i="1"/>
  <c r="T1299" i="1"/>
  <c r="Z1299" i="1" s="1"/>
  <c r="AB1299" i="1" s="1"/>
  <c r="X1303" i="1"/>
  <c r="X1307" i="1"/>
  <c r="Z1308" i="1"/>
  <c r="AB1308" i="1" s="1"/>
  <c r="Z1288" i="1"/>
  <c r="AD1297" i="1"/>
  <c r="U1310" i="1"/>
  <c r="X1277" i="1"/>
  <c r="U1279" i="1"/>
  <c r="U1280" i="1"/>
  <c r="AB1284" i="1"/>
  <c r="X1286" i="1"/>
  <c r="AB1289" i="1"/>
  <c r="W1291" i="1"/>
  <c r="AA1291" i="1" s="1"/>
  <c r="AD1291" i="1" s="1"/>
  <c r="U1291" i="1"/>
  <c r="Z1292" i="1"/>
  <c r="AB1292" i="1" s="1"/>
  <c r="T1296" i="1"/>
  <c r="U1296" i="1" s="1"/>
  <c r="G1296" i="1"/>
  <c r="AD1298" i="1"/>
  <c r="W1299" i="1"/>
  <c r="AA1299" i="1" s="1"/>
  <c r="AD1299" i="1" s="1"/>
  <c r="W1301" i="1"/>
  <c r="X1301" i="1" s="1"/>
  <c r="AD1302" i="1"/>
  <c r="Z1302" i="1"/>
  <c r="AB1302" i="1" s="1"/>
  <c r="AD1303" i="1"/>
  <c r="U1304" i="1"/>
  <c r="U1309" i="1"/>
  <c r="AA1310" i="1"/>
  <c r="AD1310" i="1" s="1"/>
  <c r="AA1311" i="1"/>
  <c r="AD1311" i="1" s="1"/>
  <c r="S1271" i="1"/>
  <c r="Z1273" i="1"/>
  <c r="AB1273" i="1" s="1"/>
  <c r="X1274" i="1"/>
  <c r="Z1281" i="1"/>
  <c r="AB1281" i="1" s="1"/>
  <c r="AH1287" i="1"/>
  <c r="AA1292" i="1"/>
  <c r="AD1292" i="1" s="1"/>
  <c r="W1296" i="1"/>
  <c r="X1296" i="1" s="1"/>
  <c r="G1272" i="1"/>
  <c r="G1271" i="1" s="1"/>
  <c r="Z1276" i="1"/>
  <c r="AB1276" i="1" s="1"/>
  <c r="Z1283" i="1"/>
  <c r="AB1283" i="1" s="1"/>
  <c r="U1286" i="1"/>
  <c r="Z1287" i="1"/>
  <c r="AB1287" i="1" s="1"/>
  <c r="AB1288" i="1"/>
  <c r="K1294" i="1"/>
  <c r="O1294" i="1"/>
  <c r="S1294" i="1"/>
  <c r="AA1300" i="1"/>
  <c r="AD1300" i="1" s="1"/>
  <c r="U1275" i="1"/>
  <c r="Z1277" i="1"/>
  <c r="AB1277" i="1" s="1"/>
  <c r="Z1293" i="1"/>
  <c r="AB1293" i="1" s="1"/>
  <c r="Z1274" i="1"/>
  <c r="AB1274" i="1" s="1"/>
  <c r="X1276" i="1"/>
  <c r="Z1282" i="1"/>
  <c r="AB1282" i="1" s="1"/>
  <c r="U1285" i="1"/>
  <c r="U1290" i="1"/>
  <c r="M1294" i="1"/>
  <c r="Z1298" i="1"/>
  <c r="AB1298" i="1" s="1"/>
  <c r="U1300" i="1"/>
  <c r="W1309" i="1"/>
  <c r="O1308" i="1"/>
  <c r="W1308" i="1" s="1"/>
  <c r="X1308" i="1" s="1"/>
  <c r="W1272" i="1"/>
  <c r="X1272" i="1" s="1"/>
  <c r="I1271" i="1"/>
  <c r="U1271" i="1"/>
  <c r="AA1273" i="1"/>
  <c r="AD1273" i="1" s="1"/>
  <c r="W1275" i="1"/>
  <c r="X1275" i="1" s="1"/>
  <c r="AA1278" i="1"/>
  <c r="AD1278" i="1" s="1"/>
  <c r="X1279" i="1"/>
  <c r="AA1281" i="1"/>
  <c r="AD1281" i="1" s="1"/>
  <c r="Z1297" i="1"/>
  <c r="AB1297" i="1" s="1"/>
  <c r="G1301" i="1"/>
  <c r="AA1304" i="1"/>
  <c r="AD1304" i="1" s="1"/>
  <c r="X1304" i="1"/>
  <c r="W1305" i="1"/>
  <c r="X1305" i="1" s="1"/>
  <c r="Z1311" i="1"/>
  <c r="AB1311" i="1" s="1"/>
  <c r="Q1271" i="1"/>
  <c r="T1272" i="1"/>
  <c r="X1283" i="1"/>
  <c r="W1287" i="1"/>
  <c r="X1288" i="1"/>
  <c r="Z1303" i="1"/>
  <c r="AB1303" i="1" s="1"/>
  <c r="Z1305" i="1"/>
  <c r="AB1305" i="1" s="1"/>
  <c r="Z1307" i="1"/>
  <c r="AB1307" i="1" s="1"/>
  <c r="AA1296" i="1" l="1"/>
  <c r="AD1296" i="1" s="1"/>
  <c r="X1299" i="1"/>
  <c r="X1291" i="1"/>
  <c r="AA1301" i="1"/>
  <c r="AD1301" i="1" s="1"/>
  <c r="W1271" i="1"/>
  <c r="AA1271" i="1" s="1"/>
  <c r="AD1271" i="1" s="1"/>
  <c r="Z1296" i="1"/>
  <c r="AB1296" i="1" s="1"/>
  <c r="G1294" i="1"/>
  <c r="U1299" i="1"/>
  <c r="AA1280" i="1"/>
  <c r="AD1280" i="1" s="1"/>
  <c r="AA1275" i="1"/>
  <c r="AD1275" i="1" s="1"/>
  <c r="W1294" i="1"/>
  <c r="X1294" i="1" s="1"/>
  <c r="AA1308" i="1"/>
  <c r="AD1308" i="1" s="1"/>
  <c r="Z1272" i="1"/>
  <c r="AB1272" i="1" s="1"/>
  <c r="U1272" i="1"/>
  <c r="AH1271" i="1"/>
  <c r="X1287" i="1"/>
  <c r="AA1287" i="1"/>
  <c r="AD1287" i="1" s="1"/>
  <c r="AA1305" i="1"/>
  <c r="AD1305" i="1" s="1"/>
  <c r="X1309" i="1"/>
  <c r="AA1309" i="1"/>
  <c r="AD1309" i="1" s="1"/>
  <c r="AA1272" i="1"/>
  <c r="AD1272" i="1" s="1"/>
  <c r="X1271" i="1" l="1"/>
  <c r="AA1294" i="1"/>
  <c r="AD1294" i="1" s="1"/>
  <c r="W1270" i="1"/>
  <c r="AA1270" i="1" s="1"/>
  <c r="T1270" i="1"/>
  <c r="U1270" i="1" s="1"/>
  <c r="G1270" i="1"/>
  <c r="W1269" i="1"/>
  <c r="AA1269" i="1" s="1"/>
  <c r="T1269" i="1"/>
  <c r="Z1269" i="1" s="1"/>
  <c r="G1269" i="1"/>
  <c r="W1268" i="1"/>
  <c r="X1268" i="1" s="1"/>
  <c r="T1268" i="1"/>
  <c r="U1268" i="1" s="1"/>
  <c r="G1268" i="1"/>
  <c r="T1267" i="1"/>
  <c r="Z1267" i="1" s="1"/>
  <c r="U1267" i="1" s="1"/>
  <c r="O1267" i="1"/>
  <c r="M1267" i="1"/>
  <c r="T1266" i="1"/>
  <c r="Z1266" i="1" s="1"/>
  <c r="U1266" i="1" s="1"/>
  <c r="M1266" i="1"/>
  <c r="W1266" i="1" s="1"/>
  <c r="AA1266" i="1" s="1"/>
  <c r="T1265" i="1"/>
  <c r="Z1265" i="1" s="1"/>
  <c r="U1265" i="1" s="1"/>
  <c r="S1265" i="1"/>
  <c r="Q1265" i="1"/>
  <c r="Q1263" i="1" s="1"/>
  <c r="O1265" i="1"/>
  <c r="O1263" i="1" s="1"/>
  <c r="M1265" i="1"/>
  <c r="M1263" i="1" s="1"/>
  <c r="K1265" i="1"/>
  <c r="K1263" i="1" s="1"/>
  <c r="I1265" i="1"/>
  <c r="T1264" i="1"/>
  <c r="Z1264" i="1" s="1"/>
  <c r="U1264" i="1" s="1"/>
  <c r="Q1264" i="1"/>
  <c r="O1264" i="1"/>
  <c r="T1263" i="1"/>
  <c r="Z1263" i="1" s="1"/>
  <c r="U1263" i="1" s="1"/>
  <c r="S1263" i="1"/>
  <c r="AA1262" i="1"/>
  <c r="Z1262" i="1"/>
  <c r="W1261" i="1"/>
  <c r="X1261" i="1" s="1"/>
  <c r="T1261" i="1"/>
  <c r="U1261" i="1" s="1"/>
  <c r="G1261" i="1"/>
  <c r="W1260" i="1"/>
  <c r="AA1260" i="1" s="1"/>
  <c r="T1260" i="1"/>
  <c r="Z1260" i="1" s="1"/>
  <c r="W1259" i="1"/>
  <c r="X1259" i="1" s="1"/>
  <c r="T1259" i="1"/>
  <c r="Z1259" i="1" s="1"/>
  <c r="W1258" i="1"/>
  <c r="AA1258" i="1" s="1"/>
  <c r="T1258" i="1"/>
  <c r="Z1258" i="1" s="1"/>
  <c r="W1257" i="1"/>
  <c r="AA1257" i="1" s="1"/>
  <c r="T1257" i="1"/>
  <c r="Z1257" i="1" s="1"/>
  <c r="T1256" i="1"/>
  <c r="Z1256" i="1" s="1"/>
  <c r="U1256" i="1" s="1"/>
  <c r="Q1256" i="1"/>
  <c r="M1256" i="1"/>
  <c r="M1254" i="1" s="1"/>
  <c r="S1255" i="1"/>
  <c r="Q1255" i="1"/>
  <c r="Q1253" i="1" s="1"/>
  <c r="O1255" i="1"/>
  <c r="N1255" i="1"/>
  <c r="M1255" i="1"/>
  <c r="M1253" i="1" s="1"/>
  <c r="L1255" i="1"/>
  <c r="K1255" i="1"/>
  <c r="K1253" i="1" s="1"/>
  <c r="I1255" i="1"/>
  <c r="G1255" i="1"/>
  <c r="G1253" i="1" s="1"/>
  <c r="T1254" i="1"/>
  <c r="Z1254" i="1" s="1"/>
  <c r="U1254" i="1" s="1"/>
  <c r="Q1254" i="1"/>
  <c r="O1254" i="1"/>
  <c r="T1253" i="1"/>
  <c r="Z1253" i="1" s="1"/>
  <c r="U1253" i="1" s="1"/>
  <c r="S1253" i="1"/>
  <c r="O1253" i="1"/>
  <c r="W1252" i="1"/>
  <c r="AA1252" i="1" s="1"/>
  <c r="T1252" i="1"/>
  <c r="U1252" i="1" s="1"/>
  <c r="G1252" i="1"/>
  <c r="G1251" i="1" s="1"/>
  <c r="G1250" i="1" s="1"/>
  <c r="T1251" i="1"/>
  <c r="S1251" i="1"/>
  <c r="S1250" i="1" s="1"/>
  <c r="Q1251" i="1"/>
  <c r="Q1250" i="1" s="1"/>
  <c r="O1251" i="1"/>
  <c r="O1250" i="1" s="1"/>
  <c r="M1251" i="1"/>
  <c r="K1251" i="1"/>
  <c r="K1250" i="1" s="1"/>
  <c r="J1251" i="1"/>
  <c r="I1251" i="1"/>
  <c r="I1250" i="1" s="1"/>
  <c r="H1251" i="1"/>
  <c r="E1251" i="1"/>
  <c r="T1250" i="1"/>
  <c r="Z1250" i="1" s="1"/>
  <c r="U1250" i="1" s="1"/>
  <c r="W1249" i="1"/>
  <c r="AA1249" i="1" s="1"/>
  <c r="T1249" i="1"/>
  <c r="U1249" i="1" s="1"/>
  <c r="W1248" i="1"/>
  <c r="X1248" i="1" s="1"/>
  <c r="T1248" i="1"/>
  <c r="U1248" i="1" s="1"/>
  <c r="S1247" i="1"/>
  <c r="S1246" i="1" s="1"/>
  <c r="Q1247" i="1"/>
  <c r="Q1246" i="1" s="1"/>
  <c r="O1247" i="1"/>
  <c r="O1246" i="1" s="1"/>
  <c r="N1247" i="1"/>
  <c r="M1247" i="1"/>
  <c r="M1246" i="1" s="1"/>
  <c r="L1247" i="1"/>
  <c r="K1247" i="1"/>
  <c r="K1246" i="1" s="1"/>
  <c r="I1247" i="1"/>
  <c r="I1246" i="1" s="1"/>
  <c r="G1247" i="1"/>
  <c r="G1246" i="1" s="1"/>
  <c r="R1246" i="1"/>
  <c r="N1246" i="1"/>
  <c r="L1246" i="1"/>
  <c r="AA1245" i="1"/>
  <c r="Z1245" i="1"/>
  <c r="W1244" i="1"/>
  <c r="AA1244" i="1" s="1"/>
  <c r="T1244" i="1"/>
  <c r="Z1244" i="1" s="1"/>
  <c r="W1243" i="1"/>
  <c r="AA1243" i="1" s="1"/>
  <c r="T1243" i="1"/>
  <c r="Z1243" i="1" s="1"/>
  <c r="T1242" i="1"/>
  <c r="Z1242" i="1" s="1"/>
  <c r="S1242" i="1"/>
  <c r="Q1242" i="1"/>
  <c r="O1242" i="1"/>
  <c r="M1242" i="1"/>
  <c r="K1242" i="1"/>
  <c r="I1242" i="1"/>
  <c r="G1242" i="1"/>
  <c r="W1241" i="1"/>
  <c r="X1241" i="1" s="1"/>
  <c r="T1241" i="1"/>
  <c r="W1240" i="1"/>
  <c r="T1240" i="1"/>
  <c r="U1240" i="1" s="1"/>
  <c r="W1239" i="1"/>
  <c r="T1239" i="1"/>
  <c r="U1239" i="1" s="1"/>
  <c r="T1238" i="1"/>
  <c r="U1238" i="1" s="1"/>
  <c r="S1238" i="1"/>
  <c r="Q1238" i="1"/>
  <c r="O1238" i="1"/>
  <c r="M1238" i="1"/>
  <c r="K1238" i="1"/>
  <c r="I1238" i="1"/>
  <c r="G1238" i="1"/>
  <c r="AA1237" i="1"/>
  <c r="Z1237" i="1"/>
  <c r="W1236" i="1"/>
  <c r="X1236" i="1" s="1"/>
  <c r="T1236" i="1"/>
  <c r="Z1236" i="1" s="1"/>
  <c r="I1236" i="1"/>
  <c r="I1231" i="1" s="1"/>
  <c r="W1235" i="1"/>
  <c r="T1235" i="1"/>
  <c r="U1235" i="1" s="1"/>
  <c r="W1234" i="1"/>
  <c r="T1234" i="1"/>
  <c r="U1234" i="1" s="1"/>
  <c r="W1233" i="1"/>
  <c r="T1233" i="1"/>
  <c r="U1233" i="1" s="1"/>
  <c r="W1232" i="1"/>
  <c r="T1232" i="1"/>
  <c r="U1232" i="1" s="1"/>
  <c r="T1231" i="1"/>
  <c r="U1231" i="1" s="1"/>
  <c r="S1231" i="1"/>
  <c r="Q1231" i="1"/>
  <c r="O1231" i="1"/>
  <c r="M1231" i="1"/>
  <c r="K1231" i="1"/>
  <c r="G1231" i="1"/>
  <c r="W1230" i="1"/>
  <c r="AA1230" i="1" s="1"/>
  <c r="T1230" i="1"/>
  <c r="Z1230" i="1" s="1"/>
  <c r="W1229" i="1"/>
  <c r="AA1229" i="1" s="1"/>
  <c r="T1229" i="1"/>
  <c r="Z1229" i="1" s="1"/>
  <c r="W1228" i="1"/>
  <c r="X1228" i="1" s="1"/>
  <c r="T1228" i="1"/>
  <c r="Z1228" i="1" s="1"/>
  <c r="W1227" i="1"/>
  <c r="AA1227" i="1" s="1"/>
  <c r="T1227" i="1"/>
  <c r="Z1227" i="1" s="1"/>
  <c r="S1226" i="1"/>
  <c r="Q1226" i="1"/>
  <c r="O1226" i="1"/>
  <c r="M1226" i="1"/>
  <c r="L1226" i="1"/>
  <c r="T1226" i="1" s="1"/>
  <c r="Z1226" i="1" s="1"/>
  <c r="K1226" i="1"/>
  <c r="J1226" i="1"/>
  <c r="I1226" i="1"/>
  <c r="G1226" i="1"/>
  <c r="W1225" i="1"/>
  <c r="T1225" i="1"/>
  <c r="U1225" i="1" s="1"/>
  <c r="W1224" i="1"/>
  <c r="T1224" i="1"/>
  <c r="U1224" i="1" s="1"/>
  <c r="S1223" i="1"/>
  <c r="Q1223" i="1"/>
  <c r="P1223" i="1"/>
  <c r="O1223" i="1"/>
  <c r="N1223" i="1"/>
  <c r="M1223" i="1"/>
  <c r="L1223" i="1"/>
  <c r="K1223" i="1"/>
  <c r="I1223" i="1"/>
  <c r="G1223" i="1"/>
  <c r="T1222" i="1"/>
  <c r="U1222" i="1" s="1"/>
  <c r="Z1251" i="1" l="1"/>
  <c r="U1251" i="1" s="1"/>
  <c r="T1223" i="1"/>
  <c r="U1223" i="1" s="1"/>
  <c r="T1246" i="1"/>
  <c r="Z1246" i="1" s="1"/>
  <c r="U1246" i="1" s="1"/>
  <c r="X1260" i="1"/>
  <c r="T1255" i="1"/>
  <c r="Z1255" i="1" s="1"/>
  <c r="U1255" i="1" s="1"/>
  <c r="U1258" i="1"/>
  <c r="AA1259" i="1"/>
  <c r="W1267" i="1"/>
  <c r="AA1267" i="1" s="1"/>
  <c r="X1229" i="1"/>
  <c r="X1243" i="1"/>
  <c r="K1222" i="1"/>
  <c r="O1222" i="1"/>
  <c r="U1226" i="1"/>
  <c r="U1227" i="1"/>
  <c r="AA1228" i="1"/>
  <c r="Z1234" i="1"/>
  <c r="U1242" i="1"/>
  <c r="U1269" i="1"/>
  <c r="Z1225" i="1"/>
  <c r="Z1238" i="1"/>
  <c r="W1263" i="1"/>
  <c r="X1263" i="1" s="1"/>
  <c r="U1228" i="1"/>
  <c r="X1230" i="1"/>
  <c r="W1231" i="1"/>
  <c r="X1231" i="1" s="1"/>
  <c r="AA1236" i="1"/>
  <c r="W1238" i="1"/>
  <c r="X1238" i="1" s="1"/>
  <c r="X1244" i="1"/>
  <c r="W1246" i="1"/>
  <c r="X1246" i="1" s="1"/>
  <c r="W1251" i="1"/>
  <c r="X1251" i="1" s="1"/>
  <c r="X1257" i="1"/>
  <c r="U1259" i="1"/>
  <c r="W1223" i="1"/>
  <c r="X1223" i="1" s="1"/>
  <c r="S1222" i="1"/>
  <c r="X1227" i="1"/>
  <c r="U1229" i="1"/>
  <c r="Z1233" i="1"/>
  <c r="U1236" i="1"/>
  <c r="U1243" i="1"/>
  <c r="T1247" i="1"/>
  <c r="Z1247" i="1" s="1"/>
  <c r="U1247" i="1" s="1"/>
  <c r="W1247" i="1"/>
  <c r="X1247" i="1" s="1"/>
  <c r="M1250" i="1"/>
  <c r="W1250" i="1" s="1"/>
  <c r="X1250" i="1" s="1"/>
  <c r="X1258" i="1"/>
  <c r="U1260" i="1"/>
  <c r="G1265" i="1"/>
  <c r="G1263" i="1" s="1"/>
  <c r="X1269" i="1"/>
  <c r="G1222" i="1"/>
  <c r="U1230" i="1"/>
  <c r="Z1239" i="1"/>
  <c r="W1242" i="1"/>
  <c r="AA1242" i="1" s="1"/>
  <c r="U1244" i="1"/>
  <c r="W1253" i="1"/>
  <c r="X1253" i="1" s="1"/>
  <c r="W1254" i="1"/>
  <c r="AA1254" i="1" s="1"/>
  <c r="U1257" i="1"/>
  <c r="I1222" i="1"/>
  <c r="AA1224" i="1"/>
  <c r="X1224" i="1"/>
  <c r="X1242" i="1"/>
  <c r="M1222" i="1"/>
  <c r="Z1222" i="1"/>
  <c r="Z1224" i="1"/>
  <c r="Z1232" i="1"/>
  <c r="X1235" i="1"/>
  <c r="AA1235" i="1"/>
  <c r="AA1240" i="1"/>
  <c r="X1240" i="1"/>
  <c r="Q1222" i="1"/>
  <c r="W1226" i="1"/>
  <c r="Z1231" i="1"/>
  <c r="AA1234" i="1"/>
  <c r="X1234" i="1"/>
  <c r="Z1235" i="1"/>
  <c r="X1239" i="1"/>
  <c r="AA1239" i="1"/>
  <c r="Z1240" i="1"/>
  <c r="AA1232" i="1"/>
  <c r="X1232" i="1"/>
  <c r="X1225" i="1"/>
  <c r="AA1225" i="1"/>
  <c r="X1233" i="1"/>
  <c r="AA1233" i="1"/>
  <c r="U1241" i="1"/>
  <c r="Z1241" i="1"/>
  <c r="Z1248" i="1"/>
  <c r="AA1251" i="1"/>
  <c r="W1255" i="1"/>
  <c r="X1255" i="1" s="1"/>
  <c r="W1256" i="1"/>
  <c r="AA1256" i="1" s="1"/>
  <c r="Z1261" i="1"/>
  <c r="Z1268" i="1"/>
  <c r="AA1241" i="1"/>
  <c r="AA1248" i="1"/>
  <c r="X1249" i="1"/>
  <c r="X1252" i="1"/>
  <c r="I1253" i="1"/>
  <c r="AA1261" i="1"/>
  <c r="I1263" i="1"/>
  <c r="AA1263" i="1" s="1"/>
  <c r="M1264" i="1"/>
  <c r="W1264" i="1" s="1"/>
  <c r="AA1264" i="1" s="1"/>
  <c r="AA1268" i="1"/>
  <c r="X1270" i="1"/>
  <c r="Z1249" i="1"/>
  <c r="Z1252" i="1"/>
  <c r="W1265" i="1"/>
  <c r="X1265" i="1" s="1"/>
  <c r="Z1270" i="1"/>
  <c r="Z1223" i="1" l="1"/>
  <c r="AA1253" i="1"/>
  <c r="AA1250" i="1"/>
  <c r="W1222" i="1"/>
  <c r="X1222" i="1" s="1"/>
  <c r="AA1238" i="1"/>
  <c r="AA1223" i="1"/>
  <c r="AA1247" i="1"/>
  <c r="AA1231" i="1"/>
  <c r="AA1255" i="1"/>
  <c r="AA1246" i="1"/>
  <c r="X1226" i="1"/>
  <c r="AA1226" i="1"/>
  <c r="AA1265" i="1"/>
  <c r="AA1222" i="1" l="1"/>
  <c r="W1221" i="1"/>
  <c r="X1221" i="1" s="1"/>
  <c r="T1221" i="1"/>
  <c r="Z1221" i="1" s="1"/>
  <c r="W1220" i="1"/>
  <c r="AA1220" i="1" s="1"/>
  <c r="T1220" i="1"/>
  <c r="Z1220" i="1" s="1"/>
  <c r="W1219" i="1"/>
  <c r="X1219" i="1" s="1"/>
  <c r="T1219" i="1"/>
  <c r="Z1219" i="1" s="1"/>
  <c r="W1218" i="1"/>
  <c r="AA1218" i="1" s="1"/>
  <c r="T1218" i="1"/>
  <c r="Z1218" i="1" s="1"/>
  <c r="T1217" i="1"/>
  <c r="Z1217" i="1" s="1"/>
  <c r="T1216" i="1"/>
  <c r="U1216" i="1" s="1"/>
  <c r="S1216" i="1"/>
  <c r="S1215" i="1" s="1"/>
  <c r="Q1216" i="1"/>
  <c r="Q1215" i="1" s="1"/>
  <c r="O1216" i="1"/>
  <c r="O1215" i="1" s="1"/>
  <c r="M1216" i="1"/>
  <c r="K1216" i="1"/>
  <c r="K1215" i="1" s="1"/>
  <c r="I1216" i="1"/>
  <c r="I1215" i="1" s="1"/>
  <c r="G1216" i="1"/>
  <c r="G1215" i="1" s="1"/>
  <c r="E1216" i="1"/>
  <c r="T1215" i="1"/>
  <c r="Z1215" i="1" s="1"/>
  <c r="AA1214" i="1"/>
  <c r="Z1214" i="1"/>
  <c r="AB1213" i="1"/>
  <c r="Z1213" i="1"/>
  <c r="I1213" i="1"/>
  <c r="AA1213" i="1" s="1"/>
  <c r="G1213" i="1"/>
  <c r="G1212" i="1" s="1"/>
  <c r="AB1212" i="1"/>
  <c r="Z1212" i="1"/>
  <c r="W1211" i="1"/>
  <c r="AA1211" i="1" s="1"/>
  <c r="T1211" i="1"/>
  <c r="Z1211" i="1" s="1"/>
  <c r="W1210" i="1"/>
  <c r="X1210" i="1" s="1"/>
  <c r="T1210" i="1"/>
  <c r="Z1210" i="1" s="1"/>
  <c r="W1209" i="1"/>
  <c r="AA1209" i="1" s="1"/>
  <c r="T1209" i="1"/>
  <c r="Z1209" i="1" s="1"/>
  <c r="Z1208" i="1"/>
  <c r="U1208" i="1"/>
  <c r="T1207" i="1"/>
  <c r="Z1207" i="1" s="1"/>
  <c r="Q1207" i="1"/>
  <c r="O1207" i="1"/>
  <c r="M1207" i="1"/>
  <c r="K1207" i="1"/>
  <c r="I1207" i="1"/>
  <c r="G1207" i="1"/>
  <c r="AA1206" i="1"/>
  <c r="Z1206" i="1"/>
  <c r="W1205" i="1"/>
  <c r="X1205" i="1" s="1"/>
  <c r="T1205" i="1"/>
  <c r="Z1205" i="1" s="1"/>
  <c r="Z1204" i="1"/>
  <c r="W1204" i="1"/>
  <c r="AA1204" i="1" s="1"/>
  <c r="U1204" i="1"/>
  <c r="S1203" i="1"/>
  <c r="Q1203" i="1"/>
  <c r="O1203" i="1"/>
  <c r="M1203" i="1"/>
  <c r="L1203" i="1"/>
  <c r="T1203" i="1" s="1"/>
  <c r="Z1203" i="1" s="1"/>
  <c r="U1203" i="1" s="1"/>
  <c r="K1203" i="1"/>
  <c r="I1203" i="1"/>
  <c r="G1203" i="1"/>
  <c r="AA1202" i="1"/>
  <c r="Z1202" i="1"/>
  <c r="W1201" i="1"/>
  <c r="X1201" i="1" s="1"/>
  <c r="T1201" i="1"/>
  <c r="U1201" i="1" s="1"/>
  <c r="W1200" i="1"/>
  <c r="T1200" i="1"/>
  <c r="Z1200" i="1" s="1"/>
  <c r="T1199" i="1"/>
  <c r="U1199" i="1" s="1"/>
  <c r="S1198" i="1"/>
  <c r="Q1198" i="1"/>
  <c r="O1198" i="1"/>
  <c r="M1198" i="1"/>
  <c r="L1198" i="1"/>
  <c r="T1198" i="1" s="1"/>
  <c r="K1198" i="1"/>
  <c r="I1198" i="1"/>
  <c r="G1198" i="1"/>
  <c r="T1197" i="1"/>
  <c r="Z1197" i="1" s="1"/>
  <c r="T1196" i="1"/>
  <c r="Z1196" i="1" s="1"/>
  <c r="T1195" i="1"/>
  <c r="H1195" i="1"/>
  <c r="W1194" i="1"/>
  <c r="X1194" i="1" s="1"/>
  <c r="T1194" i="1"/>
  <c r="U1194" i="1" s="1"/>
  <c r="W1193" i="1"/>
  <c r="T1193" i="1"/>
  <c r="U1193" i="1" s="1"/>
  <c r="Z1192" i="1"/>
  <c r="U1192" i="1"/>
  <c r="S1192" i="1"/>
  <c r="S1190" i="1" s="1"/>
  <c r="Q1192" i="1"/>
  <c r="Q1190" i="1" s="1"/>
  <c r="O1192" i="1"/>
  <c r="O1190" i="1" s="1"/>
  <c r="M1192" i="1"/>
  <c r="K1192" i="1"/>
  <c r="K1190" i="1" s="1"/>
  <c r="I1192" i="1"/>
  <c r="I1190" i="1" s="1"/>
  <c r="G1192" i="1"/>
  <c r="G1190" i="1" s="1"/>
  <c r="Z1191" i="1"/>
  <c r="U1191" i="1"/>
  <c r="Z1190" i="1"/>
  <c r="U1190" i="1"/>
  <c r="W1189" i="1"/>
  <c r="AA1189" i="1" s="1"/>
  <c r="T1189" i="1"/>
  <c r="U1189" i="1" s="1"/>
  <c r="E1189" i="1"/>
  <c r="W1188" i="1"/>
  <c r="X1188" i="1" s="1"/>
  <c r="T1188" i="1"/>
  <c r="Z1188" i="1" s="1"/>
  <c r="W1187" i="1"/>
  <c r="AA1187" i="1" s="1"/>
  <c r="T1187" i="1"/>
  <c r="U1187" i="1" s="1"/>
  <c r="E1187" i="1"/>
  <c r="T1186" i="1"/>
  <c r="U1186" i="1" s="1"/>
  <c r="S1186" i="1"/>
  <c r="Q1186" i="1"/>
  <c r="O1186" i="1"/>
  <c r="M1186" i="1"/>
  <c r="K1186" i="1"/>
  <c r="I1186" i="1"/>
  <c r="G1186" i="1"/>
  <c r="W1185" i="1"/>
  <c r="AA1185" i="1" s="1"/>
  <c r="T1185" i="1"/>
  <c r="U1185" i="1" s="1"/>
  <c r="W1184" i="1"/>
  <c r="X1184" i="1" s="1"/>
  <c r="T1184" i="1"/>
  <c r="Z1184" i="1" s="1"/>
  <c r="W1183" i="1"/>
  <c r="X1183" i="1" s="1"/>
  <c r="T1183" i="1"/>
  <c r="U1183" i="1" s="1"/>
  <c r="T1182" i="1"/>
  <c r="Z1182" i="1" s="1"/>
  <c r="S1182" i="1"/>
  <c r="Q1182" i="1"/>
  <c r="O1182" i="1"/>
  <c r="M1182" i="1"/>
  <c r="K1182" i="1"/>
  <c r="I1182" i="1"/>
  <c r="G1182" i="1"/>
  <c r="W1181" i="1"/>
  <c r="AA1181" i="1" s="1"/>
  <c r="T1181" i="1"/>
  <c r="U1181" i="1" s="1"/>
  <c r="T1180" i="1"/>
  <c r="Z1180" i="1" s="1"/>
  <c r="Q1180" i="1"/>
  <c r="O1180" i="1"/>
  <c r="M1180" i="1"/>
  <c r="K1180" i="1"/>
  <c r="I1180" i="1"/>
  <c r="G1180" i="1"/>
  <c r="W1179" i="1"/>
  <c r="X1179" i="1" s="1"/>
  <c r="T1179" i="1"/>
  <c r="Z1179" i="1" s="1"/>
  <c r="W1178" i="1"/>
  <c r="AA1178" i="1" s="1"/>
  <c r="T1178" i="1"/>
  <c r="U1178" i="1" s="1"/>
  <c r="W1177" i="1"/>
  <c r="X1177" i="1" s="1"/>
  <c r="T1177" i="1"/>
  <c r="U1177" i="1" s="1"/>
  <c r="W1176" i="1"/>
  <c r="AA1176" i="1" s="1"/>
  <c r="T1176" i="1"/>
  <c r="U1176" i="1" s="1"/>
  <c r="W1175" i="1"/>
  <c r="X1175" i="1" s="1"/>
  <c r="T1175" i="1"/>
  <c r="Z1175" i="1" s="1"/>
  <c r="W1174" i="1"/>
  <c r="AA1174" i="1" s="1"/>
  <c r="T1174" i="1"/>
  <c r="U1174" i="1" s="1"/>
  <c r="T1173" i="1"/>
  <c r="Z1173" i="1" s="1"/>
  <c r="S1173" i="1"/>
  <c r="Q1173" i="1"/>
  <c r="O1173" i="1"/>
  <c r="M1173" i="1"/>
  <c r="K1173" i="1"/>
  <c r="I1173" i="1"/>
  <c r="G1173" i="1"/>
  <c r="E1173" i="1"/>
  <c r="W1172" i="1"/>
  <c r="AA1172" i="1" s="1"/>
  <c r="T1172" i="1"/>
  <c r="U1172" i="1" s="1"/>
  <c r="E1172" i="1"/>
  <c r="W1171" i="1"/>
  <c r="X1171" i="1" s="1"/>
  <c r="T1171" i="1"/>
  <c r="Z1171" i="1" s="1"/>
  <c r="E1171" i="1"/>
  <c r="W1170" i="1"/>
  <c r="X1170" i="1" s="1"/>
  <c r="T1170" i="1"/>
  <c r="U1170" i="1" s="1"/>
  <c r="E1170" i="1"/>
  <c r="W1169" i="1"/>
  <c r="X1169" i="1" s="1"/>
  <c r="L1169" i="1"/>
  <c r="T1169" i="1" s="1"/>
  <c r="U1169" i="1" s="1"/>
  <c r="E1169" i="1"/>
  <c r="S1168" i="1"/>
  <c r="Q1168" i="1"/>
  <c r="P1168" i="1"/>
  <c r="O1168" i="1"/>
  <c r="M1168" i="1"/>
  <c r="L1168" i="1"/>
  <c r="K1168" i="1"/>
  <c r="J1168" i="1"/>
  <c r="I1168" i="1"/>
  <c r="H1168" i="1"/>
  <c r="G1168" i="1"/>
  <c r="W1167" i="1"/>
  <c r="X1167" i="1" s="1"/>
  <c r="T1167" i="1"/>
  <c r="Z1167" i="1" s="1"/>
  <c r="E1167" i="1"/>
  <c r="T1166" i="1"/>
  <c r="U1166" i="1" s="1"/>
  <c r="Q1166" i="1"/>
  <c r="Q1165" i="1" s="1"/>
  <c r="E1166" i="1"/>
  <c r="S1165" i="1"/>
  <c r="P1165" i="1"/>
  <c r="O1165" i="1"/>
  <c r="N1165" i="1"/>
  <c r="M1165" i="1"/>
  <c r="L1165" i="1"/>
  <c r="K1165" i="1"/>
  <c r="J1165" i="1"/>
  <c r="I1165" i="1"/>
  <c r="E1165" i="1"/>
  <c r="T1164" i="1"/>
  <c r="Z1164" i="1" s="1"/>
  <c r="G1164" i="1"/>
  <c r="I1212" i="1" l="1"/>
  <c r="AA1212" i="1" s="1"/>
  <c r="S1195" i="1"/>
  <c r="T1168" i="1"/>
  <c r="Z1168" i="1" s="1"/>
  <c r="U1175" i="1"/>
  <c r="K1195" i="1"/>
  <c r="Z1199" i="1"/>
  <c r="Z1166" i="1"/>
  <c r="AA1183" i="1"/>
  <c r="U1167" i="1"/>
  <c r="U1188" i="1"/>
  <c r="U1196" i="1"/>
  <c r="AA1205" i="1"/>
  <c r="U1217" i="1"/>
  <c r="X1218" i="1"/>
  <c r="W1173" i="1"/>
  <c r="X1173" i="1" s="1"/>
  <c r="U1205" i="1"/>
  <c r="X1211" i="1"/>
  <c r="AA1167" i="1"/>
  <c r="O1164" i="1"/>
  <c r="AA1169" i="1"/>
  <c r="AA1170" i="1"/>
  <c r="Z1178" i="1"/>
  <c r="AA1201" i="1"/>
  <c r="U1184" i="1"/>
  <c r="X1185" i="1"/>
  <c r="AA1188" i="1"/>
  <c r="X1189" i="1"/>
  <c r="Z1195" i="1"/>
  <c r="U1195" i="1" s="1"/>
  <c r="Q1195" i="1"/>
  <c r="AA1194" i="1"/>
  <c r="AA1219" i="1"/>
  <c r="U1164" i="1"/>
  <c r="K1164" i="1"/>
  <c r="W1166" i="1"/>
  <c r="E1168" i="1"/>
  <c r="Z1177" i="1"/>
  <c r="X1178" i="1"/>
  <c r="AA1179" i="1"/>
  <c r="W1180" i="1"/>
  <c r="X1180" i="1" s="1"/>
  <c r="U1180" i="1"/>
  <c r="W1182" i="1"/>
  <c r="X1182" i="1" s="1"/>
  <c r="U1182" i="1"/>
  <c r="Z1183" i="1"/>
  <c r="X1187" i="1"/>
  <c r="U1197" i="1"/>
  <c r="U1210" i="1"/>
  <c r="U1215" i="1"/>
  <c r="U1221" i="1"/>
  <c r="O1195" i="1"/>
  <c r="T1165" i="1"/>
  <c r="U1165" i="1" s="1"/>
  <c r="AA1177" i="1"/>
  <c r="U1219" i="1"/>
  <c r="I1195" i="1"/>
  <c r="W1168" i="1"/>
  <c r="X1168" i="1" s="1"/>
  <c r="S1164" i="1"/>
  <c r="U1171" i="1"/>
  <c r="AA1175" i="1"/>
  <c r="W1186" i="1"/>
  <c r="X1186" i="1" s="1"/>
  <c r="U1200" i="1"/>
  <c r="X1204" i="1"/>
  <c r="W1207" i="1"/>
  <c r="X1207" i="1" s="1"/>
  <c r="X1209" i="1"/>
  <c r="AA1210" i="1"/>
  <c r="X1220" i="1"/>
  <c r="AA1221" i="1"/>
  <c r="I1164" i="1"/>
  <c r="M1164" i="1"/>
  <c r="Z1170" i="1"/>
  <c r="U1173" i="1"/>
  <c r="U1179" i="1"/>
  <c r="X1181" i="1"/>
  <c r="AA1184" i="1"/>
  <c r="Z1185" i="1"/>
  <c r="Z1187" i="1"/>
  <c r="AA1200" i="1"/>
  <c r="X1200" i="1"/>
  <c r="Z1201" i="1"/>
  <c r="M1195" i="1"/>
  <c r="W1203" i="1"/>
  <c r="X1203" i="1" s="1"/>
  <c r="W1216" i="1"/>
  <c r="M1215" i="1"/>
  <c r="W1215" i="1" s="1"/>
  <c r="X1215" i="1" s="1"/>
  <c r="M1190" i="1"/>
  <c r="W1190" i="1" s="1"/>
  <c r="X1190" i="1" s="1"/>
  <c r="W1192" i="1"/>
  <c r="X1174" i="1"/>
  <c r="X1176" i="1"/>
  <c r="Z1194" i="1"/>
  <c r="Z1198" i="1"/>
  <c r="U1198" i="1"/>
  <c r="Z1216" i="1"/>
  <c r="Q1164" i="1"/>
  <c r="U1168" i="1"/>
  <c r="Z1169" i="1"/>
  <c r="AA1171" i="1"/>
  <c r="X1172" i="1"/>
  <c r="AA1193" i="1"/>
  <c r="X1193" i="1"/>
  <c r="W1198" i="1"/>
  <c r="X1198" i="1" s="1"/>
  <c r="Z1181" i="1"/>
  <c r="Z1186" i="1"/>
  <c r="Z1189" i="1"/>
  <c r="Z1193" i="1"/>
  <c r="U1207" i="1"/>
  <c r="U1209" i="1"/>
  <c r="U1211" i="1"/>
  <c r="U1218" i="1"/>
  <c r="U1220" i="1"/>
  <c r="W1165" i="1"/>
  <c r="Z1172" i="1"/>
  <c r="Z1174" i="1"/>
  <c r="Z1176" i="1"/>
  <c r="AA1173" i="1" l="1"/>
  <c r="AA1182" i="1"/>
  <c r="AA1180" i="1"/>
  <c r="AA1186" i="1"/>
  <c r="W1195" i="1"/>
  <c r="AA1168" i="1"/>
  <c r="Z1165" i="1"/>
  <c r="X1166" i="1"/>
  <c r="AA1166" i="1"/>
  <c r="W1164" i="1"/>
  <c r="X1164" i="1" s="1"/>
  <c r="AA1207" i="1"/>
  <c r="X1192" i="1"/>
  <c r="AA1192" i="1"/>
  <c r="X1165" i="1"/>
  <c r="AA1165" i="1"/>
  <c r="AA1190" i="1"/>
  <c r="AA1203" i="1"/>
  <c r="AA1215" i="1"/>
  <c r="AA1198" i="1"/>
  <c r="X1216" i="1"/>
  <c r="AA1216" i="1"/>
  <c r="X1195" i="1" l="1"/>
  <c r="AA1195" i="1"/>
  <c r="AA1164" i="1"/>
  <c r="T1163" i="1"/>
  <c r="U1163" i="1" s="1"/>
  <c r="S1163" i="1"/>
  <c r="W1163" i="1" s="1"/>
  <c r="G1163" i="1"/>
  <c r="T1162" i="1"/>
  <c r="U1162" i="1" s="1"/>
  <c r="S1162" i="1"/>
  <c r="W1162" i="1" s="1"/>
  <c r="AA1162" i="1" s="1"/>
  <c r="T1161" i="1"/>
  <c r="Z1161" i="1" s="1"/>
  <c r="O1161" i="1"/>
  <c r="G1161" i="1"/>
  <c r="T1160" i="1"/>
  <c r="U1160" i="1" s="1"/>
  <c r="Q1160" i="1"/>
  <c r="Q1159" i="1" s="1"/>
  <c r="M1160" i="1"/>
  <c r="K1160" i="1"/>
  <c r="K1159" i="1" s="1"/>
  <c r="I1160" i="1"/>
  <c r="I1159" i="1" s="1"/>
  <c r="N1159" i="1"/>
  <c r="T1159" i="1" s="1"/>
  <c r="M1159" i="1"/>
  <c r="M1158" i="1" s="1"/>
  <c r="M1156" i="1" s="1"/>
  <c r="J1159" i="1"/>
  <c r="T1158" i="1"/>
  <c r="U1158" i="1" s="1"/>
  <c r="T1157" i="1"/>
  <c r="U1157" i="1" s="1"/>
  <c r="S1157" i="1"/>
  <c r="W1157" i="1" s="1"/>
  <c r="AA1157" i="1" s="1"/>
  <c r="G1157" i="1"/>
  <c r="G1156" i="1" s="1"/>
  <c r="T1156" i="1"/>
  <c r="U1156" i="1" s="1"/>
  <c r="Q1156" i="1"/>
  <c r="O1156" i="1"/>
  <c r="K1156" i="1"/>
  <c r="I1156" i="1"/>
  <c r="AA1155" i="1"/>
  <c r="Z1155" i="1"/>
  <c r="T1154" i="1"/>
  <c r="Z1154" i="1" s="1"/>
  <c r="M1154" i="1"/>
  <c r="M1150" i="1" s="1"/>
  <c r="J1154" i="1"/>
  <c r="G1154" i="1"/>
  <c r="T1153" i="1"/>
  <c r="O1153" i="1"/>
  <c r="S1153" i="1" s="1"/>
  <c r="G1153" i="1"/>
  <c r="T1152" i="1"/>
  <c r="Z1152" i="1" s="1"/>
  <c r="O1152" i="1"/>
  <c r="S1152" i="1" s="1"/>
  <c r="G1152" i="1"/>
  <c r="T1151" i="1"/>
  <c r="U1151" i="1" s="1"/>
  <c r="S1151" i="1"/>
  <c r="T1150" i="1"/>
  <c r="Z1150" i="1" s="1"/>
  <c r="Q1150" i="1"/>
  <c r="K1150" i="1"/>
  <c r="I1150" i="1"/>
  <c r="T1149" i="1"/>
  <c r="U1149" i="1" s="1"/>
  <c r="S1149" i="1"/>
  <c r="S1148" i="1" s="1"/>
  <c r="T1148" i="1"/>
  <c r="Z1148" i="1" s="1"/>
  <c r="Q1148" i="1"/>
  <c r="O1148" i="1"/>
  <c r="M1148" i="1"/>
  <c r="K1148" i="1"/>
  <c r="I1148" i="1"/>
  <c r="G1148" i="1"/>
  <c r="AA1147" i="1"/>
  <c r="Z1147" i="1"/>
  <c r="AA1146" i="1"/>
  <c r="Z1146" i="1"/>
  <c r="T1145" i="1"/>
  <c r="U1145" i="1" s="1"/>
  <c r="O1145" i="1"/>
  <c r="T1144" i="1"/>
  <c r="U1144" i="1" s="1"/>
  <c r="O1144" i="1"/>
  <c r="S1144" i="1" s="1"/>
  <c r="G1144" i="1"/>
  <c r="G1143" i="1" s="1"/>
  <c r="T1143" i="1"/>
  <c r="U1143" i="1" s="1"/>
  <c r="Q1143" i="1"/>
  <c r="M1143" i="1"/>
  <c r="K1143" i="1"/>
  <c r="I1143" i="1"/>
  <c r="R1142" i="1"/>
  <c r="P1142" i="1"/>
  <c r="N1142" i="1"/>
  <c r="L1142" i="1"/>
  <c r="T1141" i="1"/>
  <c r="Z1141" i="1" s="1"/>
  <c r="S1141" i="1"/>
  <c r="W1141" i="1" s="1"/>
  <c r="T1140" i="1"/>
  <c r="S1140" i="1"/>
  <c r="W1140" i="1" s="1"/>
  <c r="X1140" i="1" s="1"/>
  <c r="T1139" i="1"/>
  <c r="S1139" i="1"/>
  <c r="W1139" i="1" s="1"/>
  <c r="AA1139" i="1" s="1"/>
  <c r="G1139" i="1"/>
  <c r="G1138" i="1" s="1"/>
  <c r="T1138" i="1"/>
  <c r="Z1138" i="1" s="1"/>
  <c r="U1138" i="1" s="1"/>
  <c r="Q1138" i="1"/>
  <c r="O1138" i="1"/>
  <c r="M1138" i="1"/>
  <c r="K1138" i="1"/>
  <c r="I1138" i="1"/>
  <c r="W1137" i="1"/>
  <c r="X1137" i="1" s="1"/>
  <c r="T1137" i="1"/>
  <c r="U1137" i="1" s="1"/>
  <c r="G1137" i="1"/>
  <c r="T1136" i="1"/>
  <c r="Z1136" i="1" s="1"/>
  <c r="U1136" i="1" s="1"/>
  <c r="S1136" i="1"/>
  <c r="Q1136" i="1"/>
  <c r="O1136" i="1"/>
  <c r="M1136" i="1"/>
  <c r="K1136" i="1"/>
  <c r="I1136" i="1"/>
  <c r="G1136" i="1"/>
  <c r="T1135" i="1"/>
  <c r="Z1135" i="1" s="1"/>
  <c r="U1135" i="1" s="1"/>
  <c r="T1134" i="1"/>
  <c r="Z1134" i="1" s="1"/>
  <c r="S1134" i="1"/>
  <c r="W1134" i="1" s="1"/>
  <c r="X1134" i="1" s="1"/>
  <c r="T1133" i="1"/>
  <c r="U1133" i="1" s="1"/>
  <c r="K1133" i="1"/>
  <c r="I1133" i="1"/>
  <c r="G1133" i="1"/>
  <c r="T1132" i="1"/>
  <c r="Z1132" i="1" s="1"/>
  <c r="S1132" i="1"/>
  <c r="W1132" i="1" s="1"/>
  <c r="X1132" i="1" s="1"/>
  <c r="P1131" i="1"/>
  <c r="T1131" i="1" s="1"/>
  <c r="Z1131" i="1" s="1"/>
  <c r="M1131" i="1"/>
  <c r="G1131" i="1"/>
  <c r="G1130" i="1" s="1"/>
  <c r="T1130" i="1"/>
  <c r="Q1130" i="1"/>
  <c r="K1130" i="1"/>
  <c r="I1130" i="1"/>
  <c r="T1129" i="1"/>
  <c r="Z1129" i="1" s="1"/>
  <c r="S1129" i="1"/>
  <c r="W1129" i="1" s="1"/>
  <c r="T1128" i="1"/>
  <c r="U1128" i="1" s="1"/>
  <c r="Q1128" i="1"/>
  <c r="O1128" i="1"/>
  <c r="M1128" i="1"/>
  <c r="K1128" i="1"/>
  <c r="I1128" i="1"/>
  <c r="G1128" i="1"/>
  <c r="R1127" i="1"/>
  <c r="P1127" i="1"/>
  <c r="N1127" i="1"/>
  <c r="T1127" i="1" s="1"/>
  <c r="L1127" i="1"/>
  <c r="AA1126" i="1"/>
  <c r="Z1126" i="1"/>
  <c r="AA1125" i="1"/>
  <c r="Z1125" i="1"/>
  <c r="T1124" i="1"/>
  <c r="Z1124" i="1" s="1"/>
  <c r="O1124" i="1"/>
  <c r="G1124" i="1"/>
  <c r="G1123" i="1" s="1"/>
  <c r="T1123" i="1"/>
  <c r="U1123" i="1" s="1"/>
  <c r="Q1123" i="1"/>
  <c r="M1123" i="1"/>
  <c r="K1123" i="1"/>
  <c r="I1123" i="1"/>
  <c r="T1122" i="1"/>
  <c r="Z1122" i="1" s="1"/>
  <c r="U1122" i="1" s="1"/>
  <c r="M1122" i="1"/>
  <c r="M1121" i="1" s="1"/>
  <c r="G1122" i="1"/>
  <c r="G1121" i="1" s="1"/>
  <c r="R1121" i="1"/>
  <c r="Q1121" i="1"/>
  <c r="P1121" i="1"/>
  <c r="K1121" i="1"/>
  <c r="K1120" i="1" s="1"/>
  <c r="I1121" i="1"/>
  <c r="I1120" i="1" s="1"/>
  <c r="Z1120" i="1"/>
  <c r="U1120" i="1"/>
  <c r="L1120" i="1"/>
  <c r="T1119" i="1"/>
  <c r="Z1119" i="1" s="1"/>
  <c r="O1119" i="1"/>
  <c r="G1119" i="1"/>
  <c r="G1118" i="1" s="1"/>
  <c r="T1118" i="1"/>
  <c r="U1118" i="1" s="1"/>
  <c r="Q1118" i="1"/>
  <c r="M1118" i="1"/>
  <c r="K1118" i="1"/>
  <c r="I1118" i="1"/>
  <c r="T1117" i="1"/>
  <c r="U1117" i="1" s="1"/>
  <c r="O1117" i="1"/>
  <c r="O1116" i="1" s="1"/>
  <c r="G1117" i="1"/>
  <c r="G1116" i="1" s="1"/>
  <c r="T1116" i="1"/>
  <c r="Z1116" i="1" s="1"/>
  <c r="Q1116" i="1"/>
  <c r="M1116" i="1"/>
  <c r="K1116" i="1"/>
  <c r="I1116" i="1"/>
  <c r="L1115" i="1"/>
  <c r="T1115" i="1" s="1"/>
  <c r="Z1115" i="1" s="1"/>
  <c r="AA1114" i="1"/>
  <c r="Z1114" i="1"/>
  <c r="Z1113" i="1"/>
  <c r="I1113" i="1"/>
  <c r="AA1113" i="1" s="1"/>
  <c r="G1113" i="1"/>
  <c r="T1112" i="1"/>
  <c r="Z1112" i="1" s="1"/>
  <c r="S1112" i="1"/>
  <c r="S1111" i="1"/>
  <c r="W1111" i="1" s="1"/>
  <c r="P1111" i="1"/>
  <c r="T1111" i="1" s="1"/>
  <c r="T1110" i="1"/>
  <c r="U1110" i="1" s="1"/>
  <c r="Q1110" i="1"/>
  <c r="Q1109" i="1" s="1"/>
  <c r="O1110" i="1"/>
  <c r="O1109" i="1" s="1"/>
  <c r="M1110" i="1"/>
  <c r="M1109" i="1" s="1"/>
  <c r="K1110" i="1"/>
  <c r="K1109" i="1" s="1"/>
  <c r="I1110" i="1"/>
  <c r="G1110" i="1"/>
  <c r="L1109" i="1"/>
  <c r="T1109" i="1" s="1"/>
  <c r="T1108" i="1"/>
  <c r="Z1108" i="1" s="1"/>
  <c r="S1108" i="1"/>
  <c r="W1108" i="1" s="1"/>
  <c r="X1108" i="1" s="1"/>
  <c r="G1108" i="1"/>
  <c r="G1107" i="1" s="1"/>
  <c r="G1106" i="1" s="1"/>
  <c r="T1107" i="1"/>
  <c r="Z1107" i="1" s="1"/>
  <c r="Q1107" i="1"/>
  <c r="Q1106" i="1" s="1"/>
  <c r="O1107" i="1"/>
  <c r="O1106" i="1" s="1"/>
  <c r="M1107" i="1"/>
  <c r="K1107" i="1"/>
  <c r="K1106" i="1" s="1"/>
  <c r="I1107" i="1"/>
  <c r="I1106" i="1" s="1"/>
  <c r="B1107" i="1"/>
  <c r="T1106" i="1"/>
  <c r="J1106" i="1"/>
  <c r="H1106" i="1"/>
  <c r="T1105" i="1"/>
  <c r="U1105" i="1" s="1"/>
  <c r="O1105" i="1"/>
  <c r="G1105" i="1"/>
  <c r="P1104" i="1"/>
  <c r="O1104" i="1"/>
  <c r="S1104" i="1" s="1"/>
  <c r="N1104" i="1"/>
  <c r="J1104" i="1"/>
  <c r="G1104" i="1"/>
  <c r="T1103" i="1"/>
  <c r="Z1103" i="1" s="1"/>
  <c r="Q1103" i="1"/>
  <c r="M1103" i="1"/>
  <c r="K1103" i="1"/>
  <c r="I1103" i="1"/>
  <c r="E1103" i="1"/>
  <c r="T1102" i="1"/>
  <c r="Z1102" i="1" s="1"/>
  <c r="M1102" i="1"/>
  <c r="G1102" i="1"/>
  <c r="T1101" i="1"/>
  <c r="Z1101" i="1" s="1"/>
  <c r="O1101" i="1"/>
  <c r="S1101" i="1" s="1"/>
  <c r="G1101" i="1"/>
  <c r="W1100" i="1"/>
  <c r="X1100" i="1" s="1"/>
  <c r="T1100" i="1"/>
  <c r="U1100" i="1" s="1"/>
  <c r="G1100" i="1"/>
  <c r="T1099" i="1"/>
  <c r="Z1099" i="1" s="1"/>
  <c r="Q1099" i="1"/>
  <c r="K1099" i="1"/>
  <c r="I1099" i="1"/>
  <c r="E1099" i="1"/>
  <c r="W1098" i="1"/>
  <c r="X1098" i="1" s="1"/>
  <c r="T1098" i="1"/>
  <c r="Z1098" i="1" s="1"/>
  <c r="G1098" i="1"/>
  <c r="G1097" i="1" s="1"/>
  <c r="T1097" i="1"/>
  <c r="U1097" i="1" s="1"/>
  <c r="S1097" i="1"/>
  <c r="Q1097" i="1"/>
  <c r="O1097" i="1"/>
  <c r="M1097" i="1"/>
  <c r="K1097" i="1"/>
  <c r="I1097" i="1"/>
  <c r="E1097" i="1"/>
  <c r="T1096" i="1"/>
  <c r="U1096" i="1" s="1"/>
  <c r="O1096" i="1"/>
  <c r="S1096" i="1" s="1"/>
  <c r="G1096" i="1"/>
  <c r="T1095" i="1"/>
  <c r="Z1095" i="1" s="1"/>
  <c r="O1095" i="1"/>
  <c r="S1095" i="1" s="1"/>
  <c r="G1095" i="1"/>
  <c r="T1094" i="1"/>
  <c r="U1094" i="1" s="1"/>
  <c r="O1094" i="1"/>
  <c r="S1094" i="1" s="1"/>
  <c r="G1094" i="1"/>
  <c r="T1093" i="1"/>
  <c r="Z1093" i="1" s="1"/>
  <c r="O1093" i="1"/>
  <c r="S1093" i="1" s="1"/>
  <c r="G1093" i="1"/>
  <c r="T1092" i="1"/>
  <c r="U1092" i="1" s="1"/>
  <c r="O1092" i="1"/>
  <c r="G1092" i="1"/>
  <c r="W1091" i="1"/>
  <c r="AA1091" i="1" s="1"/>
  <c r="T1091" i="1"/>
  <c r="Z1091" i="1" s="1"/>
  <c r="G1091" i="1"/>
  <c r="T1090" i="1"/>
  <c r="U1090" i="1" s="1"/>
  <c r="Q1090" i="1"/>
  <c r="M1090" i="1"/>
  <c r="K1090" i="1"/>
  <c r="I1090" i="1"/>
  <c r="H1090" i="1"/>
  <c r="E1090" i="1"/>
  <c r="AH1089" i="1"/>
  <c r="W1089" i="1"/>
  <c r="T1089" i="1"/>
  <c r="U1089" i="1" s="1"/>
  <c r="G1089" i="1"/>
  <c r="T1088" i="1"/>
  <c r="U1088" i="1" s="1"/>
  <c r="S1088" i="1"/>
  <c r="AH1088" i="1" s="1"/>
  <c r="G1088" i="1"/>
  <c r="T1087" i="1"/>
  <c r="Z1087" i="1" s="1"/>
  <c r="O1087" i="1"/>
  <c r="G1087" i="1"/>
  <c r="Z1086" i="1"/>
  <c r="U1086" i="1"/>
  <c r="O1086" i="1"/>
  <c r="G1086" i="1"/>
  <c r="T1085" i="1"/>
  <c r="Q1085" i="1"/>
  <c r="M1085" i="1"/>
  <c r="K1085" i="1"/>
  <c r="I1085" i="1"/>
  <c r="H1085" i="1"/>
  <c r="E1085" i="1"/>
  <c r="W1084" i="1"/>
  <c r="AA1084" i="1" s="1"/>
  <c r="T1084" i="1"/>
  <c r="U1084" i="1" s="1"/>
  <c r="G1084" i="1"/>
  <c r="E1084" i="1"/>
  <c r="W1083" i="1"/>
  <c r="AA1083" i="1" s="1"/>
  <c r="T1083" i="1"/>
  <c r="U1083" i="1" s="1"/>
  <c r="G1083" i="1"/>
  <c r="G1082" i="1" s="1"/>
  <c r="E1083" i="1"/>
  <c r="T1082" i="1"/>
  <c r="U1082" i="1" s="1"/>
  <c r="S1082" i="1"/>
  <c r="Q1082" i="1"/>
  <c r="O1082" i="1"/>
  <c r="M1082" i="1"/>
  <c r="K1082" i="1"/>
  <c r="I1082" i="1"/>
  <c r="T1081" i="1"/>
  <c r="U1081" i="1" s="1"/>
  <c r="T1080" i="1"/>
  <c r="U1080" i="1" s="1"/>
  <c r="T1079" i="1"/>
  <c r="U1079" i="1" s="1"/>
  <c r="T1078" i="1"/>
  <c r="U1078" i="1" s="1"/>
  <c r="T1077" i="1"/>
  <c r="Z1077" i="1" s="1"/>
  <c r="G1103" i="1" l="1"/>
  <c r="O1135" i="1"/>
  <c r="O1133" i="1" s="1"/>
  <c r="K1135" i="1"/>
  <c r="U1101" i="1"/>
  <c r="U1102" i="1"/>
  <c r="U1103" i="1"/>
  <c r="U1108" i="1"/>
  <c r="Z1117" i="1"/>
  <c r="Z1118" i="1"/>
  <c r="U1119" i="1"/>
  <c r="W1096" i="1"/>
  <c r="AA1096" i="1" s="1"/>
  <c r="Q1142" i="1"/>
  <c r="G1085" i="1"/>
  <c r="W1152" i="1"/>
  <c r="X1152" i="1" s="1"/>
  <c r="U1148" i="1"/>
  <c r="U1154" i="1"/>
  <c r="W1088" i="1"/>
  <c r="AA1088" i="1" s="1"/>
  <c r="U1107" i="1"/>
  <c r="U1141" i="1"/>
  <c r="G1135" i="1"/>
  <c r="X1084" i="1"/>
  <c r="Z1085" i="1"/>
  <c r="U1087" i="1"/>
  <c r="AA1098" i="1"/>
  <c r="I1127" i="1"/>
  <c r="U1129" i="1"/>
  <c r="M1135" i="1"/>
  <c r="M1133" i="1" s="1"/>
  <c r="G1150" i="1"/>
  <c r="G1142" i="1" s="1"/>
  <c r="U1161" i="1"/>
  <c r="I1077" i="1"/>
  <c r="Z1094" i="1"/>
  <c r="G1120" i="1"/>
  <c r="U1132" i="1"/>
  <c r="Q1077" i="1"/>
  <c r="Z1092" i="1"/>
  <c r="G1099" i="1"/>
  <c r="K1115" i="1"/>
  <c r="G1115" i="1"/>
  <c r="Z1123" i="1"/>
  <c r="U1124" i="1"/>
  <c r="G1127" i="1"/>
  <c r="Z1133" i="1"/>
  <c r="I1135" i="1"/>
  <c r="Q1135" i="1"/>
  <c r="Q1133" i="1" s="1"/>
  <c r="Q1127" i="1" s="1"/>
  <c r="Z1143" i="1"/>
  <c r="M1142" i="1"/>
  <c r="U1127" i="1"/>
  <c r="Z1127" i="1"/>
  <c r="X1129" i="1"/>
  <c r="AA1129" i="1"/>
  <c r="U1077" i="1"/>
  <c r="K1077" i="1"/>
  <c r="S1086" i="1"/>
  <c r="W1086" i="1" s="1"/>
  <c r="G1090" i="1"/>
  <c r="X1091" i="1"/>
  <c r="U1095" i="1"/>
  <c r="U1098" i="1"/>
  <c r="U1116" i="1"/>
  <c r="S1117" i="1"/>
  <c r="S1116" i="1" s="1"/>
  <c r="W1116" i="1" s="1"/>
  <c r="X1116" i="1" s="1"/>
  <c r="S1128" i="1"/>
  <c r="W1128" i="1" s="1"/>
  <c r="U1134" i="1"/>
  <c r="Z1137" i="1"/>
  <c r="S1138" i="1"/>
  <c r="W1138" i="1" s="1"/>
  <c r="AA1140" i="1"/>
  <c r="W1148" i="1"/>
  <c r="X1148" i="1" s="1"/>
  <c r="U1150" i="1"/>
  <c r="S1158" i="1"/>
  <c r="W1158" i="1" s="1"/>
  <c r="G1160" i="1"/>
  <c r="G1159" i="1" s="1"/>
  <c r="S1107" i="1"/>
  <c r="S1106" i="1" s="1"/>
  <c r="Z1096" i="1"/>
  <c r="W1097" i="1"/>
  <c r="X1097" i="1" s="1"/>
  <c r="Z1106" i="1"/>
  <c r="U1106" i="1" s="1"/>
  <c r="AA1137" i="1"/>
  <c r="T1142" i="1"/>
  <c r="U1142" i="1" s="1"/>
  <c r="K1142" i="1"/>
  <c r="W1082" i="1"/>
  <c r="X1082" i="1" s="1"/>
  <c r="Z1078" i="1"/>
  <c r="X1083" i="1"/>
  <c r="O1085" i="1"/>
  <c r="U1091" i="1"/>
  <c r="U1093" i="1"/>
  <c r="W1094" i="1"/>
  <c r="AA1094" i="1" s="1"/>
  <c r="U1099" i="1"/>
  <c r="Z1100" i="1"/>
  <c r="T1104" i="1"/>
  <c r="U1104" i="1" s="1"/>
  <c r="AA1108" i="1"/>
  <c r="G1109" i="1"/>
  <c r="U1112" i="1"/>
  <c r="Q1115" i="1"/>
  <c r="Q1120" i="1"/>
  <c r="Z1128" i="1"/>
  <c r="U1131" i="1"/>
  <c r="AA1134" i="1"/>
  <c r="W1149" i="1"/>
  <c r="U1152" i="1"/>
  <c r="U1159" i="1"/>
  <c r="O1102" i="1"/>
  <c r="M1099" i="1"/>
  <c r="M1077" i="1" s="1"/>
  <c r="I1109" i="1"/>
  <c r="O1131" i="1"/>
  <c r="M1130" i="1"/>
  <c r="Z1153" i="1"/>
  <c r="U1153" i="1"/>
  <c r="U1109" i="1"/>
  <c r="Z1109" i="1"/>
  <c r="O1123" i="1"/>
  <c r="S1124" i="1"/>
  <c r="S1123" i="1" s="1"/>
  <c r="X1141" i="1"/>
  <c r="AA1141" i="1"/>
  <c r="S1145" i="1"/>
  <c r="S1143" i="1" s="1"/>
  <c r="W1151" i="1"/>
  <c r="Z1082" i="1"/>
  <c r="Z1083" i="1"/>
  <c r="Z1084" i="1"/>
  <c r="U1085" i="1"/>
  <c r="Z1088" i="1"/>
  <c r="AA1089" i="1"/>
  <c r="X1089" i="1"/>
  <c r="Z1090" i="1"/>
  <c r="O1090" i="1"/>
  <c r="S1092" i="1"/>
  <c r="Z1097" i="1"/>
  <c r="W1104" i="1"/>
  <c r="AA1111" i="1"/>
  <c r="X1111" i="1"/>
  <c r="O1118" i="1"/>
  <c r="O1115" i="1" s="1"/>
  <c r="S1119" i="1"/>
  <c r="M1120" i="1"/>
  <c r="K1127" i="1"/>
  <c r="Z1140" i="1"/>
  <c r="U1140" i="1"/>
  <c r="W1144" i="1"/>
  <c r="AA1163" i="1"/>
  <c r="X1163" i="1"/>
  <c r="U1111" i="1"/>
  <c r="Z1111" i="1"/>
  <c r="I1115" i="1"/>
  <c r="U1139" i="1"/>
  <c r="Z1139" i="1"/>
  <c r="AH1087" i="1"/>
  <c r="W1087" i="1"/>
  <c r="Z1089" i="1"/>
  <c r="W1093" i="1"/>
  <c r="W1095" i="1"/>
  <c r="W1101" i="1"/>
  <c r="O1103" i="1"/>
  <c r="S1105" i="1"/>
  <c r="W1105" i="1" s="1"/>
  <c r="W1112" i="1"/>
  <c r="S1110" i="1"/>
  <c r="S1109" i="1" s="1"/>
  <c r="W1109" i="1" s="1"/>
  <c r="X1109" i="1" s="1"/>
  <c r="U1130" i="1"/>
  <c r="Z1130" i="1"/>
  <c r="Z1159" i="1"/>
  <c r="AA1100" i="1"/>
  <c r="M1106" i="1"/>
  <c r="X1139" i="1"/>
  <c r="Z1105" i="1"/>
  <c r="Z1110" i="1"/>
  <c r="M1115" i="1"/>
  <c r="T1121" i="1"/>
  <c r="I1142" i="1"/>
  <c r="X1157" i="1"/>
  <c r="O1160" i="1"/>
  <c r="S1161" i="1"/>
  <c r="X1162" i="1"/>
  <c r="U1115" i="1"/>
  <c r="O1122" i="1"/>
  <c r="AA1132" i="1"/>
  <c r="W1136" i="1"/>
  <c r="O1143" i="1"/>
  <c r="O1154" i="1"/>
  <c r="Z1144" i="1"/>
  <c r="Z1145" i="1"/>
  <c r="Z1149" i="1"/>
  <c r="Z1151" i="1"/>
  <c r="W1153" i="1"/>
  <c r="Z1156" i="1"/>
  <c r="Z1157" i="1"/>
  <c r="Z1158" i="1"/>
  <c r="Z1160" i="1"/>
  <c r="Z1162" i="1"/>
  <c r="Z1163" i="1"/>
  <c r="W1106" i="1" l="1"/>
  <c r="X1106" i="1" s="1"/>
  <c r="S1156" i="1"/>
  <c r="W1156" i="1" s="1"/>
  <c r="X1156" i="1" s="1"/>
  <c r="AA1097" i="1"/>
  <c r="S1135" i="1"/>
  <c r="S1133" i="1" s="1"/>
  <c r="W1133" i="1" s="1"/>
  <c r="X1133" i="1" s="1"/>
  <c r="W1117" i="1"/>
  <c r="X1117" i="1" s="1"/>
  <c r="X1088" i="1"/>
  <c r="G1077" i="1"/>
  <c r="X1096" i="1"/>
  <c r="Z1142" i="1"/>
  <c r="AA1086" i="1"/>
  <c r="X1086" i="1"/>
  <c r="AA1148" i="1"/>
  <c r="Z1104" i="1"/>
  <c r="W1107" i="1"/>
  <c r="X1107" i="1" s="1"/>
  <c r="AA1152" i="1"/>
  <c r="AA1082" i="1"/>
  <c r="X1094" i="1"/>
  <c r="AA1106" i="1"/>
  <c r="S1103" i="1"/>
  <c r="W1103" i="1" s="1"/>
  <c r="AA1149" i="1"/>
  <c r="X1149" i="1"/>
  <c r="W1110" i="1"/>
  <c r="X1110" i="1" s="1"/>
  <c r="AH1086" i="1"/>
  <c r="S1085" i="1"/>
  <c r="W1085" i="1" s="1"/>
  <c r="O1159" i="1"/>
  <c r="W1124" i="1"/>
  <c r="AA1116" i="1"/>
  <c r="W1145" i="1"/>
  <c r="W1123" i="1"/>
  <c r="AA1109" i="1"/>
  <c r="AA1136" i="1"/>
  <c r="X1136" i="1"/>
  <c r="W1161" i="1"/>
  <c r="S1160" i="1"/>
  <c r="S1159" i="1" s="1"/>
  <c r="S1154" i="1"/>
  <c r="O1150" i="1"/>
  <c r="AA1128" i="1"/>
  <c r="X1128" i="1"/>
  <c r="O1121" i="1"/>
  <c r="S1122" i="1"/>
  <c r="S1121" i="1" s="1"/>
  <c r="S1120" i="1" s="1"/>
  <c r="W1143" i="1"/>
  <c r="S1090" i="1"/>
  <c r="W1090" i="1" s="1"/>
  <c r="W1092" i="1"/>
  <c r="AA1151" i="1"/>
  <c r="X1151" i="1"/>
  <c r="M1127" i="1"/>
  <c r="S1102" i="1"/>
  <c r="O1099" i="1"/>
  <c r="O1077" i="1" s="1"/>
  <c r="S1077" i="1" s="1"/>
  <c r="X1093" i="1"/>
  <c r="AA1093" i="1"/>
  <c r="X1087" i="1"/>
  <c r="AA1087" i="1"/>
  <c r="AA1104" i="1"/>
  <c r="X1104" i="1"/>
  <c r="Z1121" i="1"/>
  <c r="U1121" i="1"/>
  <c r="AA1101" i="1"/>
  <c r="X1101" i="1"/>
  <c r="AA1158" i="1"/>
  <c r="X1158" i="1"/>
  <c r="X1153" i="1"/>
  <c r="AA1153" i="1"/>
  <c r="AA1138" i="1"/>
  <c r="X1138" i="1"/>
  <c r="AA1112" i="1"/>
  <c r="X1112" i="1"/>
  <c r="AA1105" i="1"/>
  <c r="X1105" i="1"/>
  <c r="X1095" i="1"/>
  <c r="AA1095" i="1"/>
  <c r="AA1144" i="1"/>
  <c r="X1144" i="1"/>
  <c r="S1118" i="1"/>
  <c r="S1115" i="1" s="1"/>
  <c r="W1115" i="1" s="1"/>
  <c r="X1115" i="1" s="1"/>
  <c r="W1119" i="1"/>
  <c r="S1131" i="1"/>
  <c r="O1130" i="1"/>
  <c r="O1127" i="1" s="1"/>
  <c r="W1135" i="1" l="1"/>
  <c r="X1135" i="1" s="1"/>
  <c r="AA1117" i="1"/>
  <c r="W1118" i="1"/>
  <c r="X1118" i="1" s="1"/>
  <c r="AA1156" i="1"/>
  <c r="AA1107" i="1"/>
  <c r="AA1133" i="1"/>
  <c r="AA1110" i="1"/>
  <c r="W1077" i="1"/>
  <c r="X1080" i="1" s="1"/>
  <c r="AA1103" i="1"/>
  <c r="X1103" i="1"/>
  <c r="X1085" i="1"/>
  <c r="AA1085" i="1"/>
  <c r="W1122" i="1"/>
  <c r="AA1122" i="1" s="1"/>
  <c r="X1090" i="1"/>
  <c r="AA1090" i="1"/>
  <c r="O1120" i="1"/>
  <c r="W1120" i="1" s="1"/>
  <c r="W1121" i="1"/>
  <c r="X1124" i="1"/>
  <c r="AA1124" i="1"/>
  <c r="AA1092" i="1"/>
  <c r="X1092" i="1"/>
  <c r="AA1143" i="1"/>
  <c r="X1143" i="1"/>
  <c r="O1142" i="1"/>
  <c r="S1150" i="1"/>
  <c r="S1142" i="1" s="1"/>
  <c r="W1154" i="1"/>
  <c r="AH1077" i="1"/>
  <c r="W1160" i="1"/>
  <c r="AA1119" i="1"/>
  <c r="X1119" i="1"/>
  <c r="X1123" i="1"/>
  <c r="AA1123" i="1"/>
  <c r="W1159" i="1"/>
  <c r="S1130" i="1"/>
  <c r="W1131" i="1"/>
  <c r="AA1077" i="1"/>
  <c r="AA1115" i="1"/>
  <c r="W1102" i="1"/>
  <c r="S1099" i="1"/>
  <c r="W1099" i="1" s="1"/>
  <c r="X1161" i="1"/>
  <c r="AA1161" i="1"/>
  <c r="AA1145" i="1"/>
  <c r="X1145" i="1"/>
  <c r="AA1135" i="1" l="1"/>
  <c r="AA1118" i="1"/>
  <c r="X1122" i="1"/>
  <c r="X1078" i="1"/>
  <c r="X1077" i="1"/>
  <c r="X1079" i="1"/>
  <c r="X1081" i="1"/>
  <c r="W1150" i="1"/>
  <c r="X1150" i="1" s="1"/>
  <c r="W1142" i="1"/>
  <c r="X1142" i="1" s="1"/>
  <c r="S1127" i="1"/>
  <c r="W1127" i="1" s="1"/>
  <c r="W1130" i="1"/>
  <c r="AA1099" i="1"/>
  <c r="X1099" i="1"/>
  <c r="AA1121" i="1"/>
  <c r="X1121" i="1"/>
  <c r="X1159" i="1"/>
  <c r="AA1159" i="1"/>
  <c r="X1154" i="1"/>
  <c r="AA1154" i="1"/>
  <c r="X1120" i="1"/>
  <c r="AA1120" i="1"/>
  <c r="X1102" i="1"/>
  <c r="AA1102" i="1"/>
  <c r="X1131" i="1"/>
  <c r="AA1131" i="1"/>
  <c r="X1160" i="1"/>
  <c r="AA1160" i="1"/>
  <c r="AA1142" i="1" l="1"/>
  <c r="AA1150" i="1"/>
  <c r="AA1130" i="1"/>
  <c r="X1130" i="1"/>
  <c r="X1127" i="1"/>
  <c r="AA1127" i="1"/>
  <c r="AA1023" i="1" l="1"/>
  <c r="Z1023" i="1"/>
  <c r="W1022" i="1"/>
  <c r="X1022" i="1" s="1"/>
  <c r="T1022" i="1"/>
  <c r="U1022" i="1" s="1"/>
  <c r="S1021" i="1"/>
  <c r="S1020" i="1" s="1"/>
  <c r="Q1021" i="1"/>
  <c r="Q1020" i="1" s="1"/>
  <c r="O1021" i="1"/>
  <c r="O1020" i="1" s="1"/>
  <c r="M1021" i="1"/>
  <c r="M1020" i="1" s="1"/>
  <c r="L1021" i="1"/>
  <c r="T1021" i="1" s="1"/>
  <c r="K1021" i="1"/>
  <c r="J1021" i="1"/>
  <c r="I1021" i="1"/>
  <c r="I1020" i="1" s="1"/>
  <c r="H1021" i="1"/>
  <c r="G1021" i="1"/>
  <c r="G1020" i="1" s="1"/>
  <c r="E1021" i="1"/>
  <c r="P1020" i="1"/>
  <c r="N1020" i="1"/>
  <c r="K1020" i="1"/>
  <c r="AA1019" i="1"/>
  <c r="Z1019" i="1"/>
  <c r="W1018" i="1"/>
  <c r="X1018" i="1" s="1"/>
  <c r="T1018" i="1"/>
  <c r="Z1018" i="1" s="1"/>
  <c r="E1018" i="1"/>
  <c r="T1017" i="1"/>
  <c r="U1017" i="1" s="1"/>
  <c r="S1017" i="1"/>
  <c r="Q1017" i="1"/>
  <c r="O1017" i="1"/>
  <c r="M1017" i="1"/>
  <c r="K1017" i="1"/>
  <c r="I1017" i="1"/>
  <c r="G1017" i="1"/>
  <c r="W1016" i="1"/>
  <c r="AA1016" i="1" s="1"/>
  <c r="T1016" i="1"/>
  <c r="Z1016" i="1" s="1"/>
  <c r="W1015" i="1"/>
  <c r="X1015" i="1" s="1"/>
  <c r="T1015" i="1"/>
  <c r="Z1015" i="1" s="1"/>
  <c r="T1014" i="1"/>
  <c r="Z1014" i="1" s="1"/>
  <c r="S1014" i="1"/>
  <c r="S1012" i="1" s="1"/>
  <c r="Q1014" i="1"/>
  <c r="Q1012" i="1" s="1"/>
  <c r="O1014" i="1"/>
  <c r="M1014" i="1"/>
  <c r="K1014" i="1"/>
  <c r="K1012" i="1" s="1"/>
  <c r="I1014" i="1"/>
  <c r="I1012" i="1" s="1"/>
  <c r="G1014" i="1"/>
  <c r="R1013" i="1"/>
  <c r="P1013" i="1"/>
  <c r="N1013" i="1"/>
  <c r="R1012" i="1"/>
  <c r="P1012" i="1"/>
  <c r="N1012" i="1"/>
  <c r="W1011" i="1"/>
  <c r="X1011" i="1" s="1"/>
  <c r="R1011" i="1"/>
  <c r="T1011" i="1" s="1"/>
  <c r="U1011" i="1" s="1"/>
  <c r="T1010" i="1"/>
  <c r="U1010" i="1" s="1"/>
  <c r="M1010" i="1"/>
  <c r="H1010" i="1"/>
  <c r="E1010" i="1"/>
  <c r="E1009" i="1" s="1"/>
  <c r="S1009" i="1"/>
  <c r="W1009" i="1" s="1"/>
  <c r="X1009" i="1" s="1"/>
  <c r="P1009" i="1"/>
  <c r="N1009" i="1"/>
  <c r="L1009" i="1"/>
  <c r="J1009" i="1"/>
  <c r="W1008" i="1"/>
  <c r="T1008" i="1"/>
  <c r="U1008" i="1" s="1"/>
  <c r="N1007" i="1"/>
  <c r="L1007" i="1"/>
  <c r="J1007" i="1"/>
  <c r="H1007" i="1"/>
  <c r="E1007" i="1"/>
  <c r="T1006" i="1"/>
  <c r="Z1006" i="1" s="1"/>
  <c r="T1005" i="1"/>
  <c r="T1004" i="1"/>
  <c r="U1004" i="1" s="1"/>
  <c r="Q1004" i="1"/>
  <c r="Q998" i="1" s="1"/>
  <c r="O1004" i="1"/>
  <c r="O998" i="1" s="1"/>
  <c r="K1004" i="1"/>
  <c r="K998" i="1" s="1"/>
  <c r="I1004" i="1"/>
  <c r="G1004" i="1"/>
  <c r="AA1003" i="1"/>
  <c r="Z1003" i="1"/>
  <c r="AA1002" i="1"/>
  <c r="Z1002" i="1"/>
  <c r="AA1001" i="1"/>
  <c r="Z1001" i="1"/>
  <c r="I1000" i="1"/>
  <c r="AA1000" i="1" s="1"/>
  <c r="H1000" i="1"/>
  <c r="Z1000" i="1" s="1"/>
  <c r="G1000" i="1"/>
  <c r="E1000" i="1"/>
  <c r="L999" i="1"/>
  <c r="L1013" i="1" s="1"/>
  <c r="J999" i="1"/>
  <c r="J1013" i="1" s="1"/>
  <c r="H999" i="1"/>
  <c r="H1013" i="1" s="1"/>
  <c r="E999" i="1"/>
  <c r="E1013" i="1" s="1"/>
  <c r="L998" i="1"/>
  <c r="L1012" i="1" s="1"/>
  <c r="J998" i="1"/>
  <c r="J1012" i="1" s="1"/>
  <c r="H998" i="1"/>
  <c r="H1012" i="1" s="1"/>
  <c r="E998" i="1"/>
  <c r="E1012" i="1" s="1"/>
  <c r="AA997" i="1"/>
  <c r="Z997" i="1"/>
  <c r="AA996" i="1"/>
  <c r="Z996" i="1"/>
  <c r="W995" i="1"/>
  <c r="X995" i="1" s="1"/>
  <c r="T995" i="1"/>
  <c r="Z995" i="1" s="1"/>
  <c r="W994" i="1"/>
  <c r="AA994" i="1" s="1"/>
  <c r="R994" i="1"/>
  <c r="T994" i="1" s="1"/>
  <c r="Z994" i="1" s="1"/>
  <c r="E994" i="1"/>
  <c r="W993" i="1"/>
  <c r="AA993" i="1" s="1"/>
  <c r="R993" i="1"/>
  <c r="N993" i="1"/>
  <c r="N992" i="1" s="1"/>
  <c r="E993" i="1"/>
  <c r="S992" i="1"/>
  <c r="Q992" i="1"/>
  <c r="P992" i="1"/>
  <c r="O992" i="1"/>
  <c r="M992" i="1"/>
  <c r="L992" i="1"/>
  <c r="K992" i="1"/>
  <c r="J992" i="1"/>
  <c r="I992" i="1"/>
  <c r="H992" i="1"/>
  <c r="G992" i="1"/>
  <c r="E992" i="1"/>
  <c r="W991" i="1"/>
  <c r="T991" i="1"/>
  <c r="G991" i="1"/>
  <c r="E991" i="1"/>
  <c r="W990" i="1"/>
  <c r="T990" i="1"/>
  <c r="U990" i="1" s="1"/>
  <c r="E990" i="1"/>
  <c r="W989" i="1"/>
  <c r="AA989" i="1" s="1"/>
  <c r="T989" i="1"/>
  <c r="Z989" i="1" s="1"/>
  <c r="W988" i="1"/>
  <c r="AA988" i="1" s="1"/>
  <c r="T988" i="1"/>
  <c r="Z988" i="1" s="1"/>
  <c r="G988" i="1"/>
  <c r="E988" i="1"/>
  <c r="W987" i="1"/>
  <c r="AA987" i="1" s="1"/>
  <c r="T987" i="1"/>
  <c r="Z987" i="1" s="1"/>
  <c r="G987" i="1"/>
  <c r="E987" i="1"/>
  <c r="W986" i="1"/>
  <c r="AA986" i="1" s="1"/>
  <c r="T986" i="1"/>
  <c r="Z986" i="1" s="1"/>
  <c r="E986" i="1"/>
  <c r="S985" i="1"/>
  <c r="R985" i="1"/>
  <c r="Q985" i="1"/>
  <c r="O985" i="1"/>
  <c r="N985" i="1"/>
  <c r="M985" i="1"/>
  <c r="L985" i="1"/>
  <c r="K985" i="1"/>
  <c r="J985" i="1"/>
  <c r="I985" i="1"/>
  <c r="H985" i="1"/>
  <c r="E985" i="1"/>
  <c r="L984" i="1"/>
  <c r="T984" i="1" s="1"/>
  <c r="J984" i="1"/>
  <c r="H984" i="1"/>
  <c r="E984" i="1"/>
  <c r="L983" i="1"/>
  <c r="T983" i="1" s="1"/>
  <c r="J983" i="1"/>
  <c r="H983" i="1"/>
  <c r="E983" i="1"/>
  <c r="L982" i="1"/>
  <c r="T982" i="1" s="1"/>
  <c r="J982" i="1"/>
  <c r="H982" i="1"/>
  <c r="E982" i="1"/>
  <c r="R981" i="1"/>
  <c r="L981" i="1"/>
  <c r="J981" i="1"/>
  <c r="H981" i="1"/>
  <c r="E981" i="1"/>
  <c r="W980" i="1"/>
  <c r="T980" i="1"/>
  <c r="U980" i="1" s="1"/>
  <c r="E980" i="1"/>
  <c r="T979" i="1"/>
  <c r="Z979" i="1" s="1"/>
  <c r="M979" i="1"/>
  <c r="E979" i="1"/>
  <c r="W978" i="1"/>
  <c r="AA978" i="1" s="1"/>
  <c r="T978" i="1"/>
  <c r="Z978" i="1" s="1"/>
  <c r="W977" i="1"/>
  <c r="X977" i="1" s="1"/>
  <c r="T977" i="1"/>
  <c r="Z977" i="1" s="1"/>
  <c r="W976" i="1"/>
  <c r="AA976" i="1" s="1"/>
  <c r="T976" i="1"/>
  <c r="Z976" i="1" s="1"/>
  <c r="S975" i="1"/>
  <c r="S974" i="1" s="1"/>
  <c r="Q975" i="1"/>
  <c r="Q974" i="1" s="1"/>
  <c r="O975" i="1"/>
  <c r="O974" i="1" s="1"/>
  <c r="L975" i="1"/>
  <c r="T975" i="1" s="1"/>
  <c r="K975" i="1"/>
  <c r="J975" i="1"/>
  <c r="I975" i="1"/>
  <c r="I974" i="1" s="1"/>
  <c r="H975" i="1"/>
  <c r="G975" i="1"/>
  <c r="G974" i="1" s="1"/>
  <c r="E975" i="1"/>
  <c r="R974" i="1"/>
  <c r="R1020" i="1" s="1"/>
  <c r="L974" i="1"/>
  <c r="L1020" i="1" s="1"/>
  <c r="K974" i="1"/>
  <c r="J974" i="1"/>
  <c r="J1020" i="1" s="1"/>
  <c r="H974" i="1"/>
  <c r="H1020" i="1" s="1"/>
  <c r="E974" i="1"/>
  <c r="E1020" i="1" s="1"/>
  <c r="W973" i="1"/>
  <c r="T973" i="1"/>
  <c r="U973" i="1" s="1"/>
  <c r="E973" i="1"/>
  <c r="W972" i="1"/>
  <c r="AA972" i="1" s="1"/>
  <c r="T972" i="1"/>
  <c r="Z972" i="1" s="1"/>
  <c r="E972" i="1"/>
  <c r="W971" i="1"/>
  <c r="T971" i="1"/>
  <c r="U971" i="1" s="1"/>
  <c r="E971" i="1"/>
  <c r="T970" i="1"/>
  <c r="Z970" i="1" s="1"/>
  <c r="S970" i="1"/>
  <c r="Q970" i="1"/>
  <c r="O970" i="1"/>
  <c r="M970" i="1"/>
  <c r="K970" i="1"/>
  <c r="I970" i="1"/>
  <c r="G970" i="1"/>
  <c r="W969" i="1"/>
  <c r="T969" i="1"/>
  <c r="U969" i="1" s="1"/>
  <c r="W968" i="1"/>
  <c r="T968" i="1"/>
  <c r="U968" i="1" s="1"/>
  <c r="W967" i="1"/>
  <c r="T967" i="1"/>
  <c r="U967" i="1" s="1"/>
  <c r="T966" i="1"/>
  <c r="U966" i="1" s="1"/>
  <c r="S966" i="1"/>
  <c r="Q966" i="1"/>
  <c r="O966" i="1"/>
  <c r="M966" i="1"/>
  <c r="K966" i="1"/>
  <c r="I966" i="1"/>
  <c r="G966" i="1"/>
  <c r="W965" i="1"/>
  <c r="X965" i="1" s="1"/>
  <c r="T965" i="1"/>
  <c r="Z965" i="1" s="1"/>
  <c r="W964" i="1"/>
  <c r="X964" i="1" s="1"/>
  <c r="T964" i="1"/>
  <c r="Z964" i="1" s="1"/>
  <c r="W963" i="1"/>
  <c r="AA963" i="1" s="1"/>
  <c r="T963" i="1"/>
  <c r="Z963" i="1" s="1"/>
  <c r="W962" i="1"/>
  <c r="AA962" i="1" s="1"/>
  <c r="T962" i="1"/>
  <c r="Z962" i="1" s="1"/>
  <c r="W961" i="1"/>
  <c r="X961" i="1" s="1"/>
  <c r="T961" i="1"/>
  <c r="Z961" i="1" s="1"/>
  <c r="W960" i="1"/>
  <c r="X960" i="1" s="1"/>
  <c r="T960" i="1"/>
  <c r="Z960" i="1" s="1"/>
  <c r="T959" i="1"/>
  <c r="Z959" i="1" s="1"/>
  <c r="S959" i="1"/>
  <c r="Q959" i="1"/>
  <c r="O959" i="1"/>
  <c r="M959" i="1"/>
  <c r="K959" i="1"/>
  <c r="I959" i="1"/>
  <c r="G959" i="1"/>
  <c r="AA958" i="1"/>
  <c r="Z958" i="1"/>
  <c r="W957" i="1"/>
  <c r="T957" i="1"/>
  <c r="U957" i="1" s="1"/>
  <c r="W956" i="1"/>
  <c r="T956" i="1"/>
  <c r="U956" i="1" s="1"/>
  <c r="W955" i="1"/>
  <c r="T955" i="1"/>
  <c r="U955" i="1" s="1"/>
  <c r="T954" i="1"/>
  <c r="U954" i="1" s="1"/>
  <c r="S954" i="1"/>
  <c r="Q954" i="1"/>
  <c r="O954" i="1"/>
  <c r="M954" i="1"/>
  <c r="K954" i="1"/>
  <c r="I954" i="1"/>
  <c r="G954" i="1"/>
  <c r="E954" i="1"/>
  <c r="W953" i="1"/>
  <c r="T953" i="1"/>
  <c r="U953" i="1" s="1"/>
  <c r="W952" i="1"/>
  <c r="T952" i="1"/>
  <c r="U952" i="1" s="1"/>
  <c r="S951" i="1"/>
  <c r="Q951" i="1"/>
  <c r="P951" i="1"/>
  <c r="O951" i="1"/>
  <c r="N951" i="1"/>
  <c r="M951" i="1"/>
  <c r="L951" i="1"/>
  <c r="K951" i="1"/>
  <c r="J951" i="1"/>
  <c r="I951" i="1"/>
  <c r="G951" i="1"/>
  <c r="P950" i="1"/>
  <c r="N950" i="1"/>
  <c r="L950" i="1"/>
  <c r="E950" i="1"/>
  <c r="P949" i="1"/>
  <c r="N949" i="1"/>
  <c r="L949" i="1"/>
  <c r="E949" i="1"/>
  <c r="Q981" i="1" l="1"/>
  <c r="Z975" i="1"/>
  <c r="M981" i="1"/>
  <c r="G998" i="1"/>
  <c r="U983" i="1"/>
  <c r="X988" i="1"/>
  <c r="U984" i="1"/>
  <c r="Z952" i="1"/>
  <c r="K949" i="1"/>
  <c r="U962" i="1"/>
  <c r="U963" i="1"/>
  <c r="AA964" i="1"/>
  <c r="T951" i="1"/>
  <c r="U951" i="1" s="1"/>
  <c r="S981" i="1"/>
  <c r="AA961" i="1"/>
  <c r="X962" i="1"/>
  <c r="T1007" i="1"/>
  <c r="Z1007" i="1" s="1"/>
  <c r="S1004" i="1"/>
  <c r="S998" i="1" s="1"/>
  <c r="U1006" i="1"/>
  <c r="Z1010" i="1"/>
  <c r="W992" i="1"/>
  <c r="X992" i="1" s="1"/>
  <c r="R992" i="1"/>
  <c r="T992" i="1" s="1"/>
  <c r="U992" i="1" s="1"/>
  <c r="R1009" i="1"/>
  <c r="T1009" i="1" s="1"/>
  <c r="U1009" i="1" s="1"/>
  <c r="AA960" i="1"/>
  <c r="AA965" i="1"/>
  <c r="W966" i="1"/>
  <c r="X966" i="1" s="1"/>
  <c r="U972" i="1"/>
  <c r="U978" i="1"/>
  <c r="X986" i="1"/>
  <c r="U988" i="1"/>
  <c r="T985" i="1"/>
  <c r="U985" i="1" s="1"/>
  <c r="T949" i="1"/>
  <c r="U949" i="1" s="1"/>
  <c r="AA977" i="1"/>
  <c r="X978" i="1"/>
  <c r="U986" i="1"/>
  <c r="AA995" i="1"/>
  <c r="AA1015" i="1"/>
  <c r="W951" i="1"/>
  <c r="X951" i="1" s="1"/>
  <c r="U960" i="1"/>
  <c r="U964" i="1"/>
  <c r="U976" i="1"/>
  <c r="K981" i="1"/>
  <c r="O981" i="1"/>
  <c r="X994" i="1"/>
  <c r="T1013" i="1"/>
  <c r="Z1013" i="1" s="1"/>
  <c r="G1012" i="1"/>
  <c r="O1012" i="1"/>
  <c r="G949" i="1"/>
  <c r="S949" i="1"/>
  <c r="Z982" i="1"/>
  <c r="Z983" i="1"/>
  <c r="G985" i="1"/>
  <c r="G981" i="1" s="1"/>
  <c r="M949" i="1"/>
  <c r="U970" i="1"/>
  <c r="Z971" i="1"/>
  <c r="X976" i="1"/>
  <c r="T993" i="1"/>
  <c r="Z993" i="1" s="1"/>
  <c r="H1009" i="1"/>
  <c r="X1016" i="1"/>
  <c r="U1021" i="1"/>
  <c r="U977" i="1"/>
  <c r="U979" i="1"/>
  <c r="W985" i="1"/>
  <c r="X985" i="1" s="1"/>
  <c r="X987" i="1"/>
  <c r="X989" i="1"/>
  <c r="X993" i="1"/>
  <c r="U995" i="1"/>
  <c r="T1012" i="1"/>
  <c r="U1012" i="1" s="1"/>
  <c r="AA1018" i="1"/>
  <c r="O949" i="1"/>
  <c r="Z956" i="1"/>
  <c r="U961" i="1"/>
  <c r="X963" i="1"/>
  <c r="U965" i="1"/>
  <c r="Z966" i="1"/>
  <c r="X972" i="1"/>
  <c r="T998" i="1"/>
  <c r="U998" i="1" s="1"/>
  <c r="U1015" i="1"/>
  <c r="U1018" i="1"/>
  <c r="Z1021" i="1"/>
  <c r="T950" i="1"/>
  <c r="Z950" i="1" s="1"/>
  <c r="Z955" i="1"/>
  <c r="U959" i="1"/>
  <c r="Q949" i="1"/>
  <c r="U975" i="1"/>
  <c r="T981" i="1"/>
  <c r="Z981" i="1" s="1"/>
  <c r="U987" i="1"/>
  <c r="U989" i="1"/>
  <c r="T999" i="1"/>
  <c r="Z999" i="1" s="1"/>
  <c r="U1016" i="1"/>
  <c r="Z1017" i="1"/>
  <c r="W1020" i="1"/>
  <c r="X1020" i="1" s="1"/>
  <c r="U1014" i="1"/>
  <c r="X980" i="1"/>
  <c r="AA980" i="1"/>
  <c r="I949" i="1"/>
  <c r="W954" i="1"/>
  <c r="X954" i="1" s="1"/>
  <c r="W959" i="1"/>
  <c r="X968" i="1"/>
  <c r="AA968" i="1"/>
  <c r="Z969" i="1"/>
  <c r="W970" i="1"/>
  <c r="X973" i="1"/>
  <c r="AA973" i="1"/>
  <c r="T1020" i="1"/>
  <c r="U1020" i="1" s="1"/>
  <c r="T974" i="1"/>
  <c r="W979" i="1"/>
  <c r="M975" i="1"/>
  <c r="Z980" i="1"/>
  <c r="U982" i="1"/>
  <c r="Z984" i="1"/>
  <c r="I981" i="1"/>
  <c r="AA990" i="1"/>
  <c r="X990" i="1"/>
  <c r="U991" i="1"/>
  <c r="Z991" i="1"/>
  <c r="AA1008" i="1"/>
  <c r="X1008" i="1"/>
  <c r="Z1022" i="1"/>
  <c r="X953" i="1"/>
  <c r="AA953" i="1"/>
  <c r="Z954" i="1"/>
  <c r="X957" i="1"/>
  <c r="AA957" i="1"/>
  <c r="AA967" i="1"/>
  <c r="X967" i="1"/>
  <c r="Z968" i="1"/>
  <c r="Z973" i="1"/>
  <c r="Z990" i="1"/>
  <c r="AA991" i="1"/>
  <c r="X991" i="1"/>
  <c r="Z1011" i="1"/>
  <c r="W1021" i="1"/>
  <c r="X1021" i="1" s="1"/>
  <c r="X955" i="1"/>
  <c r="AA955" i="1"/>
  <c r="AA969" i="1"/>
  <c r="X969" i="1"/>
  <c r="I998" i="1"/>
  <c r="AA952" i="1"/>
  <c r="X952" i="1"/>
  <c r="Z953" i="1"/>
  <c r="AA956" i="1"/>
  <c r="X956" i="1"/>
  <c r="Z957" i="1"/>
  <c r="Z967" i="1"/>
  <c r="AA971" i="1"/>
  <c r="X971" i="1"/>
  <c r="U994" i="1"/>
  <c r="Z1005" i="1"/>
  <c r="U1005" i="1"/>
  <c r="W1010" i="1"/>
  <c r="M1004" i="1"/>
  <c r="W1014" i="1"/>
  <c r="W1017" i="1"/>
  <c r="X1017" i="1" s="1"/>
  <c r="M1012" i="1"/>
  <c r="AA1009" i="1"/>
  <c r="AA1011" i="1"/>
  <c r="AA1022" i="1"/>
  <c r="Z1004" i="1"/>
  <c r="Z1008" i="1"/>
  <c r="Z985" i="1" l="1"/>
  <c r="W1012" i="1"/>
  <c r="X1012" i="1" s="1"/>
  <c r="Z998" i="1"/>
  <c r="U1007" i="1"/>
  <c r="U950" i="1"/>
  <c r="Z949" i="1"/>
  <c r="Z951" i="1"/>
  <c r="AA951" i="1"/>
  <c r="U993" i="1"/>
  <c r="AA966" i="1"/>
  <c r="W981" i="1"/>
  <c r="AA981" i="1" s="1"/>
  <c r="AA1020" i="1"/>
  <c r="Z1009" i="1"/>
  <c r="AA985" i="1"/>
  <c r="U999" i="1"/>
  <c r="AA954" i="1"/>
  <c r="AA992" i="1"/>
  <c r="U981" i="1"/>
  <c r="U1013" i="1"/>
  <c r="Z1012" i="1"/>
  <c r="W949" i="1"/>
  <c r="X949" i="1" s="1"/>
  <c r="AA1021" i="1"/>
  <c r="AA1010" i="1"/>
  <c r="X1010" i="1"/>
  <c r="X970" i="1"/>
  <c r="AA970" i="1"/>
  <c r="X959" i="1"/>
  <c r="AA959" i="1"/>
  <c r="U974" i="1"/>
  <c r="Z974" i="1"/>
  <c r="AA1017" i="1"/>
  <c r="W975" i="1"/>
  <c r="M974" i="1"/>
  <c r="W974" i="1" s="1"/>
  <c r="Z1020" i="1"/>
  <c r="M998" i="1"/>
  <c r="W998" i="1" s="1"/>
  <c r="X998" i="1" s="1"/>
  <c r="W1004" i="1"/>
  <c r="X1014" i="1"/>
  <c r="AA1014" i="1"/>
  <c r="Z992" i="1"/>
  <c r="X979" i="1"/>
  <c r="AA979" i="1"/>
  <c r="AA1012" i="1" l="1"/>
  <c r="X981" i="1"/>
  <c r="AA949" i="1"/>
  <c r="AA998" i="1"/>
  <c r="X974" i="1"/>
  <c r="AA974" i="1"/>
  <c r="X975" i="1"/>
  <c r="AA975" i="1"/>
  <c r="X1004" i="1"/>
  <c r="AA1004" i="1"/>
  <c r="W948" i="1" l="1"/>
  <c r="X948" i="1" s="1"/>
  <c r="S947" i="1"/>
  <c r="M947" i="1"/>
  <c r="K947" i="1"/>
  <c r="I947" i="1"/>
  <c r="W944" i="1"/>
  <c r="X944" i="1" s="1"/>
  <c r="T944" i="1"/>
  <c r="U944" i="1" s="1"/>
  <c r="W943" i="1"/>
  <c r="X943" i="1" s="1"/>
  <c r="T943" i="1"/>
  <c r="U943" i="1" s="1"/>
  <c r="T942" i="1"/>
  <c r="U942" i="1" s="1"/>
  <c r="T941" i="1"/>
  <c r="U941" i="1" s="1"/>
  <c r="T940" i="1"/>
  <c r="U940" i="1" s="1"/>
  <c r="S940" i="1"/>
  <c r="Q940" i="1"/>
  <c r="O940" i="1"/>
  <c r="M940" i="1"/>
  <c r="K940" i="1"/>
  <c r="I940" i="1"/>
  <c r="G940" i="1"/>
  <c r="W936" i="1"/>
  <c r="X936" i="1" s="1"/>
  <c r="T936" i="1"/>
  <c r="U936" i="1" s="1"/>
  <c r="W935" i="1"/>
  <c r="X935" i="1" s="1"/>
  <c r="T935" i="1"/>
  <c r="U935" i="1" s="1"/>
  <c r="W934" i="1"/>
  <c r="X934" i="1" s="1"/>
  <c r="T934" i="1"/>
  <c r="U934" i="1" s="1"/>
  <c r="W933" i="1"/>
  <c r="X933" i="1" s="1"/>
  <c r="T933" i="1"/>
  <c r="U933" i="1" s="1"/>
  <c r="W932" i="1"/>
  <c r="X932" i="1" s="1"/>
  <c r="T932" i="1"/>
  <c r="U932" i="1" s="1"/>
  <c r="T931" i="1"/>
  <c r="U931" i="1" s="1"/>
  <c r="T930" i="1"/>
  <c r="U930" i="1" s="1"/>
  <c r="T929" i="1"/>
  <c r="U929" i="1" s="1"/>
  <c r="T928" i="1"/>
  <c r="U928" i="1" s="1"/>
  <c r="S928" i="1"/>
  <c r="Q928" i="1"/>
  <c r="O928" i="1"/>
  <c r="M928" i="1"/>
  <c r="K928" i="1"/>
  <c r="I928" i="1"/>
  <c r="G928" i="1"/>
  <c r="W927" i="1"/>
  <c r="X927" i="1" s="1"/>
  <c r="T927" i="1"/>
  <c r="U927" i="1" s="1"/>
  <c r="T926" i="1"/>
  <c r="U926" i="1" s="1"/>
  <c r="S926" i="1"/>
  <c r="Q926" i="1"/>
  <c r="O926" i="1"/>
  <c r="M926" i="1"/>
  <c r="K926" i="1"/>
  <c r="I926" i="1"/>
  <c r="G926" i="1"/>
  <c r="T925" i="1"/>
  <c r="U925" i="1" s="1"/>
  <c r="W924" i="1"/>
  <c r="X924" i="1" s="1"/>
  <c r="T924" i="1"/>
  <c r="U924" i="1" s="1"/>
  <c r="E924" i="1"/>
  <c r="W923" i="1"/>
  <c r="X923" i="1" s="1"/>
  <c r="T923" i="1"/>
  <c r="U923" i="1" s="1"/>
  <c r="E923" i="1"/>
  <c r="T922" i="1"/>
  <c r="U922" i="1" s="1"/>
  <c r="S922" i="1"/>
  <c r="Q922" i="1"/>
  <c r="O922" i="1"/>
  <c r="M922" i="1"/>
  <c r="K922" i="1"/>
  <c r="G922" i="1"/>
  <c r="W921" i="1"/>
  <c r="X921" i="1" s="1"/>
  <c r="T921" i="1"/>
  <c r="U921" i="1" s="1"/>
  <c r="E921" i="1"/>
  <c r="W920" i="1"/>
  <c r="X920" i="1" s="1"/>
  <c r="T920" i="1"/>
  <c r="U920" i="1" s="1"/>
  <c r="E920" i="1"/>
  <c r="W919" i="1"/>
  <c r="X919" i="1" s="1"/>
  <c r="T919" i="1"/>
  <c r="U919" i="1" s="1"/>
  <c r="E919" i="1"/>
  <c r="T918" i="1"/>
  <c r="U918" i="1" s="1"/>
  <c r="S918" i="1"/>
  <c r="Q918" i="1"/>
  <c r="O918" i="1"/>
  <c r="M918" i="1"/>
  <c r="K918" i="1"/>
  <c r="G918" i="1"/>
  <c r="W917" i="1"/>
  <c r="X917" i="1" s="1"/>
  <c r="T917" i="1"/>
  <c r="U917" i="1" s="1"/>
  <c r="G917" i="1"/>
  <c r="E917" i="1"/>
  <c r="W916" i="1"/>
  <c r="X916" i="1" s="1"/>
  <c r="T916" i="1"/>
  <c r="U916" i="1" s="1"/>
  <c r="E916" i="1"/>
  <c r="W915" i="1"/>
  <c r="X915" i="1" s="1"/>
  <c r="T915" i="1"/>
  <c r="U915" i="1" s="1"/>
  <c r="G915" i="1"/>
  <c r="E915" i="1"/>
  <c r="W914" i="1"/>
  <c r="X914" i="1" s="1"/>
  <c r="T914" i="1"/>
  <c r="U914" i="1" s="1"/>
  <c r="G914" i="1"/>
  <c r="E914" i="1"/>
  <c r="W913" i="1"/>
  <c r="X913" i="1" s="1"/>
  <c r="T913" i="1"/>
  <c r="U913" i="1" s="1"/>
  <c r="G913" i="1"/>
  <c r="E913" i="1"/>
  <c r="T912" i="1"/>
  <c r="U912" i="1" s="1"/>
  <c r="S912" i="1"/>
  <c r="Q912" i="1"/>
  <c r="O912" i="1"/>
  <c r="M912" i="1"/>
  <c r="K912" i="1"/>
  <c r="E912" i="1"/>
  <c r="AH911" i="1"/>
  <c r="W911" i="1"/>
  <c r="X911" i="1" s="1"/>
  <c r="T911" i="1"/>
  <c r="U911" i="1" s="1"/>
  <c r="E911" i="1"/>
  <c r="AH910" i="1"/>
  <c r="W910" i="1"/>
  <c r="X910" i="1" s="1"/>
  <c r="T910" i="1"/>
  <c r="U910" i="1" s="1"/>
  <c r="E910" i="1"/>
  <c r="AH909" i="1"/>
  <c r="W909" i="1"/>
  <c r="X909" i="1" s="1"/>
  <c r="T909" i="1"/>
  <c r="U909" i="1" s="1"/>
  <c r="E909" i="1"/>
  <c r="E907" i="1" s="1"/>
  <c r="AH908" i="1"/>
  <c r="W908" i="1"/>
  <c r="X908" i="1" s="1"/>
  <c r="T908" i="1"/>
  <c r="U908" i="1" s="1"/>
  <c r="E908" i="1"/>
  <c r="S907" i="1"/>
  <c r="Q907" i="1"/>
  <c r="P907" i="1"/>
  <c r="O907" i="1"/>
  <c r="N907" i="1"/>
  <c r="M907" i="1"/>
  <c r="L907" i="1"/>
  <c r="K907" i="1"/>
  <c r="J907" i="1"/>
  <c r="G907" i="1"/>
  <c r="W906" i="1"/>
  <c r="X906" i="1" s="1"/>
  <c r="T906" i="1"/>
  <c r="U906" i="1" s="1"/>
  <c r="E906" i="1"/>
  <c r="W905" i="1"/>
  <c r="X905" i="1" s="1"/>
  <c r="T905" i="1"/>
  <c r="U905" i="1" s="1"/>
  <c r="E905" i="1"/>
  <c r="S904" i="1"/>
  <c r="Q904" i="1"/>
  <c r="P904" i="1"/>
  <c r="O904" i="1"/>
  <c r="N904" i="1"/>
  <c r="M904" i="1"/>
  <c r="L904" i="1"/>
  <c r="K904" i="1"/>
  <c r="J904" i="1"/>
  <c r="G904" i="1"/>
  <c r="T903" i="1"/>
  <c r="U903" i="1" s="1"/>
  <c r="W947" i="1" l="1"/>
  <c r="S903" i="1"/>
  <c r="O903" i="1"/>
  <c r="G925" i="1"/>
  <c r="G912" i="1"/>
  <c r="G903" i="1" s="1"/>
  <c r="O925" i="1"/>
  <c r="M925" i="1"/>
  <c r="W918" i="1"/>
  <c r="X918" i="1" s="1"/>
  <c r="K903" i="1"/>
  <c r="E904" i="1"/>
  <c r="T904" i="1"/>
  <c r="U904" i="1" s="1"/>
  <c r="T907" i="1"/>
  <c r="U907" i="1" s="1"/>
  <c r="W904" i="1"/>
  <c r="X904" i="1" s="1"/>
  <c r="W912" i="1"/>
  <c r="X912" i="1" s="1"/>
  <c r="I925" i="1"/>
  <c r="Q925" i="1"/>
  <c r="W928" i="1"/>
  <c r="X928" i="1" s="1"/>
  <c r="AH907" i="1"/>
  <c r="Q903" i="1"/>
  <c r="W922" i="1"/>
  <c r="X922" i="1" s="1"/>
  <c r="K925" i="1"/>
  <c r="S925" i="1"/>
  <c r="W940" i="1"/>
  <c r="X940" i="1" s="1"/>
  <c r="W907" i="1"/>
  <c r="X907" i="1" s="1"/>
  <c r="W926" i="1"/>
  <c r="X926" i="1" s="1"/>
  <c r="M903" i="1"/>
  <c r="W925" i="1" l="1"/>
  <c r="X925" i="1" s="1"/>
  <c r="W903" i="1"/>
  <c r="X903" i="1" s="1"/>
  <c r="AH903" i="1"/>
  <c r="W857" i="1" l="1"/>
  <c r="AA857" i="1" s="1"/>
  <c r="T857" i="1"/>
  <c r="W856" i="1"/>
  <c r="X856" i="1" s="1"/>
  <c r="T856" i="1"/>
  <c r="Z856" i="1" s="1"/>
  <c r="W855" i="1"/>
  <c r="T855" i="1"/>
  <c r="U855" i="1" s="1"/>
  <c r="W854" i="1"/>
  <c r="T854" i="1"/>
  <c r="Z854" i="1" s="1"/>
  <c r="T853" i="1"/>
  <c r="U853" i="1" s="1"/>
  <c r="S853" i="1"/>
  <c r="Q853" i="1"/>
  <c r="Q852" i="1" s="1"/>
  <c r="O853" i="1"/>
  <c r="O852" i="1" s="1"/>
  <c r="M853" i="1"/>
  <c r="K853" i="1"/>
  <c r="K852" i="1" s="1"/>
  <c r="I853" i="1"/>
  <c r="G853" i="1"/>
  <c r="G852" i="1" s="1"/>
  <c r="T852" i="1"/>
  <c r="Z852" i="1" s="1"/>
  <c r="U852" i="1" s="1"/>
  <c r="S852" i="1"/>
  <c r="W851" i="1"/>
  <c r="X851" i="1" s="1"/>
  <c r="T851" i="1"/>
  <c r="W850" i="1"/>
  <c r="AA850" i="1" s="1"/>
  <c r="T850" i="1"/>
  <c r="E850" i="1"/>
  <c r="T849" i="1"/>
  <c r="Z849" i="1" s="1"/>
  <c r="S849" i="1"/>
  <c r="S848" i="1" s="1"/>
  <c r="Q849" i="1"/>
  <c r="Q848" i="1" s="1"/>
  <c r="O849" i="1"/>
  <c r="O848" i="1" s="1"/>
  <c r="M849" i="1"/>
  <c r="M848" i="1" s="1"/>
  <c r="K849" i="1"/>
  <c r="K848" i="1" s="1"/>
  <c r="I849" i="1"/>
  <c r="G849" i="1"/>
  <c r="G848" i="1" s="1"/>
  <c r="T848" i="1"/>
  <c r="U848" i="1" s="1"/>
  <c r="AH847" i="1"/>
  <c r="AI847" i="1" s="1"/>
  <c r="Z847" i="1"/>
  <c r="U847" i="1" s="1"/>
  <c r="W847" i="1"/>
  <c r="Z846" i="1"/>
  <c r="U846" i="1" s="1"/>
  <c r="S846" i="1"/>
  <c r="S845" i="1" s="1"/>
  <c r="Q846" i="1"/>
  <c r="Q845" i="1" s="1"/>
  <c r="O846" i="1"/>
  <c r="O845" i="1" s="1"/>
  <c r="M846" i="1"/>
  <c r="M845" i="1" s="1"/>
  <c r="K846" i="1"/>
  <c r="K845" i="1" s="1"/>
  <c r="I846" i="1"/>
  <c r="I845" i="1" s="1"/>
  <c r="G846" i="1"/>
  <c r="G845" i="1" s="1"/>
  <c r="Z845" i="1"/>
  <c r="U845" i="1"/>
  <c r="W844" i="1"/>
  <c r="T844" i="1"/>
  <c r="U844" i="1" s="1"/>
  <c r="W843" i="1"/>
  <c r="AI843" i="1" s="1"/>
  <c r="T843" i="1"/>
  <c r="U843" i="1" s="1"/>
  <c r="T842" i="1"/>
  <c r="Z842" i="1" s="1"/>
  <c r="U842" i="1" s="1"/>
  <c r="S842" i="1"/>
  <c r="S841" i="1" s="1"/>
  <c r="Q842" i="1"/>
  <c r="Q841" i="1" s="1"/>
  <c r="O842" i="1"/>
  <c r="M842" i="1"/>
  <c r="M841" i="1" s="1"/>
  <c r="K842" i="1"/>
  <c r="K841" i="1" s="1"/>
  <c r="I842" i="1"/>
  <c r="G842" i="1"/>
  <c r="G841" i="1" s="1"/>
  <c r="Z841" i="1"/>
  <c r="U841" i="1"/>
  <c r="W840" i="1"/>
  <c r="AA840" i="1" s="1"/>
  <c r="T840" i="1"/>
  <c r="U840" i="1" s="1"/>
  <c r="W839" i="1"/>
  <c r="X839" i="1" s="1"/>
  <c r="T839" i="1"/>
  <c r="T838" i="1"/>
  <c r="Z838" i="1" s="1"/>
  <c r="S838" i="1"/>
  <c r="S837" i="1" s="1"/>
  <c r="Q838" i="1"/>
  <c r="Q837" i="1" s="1"/>
  <c r="M838" i="1"/>
  <c r="K838" i="1"/>
  <c r="K837" i="1" s="1"/>
  <c r="J838" i="1"/>
  <c r="I838" i="1"/>
  <c r="I837" i="1" s="1"/>
  <c r="G838" i="1"/>
  <c r="G837" i="1" s="1"/>
  <c r="T837" i="1"/>
  <c r="Z837" i="1" s="1"/>
  <c r="W836" i="1"/>
  <c r="X836" i="1" s="1"/>
  <c r="T836" i="1"/>
  <c r="Z836" i="1" s="1"/>
  <c r="U836" i="1" s="1"/>
  <c r="T835" i="1"/>
  <c r="J835" i="1"/>
  <c r="H835" i="1"/>
  <c r="T834" i="1"/>
  <c r="Z834" i="1" s="1"/>
  <c r="T833" i="1"/>
  <c r="S832" i="1"/>
  <c r="S829" i="1" s="1"/>
  <c r="R832" i="1"/>
  <c r="Q832" i="1"/>
  <c r="Q829" i="1" s="1"/>
  <c r="P832" i="1"/>
  <c r="O832" i="1"/>
  <c r="O829" i="1" s="1"/>
  <c r="N832" i="1"/>
  <c r="M832" i="1"/>
  <c r="L832" i="1"/>
  <c r="K832" i="1"/>
  <c r="K829" i="1" s="1"/>
  <c r="I832" i="1"/>
  <c r="I829" i="1" s="1"/>
  <c r="G832" i="1"/>
  <c r="G829" i="1" s="1"/>
  <c r="T831" i="1"/>
  <c r="U831" i="1" s="1"/>
  <c r="T830" i="1"/>
  <c r="U830" i="1" s="1"/>
  <c r="T829" i="1"/>
  <c r="U829" i="1" s="1"/>
  <c r="W828" i="1"/>
  <c r="X828" i="1" s="1"/>
  <c r="T828" i="1"/>
  <c r="U828" i="1" s="1"/>
  <c r="E828" i="1"/>
  <c r="T827" i="1"/>
  <c r="S827" i="1"/>
  <c r="Q827" i="1"/>
  <c r="M827" i="1"/>
  <c r="K827" i="1"/>
  <c r="I827" i="1"/>
  <c r="G827" i="1"/>
  <c r="E827" i="1"/>
  <c r="W826" i="1"/>
  <c r="AA826" i="1" s="1"/>
  <c r="T826" i="1"/>
  <c r="Z826" i="1" s="1"/>
  <c r="W825" i="1"/>
  <c r="AA825" i="1" s="1"/>
  <c r="T825" i="1"/>
  <c r="Z825" i="1" s="1"/>
  <c r="W824" i="1"/>
  <c r="AA824" i="1" s="1"/>
  <c r="T824" i="1"/>
  <c r="U824" i="1" s="1"/>
  <c r="T823" i="1"/>
  <c r="U823" i="1" s="1"/>
  <c r="T822" i="1"/>
  <c r="Z822" i="1" s="1"/>
  <c r="T821" i="1"/>
  <c r="Z821" i="1" s="1"/>
  <c r="T820" i="1"/>
  <c r="S820" i="1"/>
  <c r="Q820" i="1"/>
  <c r="O820" i="1"/>
  <c r="O817" i="1" s="1"/>
  <c r="M820" i="1"/>
  <c r="K820" i="1"/>
  <c r="I820" i="1"/>
  <c r="G820" i="1"/>
  <c r="T819" i="1"/>
  <c r="Z819" i="1" s="1"/>
  <c r="J819" i="1"/>
  <c r="T818" i="1"/>
  <c r="U818" i="1" s="1"/>
  <c r="T817" i="1"/>
  <c r="U817" i="1" s="1"/>
  <c r="W816" i="1"/>
  <c r="T816" i="1"/>
  <c r="T815" i="1"/>
  <c r="Z815" i="1" s="1"/>
  <c r="S814" i="1"/>
  <c r="Q814" i="1"/>
  <c r="O814" i="1"/>
  <c r="M814" i="1"/>
  <c r="L814" i="1"/>
  <c r="T814" i="1" s="1"/>
  <c r="Z814" i="1" s="1"/>
  <c r="K814" i="1"/>
  <c r="K813" i="1" s="1"/>
  <c r="I814" i="1"/>
  <c r="I813" i="1" s="1"/>
  <c r="G814" i="1"/>
  <c r="G813" i="1" s="1"/>
  <c r="S813" i="1"/>
  <c r="Q813" i="1"/>
  <c r="O813" i="1"/>
  <c r="J813" i="1"/>
  <c r="H813" i="1"/>
  <c r="E813" i="1"/>
  <c r="W812" i="1"/>
  <c r="AA812" i="1" s="1"/>
  <c r="T812" i="1"/>
  <c r="Z812" i="1" s="1"/>
  <c r="U812" i="1" s="1"/>
  <c r="G812" i="1"/>
  <c r="G811" i="1" s="1"/>
  <c r="G810" i="1" s="1"/>
  <c r="S811" i="1"/>
  <c r="S810" i="1" s="1"/>
  <c r="M811" i="1"/>
  <c r="L811" i="1"/>
  <c r="T811" i="1" s="1"/>
  <c r="Z811" i="1" s="1"/>
  <c r="U811" i="1" s="1"/>
  <c r="K811" i="1"/>
  <c r="K810" i="1" s="1"/>
  <c r="I811" i="1"/>
  <c r="I810" i="1" s="1"/>
  <c r="W809" i="1"/>
  <c r="X809" i="1" s="1"/>
  <c r="T809" i="1"/>
  <c r="Z809" i="1" s="1"/>
  <c r="U809" i="1" s="1"/>
  <c r="W808" i="1"/>
  <c r="T808" i="1"/>
  <c r="Z808" i="1" s="1"/>
  <c r="U808" i="1" s="1"/>
  <c r="M807" i="1"/>
  <c r="W807" i="1" s="1"/>
  <c r="L807" i="1"/>
  <c r="T807" i="1" s="1"/>
  <c r="Z807" i="1" s="1"/>
  <c r="U807" i="1" s="1"/>
  <c r="K807" i="1"/>
  <c r="K806" i="1" s="1"/>
  <c r="I807" i="1"/>
  <c r="G807" i="1"/>
  <c r="G806" i="1" s="1"/>
  <c r="W805" i="1"/>
  <c r="AA805" i="1" s="1"/>
  <c r="T805" i="1"/>
  <c r="Z805" i="1" s="1"/>
  <c r="U805" i="1" s="1"/>
  <c r="G805" i="1"/>
  <c r="G804" i="1" s="1"/>
  <c r="G803" i="1" s="1"/>
  <c r="M804" i="1"/>
  <c r="M803" i="1" s="1"/>
  <c r="W803" i="1" s="1"/>
  <c r="AA803" i="1" s="1"/>
  <c r="L804" i="1"/>
  <c r="T804" i="1" s="1"/>
  <c r="Z804" i="1" s="1"/>
  <c r="U804" i="1" s="1"/>
  <c r="K804" i="1"/>
  <c r="K803" i="1" s="1"/>
  <c r="I804" i="1"/>
  <c r="W802" i="1"/>
  <c r="AA802" i="1" s="1"/>
  <c r="T802" i="1"/>
  <c r="Z802" i="1" s="1"/>
  <c r="U802" i="1" s="1"/>
  <c r="T801" i="1"/>
  <c r="Z801" i="1" s="1"/>
  <c r="U801" i="1" s="1"/>
  <c r="S801" i="1"/>
  <c r="S800" i="1" s="1"/>
  <c r="Q801" i="1"/>
  <c r="Q800" i="1" s="1"/>
  <c r="O801" i="1"/>
  <c r="O800" i="1" s="1"/>
  <c r="M801" i="1"/>
  <c r="M800" i="1" s="1"/>
  <c r="K801" i="1"/>
  <c r="K800" i="1" s="1"/>
  <c r="I801" i="1"/>
  <c r="I800" i="1" s="1"/>
  <c r="G801" i="1"/>
  <c r="G800" i="1" s="1"/>
  <c r="L800" i="1"/>
  <c r="T800" i="1" s="1"/>
  <c r="U800" i="1" s="1"/>
  <c r="H800" i="1"/>
  <c r="T799" i="1"/>
  <c r="W798" i="1"/>
  <c r="X798" i="1" s="1"/>
  <c r="T798" i="1"/>
  <c r="Z798" i="1" s="1"/>
  <c r="T797" i="1"/>
  <c r="Z797" i="1" s="1"/>
  <c r="S797" i="1"/>
  <c r="S795" i="1" s="1"/>
  <c r="Q797" i="1"/>
  <c r="Q795" i="1" s="1"/>
  <c r="O797" i="1"/>
  <c r="O795" i="1" s="1"/>
  <c r="M797" i="1"/>
  <c r="M795" i="1" s="1"/>
  <c r="K797" i="1"/>
  <c r="K795" i="1" s="1"/>
  <c r="I797" i="1"/>
  <c r="L795" i="1"/>
  <c r="T795" i="1" s="1"/>
  <c r="Z795" i="1" s="1"/>
  <c r="W794" i="1"/>
  <c r="X794" i="1" s="1"/>
  <c r="T794" i="1"/>
  <c r="Z794" i="1" s="1"/>
  <c r="T793" i="1"/>
  <c r="Z793" i="1" s="1"/>
  <c r="U793" i="1" s="1"/>
  <c r="T792" i="1"/>
  <c r="U792" i="1" s="1"/>
  <c r="S792" i="1"/>
  <c r="Q792" i="1"/>
  <c r="O792" i="1"/>
  <c r="M792" i="1"/>
  <c r="K792" i="1"/>
  <c r="I792" i="1"/>
  <c r="G792" i="1"/>
  <c r="W791" i="1"/>
  <c r="AA791" i="1" s="1"/>
  <c r="T791" i="1"/>
  <c r="U791" i="1" s="1"/>
  <c r="T790" i="1"/>
  <c r="Z790" i="1" s="1"/>
  <c r="U790" i="1" s="1"/>
  <c r="S790" i="1"/>
  <c r="Q790" i="1"/>
  <c r="M790" i="1"/>
  <c r="O790" i="1" s="1"/>
  <c r="K790" i="1"/>
  <c r="I790" i="1"/>
  <c r="Z788" i="1"/>
  <c r="U788" i="1"/>
  <c r="L788" i="1"/>
  <c r="G788" i="1"/>
  <c r="W787" i="1"/>
  <c r="AA787" i="1" s="1"/>
  <c r="T787" i="1"/>
  <c r="U787" i="1" s="1"/>
  <c r="E787" i="1"/>
  <c r="T786" i="1"/>
  <c r="S786" i="1"/>
  <c r="Q786" i="1"/>
  <c r="M786" i="1"/>
  <c r="K786" i="1"/>
  <c r="J786" i="1"/>
  <c r="I786" i="1"/>
  <c r="G786" i="1"/>
  <c r="G787" i="1" s="1"/>
  <c r="W785" i="1"/>
  <c r="AA785" i="1" s="1"/>
  <c r="T785" i="1"/>
  <c r="U785" i="1" s="1"/>
  <c r="G785" i="1"/>
  <c r="G783" i="1" s="1"/>
  <c r="E785" i="1"/>
  <c r="W784" i="1"/>
  <c r="AA784" i="1" s="1"/>
  <c r="T784" i="1"/>
  <c r="U784" i="1" s="1"/>
  <c r="E784" i="1"/>
  <c r="E783" i="1" s="1"/>
  <c r="T783" i="1"/>
  <c r="S783" i="1"/>
  <c r="Q783" i="1"/>
  <c r="O783" i="1"/>
  <c r="O781" i="1" s="1"/>
  <c r="O782" i="1" s="1"/>
  <c r="M783" i="1"/>
  <c r="M781" i="1" s="1"/>
  <c r="M782" i="1" s="1"/>
  <c r="K783" i="1"/>
  <c r="K781" i="1" s="1"/>
  <c r="K782" i="1" s="1"/>
  <c r="J783" i="1"/>
  <c r="I783" i="1"/>
  <c r="I781" i="1" s="1"/>
  <c r="I782" i="1" s="1"/>
  <c r="T782" i="1"/>
  <c r="U782" i="1" s="1"/>
  <c r="Z782" i="1" s="1"/>
  <c r="T781" i="1"/>
  <c r="Z781" i="1" s="1"/>
  <c r="W780" i="1"/>
  <c r="AA780" i="1" s="1"/>
  <c r="T780" i="1"/>
  <c r="U780" i="1" s="1"/>
  <c r="E780" i="1"/>
  <c r="W779" i="1"/>
  <c r="X779" i="1" s="1"/>
  <c r="T779" i="1"/>
  <c r="Z779" i="1" s="1"/>
  <c r="E779" i="1"/>
  <c r="W778" i="1"/>
  <c r="X778" i="1" s="1"/>
  <c r="T778" i="1"/>
  <c r="Z778" i="1" s="1"/>
  <c r="E778" i="1"/>
  <c r="T777" i="1"/>
  <c r="Z777" i="1" s="1"/>
  <c r="T776" i="1"/>
  <c r="U776" i="1" s="1"/>
  <c r="S776" i="1"/>
  <c r="Q776" i="1"/>
  <c r="O776" i="1"/>
  <c r="M776" i="1"/>
  <c r="K776" i="1"/>
  <c r="I776" i="1"/>
  <c r="G776" i="1"/>
  <c r="W775" i="1"/>
  <c r="AA775" i="1" s="1"/>
  <c r="T775" i="1"/>
  <c r="U775" i="1" s="1"/>
  <c r="E775" i="1"/>
  <c r="W774" i="1"/>
  <c r="AA774" i="1" s="1"/>
  <c r="T774" i="1"/>
  <c r="U774" i="1" s="1"/>
  <c r="E774" i="1"/>
  <c r="W773" i="1"/>
  <c r="X773" i="1" s="1"/>
  <c r="T773" i="1"/>
  <c r="Z773" i="1" s="1"/>
  <c r="E773" i="1"/>
  <c r="T772" i="1"/>
  <c r="Z772" i="1" s="1"/>
  <c r="T771" i="1"/>
  <c r="U771" i="1" s="1"/>
  <c r="S771" i="1"/>
  <c r="Q771" i="1"/>
  <c r="O771" i="1"/>
  <c r="M771" i="1"/>
  <c r="K771" i="1"/>
  <c r="I771" i="1"/>
  <c r="G771" i="1"/>
  <c r="W770" i="1"/>
  <c r="X770" i="1" s="1"/>
  <c r="T770" i="1"/>
  <c r="Z770" i="1" s="1"/>
  <c r="E770" i="1"/>
  <c r="W769" i="1"/>
  <c r="AA769" i="1" s="1"/>
  <c r="T769" i="1"/>
  <c r="U769" i="1" s="1"/>
  <c r="E769" i="1"/>
  <c r="W768" i="1"/>
  <c r="AA768" i="1" s="1"/>
  <c r="T768" i="1"/>
  <c r="U768" i="1" s="1"/>
  <c r="E768" i="1"/>
  <c r="W767" i="1"/>
  <c r="X767" i="1" s="1"/>
  <c r="T767" i="1"/>
  <c r="Z767" i="1" s="1"/>
  <c r="E767" i="1"/>
  <c r="W766" i="1"/>
  <c r="X766" i="1" s="1"/>
  <c r="T766" i="1"/>
  <c r="Z766" i="1" s="1"/>
  <c r="E766" i="1"/>
  <c r="W765" i="1"/>
  <c r="AA765" i="1" s="1"/>
  <c r="T765" i="1"/>
  <c r="U765" i="1" s="1"/>
  <c r="E765" i="1"/>
  <c r="T764" i="1"/>
  <c r="T763" i="1"/>
  <c r="U763" i="1" s="1"/>
  <c r="T762" i="1"/>
  <c r="Z762" i="1" s="1"/>
  <c r="T761" i="1"/>
  <c r="Z761" i="1" s="1"/>
  <c r="T760" i="1"/>
  <c r="U760" i="1" s="1"/>
  <c r="S760" i="1"/>
  <c r="Q760" i="1"/>
  <c r="O760" i="1"/>
  <c r="M760" i="1"/>
  <c r="K760" i="1"/>
  <c r="I760" i="1"/>
  <c r="G760" i="1"/>
  <c r="AH759" i="1"/>
  <c r="W759" i="1"/>
  <c r="X759" i="1" s="1"/>
  <c r="T759" i="1"/>
  <c r="Z759" i="1" s="1"/>
  <c r="E759" i="1"/>
  <c r="AH758" i="1"/>
  <c r="W758" i="1"/>
  <c r="X758" i="1" s="1"/>
  <c r="T758" i="1"/>
  <c r="U758" i="1" s="1"/>
  <c r="E758" i="1"/>
  <c r="AH757" i="1"/>
  <c r="W757" i="1"/>
  <c r="X757" i="1" s="1"/>
  <c r="T757" i="1"/>
  <c r="U757" i="1" s="1"/>
  <c r="E757" i="1"/>
  <c r="AH756" i="1"/>
  <c r="W756" i="1"/>
  <c r="X756" i="1" s="1"/>
  <c r="T756" i="1"/>
  <c r="Z756" i="1" s="1"/>
  <c r="E756" i="1"/>
  <c r="T755" i="1"/>
  <c r="Z755" i="1" s="1"/>
  <c r="T754" i="1"/>
  <c r="T753" i="1"/>
  <c r="U753" i="1" s="1"/>
  <c r="S752" i="1"/>
  <c r="Q752" i="1"/>
  <c r="O752" i="1"/>
  <c r="M752" i="1"/>
  <c r="L752" i="1"/>
  <c r="T752" i="1" s="1"/>
  <c r="Z752" i="1" s="1"/>
  <c r="K752" i="1"/>
  <c r="I752" i="1"/>
  <c r="G752" i="1"/>
  <c r="W751" i="1"/>
  <c r="AA751" i="1" s="1"/>
  <c r="T751" i="1"/>
  <c r="U751" i="1" s="1"/>
  <c r="W750" i="1"/>
  <c r="X750" i="1" s="1"/>
  <c r="T750" i="1"/>
  <c r="Z750" i="1" s="1"/>
  <c r="T749" i="1"/>
  <c r="U749" i="1" s="1"/>
  <c r="T748" i="1"/>
  <c r="Z748" i="1" s="1"/>
  <c r="S748" i="1"/>
  <c r="Q748" i="1"/>
  <c r="M748" i="1"/>
  <c r="K748" i="1"/>
  <c r="I748" i="1"/>
  <c r="G748" i="1"/>
  <c r="T747" i="1"/>
  <c r="U747" i="1" s="1"/>
  <c r="T746" i="1"/>
  <c r="U746" i="1" s="1"/>
  <c r="T745" i="1"/>
  <c r="U745" i="1" s="1"/>
  <c r="T744" i="1"/>
  <c r="U744" i="1" s="1"/>
  <c r="T743" i="1"/>
  <c r="U743" i="1" s="1"/>
  <c r="L806" i="1" l="1"/>
  <c r="T806" i="1" s="1"/>
  <c r="Z806" i="1" s="1"/>
  <c r="U806" i="1" s="1"/>
  <c r="M817" i="1"/>
  <c r="I743" i="1"/>
  <c r="Q781" i="1"/>
  <c r="W832" i="1"/>
  <c r="X832" i="1" s="1"/>
  <c r="W786" i="1"/>
  <c r="X786" i="1" s="1"/>
  <c r="Q817" i="1"/>
  <c r="X780" i="1"/>
  <c r="O788" i="1"/>
  <c r="M743" i="1"/>
  <c r="U748" i="1"/>
  <c r="Z828" i="1"/>
  <c r="X807" i="1"/>
  <c r="I817" i="1"/>
  <c r="Z848" i="1"/>
  <c r="W848" i="1"/>
  <c r="X848" i="1" s="1"/>
  <c r="Z753" i="1"/>
  <c r="S781" i="1"/>
  <c r="S817" i="1"/>
  <c r="Z844" i="1"/>
  <c r="Z769" i="1"/>
  <c r="U781" i="1"/>
  <c r="U822" i="1"/>
  <c r="W827" i="1"/>
  <c r="AA827" i="1" s="1"/>
  <c r="Z835" i="1"/>
  <c r="U835" i="1" s="1"/>
  <c r="Z763" i="1"/>
  <c r="U766" i="1"/>
  <c r="AA779" i="1"/>
  <c r="Z765" i="1"/>
  <c r="L803" i="1"/>
  <c r="T803" i="1" s="1"/>
  <c r="Z803" i="1" s="1"/>
  <c r="U803" i="1" s="1"/>
  <c r="G809" i="1"/>
  <c r="K817" i="1"/>
  <c r="K743" i="1"/>
  <c r="W776" i="1"/>
  <c r="X776" i="1" s="1"/>
  <c r="U778" i="1"/>
  <c r="I788" i="1"/>
  <c r="U798" i="1"/>
  <c r="L810" i="1"/>
  <c r="T810" i="1" s="1"/>
  <c r="Z810" i="1" s="1"/>
  <c r="U810" i="1" s="1"/>
  <c r="U825" i="1"/>
  <c r="X751" i="1"/>
  <c r="Z758" i="1"/>
  <c r="W760" i="1"/>
  <c r="X760" i="1" s="1"/>
  <c r="AA766" i="1"/>
  <c r="U779" i="1"/>
  <c r="Z784" i="1"/>
  <c r="S788" i="1"/>
  <c r="W792" i="1"/>
  <c r="X792" i="1" s="1"/>
  <c r="W804" i="1"/>
  <c r="X804" i="1" s="1"/>
  <c r="X805" i="1"/>
  <c r="U821" i="1"/>
  <c r="M829" i="1"/>
  <c r="W829" i="1" s="1"/>
  <c r="X829" i="1" s="1"/>
  <c r="J832" i="1"/>
  <c r="U834" i="1"/>
  <c r="U837" i="1"/>
  <c r="Z843" i="1"/>
  <c r="G781" i="1"/>
  <c r="G782" i="1" s="1"/>
  <c r="S743" i="1"/>
  <c r="AH752" i="1"/>
  <c r="AA758" i="1"/>
  <c r="X785" i="1"/>
  <c r="U797" i="1"/>
  <c r="AA798" i="1"/>
  <c r="AA809" i="1"/>
  <c r="W838" i="1"/>
  <c r="AA838" i="1" s="1"/>
  <c r="Z840" i="1"/>
  <c r="G743" i="1"/>
  <c r="Q743" i="1"/>
  <c r="AA750" i="1"/>
  <c r="U756" i="1"/>
  <c r="Z757" i="1"/>
  <c r="AA759" i="1"/>
  <c r="U762" i="1"/>
  <c r="X765" i="1"/>
  <c r="AA767" i="1"/>
  <c r="X768" i="1"/>
  <c r="X769" i="1"/>
  <c r="U772" i="1"/>
  <c r="U773" i="1"/>
  <c r="X775" i="1"/>
  <c r="U777" i="1"/>
  <c r="U783" i="1"/>
  <c r="Z783" i="1" s="1"/>
  <c r="X784" i="1"/>
  <c r="U786" i="1"/>
  <c r="X791" i="1"/>
  <c r="K788" i="1"/>
  <c r="AA794" i="1"/>
  <c r="X802" i="1"/>
  <c r="M806" i="1"/>
  <c r="W806" i="1" s="1"/>
  <c r="AA806" i="1" s="1"/>
  <c r="X812" i="1"/>
  <c r="U815" i="1"/>
  <c r="Z818" i="1"/>
  <c r="X824" i="1"/>
  <c r="X826" i="1"/>
  <c r="AA828" i="1"/>
  <c r="AA836" i="1"/>
  <c r="M837" i="1"/>
  <c r="W837" i="1" s="1"/>
  <c r="AA837" i="1" s="1"/>
  <c r="U838" i="1"/>
  <c r="AA839" i="1"/>
  <c r="AA843" i="1"/>
  <c r="AA851" i="1"/>
  <c r="U854" i="1"/>
  <c r="AA757" i="1"/>
  <c r="W790" i="1"/>
  <c r="X790" i="1" s="1"/>
  <c r="W795" i="1"/>
  <c r="X795" i="1" s="1"/>
  <c r="T832" i="1"/>
  <c r="W846" i="1"/>
  <c r="X846" i="1" s="1"/>
  <c r="Z800" i="1"/>
  <c r="U750" i="1"/>
  <c r="O743" i="1"/>
  <c r="AA756" i="1"/>
  <c r="U767" i="1"/>
  <c r="AA770" i="1"/>
  <c r="W771" i="1"/>
  <c r="AA771" i="1" s="1"/>
  <c r="AA778" i="1"/>
  <c r="W783" i="1"/>
  <c r="X783" i="1" s="1"/>
  <c r="X787" i="1"/>
  <c r="M788" i="1"/>
  <c r="Q788" i="1"/>
  <c r="U794" i="1"/>
  <c r="L813" i="1"/>
  <c r="T813" i="1" s="1"/>
  <c r="U813" i="1" s="1"/>
  <c r="Z817" i="1"/>
  <c r="U819" i="1"/>
  <c r="U826" i="1"/>
  <c r="Z829" i="1"/>
  <c r="X843" i="1"/>
  <c r="U849" i="1"/>
  <c r="Z853" i="1"/>
  <c r="U856" i="1"/>
  <c r="W811" i="1"/>
  <c r="M810" i="1"/>
  <c r="W810" i="1" s="1"/>
  <c r="X810" i="1" s="1"/>
  <c r="AA816" i="1"/>
  <c r="X816" i="1"/>
  <c r="W842" i="1"/>
  <c r="X842" i="1" s="1"/>
  <c r="O841" i="1"/>
  <c r="W841" i="1" s="1"/>
  <c r="X841" i="1" s="1"/>
  <c r="I852" i="1"/>
  <c r="U752" i="1"/>
  <c r="U755" i="1"/>
  <c r="U761" i="1"/>
  <c r="U770" i="1"/>
  <c r="W797" i="1"/>
  <c r="X797" i="1" s="1"/>
  <c r="X808" i="1"/>
  <c r="AA808" i="1"/>
  <c r="W814" i="1"/>
  <c r="M813" i="1"/>
  <c r="W813" i="1" s="1"/>
  <c r="X813" i="1" s="1"/>
  <c r="U820" i="1"/>
  <c r="Z820" i="1"/>
  <c r="Z824" i="1"/>
  <c r="W752" i="1"/>
  <c r="Z771" i="1"/>
  <c r="AA773" i="1"/>
  <c r="X774" i="1"/>
  <c r="Z791" i="1"/>
  <c r="U795" i="1"/>
  <c r="U799" i="1"/>
  <c r="Z799" i="1"/>
  <c r="W800" i="1"/>
  <c r="X800" i="1" s="1"/>
  <c r="X803" i="1"/>
  <c r="U814" i="1"/>
  <c r="W820" i="1"/>
  <c r="X820" i="1" s="1"/>
  <c r="X825" i="1"/>
  <c r="U833" i="1"/>
  <c r="Z833" i="1"/>
  <c r="AA847" i="1"/>
  <c r="X847" i="1"/>
  <c r="I848" i="1"/>
  <c r="W849" i="1"/>
  <c r="X849" i="1" s="1"/>
  <c r="Z851" i="1"/>
  <c r="U851" i="1"/>
  <c r="W853" i="1"/>
  <c r="X853" i="1" s="1"/>
  <c r="AA855" i="1"/>
  <c r="X855" i="1"/>
  <c r="U857" i="1"/>
  <c r="Z857" i="1"/>
  <c r="U850" i="1"/>
  <c r="Z850" i="1"/>
  <c r="W748" i="1"/>
  <c r="U759" i="1"/>
  <c r="Z751" i="1"/>
  <c r="Z754" i="1"/>
  <c r="U754" i="1"/>
  <c r="Z764" i="1"/>
  <c r="U764" i="1"/>
  <c r="Z775" i="1"/>
  <c r="Z785" i="1"/>
  <c r="U816" i="1"/>
  <c r="Z816" i="1"/>
  <c r="U827" i="1"/>
  <c r="Z827" i="1"/>
  <c r="Z839" i="1"/>
  <c r="U839" i="1"/>
  <c r="AH845" i="1"/>
  <c r="X844" i="1"/>
  <c r="AH844" i="1"/>
  <c r="AA844" i="1"/>
  <c r="X854" i="1"/>
  <c r="AA854" i="1"/>
  <c r="Z792" i="1"/>
  <c r="I841" i="1"/>
  <c r="W845" i="1"/>
  <c r="X845" i="1" s="1"/>
  <c r="X850" i="1"/>
  <c r="Z855" i="1"/>
  <c r="X857" i="1"/>
  <c r="Z743" i="1"/>
  <c r="Z760" i="1"/>
  <c r="Z768" i="1"/>
  <c r="Z774" i="1"/>
  <c r="Z776" i="1"/>
  <c r="Z780" i="1"/>
  <c r="Z786" i="1"/>
  <c r="Z787" i="1"/>
  <c r="W801" i="1"/>
  <c r="AA807" i="1"/>
  <c r="Z823" i="1"/>
  <c r="X840" i="1"/>
  <c r="M852" i="1"/>
  <c r="W852" i="1" s="1"/>
  <c r="X852" i="1" s="1"/>
  <c r="AA856" i="1"/>
  <c r="X838" i="1" l="1"/>
  <c r="AA783" i="1"/>
  <c r="Z832" i="1"/>
  <c r="U832" i="1" s="1"/>
  <c r="W817" i="1"/>
  <c r="X817" i="1" s="1"/>
  <c r="AA804" i="1"/>
  <c r="X806" i="1"/>
  <c r="X837" i="1"/>
  <c r="W781" i="1"/>
  <c r="X781" i="1" s="1"/>
  <c r="AA820" i="1"/>
  <c r="AA832" i="1"/>
  <c r="AA776" i="1"/>
  <c r="AA760" i="1"/>
  <c r="X771" i="1"/>
  <c r="AA786" i="1"/>
  <c r="AA842" i="1"/>
  <c r="AA795" i="1"/>
  <c r="AA848" i="1"/>
  <c r="X827" i="1"/>
  <c r="AA790" i="1"/>
  <c r="W788" i="1"/>
  <c r="X788" i="1" s="1"/>
  <c r="AA813" i="1"/>
  <c r="AA792" i="1"/>
  <c r="W743" i="1"/>
  <c r="X743" i="1" s="1"/>
  <c r="AH743" i="1"/>
  <c r="AA846" i="1"/>
  <c r="AA829" i="1"/>
  <c r="Z813" i="1"/>
  <c r="AA841" i="1"/>
  <c r="AA849" i="1"/>
  <c r="AA801" i="1"/>
  <c r="X801" i="1"/>
  <c r="AA800" i="1"/>
  <c r="X814" i="1"/>
  <c r="AA814" i="1"/>
  <c r="AA852" i="1"/>
  <c r="AA845" i="1"/>
  <c r="X811" i="1"/>
  <c r="AA811" i="1"/>
  <c r="X748" i="1"/>
  <c r="AA748" i="1"/>
  <c r="X752" i="1"/>
  <c r="AA752" i="1"/>
  <c r="AA810" i="1"/>
  <c r="AA797" i="1"/>
  <c r="AA853" i="1"/>
  <c r="AA817" i="1" l="1"/>
  <c r="AA781" i="1"/>
  <c r="AA788" i="1"/>
  <c r="AA743" i="1"/>
  <c r="X747" i="1"/>
  <c r="X746" i="1"/>
  <c r="X744" i="1"/>
  <c r="X745" i="1"/>
  <c r="W647" i="1"/>
  <c r="X647" i="1" s="1"/>
  <c r="T647" i="1"/>
  <c r="W646" i="1"/>
  <c r="T646" i="1"/>
  <c r="Z646" i="1" s="1"/>
  <c r="AB646" i="1" s="1"/>
  <c r="W645" i="1"/>
  <c r="X645" i="1" s="1"/>
  <c r="T645" i="1"/>
  <c r="Z645" i="1" s="1"/>
  <c r="AB645" i="1" s="1"/>
  <c r="W644" i="1"/>
  <c r="X644" i="1" s="1"/>
  <c r="T644" i="1"/>
  <c r="Z644" i="1" s="1"/>
  <c r="AB644" i="1" s="1"/>
  <c r="W643" i="1"/>
  <c r="X643" i="1" s="1"/>
  <c r="T643" i="1"/>
  <c r="Z643" i="1" s="1"/>
  <c r="AB643" i="1" s="1"/>
  <c r="W642" i="1"/>
  <c r="T642" i="1"/>
  <c r="Z642" i="1" s="1"/>
  <c r="AB642" i="1" s="1"/>
  <c r="W641" i="1"/>
  <c r="X641" i="1" s="1"/>
  <c r="T641" i="1"/>
  <c r="W640" i="1"/>
  <c r="X640" i="1" s="1"/>
  <c r="T640" i="1"/>
  <c r="W639" i="1"/>
  <c r="X639" i="1" s="1"/>
  <c r="T639" i="1"/>
  <c r="Z639" i="1" s="1"/>
  <c r="AB639" i="1" s="1"/>
  <c r="W638" i="1"/>
  <c r="T638" i="1"/>
  <c r="Z638" i="1" s="1"/>
  <c r="AB638" i="1" s="1"/>
  <c r="W637" i="1"/>
  <c r="T637" i="1"/>
  <c r="Z637" i="1" s="1"/>
  <c r="AB637" i="1" s="1"/>
  <c r="W636" i="1"/>
  <c r="X636" i="1" s="1"/>
  <c r="T636" i="1"/>
  <c r="Z636" i="1" s="1"/>
  <c r="AB636" i="1" s="1"/>
  <c r="W635" i="1"/>
  <c r="T635" i="1"/>
  <c r="Z635" i="1" s="1"/>
  <c r="AB635" i="1" s="1"/>
  <c r="W634" i="1"/>
  <c r="T634" i="1"/>
  <c r="W633" i="1"/>
  <c r="X633" i="1" s="1"/>
  <c r="T633" i="1"/>
  <c r="W632" i="1"/>
  <c r="X632" i="1" s="1"/>
  <c r="T632" i="1"/>
  <c r="Z632" i="1" s="1"/>
  <c r="AB632" i="1" s="1"/>
  <c r="W631" i="1"/>
  <c r="X631" i="1" s="1"/>
  <c r="T631" i="1"/>
  <c r="Z631" i="1" s="1"/>
  <c r="AB631" i="1" s="1"/>
  <c r="W630" i="1"/>
  <c r="T630" i="1"/>
  <c r="W629" i="1"/>
  <c r="X629" i="1" s="1"/>
  <c r="T629" i="1"/>
  <c r="T628" i="1"/>
  <c r="U628" i="1" s="1"/>
  <c r="Q628" i="1"/>
  <c r="S628" i="1" s="1"/>
  <c r="S627" i="1" s="1"/>
  <c r="S622" i="1" s="1"/>
  <c r="T627" i="1"/>
  <c r="O627" i="1"/>
  <c r="M627" i="1"/>
  <c r="K627" i="1"/>
  <c r="I627" i="1"/>
  <c r="G627" i="1"/>
  <c r="T626" i="1"/>
  <c r="Z626" i="1" s="1"/>
  <c r="AB626" i="1" s="1"/>
  <c r="Q626" i="1"/>
  <c r="G626" i="1"/>
  <c r="G625" i="1" s="1"/>
  <c r="T625" i="1"/>
  <c r="O625" i="1"/>
  <c r="M625" i="1"/>
  <c r="K625" i="1"/>
  <c r="I625" i="1"/>
  <c r="T624" i="1"/>
  <c r="S624" i="1"/>
  <c r="W624" i="1" s="1"/>
  <c r="T623" i="1"/>
  <c r="U623" i="1" s="1"/>
  <c r="Q623" i="1"/>
  <c r="O623" i="1"/>
  <c r="M623" i="1"/>
  <c r="K623" i="1"/>
  <c r="I623" i="1"/>
  <c r="G623" i="1"/>
  <c r="T622" i="1"/>
  <c r="T621" i="1"/>
  <c r="U621" i="1" s="1"/>
  <c r="S621" i="1"/>
  <c r="Q620" i="1"/>
  <c r="O620" i="1"/>
  <c r="N620" i="1"/>
  <c r="T620" i="1" s="1"/>
  <c r="Z620" i="1" s="1"/>
  <c r="AB620" i="1" s="1"/>
  <c r="M620" i="1"/>
  <c r="K620" i="1"/>
  <c r="T619" i="1"/>
  <c r="U619" i="1" s="1"/>
  <c r="S619" i="1"/>
  <c r="W619" i="1" s="1"/>
  <c r="AA619" i="1" s="1"/>
  <c r="AD619" i="1" s="1"/>
  <c r="E619" i="1"/>
  <c r="T618" i="1"/>
  <c r="Z618" i="1" s="1"/>
  <c r="U618" i="1" s="1"/>
  <c r="Q618" i="1"/>
  <c r="O618" i="1"/>
  <c r="M618" i="1"/>
  <c r="K618" i="1"/>
  <c r="E618" i="1"/>
  <c r="T617" i="1"/>
  <c r="S617" i="1"/>
  <c r="T616" i="1"/>
  <c r="U616" i="1" s="1"/>
  <c r="Q616" i="1"/>
  <c r="O616" i="1"/>
  <c r="M616" i="1"/>
  <c r="K616" i="1"/>
  <c r="I616" i="1"/>
  <c r="G616" i="1"/>
  <c r="T615" i="1"/>
  <c r="U615" i="1" s="1"/>
  <c r="Q615" i="1"/>
  <c r="Q614" i="1" s="1"/>
  <c r="E615" i="1"/>
  <c r="O614" i="1"/>
  <c r="N614" i="1"/>
  <c r="T614" i="1" s="1"/>
  <c r="Z614" i="1" s="1"/>
  <c r="M614" i="1"/>
  <c r="K614" i="1"/>
  <c r="I614" i="1"/>
  <c r="G614" i="1"/>
  <c r="W613" i="1"/>
  <c r="T613" i="1"/>
  <c r="U613" i="1" s="1"/>
  <c r="S612" i="1"/>
  <c r="Q612" i="1"/>
  <c r="P612" i="1"/>
  <c r="O612" i="1"/>
  <c r="N612" i="1"/>
  <c r="M612" i="1"/>
  <c r="K612" i="1"/>
  <c r="I612" i="1"/>
  <c r="G612" i="1"/>
  <c r="T611" i="1"/>
  <c r="T610" i="1"/>
  <c r="S610" i="1"/>
  <c r="S609" i="1" s="1"/>
  <c r="E610" i="1"/>
  <c r="T609" i="1"/>
  <c r="Z609" i="1" s="1"/>
  <c r="AB609" i="1" s="1"/>
  <c r="Q609" i="1"/>
  <c r="O609" i="1"/>
  <c r="M609" i="1"/>
  <c r="K609" i="1"/>
  <c r="I609" i="1"/>
  <c r="G609" i="1"/>
  <c r="W608" i="1"/>
  <c r="T608" i="1"/>
  <c r="W607" i="1"/>
  <c r="T607" i="1"/>
  <c r="W606" i="1"/>
  <c r="X606" i="1" s="1"/>
  <c r="T606" i="1"/>
  <c r="Z605" i="1"/>
  <c r="AB605" i="1" s="1"/>
  <c r="W605" i="1"/>
  <c r="X605" i="1" s="1"/>
  <c r="U605" i="1"/>
  <c r="W604" i="1"/>
  <c r="T604" i="1"/>
  <c r="U604" i="1" s="1"/>
  <c r="W603" i="1"/>
  <c r="T603" i="1"/>
  <c r="U603" i="1" s="1"/>
  <c r="W602" i="1"/>
  <c r="T602" i="1"/>
  <c r="Z602" i="1" s="1"/>
  <c r="AB602" i="1" s="1"/>
  <c r="W601" i="1"/>
  <c r="T601" i="1"/>
  <c r="W600" i="1"/>
  <c r="T600" i="1"/>
  <c r="U600" i="1" s="1"/>
  <c r="W599" i="1"/>
  <c r="X599" i="1" s="1"/>
  <c r="T599" i="1"/>
  <c r="W598" i="1"/>
  <c r="T598" i="1"/>
  <c r="U598" i="1" s="1"/>
  <c r="W597" i="1"/>
  <c r="X597" i="1" s="1"/>
  <c r="T597" i="1"/>
  <c r="W596" i="1"/>
  <c r="T596" i="1"/>
  <c r="U596" i="1" s="1"/>
  <c r="W595" i="1"/>
  <c r="X595" i="1" s="1"/>
  <c r="T595" i="1"/>
  <c r="W594" i="1"/>
  <c r="T594" i="1"/>
  <c r="U594" i="1" s="1"/>
  <c r="W593" i="1"/>
  <c r="T593" i="1"/>
  <c r="W592" i="1"/>
  <c r="T592" i="1"/>
  <c r="U592" i="1" s="1"/>
  <c r="W591" i="1"/>
  <c r="X591" i="1" s="1"/>
  <c r="T591" i="1"/>
  <c r="W590" i="1"/>
  <c r="T590" i="1"/>
  <c r="U590" i="1" s="1"/>
  <c r="W589" i="1"/>
  <c r="X589" i="1" s="1"/>
  <c r="T589" i="1"/>
  <c r="W588" i="1"/>
  <c r="T588" i="1"/>
  <c r="U588" i="1" s="1"/>
  <c r="T587" i="1"/>
  <c r="M587" i="1"/>
  <c r="O587" i="1" s="1"/>
  <c r="O586" i="1" s="1"/>
  <c r="T586" i="1"/>
  <c r="Z586" i="1" s="1"/>
  <c r="AB586" i="1" s="1"/>
  <c r="K586" i="1"/>
  <c r="I586" i="1"/>
  <c r="G586" i="1"/>
  <c r="T585" i="1"/>
  <c r="T584" i="1"/>
  <c r="Q584" i="1"/>
  <c r="T583" i="1"/>
  <c r="U583" i="1" s="1"/>
  <c r="S583" i="1"/>
  <c r="W583" i="1" s="1"/>
  <c r="T582" i="1"/>
  <c r="Z582" i="1" s="1"/>
  <c r="AB582" i="1" s="1"/>
  <c r="O582" i="1"/>
  <c r="M582" i="1"/>
  <c r="K582" i="1"/>
  <c r="I582" i="1"/>
  <c r="G582" i="1"/>
  <c r="T581" i="1"/>
  <c r="Z581" i="1" s="1"/>
  <c r="AB581" i="1" s="1"/>
  <c r="S581" i="1"/>
  <c r="W581" i="1" s="1"/>
  <c r="G581" i="1"/>
  <c r="G579" i="1" s="1"/>
  <c r="W580" i="1"/>
  <c r="T580" i="1"/>
  <c r="Z580" i="1" s="1"/>
  <c r="E580" i="1"/>
  <c r="T579" i="1"/>
  <c r="U579" i="1" s="1"/>
  <c r="Q579" i="1"/>
  <c r="O579" i="1"/>
  <c r="M579" i="1"/>
  <c r="K579" i="1"/>
  <c r="I579" i="1"/>
  <c r="AA578" i="1"/>
  <c r="AD578" i="1" s="1"/>
  <c r="Z578" i="1"/>
  <c r="AB578" i="1" s="1"/>
  <c r="W577" i="1"/>
  <c r="T577" i="1"/>
  <c r="U577" i="1" s="1"/>
  <c r="T576" i="1"/>
  <c r="U576" i="1" s="1"/>
  <c r="Q576" i="1"/>
  <c r="S576" i="1" s="1"/>
  <c r="W575" i="1"/>
  <c r="X575" i="1" s="1"/>
  <c r="T575" i="1"/>
  <c r="U575" i="1" s="1"/>
  <c r="W574" i="1"/>
  <c r="X574" i="1" s="1"/>
  <c r="T574" i="1"/>
  <c r="U574" i="1" s="1"/>
  <c r="W573" i="1"/>
  <c r="X573" i="1" s="1"/>
  <c r="T573" i="1"/>
  <c r="W572" i="1"/>
  <c r="X572" i="1" s="1"/>
  <c r="T572" i="1"/>
  <c r="U572" i="1" s="1"/>
  <c r="W571" i="1"/>
  <c r="X571" i="1" s="1"/>
  <c r="T571" i="1"/>
  <c r="U571" i="1" s="1"/>
  <c r="W570" i="1"/>
  <c r="X570" i="1" s="1"/>
  <c r="T570" i="1"/>
  <c r="U570" i="1" s="1"/>
  <c r="W569" i="1"/>
  <c r="X569" i="1" s="1"/>
  <c r="T569" i="1"/>
  <c r="W568" i="1"/>
  <c r="X568" i="1" s="1"/>
  <c r="T568" i="1"/>
  <c r="U568" i="1" s="1"/>
  <c r="W567" i="1"/>
  <c r="X567" i="1" s="1"/>
  <c r="T567" i="1"/>
  <c r="W566" i="1"/>
  <c r="X566" i="1" s="1"/>
  <c r="T566" i="1"/>
  <c r="W565" i="1"/>
  <c r="X565" i="1" s="1"/>
  <c r="T565" i="1"/>
  <c r="W564" i="1"/>
  <c r="X564" i="1" s="1"/>
  <c r="T564" i="1"/>
  <c r="U564" i="1" s="1"/>
  <c r="W563" i="1"/>
  <c r="X563" i="1" s="1"/>
  <c r="T563" i="1"/>
  <c r="U563" i="1" s="1"/>
  <c r="W562" i="1"/>
  <c r="X562" i="1" s="1"/>
  <c r="T562" i="1"/>
  <c r="U562" i="1" s="1"/>
  <c r="W561" i="1"/>
  <c r="X561" i="1" s="1"/>
  <c r="T561" i="1"/>
  <c r="W560" i="1"/>
  <c r="X560" i="1" s="1"/>
  <c r="T560" i="1"/>
  <c r="U560" i="1" s="1"/>
  <c r="W559" i="1"/>
  <c r="X559" i="1" s="1"/>
  <c r="T559" i="1"/>
  <c r="W558" i="1"/>
  <c r="X558" i="1" s="1"/>
  <c r="T558" i="1"/>
  <c r="W557" i="1"/>
  <c r="X557" i="1" s="1"/>
  <c r="T557" i="1"/>
  <c r="AD556" i="1"/>
  <c r="W556" i="1"/>
  <c r="T556" i="1"/>
  <c r="U556" i="1" s="1"/>
  <c r="W555" i="1"/>
  <c r="T555" i="1"/>
  <c r="U555" i="1" s="1"/>
  <c r="T554" i="1"/>
  <c r="U554" i="1" s="1"/>
  <c r="O554" i="1"/>
  <c r="Q554" i="1" s="1"/>
  <c r="S554" i="1" s="1"/>
  <c r="E554" i="1"/>
  <c r="W553" i="1"/>
  <c r="T553" i="1"/>
  <c r="U553" i="1" s="1"/>
  <c r="G553" i="1"/>
  <c r="T552" i="1"/>
  <c r="Z552" i="1" s="1"/>
  <c r="AB552" i="1" s="1"/>
  <c r="S552" i="1"/>
  <c r="O552" i="1"/>
  <c r="W551" i="1"/>
  <c r="X551" i="1" s="1"/>
  <c r="T551" i="1"/>
  <c r="W550" i="1"/>
  <c r="X550" i="1" s="1"/>
  <c r="T550" i="1"/>
  <c r="Z550" i="1" s="1"/>
  <c r="AB550" i="1" s="1"/>
  <c r="W549" i="1"/>
  <c r="T549" i="1"/>
  <c r="Z549" i="1" s="1"/>
  <c r="AB549" i="1" s="1"/>
  <c r="W548" i="1"/>
  <c r="T548" i="1"/>
  <c r="Z548" i="1" s="1"/>
  <c r="AB548" i="1" s="1"/>
  <c r="W547" i="1"/>
  <c r="AA547" i="1" s="1"/>
  <c r="AD547" i="1" s="1"/>
  <c r="T547" i="1"/>
  <c r="W546" i="1"/>
  <c r="X546" i="1" s="1"/>
  <c r="T546" i="1"/>
  <c r="Z546" i="1" s="1"/>
  <c r="AB546" i="1" s="1"/>
  <c r="W545" i="1"/>
  <c r="T545" i="1"/>
  <c r="Z545" i="1" s="1"/>
  <c r="AB545" i="1" s="1"/>
  <c r="W544" i="1"/>
  <c r="AA544" i="1" s="1"/>
  <c r="AD544" i="1" s="1"/>
  <c r="T544" i="1"/>
  <c r="Z544" i="1" s="1"/>
  <c r="AB544" i="1" s="1"/>
  <c r="W543" i="1"/>
  <c r="AA543" i="1" s="1"/>
  <c r="AD543" i="1" s="1"/>
  <c r="T543" i="1"/>
  <c r="W542" i="1"/>
  <c r="X542" i="1" s="1"/>
  <c r="T542" i="1"/>
  <c r="W541" i="1"/>
  <c r="T541" i="1"/>
  <c r="Z541" i="1" s="1"/>
  <c r="AB541" i="1" s="1"/>
  <c r="W540" i="1"/>
  <c r="AA540" i="1" s="1"/>
  <c r="AD540" i="1" s="1"/>
  <c r="T540" i="1"/>
  <c r="Z540" i="1" s="1"/>
  <c r="AB540" i="1" s="1"/>
  <c r="W539" i="1"/>
  <c r="AA539" i="1" s="1"/>
  <c r="AD539" i="1" s="1"/>
  <c r="T539" i="1"/>
  <c r="W538" i="1"/>
  <c r="X538" i="1" s="1"/>
  <c r="T538" i="1"/>
  <c r="Z538" i="1" s="1"/>
  <c r="AB538" i="1" s="1"/>
  <c r="W537" i="1"/>
  <c r="T537" i="1"/>
  <c r="Z537" i="1" s="1"/>
  <c r="AB537" i="1" s="1"/>
  <c r="W536" i="1"/>
  <c r="AA536" i="1" s="1"/>
  <c r="AD536" i="1" s="1"/>
  <c r="T536" i="1"/>
  <c r="Z536" i="1" s="1"/>
  <c r="AB536" i="1" s="1"/>
  <c r="W535" i="1"/>
  <c r="AA535" i="1" s="1"/>
  <c r="AD535" i="1" s="1"/>
  <c r="T535" i="1"/>
  <c r="W534" i="1"/>
  <c r="X534" i="1" s="1"/>
  <c r="T534" i="1"/>
  <c r="Z534" i="1" s="1"/>
  <c r="AB534" i="1" s="1"/>
  <c r="W533" i="1"/>
  <c r="T533" i="1"/>
  <c r="Z533" i="1" s="1"/>
  <c r="AB533" i="1" s="1"/>
  <c r="W532" i="1"/>
  <c r="AA532" i="1" s="1"/>
  <c r="AD532" i="1" s="1"/>
  <c r="T532" i="1"/>
  <c r="Z532" i="1" s="1"/>
  <c r="AB532" i="1" s="1"/>
  <c r="W531" i="1"/>
  <c r="X531" i="1" s="1"/>
  <c r="T531" i="1"/>
  <c r="T530" i="1"/>
  <c r="Z530" i="1" s="1"/>
  <c r="Q530" i="1"/>
  <c r="E530" i="1"/>
  <c r="W529" i="1"/>
  <c r="X529" i="1" s="1"/>
  <c r="T529" i="1"/>
  <c r="W528" i="1"/>
  <c r="X528" i="1" s="1"/>
  <c r="T528" i="1"/>
  <c r="U528" i="1" s="1"/>
  <c r="W527" i="1"/>
  <c r="X527" i="1" s="1"/>
  <c r="T527" i="1"/>
  <c r="W526" i="1"/>
  <c r="T526" i="1"/>
  <c r="U526" i="1" s="1"/>
  <c r="W525" i="1"/>
  <c r="T525" i="1"/>
  <c r="U525" i="1" s="1"/>
  <c r="W524" i="1"/>
  <c r="T524" i="1"/>
  <c r="W523" i="1"/>
  <c r="T523" i="1"/>
  <c r="W522" i="1"/>
  <c r="T522" i="1"/>
  <c r="U522" i="1" s="1"/>
  <c r="W521" i="1"/>
  <c r="T521" i="1"/>
  <c r="U521" i="1" s="1"/>
  <c r="W520" i="1"/>
  <c r="T520" i="1"/>
  <c r="W519" i="1"/>
  <c r="T519" i="1"/>
  <c r="W518" i="1"/>
  <c r="T518" i="1"/>
  <c r="U518" i="1" s="1"/>
  <c r="W517" i="1"/>
  <c r="T517" i="1"/>
  <c r="U517" i="1" s="1"/>
  <c r="W516" i="1"/>
  <c r="T516" i="1"/>
  <c r="T515" i="1"/>
  <c r="U515" i="1" s="1"/>
  <c r="O515" i="1"/>
  <c r="G515" i="1"/>
  <c r="W514" i="1"/>
  <c r="T514" i="1"/>
  <c r="U514" i="1" s="1"/>
  <c r="W513" i="1"/>
  <c r="T513" i="1"/>
  <c r="U513" i="1" s="1"/>
  <c r="W512" i="1"/>
  <c r="T512" i="1"/>
  <c r="U512" i="1" s="1"/>
  <c r="W511" i="1"/>
  <c r="T511" i="1"/>
  <c r="U511" i="1" s="1"/>
  <c r="W510" i="1"/>
  <c r="T510" i="1"/>
  <c r="U510" i="1" s="1"/>
  <c r="W509" i="1"/>
  <c r="T509" i="1"/>
  <c r="U509" i="1" s="1"/>
  <c r="W508" i="1"/>
  <c r="T508" i="1"/>
  <c r="U508" i="1" s="1"/>
  <c r="W507" i="1"/>
  <c r="X507" i="1" s="1"/>
  <c r="T507" i="1"/>
  <c r="W506" i="1"/>
  <c r="AA506" i="1" s="1"/>
  <c r="AD506" i="1" s="1"/>
  <c r="T506" i="1"/>
  <c r="W505" i="1"/>
  <c r="T505" i="1"/>
  <c r="Z505" i="1" s="1"/>
  <c r="AB505" i="1" s="1"/>
  <c r="W504" i="1"/>
  <c r="AA504" i="1" s="1"/>
  <c r="AD504" i="1" s="1"/>
  <c r="T504" i="1"/>
  <c r="W503" i="1"/>
  <c r="T503" i="1"/>
  <c r="Z503" i="1" s="1"/>
  <c r="AB503" i="1" s="1"/>
  <c r="W502" i="1"/>
  <c r="X502" i="1" s="1"/>
  <c r="T502" i="1"/>
  <c r="W501" i="1"/>
  <c r="T501" i="1"/>
  <c r="Z501" i="1" s="1"/>
  <c r="AB501" i="1" s="1"/>
  <c r="W500" i="1"/>
  <c r="X500" i="1" s="1"/>
  <c r="T500" i="1"/>
  <c r="W499" i="1"/>
  <c r="T499" i="1"/>
  <c r="Z499" i="1" s="1"/>
  <c r="AB499" i="1" s="1"/>
  <c r="W498" i="1"/>
  <c r="AA498" i="1" s="1"/>
  <c r="AD498" i="1" s="1"/>
  <c r="T498" i="1"/>
  <c r="W497" i="1"/>
  <c r="T497" i="1"/>
  <c r="Z497" i="1" s="1"/>
  <c r="AB497" i="1" s="1"/>
  <c r="W496" i="1"/>
  <c r="AA496" i="1" s="1"/>
  <c r="AD496" i="1" s="1"/>
  <c r="T496" i="1"/>
  <c r="W495" i="1"/>
  <c r="T495" i="1"/>
  <c r="Z495" i="1" s="1"/>
  <c r="AB495" i="1" s="1"/>
  <c r="W494" i="1"/>
  <c r="X494" i="1" s="1"/>
  <c r="T494" i="1"/>
  <c r="W493" i="1"/>
  <c r="T493" i="1"/>
  <c r="Z493" i="1" s="1"/>
  <c r="AB493" i="1" s="1"/>
  <c r="T492" i="1"/>
  <c r="O492" i="1"/>
  <c r="S492" i="1" s="1"/>
  <c r="G492" i="1"/>
  <c r="W491" i="1"/>
  <c r="AA491" i="1" s="1"/>
  <c r="AD491" i="1" s="1"/>
  <c r="T491" i="1"/>
  <c r="W490" i="1"/>
  <c r="AA490" i="1" s="1"/>
  <c r="AD490" i="1" s="1"/>
  <c r="T490" i="1"/>
  <c r="Z490" i="1" s="1"/>
  <c r="AB490" i="1" s="1"/>
  <c r="W489" i="1"/>
  <c r="X489" i="1" s="1"/>
  <c r="T489" i="1"/>
  <c r="Z489" i="1" s="1"/>
  <c r="AB489" i="1" s="1"/>
  <c r="W488" i="1"/>
  <c r="AA488" i="1" s="1"/>
  <c r="AD488" i="1" s="1"/>
  <c r="T488" i="1"/>
  <c r="Z488" i="1" s="1"/>
  <c r="AB488" i="1" s="1"/>
  <c r="W487" i="1"/>
  <c r="X487" i="1" s="1"/>
  <c r="T487" i="1"/>
  <c r="Z487" i="1" s="1"/>
  <c r="AB487" i="1" s="1"/>
  <c r="W486" i="1"/>
  <c r="AA486" i="1" s="1"/>
  <c r="AD486" i="1" s="1"/>
  <c r="T486" i="1"/>
  <c r="Z486" i="1" s="1"/>
  <c r="AB486" i="1" s="1"/>
  <c r="W485" i="1"/>
  <c r="X485" i="1" s="1"/>
  <c r="T485" i="1"/>
  <c r="Z485" i="1" s="1"/>
  <c r="AB485" i="1" s="1"/>
  <c r="W484" i="1"/>
  <c r="AA484" i="1" s="1"/>
  <c r="AD484" i="1" s="1"/>
  <c r="T484" i="1"/>
  <c r="Z484" i="1" s="1"/>
  <c r="AB484" i="1" s="1"/>
  <c r="W483" i="1"/>
  <c r="X483" i="1" s="1"/>
  <c r="T483" i="1"/>
  <c r="Z483" i="1" s="1"/>
  <c r="AB483" i="1" s="1"/>
  <c r="W482" i="1"/>
  <c r="AA482" i="1" s="1"/>
  <c r="AD482" i="1" s="1"/>
  <c r="T482" i="1"/>
  <c r="U482" i="1" s="1"/>
  <c r="W481" i="1"/>
  <c r="T481" i="1"/>
  <c r="U481" i="1" s="1"/>
  <c r="W480" i="1"/>
  <c r="AA480" i="1" s="1"/>
  <c r="AD480" i="1" s="1"/>
  <c r="T480" i="1"/>
  <c r="U480" i="1" s="1"/>
  <c r="W479" i="1"/>
  <c r="AA479" i="1" s="1"/>
  <c r="AD479" i="1" s="1"/>
  <c r="T479" i="1"/>
  <c r="U479" i="1" s="1"/>
  <c r="W478" i="1"/>
  <c r="AA478" i="1" s="1"/>
  <c r="AD478" i="1" s="1"/>
  <c r="T478" i="1"/>
  <c r="U478" i="1" s="1"/>
  <c r="W477" i="1"/>
  <c r="T477" i="1"/>
  <c r="U477" i="1" s="1"/>
  <c r="W476" i="1"/>
  <c r="AA476" i="1" s="1"/>
  <c r="AD476" i="1" s="1"/>
  <c r="T476" i="1"/>
  <c r="U476" i="1" s="1"/>
  <c r="W475" i="1"/>
  <c r="AA475" i="1" s="1"/>
  <c r="AD475" i="1" s="1"/>
  <c r="T475" i="1"/>
  <c r="U475" i="1" s="1"/>
  <c r="W474" i="1"/>
  <c r="AA474" i="1" s="1"/>
  <c r="AD474" i="1" s="1"/>
  <c r="T474" i="1"/>
  <c r="U474" i="1" s="1"/>
  <c r="W473" i="1"/>
  <c r="T473" i="1"/>
  <c r="U473" i="1" s="1"/>
  <c r="W472" i="1"/>
  <c r="AA472" i="1" s="1"/>
  <c r="AD472" i="1" s="1"/>
  <c r="T472" i="1"/>
  <c r="U472" i="1" s="1"/>
  <c r="W471" i="1"/>
  <c r="AA471" i="1" s="1"/>
  <c r="AD471" i="1" s="1"/>
  <c r="T471" i="1"/>
  <c r="U471" i="1" s="1"/>
  <c r="T470" i="1"/>
  <c r="U470" i="1" s="1"/>
  <c r="Q470" i="1"/>
  <c r="S470" i="1" s="1"/>
  <c r="W469" i="1"/>
  <c r="T469" i="1"/>
  <c r="Z469" i="1" s="1"/>
  <c r="AB469" i="1" s="1"/>
  <c r="W468" i="1"/>
  <c r="T468" i="1"/>
  <c r="Z468" i="1" s="1"/>
  <c r="AB468" i="1" s="1"/>
  <c r="W467" i="1"/>
  <c r="T467" i="1"/>
  <c r="Z467" i="1" s="1"/>
  <c r="AB467" i="1" s="1"/>
  <c r="W466" i="1"/>
  <c r="T466" i="1"/>
  <c r="Z466" i="1" s="1"/>
  <c r="AB466" i="1" s="1"/>
  <c r="W465" i="1"/>
  <c r="T465" i="1"/>
  <c r="Z465" i="1" s="1"/>
  <c r="AB465" i="1" s="1"/>
  <c r="W464" i="1"/>
  <c r="T464" i="1"/>
  <c r="W463" i="1"/>
  <c r="T463" i="1"/>
  <c r="W462" i="1"/>
  <c r="X462" i="1" s="1"/>
  <c r="T462" i="1"/>
  <c r="W461" i="1"/>
  <c r="T461" i="1"/>
  <c r="W460" i="1"/>
  <c r="X460" i="1" s="1"/>
  <c r="T460" i="1"/>
  <c r="W459" i="1"/>
  <c r="T459" i="1"/>
  <c r="W458" i="1"/>
  <c r="X458" i="1" s="1"/>
  <c r="T458" i="1"/>
  <c r="W457" i="1"/>
  <c r="T457" i="1"/>
  <c r="W456" i="1"/>
  <c r="X456" i="1" s="1"/>
  <c r="T456" i="1"/>
  <c r="W455" i="1"/>
  <c r="T455" i="1"/>
  <c r="W454" i="1"/>
  <c r="X454" i="1" s="1"/>
  <c r="T454" i="1"/>
  <c r="W453" i="1"/>
  <c r="T453" i="1"/>
  <c r="W452" i="1"/>
  <c r="X452" i="1" s="1"/>
  <c r="T452" i="1"/>
  <c r="W451" i="1"/>
  <c r="T451" i="1"/>
  <c r="W450" i="1"/>
  <c r="AA450" i="1" s="1"/>
  <c r="AD450" i="1" s="1"/>
  <c r="T450" i="1"/>
  <c r="Z450" i="1" s="1"/>
  <c r="AB450" i="1" s="1"/>
  <c r="W449" i="1"/>
  <c r="AA449" i="1" s="1"/>
  <c r="AD449" i="1" s="1"/>
  <c r="T449" i="1"/>
  <c r="U449" i="1" s="1"/>
  <c r="W448" i="1"/>
  <c r="AA448" i="1" s="1"/>
  <c r="AD448" i="1" s="1"/>
  <c r="T448" i="1"/>
  <c r="U448" i="1" s="1"/>
  <c r="W447" i="1"/>
  <c r="AA447" i="1" s="1"/>
  <c r="AD447" i="1" s="1"/>
  <c r="T447" i="1"/>
  <c r="U447" i="1" s="1"/>
  <c r="W446" i="1"/>
  <c r="AA446" i="1" s="1"/>
  <c r="AD446" i="1" s="1"/>
  <c r="T446" i="1"/>
  <c r="W445" i="1"/>
  <c r="T445" i="1"/>
  <c r="U445" i="1" s="1"/>
  <c r="W444" i="1"/>
  <c r="AA444" i="1" s="1"/>
  <c r="AD444" i="1" s="1"/>
  <c r="T444" i="1"/>
  <c r="U444" i="1" s="1"/>
  <c r="W443" i="1"/>
  <c r="AA443" i="1" s="1"/>
  <c r="AD443" i="1" s="1"/>
  <c r="T443" i="1"/>
  <c r="W442" i="1"/>
  <c r="AA442" i="1" s="1"/>
  <c r="AD442" i="1" s="1"/>
  <c r="T442" i="1"/>
  <c r="W441" i="1"/>
  <c r="AA441" i="1" s="1"/>
  <c r="AD441" i="1" s="1"/>
  <c r="T441" i="1"/>
  <c r="W440" i="1"/>
  <c r="AA440" i="1" s="1"/>
  <c r="AD440" i="1" s="1"/>
  <c r="T440" i="1"/>
  <c r="U440" i="1" s="1"/>
  <c r="W439" i="1"/>
  <c r="AA439" i="1" s="1"/>
  <c r="AD439" i="1" s="1"/>
  <c r="T439" i="1"/>
  <c r="W438" i="1"/>
  <c r="AA438" i="1" s="1"/>
  <c r="AD438" i="1" s="1"/>
  <c r="T438" i="1"/>
  <c r="W437" i="1"/>
  <c r="AA437" i="1" s="1"/>
  <c r="AD437" i="1" s="1"/>
  <c r="T437" i="1"/>
  <c r="W436" i="1"/>
  <c r="AA436" i="1" s="1"/>
  <c r="AD436" i="1" s="1"/>
  <c r="T436" i="1"/>
  <c r="U436" i="1" s="1"/>
  <c r="W435" i="1"/>
  <c r="AA435" i="1" s="1"/>
  <c r="AD435" i="1" s="1"/>
  <c r="T435" i="1"/>
  <c r="W434" i="1"/>
  <c r="AA434" i="1" s="1"/>
  <c r="AD434" i="1" s="1"/>
  <c r="T434" i="1"/>
  <c r="W433" i="1"/>
  <c r="AA433" i="1" s="1"/>
  <c r="AD433" i="1" s="1"/>
  <c r="T433" i="1"/>
  <c r="W432" i="1"/>
  <c r="AA432" i="1" s="1"/>
  <c r="AD432" i="1" s="1"/>
  <c r="T432" i="1"/>
  <c r="U432" i="1" s="1"/>
  <c r="W431" i="1"/>
  <c r="AA431" i="1" s="1"/>
  <c r="AD431" i="1" s="1"/>
  <c r="T431" i="1"/>
  <c r="W430" i="1"/>
  <c r="AA430" i="1" s="1"/>
  <c r="AD430" i="1" s="1"/>
  <c r="T430" i="1"/>
  <c r="T429" i="1"/>
  <c r="Q429" i="1"/>
  <c r="S429" i="1" s="1"/>
  <c r="W428" i="1"/>
  <c r="X428" i="1" s="1"/>
  <c r="T428" i="1"/>
  <c r="Z428" i="1" s="1"/>
  <c r="AB428" i="1" s="1"/>
  <c r="W427" i="1"/>
  <c r="X427" i="1" s="1"/>
  <c r="T427" i="1"/>
  <c r="Z427" i="1" s="1"/>
  <c r="AB427" i="1" s="1"/>
  <c r="W426" i="1"/>
  <c r="X426" i="1" s="1"/>
  <c r="T426" i="1"/>
  <c r="Z426" i="1" s="1"/>
  <c r="AB426" i="1" s="1"/>
  <c r="W425" i="1"/>
  <c r="T425" i="1"/>
  <c r="Z425" i="1" s="1"/>
  <c r="AB425" i="1" s="1"/>
  <c r="W424" i="1"/>
  <c r="T424" i="1"/>
  <c r="Z424" i="1" s="1"/>
  <c r="AB424" i="1" s="1"/>
  <c r="W423" i="1"/>
  <c r="X423" i="1" s="1"/>
  <c r="T423" i="1"/>
  <c r="Z423" i="1" s="1"/>
  <c r="AB423" i="1" s="1"/>
  <c r="W422" i="1"/>
  <c r="X422" i="1" s="1"/>
  <c r="T422" i="1"/>
  <c r="Z422" i="1" s="1"/>
  <c r="AB422" i="1" s="1"/>
  <c r="W421" i="1"/>
  <c r="T421" i="1"/>
  <c r="W420" i="1"/>
  <c r="X420" i="1" s="1"/>
  <c r="T420" i="1"/>
  <c r="W419" i="1"/>
  <c r="X419" i="1" s="1"/>
  <c r="T419" i="1"/>
  <c r="W418" i="1"/>
  <c r="X418" i="1" s="1"/>
  <c r="T418" i="1"/>
  <c r="W417" i="1"/>
  <c r="T417" i="1"/>
  <c r="Z417" i="1" s="1"/>
  <c r="AB417" i="1" s="1"/>
  <c r="W416" i="1"/>
  <c r="X416" i="1" s="1"/>
  <c r="T416" i="1"/>
  <c r="Z416" i="1" s="1"/>
  <c r="AB416" i="1" s="1"/>
  <c r="W415" i="1"/>
  <c r="X415" i="1" s="1"/>
  <c r="T415" i="1"/>
  <c r="Z415" i="1" s="1"/>
  <c r="AB415" i="1" s="1"/>
  <c r="W414" i="1"/>
  <c r="X414" i="1" s="1"/>
  <c r="T414" i="1"/>
  <c r="Z414" i="1" s="1"/>
  <c r="AB414" i="1" s="1"/>
  <c r="W413" i="1"/>
  <c r="T413" i="1"/>
  <c r="Z413" i="1" s="1"/>
  <c r="AB413" i="1" s="1"/>
  <c r="W412" i="1"/>
  <c r="T412" i="1"/>
  <c r="Z412" i="1" s="1"/>
  <c r="AB412" i="1" s="1"/>
  <c r="W411" i="1"/>
  <c r="X411" i="1" s="1"/>
  <c r="T411" i="1"/>
  <c r="Z411" i="1" s="1"/>
  <c r="AB411" i="1" s="1"/>
  <c r="W410" i="1"/>
  <c r="T410" i="1"/>
  <c r="Z410" i="1" s="1"/>
  <c r="AB410" i="1" s="1"/>
  <c r="W409" i="1"/>
  <c r="X409" i="1" s="1"/>
  <c r="T409" i="1"/>
  <c r="U409" i="1" s="1"/>
  <c r="T408" i="1"/>
  <c r="Z408" i="1" s="1"/>
  <c r="S408" i="1"/>
  <c r="W408" i="1" s="1"/>
  <c r="X408" i="1" s="1"/>
  <c r="E408" i="1"/>
  <c r="W407" i="1"/>
  <c r="T407" i="1"/>
  <c r="U407" i="1" s="1"/>
  <c r="W406" i="1"/>
  <c r="AA406" i="1" s="1"/>
  <c r="AD406" i="1" s="1"/>
  <c r="T406" i="1"/>
  <c r="W405" i="1"/>
  <c r="T405" i="1"/>
  <c r="W404" i="1"/>
  <c r="AA404" i="1" s="1"/>
  <c r="AD404" i="1" s="1"/>
  <c r="T404" i="1"/>
  <c r="U404" i="1" s="1"/>
  <c r="W403" i="1"/>
  <c r="T403" i="1"/>
  <c r="U403" i="1" s="1"/>
  <c r="W402" i="1"/>
  <c r="AA402" i="1" s="1"/>
  <c r="AD402" i="1" s="1"/>
  <c r="T402" i="1"/>
  <c r="W401" i="1"/>
  <c r="T401" i="1"/>
  <c r="W400" i="1"/>
  <c r="AA400" i="1" s="1"/>
  <c r="AD400" i="1" s="1"/>
  <c r="T400" i="1"/>
  <c r="U400" i="1" s="1"/>
  <c r="W399" i="1"/>
  <c r="T399" i="1"/>
  <c r="U399" i="1" s="1"/>
  <c r="W398" i="1"/>
  <c r="AA398" i="1" s="1"/>
  <c r="AD398" i="1" s="1"/>
  <c r="T398" i="1"/>
  <c r="W397" i="1"/>
  <c r="T397" i="1"/>
  <c r="W396" i="1"/>
  <c r="AA396" i="1" s="1"/>
  <c r="AD396" i="1" s="1"/>
  <c r="T396" i="1"/>
  <c r="U396" i="1" s="1"/>
  <c r="W395" i="1"/>
  <c r="T395" i="1"/>
  <c r="U395" i="1" s="1"/>
  <c r="W394" i="1"/>
  <c r="AA394" i="1" s="1"/>
  <c r="AD394" i="1" s="1"/>
  <c r="T394" i="1"/>
  <c r="W393" i="1"/>
  <c r="T393" i="1"/>
  <c r="W392" i="1"/>
  <c r="AA392" i="1" s="1"/>
  <c r="AD392" i="1" s="1"/>
  <c r="T392" i="1"/>
  <c r="U392" i="1" s="1"/>
  <c r="W391" i="1"/>
  <c r="T391" i="1"/>
  <c r="U391" i="1" s="1"/>
  <c r="W390" i="1"/>
  <c r="AA390" i="1" s="1"/>
  <c r="AD390" i="1" s="1"/>
  <c r="T390" i="1"/>
  <c r="T389" i="1"/>
  <c r="S389" i="1"/>
  <c r="W389" i="1" s="1"/>
  <c r="G389" i="1"/>
  <c r="E389" i="1"/>
  <c r="W388" i="1"/>
  <c r="AA388" i="1" s="1"/>
  <c r="AD388" i="1" s="1"/>
  <c r="T388" i="1"/>
  <c r="W387" i="1"/>
  <c r="T387" i="1"/>
  <c r="Z387" i="1" s="1"/>
  <c r="AB387" i="1" s="1"/>
  <c r="W386" i="1"/>
  <c r="X386" i="1" s="1"/>
  <c r="T386" i="1"/>
  <c r="Z386" i="1" s="1"/>
  <c r="AB386" i="1" s="1"/>
  <c r="W385" i="1"/>
  <c r="X385" i="1" s="1"/>
  <c r="T385" i="1"/>
  <c r="Z385" i="1" s="1"/>
  <c r="AB385" i="1" s="1"/>
  <c r="W384" i="1"/>
  <c r="T384" i="1"/>
  <c r="Z384" i="1" s="1"/>
  <c r="AB384" i="1" s="1"/>
  <c r="W383" i="1"/>
  <c r="T383" i="1"/>
  <c r="Z383" i="1" s="1"/>
  <c r="AB383" i="1" s="1"/>
  <c r="W382" i="1"/>
  <c r="AA382" i="1" s="1"/>
  <c r="AD382" i="1" s="1"/>
  <c r="T382" i="1"/>
  <c r="Z382" i="1" s="1"/>
  <c r="AB382" i="1" s="1"/>
  <c r="W381" i="1"/>
  <c r="X381" i="1" s="1"/>
  <c r="T381" i="1"/>
  <c r="Z381" i="1" s="1"/>
  <c r="AB381" i="1" s="1"/>
  <c r="W380" i="1"/>
  <c r="AA380" i="1" s="1"/>
  <c r="AD380" i="1" s="1"/>
  <c r="T380" i="1"/>
  <c r="W379" i="1"/>
  <c r="T379" i="1"/>
  <c r="Z379" i="1" s="1"/>
  <c r="AB379" i="1" s="1"/>
  <c r="W378" i="1"/>
  <c r="X378" i="1" s="1"/>
  <c r="T378" i="1"/>
  <c r="Z378" i="1" s="1"/>
  <c r="AB378" i="1" s="1"/>
  <c r="W377" i="1"/>
  <c r="X377" i="1" s="1"/>
  <c r="T377" i="1"/>
  <c r="Z377" i="1" s="1"/>
  <c r="AB377" i="1" s="1"/>
  <c r="W376" i="1"/>
  <c r="T376" i="1"/>
  <c r="Z376" i="1" s="1"/>
  <c r="AB376" i="1" s="1"/>
  <c r="W375" i="1"/>
  <c r="T375" i="1"/>
  <c r="Z375" i="1" s="1"/>
  <c r="AB375" i="1" s="1"/>
  <c r="W374" i="1"/>
  <c r="AA374" i="1" s="1"/>
  <c r="AD374" i="1" s="1"/>
  <c r="T374" i="1"/>
  <c r="Z374" i="1" s="1"/>
  <c r="AB374" i="1" s="1"/>
  <c r="W373" i="1"/>
  <c r="X373" i="1" s="1"/>
  <c r="T373" i="1"/>
  <c r="Z373" i="1" s="1"/>
  <c r="AB373" i="1" s="1"/>
  <c r="W372" i="1"/>
  <c r="AA372" i="1" s="1"/>
  <c r="AD372" i="1" s="1"/>
  <c r="T372" i="1"/>
  <c r="W371" i="1"/>
  <c r="T371" i="1"/>
  <c r="Z371" i="1" s="1"/>
  <c r="AB371" i="1" s="1"/>
  <c r="W370" i="1"/>
  <c r="X370" i="1" s="1"/>
  <c r="T370" i="1"/>
  <c r="Z370" i="1" s="1"/>
  <c r="AB370" i="1" s="1"/>
  <c r="W369" i="1"/>
  <c r="X369" i="1" s="1"/>
  <c r="T369" i="1"/>
  <c r="Z369" i="1" s="1"/>
  <c r="AB369" i="1" s="1"/>
  <c r="T368" i="1"/>
  <c r="S368" i="1"/>
  <c r="W368" i="1" s="1"/>
  <c r="G368" i="1"/>
  <c r="E368" i="1"/>
  <c r="W367" i="1"/>
  <c r="X367" i="1" s="1"/>
  <c r="T367" i="1"/>
  <c r="Z367" i="1" s="1"/>
  <c r="AB367" i="1" s="1"/>
  <c r="W366" i="1"/>
  <c r="X366" i="1" s="1"/>
  <c r="T366" i="1"/>
  <c r="U366" i="1" s="1"/>
  <c r="W365" i="1"/>
  <c r="X365" i="1" s="1"/>
  <c r="T365" i="1"/>
  <c r="Z365" i="1" s="1"/>
  <c r="AB365" i="1" s="1"/>
  <c r="W364" i="1"/>
  <c r="AA364" i="1" s="1"/>
  <c r="AD364" i="1" s="1"/>
  <c r="T364" i="1"/>
  <c r="U364" i="1" s="1"/>
  <c r="W363" i="1"/>
  <c r="AA363" i="1" s="1"/>
  <c r="AD363" i="1" s="1"/>
  <c r="T363" i="1"/>
  <c r="Z363" i="1" s="1"/>
  <c r="AB363" i="1" s="1"/>
  <c r="W362" i="1"/>
  <c r="T362" i="1"/>
  <c r="U362" i="1" s="1"/>
  <c r="W361" i="1"/>
  <c r="T361" i="1"/>
  <c r="U361" i="1" s="1"/>
  <c r="W360" i="1"/>
  <c r="T360" i="1"/>
  <c r="U360" i="1" s="1"/>
  <c r="W359" i="1"/>
  <c r="T359" i="1"/>
  <c r="U359" i="1" s="1"/>
  <c r="W358" i="1"/>
  <c r="T358" i="1"/>
  <c r="U358" i="1" s="1"/>
  <c r="W357" i="1"/>
  <c r="T357" i="1"/>
  <c r="U357" i="1" s="1"/>
  <c r="W356" i="1"/>
  <c r="T356" i="1"/>
  <c r="U356" i="1" s="1"/>
  <c r="W355" i="1"/>
  <c r="T355" i="1"/>
  <c r="U355" i="1" s="1"/>
  <c r="W354" i="1"/>
  <c r="T354" i="1"/>
  <c r="U354" i="1" s="1"/>
  <c r="T353" i="1"/>
  <c r="U353" i="1" s="1"/>
  <c r="S353" i="1"/>
  <c r="W353" i="1" s="1"/>
  <c r="G353" i="1"/>
  <c r="E353" i="1"/>
  <c r="W352" i="1"/>
  <c r="AA352" i="1" s="1"/>
  <c r="AD352" i="1" s="1"/>
  <c r="T352" i="1"/>
  <c r="Z352" i="1" s="1"/>
  <c r="AB352" i="1" s="1"/>
  <c r="W351" i="1"/>
  <c r="AA351" i="1" s="1"/>
  <c r="AD351" i="1" s="1"/>
  <c r="T351" i="1"/>
  <c r="T350" i="1"/>
  <c r="Z350" i="1" s="1"/>
  <c r="S350" i="1"/>
  <c r="W350" i="1" s="1"/>
  <c r="X350" i="1" s="1"/>
  <c r="G350" i="1"/>
  <c r="E350" i="1"/>
  <c r="W349" i="1"/>
  <c r="X349" i="1" s="1"/>
  <c r="T349" i="1"/>
  <c r="W348" i="1"/>
  <c r="X348" i="1" s="1"/>
  <c r="T348" i="1"/>
  <c r="U348" i="1" s="1"/>
  <c r="W347" i="1"/>
  <c r="X347" i="1" s="1"/>
  <c r="T347" i="1"/>
  <c r="U347" i="1" s="1"/>
  <c r="G347" i="1"/>
  <c r="E347" i="1"/>
  <c r="W346" i="1"/>
  <c r="T346" i="1"/>
  <c r="U346" i="1" s="1"/>
  <c r="W345" i="1"/>
  <c r="T345" i="1"/>
  <c r="W344" i="1"/>
  <c r="T344" i="1"/>
  <c r="U344" i="1" s="1"/>
  <c r="W343" i="1"/>
  <c r="T343" i="1"/>
  <c r="U343" i="1" s="1"/>
  <c r="W342" i="1"/>
  <c r="T342" i="1"/>
  <c r="U342" i="1" s="1"/>
  <c r="W341" i="1"/>
  <c r="T341" i="1"/>
  <c r="U341" i="1" s="1"/>
  <c r="W340" i="1"/>
  <c r="T340" i="1"/>
  <c r="U340" i="1" s="1"/>
  <c r="W339" i="1"/>
  <c r="T339" i="1"/>
  <c r="U339" i="1" s="1"/>
  <c r="W338" i="1"/>
  <c r="T338" i="1"/>
  <c r="U338" i="1" s="1"/>
  <c r="W337" i="1"/>
  <c r="T337" i="1"/>
  <c r="U337" i="1" s="1"/>
  <c r="W336" i="1"/>
  <c r="T336" i="1"/>
  <c r="U336" i="1" s="1"/>
  <c r="W335" i="1"/>
  <c r="T335" i="1"/>
  <c r="U335" i="1" s="1"/>
  <c r="W334" i="1"/>
  <c r="T334" i="1"/>
  <c r="U334" i="1" s="1"/>
  <c r="W333" i="1"/>
  <c r="T333" i="1"/>
  <c r="U333" i="1" s="1"/>
  <c r="W332" i="1"/>
  <c r="T332" i="1"/>
  <c r="U332" i="1" s="1"/>
  <c r="W331" i="1"/>
  <c r="T331" i="1"/>
  <c r="U331" i="1" s="1"/>
  <c r="W330" i="1"/>
  <c r="T330" i="1"/>
  <c r="U330" i="1" s="1"/>
  <c r="W329" i="1"/>
  <c r="T329" i="1"/>
  <c r="U329" i="1" s="1"/>
  <c r="W328" i="1"/>
  <c r="T328" i="1"/>
  <c r="U328" i="1" s="1"/>
  <c r="W327" i="1"/>
  <c r="T327" i="1"/>
  <c r="U327" i="1" s="1"/>
  <c r="W326" i="1"/>
  <c r="T326" i="1"/>
  <c r="U326" i="1" s="1"/>
  <c r="T325" i="1"/>
  <c r="U325" i="1" s="1"/>
  <c r="S325" i="1"/>
  <c r="W325" i="1" s="1"/>
  <c r="G325" i="1"/>
  <c r="E325" i="1"/>
  <c r="W324" i="1"/>
  <c r="T324" i="1"/>
  <c r="Z324" i="1" s="1"/>
  <c r="AB324" i="1" s="1"/>
  <c r="W323" i="1"/>
  <c r="AA323" i="1" s="1"/>
  <c r="AD323" i="1" s="1"/>
  <c r="T323" i="1"/>
  <c r="Z323" i="1" s="1"/>
  <c r="AB323" i="1" s="1"/>
  <c r="W322" i="1"/>
  <c r="X322" i="1" s="1"/>
  <c r="T322" i="1"/>
  <c r="W321" i="1"/>
  <c r="X321" i="1" s="1"/>
  <c r="T321" i="1"/>
  <c r="Z321" i="1" s="1"/>
  <c r="AB321" i="1" s="1"/>
  <c r="W320" i="1"/>
  <c r="T320" i="1"/>
  <c r="Z320" i="1" s="1"/>
  <c r="AB320" i="1" s="1"/>
  <c r="W319" i="1"/>
  <c r="AA319" i="1" s="1"/>
  <c r="AD319" i="1" s="1"/>
  <c r="T319" i="1"/>
  <c r="Z319" i="1" s="1"/>
  <c r="AB319" i="1" s="1"/>
  <c r="W318" i="1"/>
  <c r="AA318" i="1" s="1"/>
  <c r="AD318" i="1" s="1"/>
  <c r="T318" i="1"/>
  <c r="W317" i="1"/>
  <c r="X317" i="1" s="1"/>
  <c r="T317" i="1"/>
  <c r="Z317" i="1" s="1"/>
  <c r="AB317" i="1" s="1"/>
  <c r="W316" i="1"/>
  <c r="T316" i="1"/>
  <c r="Z316" i="1" s="1"/>
  <c r="AB316" i="1" s="1"/>
  <c r="W315" i="1"/>
  <c r="AA315" i="1" s="1"/>
  <c r="AD315" i="1" s="1"/>
  <c r="T315" i="1"/>
  <c r="U315" i="1" s="1"/>
  <c r="W314" i="1"/>
  <c r="AA314" i="1" s="1"/>
  <c r="AD314" i="1" s="1"/>
  <c r="T314" i="1"/>
  <c r="U314" i="1" s="1"/>
  <c r="W313" i="1"/>
  <c r="AA313" i="1" s="1"/>
  <c r="AD313" i="1" s="1"/>
  <c r="T313" i="1"/>
  <c r="U313" i="1" s="1"/>
  <c r="W312" i="1"/>
  <c r="AA312" i="1" s="1"/>
  <c r="AD312" i="1" s="1"/>
  <c r="T312" i="1"/>
  <c r="W311" i="1"/>
  <c r="X311" i="1" s="1"/>
  <c r="T311" i="1"/>
  <c r="Z311" i="1" s="1"/>
  <c r="AB311" i="1" s="1"/>
  <c r="W310" i="1"/>
  <c r="X310" i="1" s="1"/>
  <c r="T310" i="1"/>
  <c r="U310" i="1" s="1"/>
  <c r="W309" i="1"/>
  <c r="T309" i="1"/>
  <c r="U309" i="1" s="1"/>
  <c r="W308" i="1"/>
  <c r="T308" i="1"/>
  <c r="Z308" i="1" s="1"/>
  <c r="AB308" i="1" s="1"/>
  <c r="W307" i="1"/>
  <c r="AA307" i="1" s="1"/>
  <c r="AD307" i="1" s="1"/>
  <c r="T307" i="1"/>
  <c r="Z307" i="1" s="1"/>
  <c r="AB307" i="1" s="1"/>
  <c r="W306" i="1"/>
  <c r="AA306" i="1" s="1"/>
  <c r="AD306" i="1" s="1"/>
  <c r="T306" i="1"/>
  <c r="U306" i="1" s="1"/>
  <c r="W305" i="1"/>
  <c r="AA305" i="1" s="1"/>
  <c r="AD305" i="1" s="1"/>
  <c r="T305" i="1"/>
  <c r="U305" i="1" s="1"/>
  <c r="W304" i="1"/>
  <c r="AA304" i="1" s="1"/>
  <c r="AD304" i="1" s="1"/>
  <c r="T304" i="1"/>
  <c r="W303" i="1"/>
  <c r="AA303" i="1" s="1"/>
  <c r="T303" i="1"/>
  <c r="Z303" i="1" s="1"/>
  <c r="G303" i="1"/>
  <c r="E303" i="1"/>
  <c r="W302" i="1"/>
  <c r="AA302" i="1" s="1"/>
  <c r="AD302" i="1" s="1"/>
  <c r="T302" i="1"/>
  <c r="Z302" i="1" s="1"/>
  <c r="AB302" i="1" s="1"/>
  <c r="W301" i="1"/>
  <c r="T301" i="1"/>
  <c r="Z301" i="1" s="1"/>
  <c r="AB301" i="1" s="1"/>
  <c r="W300" i="1"/>
  <c r="AA300" i="1" s="1"/>
  <c r="AD300" i="1" s="1"/>
  <c r="T300" i="1"/>
  <c r="Z300" i="1" s="1"/>
  <c r="AB300" i="1" s="1"/>
  <c r="W299" i="1"/>
  <c r="AA299" i="1" s="1"/>
  <c r="AD299" i="1" s="1"/>
  <c r="T299" i="1"/>
  <c r="Z299" i="1" s="1"/>
  <c r="AB299" i="1" s="1"/>
  <c r="W298" i="1"/>
  <c r="AA298" i="1" s="1"/>
  <c r="AD298" i="1" s="1"/>
  <c r="T298" i="1"/>
  <c r="Z298" i="1" s="1"/>
  <c r="AB298" i="1" s="1"/>
  <c r="W297" i="1"/>
  <c r="T297" i="1"/>
  <c r="Z297" i="1" s="1"/>
  <c r="AB297" i="1" s="1"/>
  <c r="W296" i="1"/>
  <c r="AA296" i="1" s="1"/>
  <c r="AD296" i="1" s="1"/>
  <c r="T296" i="1"/>
  <c r="Z296" i="1" s="1"/>
  <c r="AB296" i="1" s="1"/>
  <c r="W295" i="1"/>
  <c r="AA295" i="1" s="1"/>
  <c r="AD295" i="1" s="1"/>
  <c r="T295" i="1"/>
  <c r="Z295" i="1" s="1"/>
  <c r="AB295" i="1" s="1"/>
  <c r="W294" i="1"/>
  <c r="AA294" i="1" s="1"/>
  <c r="AD294" i="1" s="1"/>
  <c r="T294" i="1"/>
  <c r="Z294" i="1" s="1"/>
  <c r="AB294" i="1" s="1"/>
  <c r="W293" i="1"/>
  <c r="T293" i="1"/>
  <c r="Z293" i="1" s="1"/>
  <c r="AB293" i="1" s="1"/>
  <c r="W292" i="1"/>
  <c r="X292" i="1" s="1"/>
  <c r="T292" i="1"/>
  <c r="Z292" i="1" s="1"/>
  <c r="AB292" i="1" s="1"/>
  <c r="W291" i="1"/>
  <c r="X291" i="1" s="1"/>
  <c r="T291" i="1"/>
  <c r="Z291" i="1" s="1"/>
  <c r="AB291" i="1" s="1"/>
  <c r="W290" i="1"/>
  <c r="X290" i="1" s="1"/>
  <c r="T290" i="1"/>
  <c r="Z290" i="1" s="1"/>
  <c r="AB290" i="1" s="1"/>
  <c r="W289" i="1"/>
  <c r="T289" i="1"/>
  <c r="Z289" i="1" s="1"/>
  <c r="AB289" i="1" s="1"/>
  <c r="W288" i="1"/>
  <c r="X288" i="1" s="1"/>
  <c r="T288" i="1"/>
  <c r="Z288" i="1" s="1"/>
  <c r="AB288" i="1" s="1"/>
  <c r="W287" i="1"/>
  <c r="X287" i="1" s="1"/>
  <c r="T287" i="1"/>
  <c r="U287" i="1" s="1"/>
  <c r="W286" i="1"/>
  <c r="X286" i="1" s="1"/>
  <c r="T286" i="1"/>
  <c r="U286" i="1" s="1"/>
  <c r="W285" i="1"/>
  <c r="T285" i="1"/>
  <c r="Z285" i="1" s="1"/>
  <c r="AB285" i="1" s="1"/>
  <c r="W284" i="1"/>
  <c r="X284" i="1" s="1"/>
  <c r="T284" i="1"/>
  <c r="Z284" i="1" s="1"/>
  <c r="AB284" i="1" s="1"/>
  <c r="W283" i="1"/>
  <c r="X283" i="1" s="1"/>
  <c r="T283" i="1"/>
  <c r="U283" i="1" s="1"/>
  <c r="W282" i="1"/>
  <c r="X282" i="1" s="1"/>
  <c r="T282" i="1"/>
  <c r="Z282" i="1" s="1"/>
  <c r="AB282" i="1" s="1"/>
  <c r="T281" i="1"/>
  <c r="Z281" i="1" s="1"/>
  <c r="S281" i="1"/>
  <c r="W281" i="1" s="1"/>
  <c r="E281" i="1"/>
  <c r="W280" i="1"/>
  <c r="AA280" i="1" s="1"/>
  <c r="AD280" i="1" s="1"/>
  <c r="T280" i="1"/>
  <c r="U280" i="1" s="1"/>
  <c r="W279" i="1"/>
  <c r="AA279" i="1" s="1"/>
  <c r="AD279" i="1" s="1"/>
  <c r="T279" i="1"/>
  <c r="U279" i="1" s="1"/>
  <c r="W278" i="1"/>
  <c r="AA278" i="1" s="1"/>
  <c r="AD278" i="1" s="1"/>
  <c r="T278" i="1"/>
  <c r="U278" i="1" s="1"/>
  <c r="W277" i="1"/>
  <c r="AA277" i="1" s="1"/>
  <c r="AD277" i="1" s="1"/>
  <c r="T277" i="1"/>
  <c r="U277" i="1" s="1"/>
  <c r="W276" i="1"/>
  <c r="AA276" i="1" s="1"/>
  <c r="AD276" i="1" s="1"/>
  <c r="T276" i="1"/>
  <c r="U276" i="1" s="1"/>
  <c r="W275" i="1"/>
  <c r="AA275" i="1" s="1"/>
  <c r="AD275" i="1" s="1"/>
  <c r="T275" i="1"/>
  <c r="U275" i="1" s="1"/>
  <c r="W274" i="1"/>
  <c r="AA274" i="1" s="1"/>
  <c r="AD274" i="1" s="1"/>
  <c r="T274" i="1"/>
  <c r="U274" i="1" s="1"/>
  <c r="W273" i="1"/>
  <c r="AA273" i="1" s="1"/>
  <c r="AD273" i="1" s="1"/>
  <c r="T273" i="1"/>
  <c r="U273" i="1" s="1"/>
  <c r="W272" i="1"/>
  <c r="AA272" i="1" s="1"/>
  <c r="AD272" i="1" s="1"/>
  <c r="T272" i="1"/>
  <c r="U272" i="1" s="1"/>
  <c r="W271" i="1"/>
  <c r="AA271" i="1" s="1"/>
  <c r="AD271" i="1" s="1"/>
  <c r="T271" i="1"/>
  <c r="U271" i="1" s="1"/>
  <c r="W270" i="1"/>
  <c r="AA270" i="1" s="1"/>
  <c r="AD270" i="1" s="1"/>
  <c r="T270" i="1"/>
  <c r="U270" i="1" s="1"/>
  <c r="W269" i="1"/>
  <c r="AA269" i="1" s="1"/>
  <c r="AD269" i="1" s="1"/>
  <c r="T269" i="1"/>
  <c r="U269" i="1" s="1"/>
  <c r="W268" i="1"/>
  <c r="AA268" i="1" s="1"/>
  <c r="AD268" i="1" s="1"/>
  <c r="T268" i="1"/>
  <c r="U268" i="1" s="1"/>
  <c r="W267" i="1"/>
  <c r="AA267" i="1" s="1"/>
  <c r="AD267" i="1" s="1"/>
  <c r="T267" i="1"/>
  <c r="U267" i="1" s="1"/>
  <c r="W266" i="1"/>
  <c r="AA266" i="1" s="1"/>
  <c r="AD266" i="1" s="1"/>
  <c r="T266" i="1"/>
  <c r="U266" i="1" s="1"/>
  <c r="W265" i="1"/>
  <c r="AA265" i="1" s="1"/>
  <c r="AD265" i="1" s="1"/>
  <c r="T265" i="1"/>
  <c r="U265" i="1" s="1"/>
  <c r="W264" i="1"/>
  <c r="AA264" i="1" s="1"/>
  <c r="AD264" i="1" s="1"/>
  <c r="T264" i="1"/>
  <c r="U264" i="1" s="1"/>
  <c r="W263" i="1"/>
  <c r="AA263" i="1" s="1"/>
  <c r="AD263" i="1" s="1"/>
  <c r="T263" i="1"/>
  <c r="U263" i="1" s="1"/>
  <c r="W262" i="1"/>
  <c r="AA262" i="1" s="1"/>
  <c r="AD262" i="1" s="1"/>
  <c r="T262" i="1"/>
  <c r="U262" i="1" s="1"/>
  <c r="W261" i="1"/>
  <c r="T261" i="1"/>
  <c r="U261" i="1" s="1"/>
  <c r="W260" i="1"/>
  <c r="T260" i="1"/>
  <c r="U260" i="1" s="1"/>
  <c r="T259" i="1"/>
  <c r="U259" i="1" s="1"/>
  <c r="S259" i="1"/>
  <c r="W259" i="1" s="1"/>
  <c r="E259" i="1"/>
  <c r="W258" i="1"/>
  <c r="X258" i="1" s="1"/>
  <c r="T258" i="1"/>
  <c r="U258" i="1" s="1"/>
  <c r="W257" i="1"/>
  <c r="X257" i="1" s="1"/>
  <c r="T257" i="1"/>
  <c r="U257" i="1" s="1"/>
  <c r="W256" i="1"/>
  <c r="X256" i="1" s="1"/>
  <c r="T256" i="1"/>
  <c r="W255" i="1"/>
  <c r="X255" i="1" s="1"/>
  <c r="T255" i="1"/>
  <c r="U255" i="1" s="1"/>
  <c r="W254" i="1"/>
  <c r="X254" i="1" s="1"/>
  <c r="T254" i="1"/>
  <c r="U254" i="1" s="1"/>
  <c r="W253" i="1"/>
  <c r="X253" i="1" s="1"/>
  <c r="T253" i="1"/>
  <c r="U253" i="1" s="1"/>
  <c r="W252" i="1"/>
  <c r="X252" i="1" s="1"/>
  <c r="T252" i="1"/>
  <c r="U252" i="1" s="1"/>
  <c r="W251" i="1"/>
  <c r="X251" i="1" s="1"/>
  <c r="T251" i="1"/>
  <c r="W250" i="1"/>
  <c r="X250" i="1" s="1"/>
  <c r="T250" i="1"/>
  <c r="U250" i="1" s="1"/>
  <c r="W249" i="1"/>
  <c r="X249" i="1" s="1"/>
  <c r="T249" i="1"/>
  <c r="U249" i="1" s="1"/>
  <c r="W248" i="1"/>
  <c r="X248" i="1" s="1"/>
  <c r="T248" i="1"/>
  <c r="W247" i="1"/>
  <c r="X247" i="1" s="1"/>
  <c r="T247" i="1"/>
  <c r="U247" i="1" s="1"/>
  <c r="W246" i="1"/>
  <c r="X246" i="1" s="1"/>
  <c r="T246" i="1"/>
  <c r="U246" i="1" s="1"/>
  <c r="W245" i="1"/>
  <c r="X245" i="1" s="1"/>
  <c r="T245" i="1"/>
  <c r="U245" i="1" s="1"/>
  <c r="W244" i="1"/>
  <c r="X244" i="1" s="1"/>
  <c r="T244" i="1"/>
  <c r="U244" i="1" s="1"/>
  <c r="W243" i="1"/>
  <c r="X243" i="1" s="1"/>
  <c r="T243" i="1"/>
  <c r="W242" i="1"/>
  <c r="X242" i="1" s="1"/>
  <c r="T242" i="1"/>
  <c r="U242" i="1" s="1"/>
  <c r="W241" i="1"/>
  <c r="X241" i="1" s="1"/>
  <c r="T241" i="1"/>
  <c r="U241" i="1" s="1"/>
  <c r="W240" i="1"/>
  <c r="X240" i="1" s="1"/>
  <c r="T240" i="1"/>
  <c r="W239" i="1"/>
  <c r="X239" i="1" s="1"/>
  <c r="T239" i="1"/>
  <c r="U239" i="1" s="1"/>
  <c r="W238" i="1"/>
  <c r="X238" i="1" s="1"/>
  <c r="T238" i="1"/>
  <c r="U238" i="1" s="1"/>
  <c r="W237" i="1"/>
  <c r="X237" i="1" s="1"/>
  <c r="T237" i="1"/>
  <c r="U237" i="1" s="1"/>
  <c r="W236" i="1"/>
  <c r="X236" i="1" s="1"/>
  <c r="T236" i="1"/>
  <c r="U236" i="1" s="1"/>
  <c r="W235" i="1"/>
  <c r="X235" i="1" s="1"/>
  <c r="T235" i="1"/>
  <c r="W234" i="1"/>
  <c r="X234" i="1" s="1"/>
  <c r="T234" i="1"/>
  <c r="U234" i="1" s="1"/>
  <c r="W233" i="1"/>
  <c r="X233" i="1" s="1"/>
  <c r="T233" i="1"/>
  <c r="U233" i="1" s="1"/>
  <c r="W232" i="1"/>
  <c r="X232" i="1" s="1"/>
  <c r="T232" i="1"/>
  <c r="W231" i="1"/>
  <c r="X231" i="1" s="1"/>
  <c r="T231" i="1"/>
  <c r="U231" i="1" s="1"/>
  <c r="W230" i="1"/>
  <c r="X230" i="1" s="1"/>
  <c r="T230" i="1"/>
  <c r="U230" i="1" s="1"/>
  <c r="W229" i="1"/>
  <c r="X229" i="1" s="1"/>
  <c r="T229" i="1"/>
  <c r="U229" i="1" s="1"/>
  <c r="T228" i="1"/>
  <c r="U228" i="1" s="1"/>
  <c r="S228" i="1"/>
  <c r="W228" i="1" s="1"/>
  <c r="X228" i="1" s="1"/>
  <c r="W227" i="1"/>
  <c r="X227" i="1" s="1"/>
  <c r="T227" i="1"/>
  <c r="W226" i="1"/>
  <c r="X226" i="1" s="1"/>
  <c r="T226" i="1"/>
  <c r="Z226" i="1" s="1"/>
  <c r="AB226" i="1" s="1"/>
  <c r="W225" i="1"/>
  <c r="T225" i="1"/>
  <c r="Z225" i="1" s="1"/>
  <c r="AB225" i="1" s="1"/>
  <c r="W224" i="1"/>
  <c r="AA224" i="1" s="1"/>
  <c r="AD224" i="1" s="1"/>
  <c r="T224" i="1"/>
  <c r="Z224" i="1" s="1"/>
  <c r="AB224" i="1" s="1"/>
  <c r="W223" i="1"/>
  <c r="AA223" i="1" s="1"/>
  <c r="AD223" i="1" s="1"/>
  <c r="T223" i="1"/>
  <c r="W222" i="1"/>
  <c r="X222" i="1" s="1"/>
  <c r="T222" i="1"/>
  <c r="Z222" i="1" s="1"/>
  <c r="AB222" i="1" s="1"/>
  <c r="W221" i="1"/>
  <c r="T221" i="1"/>
  <c r="Z221" i="1" s="1"/>
  <c r="AB221" i="1" s="1"/>
  <c r="W220" i="1"/>
  <c r="AA220" i="1" s="1"/>
  <c r="AD220" i="1" s="1"/>
  <c r="T220" i="1"/>
  <c r="Z220" i="1" s="1"/>
  <c r="AB220" i="1" s="1"/>
  <c r="W219" i="1"/>
  <c r="AA219" i="1" s="1"/>
  <c r="AD219" i="1" s="1"/>
  <c r="T219" i="1"/>
  <c r="W218" i="1"/>
  <c r="X218" i="1" s="1"/>
  <c r="T218" i="1"/>
  <c r="Z218" i="1" s="1"/>
  <c r="AB218" i="1" s="1"/>
  <c r="W217" i="1"/>
  <c r="T217" i="1"/>
  <c r="Z217" i="1" s="1"/>
  <c r="AB217" i="1" s="1"/>
  <c r="W216" i="1"/>
  <c r="AA216" i="1" s="1"/>
  <c r="AD216" i="1" s="1"/>
  <c r="T216" i="1"/>
  <c r="Z216" i="1" s="1"/>
  <c r="AB216" i="1" s="1"/>
  <c r="W215" i="1"/>
  <c r="AA215" i="1" s="1"/>
  <c r="AD215" i="1" s="1"/>
  <c r="T215" i="1"/>
  <c r="W214" i="1"/>
  <c r="AA214" i="1" s="1"/>
  <c r="AD214" i="1" s="1"/>
  <c r="T214" i="1"/>
  <c r="Z214" i="1" s="1"/>
  <c r="AB214" i="1" s="1"/>
  <c r="W213" i="1"/>
  <c r="T213" i="1"/>
  <c r="Z213" i="1" s="1"/>
  <c r="AB213" i="1" s="1"/>
  <c r="W212" i="1"/>
  <c r="AA212" i="1" s="1"/>
  <c r="AD212" i="1" s="1"/>
  <c r="T212" i="1"/>
  <c r="Z212" i="1" s="1"/>
  <c r="AB212" i="1" s="1"/>
  <c r="W211" i="1"/>
  <c r="AA211" i="1" s="1"/>
  <c r="AD211" i="1" s="1"/>
  <c r="T211" i="1"/>
  <c r="W210" i="1"/>
  <c r="AA210" i="1" s="1"/>
  <c r="AD210" i="1" s="1"/>
  <c r="T210" i="1"/>
  <c r="Z210" i="1" s="1"/>
  <c r="AB210" i="1" s="1"/>
  <c r="W209" i="1"/>
  <c r="T209" i="1"/>
  <c r="Z209" i="1" s="1"/>
  <c r="AB209" i="1" s="1"/>
  <c r="W208" i="1"/>
  <c r="AA208" i="1" s="1"/>
  <c r="AD208" i="1" s="1"/>
  <c r="T208" i="1"/>
  <c r="Z208" i="1" s="1"/>
  <c r="AB208" i="1" s="1"/>
  <c r="W207" i="1"/>
  <c r="X207" i="1" s="1"/>
  <c r="T207" i="1"/>
  <c r="T206" i="1"/>
  <c r="U206" i="1" s="1"/>
  <c r="Q206" i="1"/>
  <c r="H206" i="1"/>
  <c r="T205" i="1"/>
  <c r="Z205" i="1" s="1"/>
  <c r="T204" i="1"/>
  <c r="Z204" i="1" s="1"/>
  <c r="T203" i="1"/>
  <c r="T202" i="1"/>
  <c r="N201" i="1"/>
  <c r="P201" i="1" s="1"/>
  <c r="T200" i="1"/>
  <c r="T199" i="1"/>
  <c r="Z199" i="1" s="1"/>
  <c r="T198" i="1"/>
  <c r="U198" i="1" s="1"/>
  <c r="R197" i="1"/>
  <c r="T197" i="1" s="1"/>
  <c r="Z197" i="1" s="1"/>
  <c r="N196" i="1"/>
  <c r="T195" i="1"/>
  <c r="T194" i="1"/>
  <c r="U194" i="1" s="1"/>
  <c r="M194" i="1"/>
  <c r="K194" i="1"/>
  <c r="I194" i="1"/>
  <c r="AA193" i="1"/>
  <c r="AD193" i="1" s="1"/>
  <c r="Z193" i="1"/>
  <c r="AB193" i="1" s="1"/>
  <c r="W192" i="1"/>
  <c r="T192" i="1"/>
  <c r="Z192" i="1" s="1"/>
  <c r="AB192" i="1" s="1"/>
  <c r="T191" i="1"/>
  <c r="Q191" i="1"/>
  <c r="S191" i="1" s="1"/>
  <c r="T190" i="1"/>
  <c r="S190" i="1"/>
  <c r="W190" i="1" s="1"/>
  <c r="X190" i="1" s="1"/>
  <c r="T189" i="1"/>
  <c r="U189" i="1" s="1"/>
  <c r="S189" i="1"/>
  <c r="W189" i="1" s="1"/>
  <c r="S188" i="1"/>
  <c r="W188" i="1" s="1"/>
  <c r="AA188" i="1" s="1"/>
  <c r="AD188" i="1" s="1"/>
  <c r="R188" i="1"/>
  <c r="T188" i="1" s="1"/>
  <c r="Z188" i="1" s="1"/>
  <c r="AB188" i="1" s="1"/>
  <c r="W187" i="1"/>
  <c r="X187" i="1" s="1"/>
  <c r="T187" i="1"/>
  <c r="Z187" i="1" s="1"/>
  <c r="AB187" i="1" s="1"/>
  <c r="W186" i="1"/>
  <c r="T186" i="1"/>
  <c r="Z186" i="1" s="1"/>
  <c r="AB186" i="1" s="1"/>
  <c r="T185" i="1"/>
  <c r="S185" i="1"/>
  <c r="W185" i="1" s="1"/>
  <c r="X185" i="1" s="1"/>
  <c r="T184" i="1"/>
  <c r="U184" i="1" s="1"/>
  <c r="Q184" i="1"/>
  <c r="W183" i="1"/>
  <c r="X183" i="1" s="1"/>
  <c r="T183" i="1"/>
  <c r="U183" i="1" s="1"/>
  <c r="O182" i="1"/>
  <c r="M182" i="1"/>
  <c r="L182" i="1"/>
  <c r="K182" i="1"/>
  <c r="I182" i="1"/>
  <c r="G182" i="1"/>
  <c r="P181" i="1"/>
  <c r="T180" i="1"/>
  <c r="Z180" i="1" s="1"/>
  <c r="AB180" i="1" s="1"/>
  <c r="N179" i="1"/>
  <c r="T179" i="1" s="1"/>
  <c r="R178" i="1"/>
  <c r="T178" i="1" s="1"/>
  <c r="T177" i="1"/>
  <c r="Z177" i="1" s="1"/>
  <c r="AB177" i="1" s="1"/>
  <c r="T176" i="1"/>
  <c r="Z176" i="1" s="1"/>
  <c r="AB176" i="1" s="1"/>
  <c r="T175" i="1"/>
  <c r="U175" i="1" s="1"/>
  <c r="T174" i="1"/>
  <c r="Z174" i="1" s="1"/>
  <c r="AB174" i="1" s="1"/>
  <c r="T173" i="1"/>
  <c r="W172" i="1"/>
  <c r="X172" i="1" s="1"/>
  <c r="T172" i="1"/>
  <c r="U172" i="1" s="1"/>
  <c r="W171" i="1"/>
  <c r="X171" i="1" s="1"/>
  <c r="T171" i="1"/>
  <c r="U171" i="1" s="1"/>
  <c r="R170" i="1"/>
  <c r="T170" i="1" s="1"/>
  <c r="U170" i="1" s="1"/>
  <c r="Q170" i="1"/>
  <c r="O170" i="1"/>
  <c r="M170" i="1"/>
  <c r="K170" i="1"/>
  <c r="I170" i="1"/>
  <c r="G170" i="1"/>
  <c r="T169" i="1"/>
  <c r="U169" i="1" s="1"/>
  <c r="Q169" i="1"/>
  <c r="W169" i="1" s="1"/>
  <c r="X169" i="1" s="1"/>
  <c r="E169" i="1"/>
  <c r="T168" i="1"/>
  <c r="U168" i="1" s="1"/>
  <c r="O168" i="1"/>
  <c r="Q168" i="1" s="1"/>
  <c r="T167" i="1"/>
  <c r="U167" i="1" s="1"/>
  <c r="O167" i="1"/>
  <c r="W167" i="1" s="1"/>
  <c r="X167" i="1" s="1"/>
  <c r="T166" i="1"/>
  <c r="Z166" i="1" s="1"/>
  <c r="AB166" i="1" s="1"/>
  <c r="T165" i="1"/>
  <c r="Z165" i="1" s="1"/>
  <c r="AB165" i="1" s="1"/>
  <c r="T164" i="1"/>
  <c r="Z164" i="1" s="1"/>
  <c r="AB164" i="1" s="1"/>
  <c r="S164" i="1"/>
  <c r="M164" i="1"/>
  <c r="K164" i="1"/>
  <c r="I164" i="1"/>
  <c r="G164" i="1"/>
  <c r="T163" i="1"/>
  <c r="U163" i="1" s="1"/>
  <c r="O163" i="1"/>
  <c r="E163" i="1"/>
  <c r="T162" i="1"/>
  <c r="U162" i="1" s="1"/>
  <c r="O162" i="1"/>
  <c r="E162" i="1"/>
  <c r="W161" i="1"/>
  <c r="X161" i="1" s="1"/>
  <c r="T161" i="1"/>
  <c r="U161" i="1" s="1"/>
  <c r="E161" i="1"/>
  <c r="T160" i="1"/>
  <c r="T159" i="1"/>
  <c r="T158" i="1"/>
  <c r="Z158" i="1" s="1"/>
  <c r="AB158" i="1" s="1"/>
  <c r="M158" i="1"/>
  <c r="K158" i="1"/>
  <c r="I158" i="1"/>
  <c r="G158" i="1"/>
  <c r="T157" i="1"/>
  <c r="Z157" i="1" s="1"/>
  <c r="O157" i="1"/>
  <c r="E157" i="1"/>
  <c r="T156" i="1"/>
  <c r="U156" i="1" s="1"/>
  <c r="Q156" i="1"/>
  <c r="S156" i="1" s="1"/>
  <c r="E156" i="1"/>
  <c r="T155" i="1"/>
  <c r="U155" i="1" s="1"/>
  <c r="Q155" i="1"/>
  <c r="S155" i="1" s="1"/>
  <c r="E155" i="1"/>
  <c r="T154" i="1"/>
  <c r="U154" i="1" s="1"/>
  <c r="O154" i="1"/>
  <c r="Q154" i="1" s="1"/>
  <c r="S154" i="1" s="1"/>
  <c r="E154" i="1"/>
  <c r="W153" i="1"/>
  <c r="AA153" i="1" s="1"/>
  <c r="T153" i="1"/>
  <c r="E153" i="1"/>
  <c r="T152" i="1"/>
  <c r="U152" i="1" s="1"/>
  <c r="T151" i="1"/>
  <c r="U151" i="1" s="1"/>
  <c r="T150" i="1"/>
  <c r="U150" i="1" s="1"/>
  <c r="T149" i="1"/>
  <c r="U149" i="1" s="1"/>
  <c r="R148" i="1"/>
  <c r="T148" i="1" s="1"/>
  <c r="Z148" i="1" s="1"/>
  <c r="AB148" i="1" s="1"/>
  <c r="M148" i="1"/>
  <c r="K148" i="1"/>
  <c r="I148" i="1"/>
  <c r="G148" i="1"/>
  <c r="AH147" i="1"/>
  <c r="W147" i="1"/>
  <c r="X147" i="1" s="1"/>
  <c r="T147" i="1"/>
  <c r="Z147" i="1" s="1"/>
  <c r="G147" i="1"/>
  <c r="G145" i="1" s="1"/>
  <c r="E147" i="1"/>
  <c r="T146" i="1"/>
  <c r="Z146" i="1" s="1"/>
  <c r="AB146" i="1" s="1"/>
  <c r="T145" i="1"/>
  <c r="U145" i="1" s="1"/>
  <c r="Q145" i="1"/>
  <c r="O145" i="1"/>
  <c r="M145" i="1"/>
  <c r="K145" i="1"/>
  <c r="I145" i="1"/>
  <c r="T144" i="1"/>
  <c r="O144" i="1"/>
  <c r="O139" i="1" s="1"/>
  <c r="T143" i="1"/>
  <c r="U143" i="1" s="1"/>
  <c r="T142" i="1"/>
  <c r="U142" i="1" s="1"/>
  <c r="T141" i="1"/>
  <c r="U141" i="1" s="1"/>
  <c r="E141" i="1"/>
  <c r="T140" i="1"/>
  <c r="Z140" i="1" s="1"/>
  <c r="AB140" i="1" s="1"/>
  <c r="T139" i="1"/>
  <c r="U139" i="1" s="1"/>
  <c r="M139" i="1"/>
  <c r="K139" i="1"/>
  <c r="I139" i="1"/>
  <c r="G139" i="1"/>
  <c r="E139" i="1"/>
  <c r="AA138" i="1"/>
  <c r="Z138" i="1"/>
  <c r="AB138" i="1" s="1"/>
  <c r="T137" i="1"/>
  <c r="U137" i="1" s="1"/>
  <c r="S137" i="1"/>
  <c r="W137" i="1" s="1"/>
  <c r="T136" i="1"/>
  <c r="Z136" i="1" s="1"/>
  <c r="AB136" i="1" s="1"/>
  <c r="Q136" i="1"/>
  <c r="S136" i="1" s="1"/>
  <c r="T135" i="1"/>
  <c r="Z135" i="1" s="1"/>
  <c r="AB135" i="1" s="1"/>
  <c r="R134" i="1"/>
  <c r="P134" i="1"/>
  <c r="O134" i="1"/>
  <c r="N134" i="1"/>
  <c r="M134" i="1"/>
  <c r="L134" i="1"/>
  <c r="K134" i="1"/>
  <c r="J134" i="1"/>
  <c r="I134" i="1"/>
  <c r="H134" i="1"/>
  <c r="G134" i="1"/>
  <c r="E134" i="1"/>
  <c r="T133" i="1"/>
  <c r="Z133" i="1" s="1"/>
  <c r="AB133" i="1" s="1"/>
  <c r="T132" i="1"/>
  <c r="T131" i="1"/>
  <c r="Z131" i="1" s="1"/>
  <c r="AB131" i="1" s="1"/>
  <c r="T130" i="1"/>
  <c r="T129" i="1"/>
  <c r="U129" i="1" s="1"/>
  <c r="O622" i="1" l="1"/>
  <c r="U635" i="1"/>
  <c r="X491" i="1"/>
  <c r="AA500" i="1"/>
  <c r="AD500" i="1" s="1"/>
  <c r="K622" i="1"/>
  <c r="T612" i="1"/>
  <c r="U612" i="1" s="1"/>
  <c r="U217" i="1"/>
  <c r="U214" i="1"/>
  <c r="AA310" i="1"/>
  <c r="AD310" i="1" s="1"/>
  <c r="AD303" i="1"/>
  <c r="X210" i="1"/>
  <c r="X215" i="1"/>
  <c r="U490" i="1"/>
  <c r="X447" i="1"/>
  <c r="Z522" i="1"/>
  <c r="AB522" i="1" s="1"/>
  <c r="AA551" i="1"/>
  <c r="AD551" i="1" s="1"/>
  <c r="U552" i="1"/>
  <c r="Z562" i="1"/>
  <c r="AB562" i="1" s="1"/>
  <c r="AA366" i="1"/>
  <c r="AD366" i="1" s="1"/>
  <c r="Z129" i="1"/>
  <c r="AB129" i="1" s="1"/>
  <c r="AA207" i="1"/>
  <c r="AD207" i="1" s="1"/>
  <c r="X504" i="1"/>
  <c r="AA538" i="1"/>
  <c r="AD538" i="1" s="1"/>
  <c r="Z255" i="1"/>
  <c r="AB255" i="1" s="1"/>
  <c r="AA420" i="1"/>
  <c r="AD420" i="1" s="1"/>
  <c r="U422" i="1"/>
  <c r="AB147" i="1"/>
  <c r="X535" i="1"/>
  <c r="X543" i="1"/>
  <c r="U581" i="1"/>
  <c r="Z603" i="1"/>
  <c r="AB603" i="1" s="1"/>
  <c r="Z175" i="1"/>
  <c r="AB175" i="1" s="1"/>
  <c r="U186" i="1"/>
  <c r="AA187" i="1"/>
  <c r="AD187" i="1" s="1"/>
  <c r="U221" i="1"/>
  <c r="X224" i="1"/>
  <c r="U301" i="1"/>
  <c r="X307" i="1"/>
  <c r="U324" i="1"/>
  <c r="Z407" i="1"/>
  <c r="AB407" i="1" s="1"/>
  <c r="U469" i="1"/>
  <c r="AA487" i="1"/>
  <c r="AD487" i="1" s="1"/>
  <c r="U489" i="1"/>
  <c r="AA494" i="1"/>
  <c r="AD494" i="1" s="1"/>
  <c r="U499" i="1"/>
  <c r="U503" i="1"/>
  <c r="U530" i="1"/>
  <c r="U537" i="1"/>
  <c r="X547" i="1"/>
  <c r="Z571" i="1"/>
  <c r="AB571" i="1" s="1"/>
  <c r="S618" i="1"/>
  <c r="W618" i="1" s="1"/>
  <c r="AA629" i="1"/>
  <c r="AD629" i="1" s="1"/>
  <c r="O158" i="1"/>
  <c r="Z169" i="1"/>
  <c r="AB169" i="1" s="1"/>
  <c r="K173" i="1"/>
  <c r="X211" i="1"/>
  <c r="Z228" i="1"/>
  <c r="AB228" i="1" s="1"/>
  <c r="X318" i="1"/>
  <c r="AA321" i="1"/>
  <c r="AD321" i="1" s="1"/>
  <c r="U323" i="1"/>
  <c r="AA373" i="1"/>
  <c r="AD373" i="1" s="1"/>
  <c r="U375" i="1"/>
  <c r="X380" i="1"/>
  <c r="Z404" i="1"/>
  <c r="AB404" i="1" s="1"/>
  <c r="AA288" i="1"/>
  <c r="AD288" i="1" s="1"/>
  <c r="X313" i="1"/>
  <c r="X351" i="1"/>
  <c r="Z391" i="1"/>
  <c r="AB391" i="1" s="1"/>
  <c r="X448" i="1"/>
  <c r="AA483" i="1"/>
  <c r="AD483" i="1" s="1"/>
  <c r="U485" i="1"/>
  <c r="U495" i="1"/>
  <c r="X496" i="1"/>
  <c r="AA502" i="1"/>
  <c r="AD502" i="1" s="1"/>
  <c r="AA591" i="1"/>
  <c r="AD591" i="1" s="1"/>
  <c r="G611" i="1"/>
  <c r="Z198" i="1"/>
  <c r="X214" i="1"/>
  <c r="X223" i="1"/>
  <c r="AA227" i="1"/>
  <c r="AD227" i="1" s="1"/>
  <c r="Z244" i="1"/>
  <c r="AB244" i="1" s="1"/>
  <c r="U298" i="1"/>
  <c r="X312" i="1"/>
  <c r="U369" i="1"/>
  <c r="AA370" i="1"/>
  <c r="AD370" i="1" s="1"/>
  <c r="Z399" i="1"/>
  <c r="AB399" i="1" s="1"/>
  <c r="X446" i="1"/>
  <c r="U465" i="1"/>
  <c r="X475" i="1"/>
  <c r="AA531" i="1"/>
  <c r="AD531" i="1" s="1"/>
  <c r="U533" i="1"/>
  <c r="U549" i="1"/>
  <c r="AA550" i="1"/>
  <c r="AD550" i="1" s="1"/>
  <c r="K585" i="1"/>
  <c r="U637" i="1"/>
  <c r="U133" i="1"/>
  <c r="U146" i="1"/>
  <c r="Q164" i="1"/>
  <c r="U174" i="1"/>
  <c r="U176" i="1"/>
  <c r="Z206" i="1"/>
  <c r="AB206" i="1" s="1"/>
  <c r="U210" i="1"/>
  <c r="X219" i="1"/>
  <c r="U225" i="1"/>
  <c r="AA226" i="1"/>
  <c r="AD226" i="1" s="1"/>
  <c r="AA284" i="1"/>
  <c r="AD284" i="1" s="1"/>
  <c r="AA291" i="1"/>
  <c r="AD291" i="1" s="1"/>
  <c r="U295" i="1"/>
  <c r="U308" i="1"/>
  <c r="AA322" i="1"/>
  <c r="AD322" i="1" s="1"/>
  <c r="X323" i="1"/>
  <c r="G194" i="1"/>
  <c r="G173" i="1" s="1"/>
  <c r="U385" i="1"/>
  <c r="AA386" i="1"/>
  <c r="AD386" i="1" s="1"/>
  <c r="Z396" i="1"/>
  <c r="AB396" i="1" s="1"/>
  <c r="Z409" i="1"/>
  <c r="AB409" i="1" s="1"/>
  <c r="U467" i="1"/>
  <c r="X479" i="1"/>
  <c r="U483" i="1"/>
  <c r="AA485" i="1"/>
  <c r="AD485" i="1" s="1"/>
  <c r="U487" i="1"/>
  <c r="AA489" i="1"/>
  <c r="AD489" i="1" s="1"/>
  <c r="Z604" i="1"/>
  <c r="AB604" i="1" s="1"/>
  <c r="AA605" i="1"/>
  <c r="AD605" i="1" s="1"/>
  <c r="Q627" i="1"/>
  <c r="W627" i="1" s="1"/>
  <c r="X627" i="1" s="1"/>
  <c r="U643" i="1"/>
  <c r="U646" i="1"/>
  <c r="S134" i="1"/>
  <c r="AB157" i="1"/>
  <c r="X619" i="1"/>
  <c r="U131" i="1"/>
  <c r="U147" i="1"/>
  <c r="X153" i="1"/>
  <c r="W156" i="1"/>
  <c r="AA156" i="1" s="1"/>
  <c r="Z161" i="1"/>
  <c r="AB161" i="1" s="1"/>
  <c r="U177" i="1"/>
  <c r="U192" i="1"/>
  <c r="U208" i="1"/>
  <c r="U209" i="1"/>
  <c r="U212" i="1"/>
  <c r="U213" i="1"/>
  <c r="U216" i="1"/>
  <c r="AA218" i="1"/>
  <c r="AD218" i="1" s="1"/>
  <c r="U222" i="1"/>
  <c r="Z239" i="1"/>
  <c r="AB239" i="1" s="1"/>
  <c r="AA283" i="1"/>
  <c r="AD283" i="1" s="1"/>
  <c r="AA292" i="1"/>
  <c r="AD292" i="1" s="1"/>
  <c r="U294" i="1"/>
  <c r="U297" i="1"/>
  <c r="X303" i="1"/>
  <c r="X304" i="1"/>
  <c r="X305" i="1"/>
  <c r="X306" i="1"/>
  <c r="U316" i="1"/>
  <c r="AA317" i="1"/>
  <c r="AD317" i="1" s="1"/>
  <c r="X319" i="1"/>
  <c r="U365" i="1"/>
  <c r="X372" i="1"/>
  <c r="AA378" i="1"/>
  <c r="AD378" i="1" s="1"/>
  <c r="AA408" i="1"/>
  <c r="AD408" i="1" s="1"/>
  <c r="U413" i="1"/>
  <c r="AA414" i="1"/>
  <c r="AD414" i="1" s="1"/>
  <c r="AA428" i="1"/>
  <c r="AD428" i="1" s="1"/>
  <c r="U468" i="1"/>
  <c r="U497" i="1"/>
  <c r="X498" i="1"/>
  <c r="U505" i="1"/>
  <c r="X506" i="1"/>
  <c r="AA507" i="1"/>
  <c r="AD507" i="1" s="1"/>
  <c r="O194" i="1"/>
  <c r="O173" i="1" s="1"/>
  <c r="Z521" i="1"/>
  <c r="AB521" i="1" s="1"/>
  <c r="AA534" i="1"/>
  <c r="AD534" i="1" s="1"/>
  <c r="X539" i="1"/>
  <c r="X540" i="1"/>
  <c r="U548" i="1"/>
  <c r="AA589" i="1"/>
  <c r="AD589" i="1" s="1"/>
  <c r="U602" i="1"/>
  <c r="I585" i="1"/>
  <c r="W628" i="1"/>
  <c r="X628" i="1" s="1"/>
  <c r="AA631" i="1"/>
  <c r="AD631" i="1" s="1"/>
  <c r="U636" i="1"/>
  <c r="U642" i="1"/>
  <c r="W154" i="1"/>
  <c r="X154" i="1" s="1"/>
  <c r="Z171" i="1"/>
  <c r="AB171" i="1" s="1"/>
  <c r="Z236" i="1"/>
  <c r="AB236" i="1" s="1"/>
  <c r="Z252" i="1"/>
  <c r="AB252" i="1" s="1"/>
  <c r="AA367" i="1"/>
  <c r="AD367" i="1" s="1"/>
  <c r="Z395" i="1"/>
  <c r="AB395" i="1" s="1"/>
  <c r="Z403" i="1"/>
  <c r="AB403" i="1" s="1"/>
  <c r="Z518" i="1"/>
  <c r="AB518" i="1" s="1"/>
  <c r="Z526" i="1"/>
  <c r="AB526" i="1" s="1"/>
  <c r="Z570" i="1"/>
  <c r="AB570" i="1" s="1"/>
  <c r="Z575" i="1"/>
  <c r="AB575" i="1" s="1"/>
  <c r="G585" i="1"/>
  <c r="W610" i="1"/>
  <c r="AA610" i="1" s="1"/>
  <c r="AD610" i="1" s="1"/>
  <c r="Z621" i="1"/>
  <c r="AB621" i="1" s="1"/>
  <c r="I622" i="1"/>
  <c r="AA633" i="1"/>
  <c r="AD633" i="1" s="1"/>
  <c r="U639" i="1"/>
  <c r="K611" i="1"/>
  <c r="T134" i="1"/>
  <c r="U134" i="1" s="1"/>
  <c r="AA147" i="1"/>
  <c r="U158" i="1"/>
  <c r="U205" i="1"/>
  <c r="X208" i="1"/>
  <c r="X212" i="1"/>
  <c r="U218" i="1"/>
  <c r="U220" i="1"/>
  <c r="AA222" i="1"/>
  <c r="AD222" i="1" s="1"/>
  <c r="Z231" i="1"/>
  <c r="AB231" i="1" s="1"/>
  <c r="Z247" i="1"/>
  <c r="AB247" i="1" s="1"/>
  <c r="AB281" i="1"/>
  <c r="AA287" i="1"/>
  <c r="AD287" i="1" s="1"/>
  <c r="AA290" i="1"/>
  <c r="AD290" i="1" s="1"/>
  <c r="U299" i="1"/>
  <c r="U302" i="1"/>
  <c r="AB303" i="1"/>
  <c r="AA311" i="1"/>
  <c r="AD311" i="1" s="1"/>
  <c r="U319" i="1"/>
  <c r="U320" i="1"/>
  <c r="U350" i="1"/>
  <c r="AA365" i="1"/>
  <c r="AD365" i="1" s="1"/>
  <c r="U376" i="1"/>
  <c r="X382" i="1"/>
  <c r="U384" i="1"/>
  <c r="X388" i="1"/>
  <c r="Z392" i="1"/>
  <c r="AB392" i="1" s="1"/>
  <c r="Z400" i="1"/>
  <c r="AB400" i="1" s="1"/>
  <c r="AB408" i="1"/>
  <c r="AA416" i="1"/>
  <c r="AD416" i="1" s="1"/>
  <c r="U423" i="1"/>
  <c r="AA426" i="1"/>
  <c r="AD426" i="1" s="1"/>
  <c r="Z447" i="1"/>
  <c r="AB447" i="1" s="1"/>
  <c r="U466" i="1"/>
  <c r="X471" i="1"/>
  <c r="X478" i="1"/>
  <c r="U493" i="1"/>
  <c r="U501" i="1"/>
  <c r="Z517" i="1"/>
  <c r="AB517" i="1" s="1"/>
  <c r="Z525" i="1"/>
  <c r="AB525" i="1" s="1"/>
  <c r="U534" i="1"/>
  <c r="U536" i="1"/>
  <c r="U541" i="1"/>
  <c r="AA542" i="1"/>
  <c r="AD542" i="1" s="1"/>
  <c r="U545" i="1"/>
  <c r="AA546" i="1"/>
  <c r="AD546" i="1" s="1"/>
  <c r="Z563" i="1"/>
  <c r="AB563" i="1" s="1"/>
  <c r="U580" i="1"/>
  <c r="U582" i="1"/>
  <c r="O585" i="1"/>
  <c r="AA597" i="1"/>
  <c r="AD597" i="1" s="1"/>
  <c r="AA606" i="1"/>
  <c r="AD606" i="1" s="1"/>
  <c r="Z613" i="1"/>
  <c r="AB613" i="1" s="1"/>
  <c r="AB618" i="1"/>
  <c r="U638" i="1"/>
  <c r="Z153" i="1"/>
  <c r="AB153" i="1" s="1"/>
  <c r="U153" i="1"/>
  <c r="Z160" i="1"/>
  <c r="AB160" i="1" s="1"/>
  <c r="U160" i="1"/>
  <c r="Z185" i="1"/>
  <c r="AB185" i="1" s="1"/>
  <c r="U185" i="1"/>
  <c r="AA192" i="1"/>
  <c r="AD192" i="1" s="1"/>
  <c r="X192" i="1"/>
  <c r="Z207" i="1"/>
  <c r="AB207" i="1" s="1"/>
  <c r="U207" i="1"/>
  <c r="Z211" i="1"/>
  <c r="AB211" i="1" s="1"/>
  <c r="U211" i="1"/>
  <c r="Z215" i="1"/>
  <c r="AB215" i="1" s="1"/>
  <c r="U215" i="1"/>
  <c r="Z227" i="1"/>
  <c r="AB227" i="1" s="1"/>
  <c r="U227" i="1"/>
  <c r="AA316" i="1"/>
  <c r="AD316" i="1" s="1"/>
  <c r="X316" i="1"/>
  <c r="AA376" i="1"/>
  <c r="AD376" i="1" s="1"/>
  <c r="X376" i="1"/>
  <c r="U389" i="1"/>
  <c r="Z389" i="1"/>
  <c r="AB389" i="1" s="1"/>
  <c r="Z421" i="1"/>
  <c r="AB421" i="1" s="1"/>
  <c r="U421" i="1"/>
  <c r="U452" i="1"/>
  <c r="Z452" i="1"/>
  <c r="AB452" i="1" s="1"/>
  <c r="U454" i="1"/>
  <c r="Z454" i="1"/>
  <c r="AB454" i="1" s="1"/>
  <c r="U456" i="1"/>
  <c r="Z456" i="1"/>
  <c r="AB456" i="1" s="1"/>
  <c r="U458" i="1"/>
  <c r="Z458" i="1"/>
  <c r="AB458" i="1" s="1"/>
  <c r="U460" i="1"/>
  <c r="Z460" i="1"/>
  <c r="AB460" i="1" s="1"/>
  <c r="U462" i="1"/>
  <c r="Z462" i="1"/>
  <c r="AB462" i="1" s="1"/>
  <c r="Z464" i="1"/>
  <c r="AB464" i="1" s="1"/>
  <c r="U464" i="1"/>
  <c r="AA499" i="1"/>
  <c r="AD499" i="1" s="1"/>
  <c r="X499" i="1"/>
  <c r="Z542" i="1"/>
  <c r="AB542" i="1" s="1"/>
  <c r="U542" i="1"/>
  <c r="Z606" i="1"/>
  <c r="AB606" i="1" s="1"/>
  <c r="U606" i="1"/>
  <c r="Z633" i="1"/>
  <c r="AB633" i="1" s="1"/>
  <c r="U633" i="1"/>
  <c r="Z139" i="1"/>
  <c r="AB139" i="1" s="1"/>
  <c r="Z151" i="1"/>
  <c r="AB151" i="1" s="1"/>
  <c r="U166" i="1"/>
  <c r="Z173" i="1"/>
  <c r="AB173" i="1" s="1"/>
  <c r="U173" i="1"/>
  <c r="U226" i="1"/>
  <c r="U235" i="1"/>
  <c r="Z235" i="1"/>
  <c r="AB235" i="1" s="1"/>
  <c r="U251" i="1"/>
  <c r="Z251" i="1"/>
  <c r="AB251" i="1" s="1"/>
  <c r="AA286" i="1"/>
  <c r="AD286" i="1" s="1"/>
  <c r="X289" i="1"/>
  <c r="AA289" i="1"/>
  <c r="AD289" i="1" s="1"/>
  <c r="X300" i="1"/>
  <c r="Z322" i="1"/>
  <c r="AB322" i="1" s="1"/>
  <c r="U322" i="1"/>
  <c r="AA368" i="1"/>
  <c r="AD368" i="1" s="1"/>
  <c r="X368" i="1"/>
  <c r="Z372" i="1"/>
  <c r="AB372" i="1" s="1"/>
  <c r="U372" i="1"/>
  <c r="U390" i="1"/>
  <c r="Z390" i="1"/>
  <c r="AB390" i="1" s="1"/>
  <c r="U393" i="1"/>
  <c r="Z393" i="1"/>
  <c r="AB393" i="1" s="1"/>
  <c r="Z420" i="1"/>
  <c r="AB420" i="1" s="1"/>
  <c r="U420" i="1"/>
  <c r="U435" i="1"/>
  <c r="Z435" i="1"/>
  <c r="AB435" i="1" s="1"/>
  <c r="U439" i="1"/>
  <c r="Z439" i="1"/>
  <c r="AB439" i="1" s="1"/>
  <c r="U443" i="1"/>
  <c r="Z443" i="1"/>
  <c r="AB443" i="1" s="1"/>
  <c r="AA497" i="1"/>
  <c r="AD497" i="1" s="1"/>
  <c r="X497" i="1"/>
  <c r="U135" i="1"/>
  <c r="Z144" i="1"/>
  <c r="AB144" i="1" s="1"/>
  <c r="U144" i="1"/>
  <c r="Z149" i="1"/>
  <c r="AB149" i="1" s="1"/>
  <c r="U157" i="1"/>
  <c r="Z159" i="1"/>
  <c r="AB159" i="1" s="1"/>
  <c r="U159" i="1"/>
  <c r="R182" i="1"/>
  <c r="T182" i="1" s="1"/>
  <c r="U188" i="1"/>
  <c r="Z190" i="1"/>
  <c r="AB190" i="1" s="1"/>
  <c r="U190" i="1"/>
  <c r="U199" i="1"/>
  <c r="Z202" i="1"/>
  <c r="U202" i="1"/>
  <c r="AA209" i="1"/>
  <c r="AD209" i="1" s="1"/>
  <c r="X209" i="1"/>
  <c r="AA213" i="1"/>
  <c r="AD213" i="1" s="1"/>
  <c r="X213" i="1"/>
  <c r="AA217" i="1"/>
  <c r="AD217" i="1" s="1"/>
  <c r="X217" i="1"/>
  <c r="X220" i="1"/>
  <c r="Z223" i="1"/>
  <c r="AB223" i="1" s="1"/>
  <c r="U223" i="1"/>
  <c r="AA282" i="1"/>
  <c r="AD282" i="1" s="1"/>
  <c r="X285" i="1"/>
  <c r="AA285" i="1"/>
  <c r="AD285" i="1" s="1"/>
  <c r="Z304" i="1"/>
  <c r="AB304" i="1" s="1"/>
  <c r="U304" i="1"/>
  <c r="AA308" i="1"/>
  <c r="AD308" i="1" s="1"/>
  <c r="X308" i="1"/>
  <c r="X314" i="1"/>
  <c r="U317" i="1"/>
  <c r="X352" i="1"/>
  <c r="X364" i="1"/>
  <c r="Z368" i="1"/>
  <c r="AB368" i="1" s="1"/>
  <c r="U368" i="1"/>
  <c r="X374" i="1"/>
  <c r="U377" i="1"/>
  <c r="U383" i="1"/>
  <c r="AA384" i="1"/>
  <c r="AD384" i="1" s="1"/>
  <c r="X384" i="1"/>
  <c r="X412" i="1"/>
  <c r="AA412" i="1"/>
  <c r="AD412" i="1" s="1"/>
  <c r="AA445" i="1"/>
  <c r="AD445" i="1" s="1"/>
  <c r="X445" i="1"/>
  <c r="Z451" i="1"/>
  <c r="AB451" i="1" s="1"/>
  <c r="U451" i="1"/>
  <c r="Z453" i="1"/>
  <c r="AB453" i="1" s="1"/>
  <c r="U453" i="1"/>
  <c r="Z455" i="1"/>
  <c r="AB455" i="1" s="1"/>
  <c r="U455" i="1"/>
  <c r="Z457" i="1"/>
  <c r="AB457" i="1" s="1"/>
  <c r="U457" i="1"/>
  <c r="Z459" i="1"/>
  <c r="AB459" i="1" s="1"/>
  <c r="U459" i="1"/>
  <c r="Z461" i="1"/>
  <c r="AB461" i="1" s="1"/>
  <c r="U461" i="1"/>
  <c r="Z463" i="1"/>
  <c r="AB463" i="1" s="1"/>
  <c r="U463" i="1"/>
  <c r="AA495" i="1"/>
  <c r="AD495" i="1" s="1"/>
  <c r="X495" i="1"/>
  <c r="AA503" i="1"/>
  <c r="AD503" i="1" s="1"/>
  <c r="X503" i="1"/>
  <c r="Z641" i="1"/>
  <c r="AB641" i="1" s="1"/>
  <c r="U641" i="1"/>
  <c r="X293" i="1"/>
  <c r="AA293" i="1"/>
  <c r="AD293" i="1" s="1"/>
  <c r="X297" i="1"/>
  <c r="AA297" i="1"/>
  <c r="AD297" i="1" s="1"/>
  <c r="X301" i="1"/>
  <c r="AA301" i="1"/>
  <c r="AD301" i="1" s="1"/>
  <c r="AA309" i="1"/>
  <c r="AD309" i="1" s="1"/>
  <c r="X309" i="1"/>
  <c r="Z312" i="1"/>
  <c r="AB312" i="1" s="1"/>
  <c r="U312" i="1"/>
  <c r="Z351" i="1"/>
  <c r="AB351" i="1" s="1"/>
  <c r="U351" i="1"/>
  <c r="Q515" i="1"/>
  <c r="S515" i="1" s="1"/>
  <c r="W515" i="1" s="1"/>
  <c r="AA549" i="1"/>
  <c r="AD549" i="1" s="1"/>
  <c r="X549" i="1"/>
  <c r="U624" i="1"/>
  <c r="Z624" i="1"/>
  <c r="AB624" i="1" s="1"/>
  <c r="U187" i="1"/>
  <c r="Z191" i="1"/>
  <c r="AB191" i="1" s="1"/>
  <c r="U191" i="1"/>
  <c r="S206" i="1"/>
  <c r="W206" i="1" s="1"/>
  <c r="X206" i="1" s="1"/>
  <c r="AA221" i="1"/>
  <c r="AD221" i="1" s="1"/>
  <c r="X221" i="1"/>
  <c r="U240" i="1"/>
  <c r="Z240" i="1"/>
  <c r="AB240" i="1" s="1"/>
  <c r="U256" i="1"/>
  <c r="Z256" i="1"/>
  <c r="AB256" i="1" s="1"/>
  <c r="X296" i="1"/>
  <c r="X315" i="1"/>
  <c r="Z318" i="1"/>
  <c r="AB318" i="1" s="1"/>
  <c r="U318" i="1"/>
  <c r="U321" i="1"/>
  <c r="U349" i="1"/>
  <c r="Z349" i="1"/>
  <c r="AB349" i="1" s="1"/>
  <c r="U378" i="1"/>
  <c r="AA381" i="1"/>
  <c r="AD381" i="1" s="1"/>
  <c r="Z388" i="1"/>
  <c r="AB388" i="1" s="1"/>
  <c r="U388" i="1"/>
  <c r="U398" i="1"/>
  <c r="Z398" i="1"/>
  <c r="AB398" i="1" s="1"/>
  <c r="U401" i="1"/>
  <c r="Z401" i="1"/>
  <c r="AB401" i="1" s="1"/>
  <c r="U406" i="1"/>
  <c r="Z406" i="1"/>
  <c r="AB406" i="1" s="1"/>
  <c r="U408" i="1"/>
  <c r="X410" i="1"/>
  <c r="AA410" i="1"/>
  <c r="AD410" i="1" s="1"/>
  <c r="Z418" i="1"/>
  <c r="AB418" i="1" s="1"/>
  <c r="U418" i="1"/>
  <c r="X424" i="1"/>
  <c r="AA424" i="1"/>
  <c r="AD424" i="1" s="1"/>
  <c r="U431" i="1"/>
  <c r="Z431" i="1"/>
  <c r="AB431" i="1" s="1"/>
  <c r="U433" i="1"/>
  <c r="Z433" i="1"/>
  <c r="AB433" i="1" s="1"/>
  <c r="U437" i="1"/>
  <c r="Z437" i="1"/>
  <c r="AB437" i="1" s="1"/>
  <c r="U441" i="1"/>
  <c r="Z441" i="1"/>
  <c r="AB441" i="1" s="1"/>
  <c r="Z491" i="1"/>
  <c r="AB491" i="1" s="1"/>
  <c r="U491" i="1"/>
  <c r="AA505" i="1"/>
  <c r="AD505" i="1" s="1"/>
  <c r="X505" i="1"/>
  <c r="AA548" i="1"/>
  <c r="AD548" i="1" s="1"/>
  <c r="X548" i="1"/>
  <c r="X593" i="1"/>
  <c r="AA593" i="1"/>
  <c r="AD593" i="1" s="1"/>
  <c r="Z132" i="1"/>
  <c r="AB132" i="1" s="1"/>
  <c r="U132" i="1"/>
  <c r="AH145" i="1"/>
  <c r="Z130" i="1"/>
  <c r="AB130" i="1" s="1"/>
  <c r="U130" i="1"/>
  <c r="W136" i="1"/>
  <c r="AA136" i="1" s="1"/>
  <c r="AD136" i="1" s="1"/>
  <c r="Q134" i="1"/>
  <c r="Z142" i="1"/>
  <c r="AB142" i="1" s="1"/>
  <c r="U165" i="1"/>
  <c r="R181" i="1"/>
  <c r="T181" i="1" s="1"/>
  <c r="AA186" i="1"/>
  <c r="AD186" i="1" s="1"/>
  <c r="X186" i="1"/>
  <c r="X216" i="1"/>
  <c r="Z219" i="1"/>
  <c r="AB219" i="1" s="1"/>
  <c r="U219" i="1"/>
  <c r="AA225" i="1"/>
  <c r="AD225" i="1" s="1"/>
  <c r="X225" i="1"/>
  <c r="U232" i="1"/>
  <c r="Z232" i="1"/>
  <c r="AB232" i="1" s="1"/>
  <c r="U243" i="1"/>
  <c r="Z243" i="1"/>
  <c r="AB243" i="1" s="1"/>
  <c r="U248" i="1"/>
  <c r="Z248" i="1"/>
  <c r="AB248" i="1" s="1"/>
  <c r="X281" i="1"/>
  <c r="AA281" i="1"/>
  <c r="AD281" i="1" s="1"/>
  <c r="AA320" i="1"/>
  <c r="AD320" i="1" s="1"/>
  <c r="X320" i="1"/>
  <c r="AA324" i="1"/>
  <c r="AD324" i="1" s="1"/>
  <c r="X324" i="1"/>
  <c r="X363" i="1"/>
  <c r="U370" i="1"/>
  <c r="Z380" i="1"/>
  <c r="AB380" i="1" s="1"/>
  <c r="U380" i="1"/>
  <c r="U386" i="1"/>
  <c r="U394" i="1"/>
  <c r="Z394" i="1"/>
  <c r="AB394" i="1" s="1"/>
  <c r="U397" i="1"/>
  <c r="Z397" i="1"/>
  <c r="AB397" i="1" s="1"/>
  <c r="U402" i="1"/>
  <c r="Z402" i="1"/>
  <c r="AB402" i="1" s="1"/>
  <c r="U405" i="1"/>
  <c r="Z405" i="1"/>
  <c r="AB405" i="1" s="1"/>
  <c r="Z419" i="1"/>
  <c r="AB419" i="1" s="1"/>
  <c r="U419" i="1"/>
  <c r="X466" i="1"/>
  <c r="AA466" i="1"/>
  <c r="AD466" i="1" s="1"/>
  <c r="AA493" i="1"/>
  <c r="AD493" i="1" s="1"/>
  <c r="X493" i="1"/>
  <c r="AA501" i="1"/>
  <c r="AD501" i="1" s="1"/>
  <c r="X501" i="1"/>
  <c r="Z543" i="1"/>
  <c r="AB543" i="1" s="1"/>
  <c r="U543" i="1"/>
  <c r="U607" i="1"/>
  <c r="Z607" i="1"/>
  <c r="AB607" i="1" s="1"/>
  <c r="Q625" i="1"/>
  <c r="W625" i="1" s="1"/>
  <c r="S626" i="1"/>
  <c r="W626" i="1" s="1"/>
  <c r="Z634" i="1"/>
  <c r="AB634" i="1" s="1"/>
  <c r="U634" i="1"/>
  <c r="X465" i="1"/>
  <c r="AA465" i="1"/>
  <c r="AD465" i="1" s="1"/>
  <c r="X469" i="1"/>
  <c r="AA469" i="1"/>
  <c r="AD469" i="1" s="1"/>
  <c r="Z492" i="1"/>
  <c r="AB492" i="1" s="1"/>
  <c r="U492" i="1"/>
  <c r="U520" i="1"/>
  <c r="Z520" i="1"/>
  <c r="AB520" i="1" s="1"/>
  <c r="Z531" i="1"/>
  <c r="AB531" i="1" s="1"/>
  <c r="U531" i="1"/>
  <c r="Z551" i="1"/>
  <c r="AB551" i="1" s="1"/>
  <c r="U551" i="1"/>
  <c r="I129" i="1"/>
  <c r="U414" i="1"/>
  <c r="U415" i="1"/>
  <c r="U416" i="1"/>
  <c r="U417" i="1"/>
  <c r="AA422" i="1"/>
  <c r="AD422" i="1" s="1"/>
  <c r="U426" i="1"/>
  <c r="U427" i="1"/>
  <c r="U428" i="1"/>
  <c r="X430" i="1"/>
  <c r="X431" i="1"/>
  <c r="X432" i="1"/>
  <c r="X433" i="1"/>
  <c r="X434" i="1"/>
  <c r="X435" i="1"/>
  <c r="X436" i="1"/>
  <c r="X437" i="1"/>
  <c r="X438" i="1"/>
  <c r="X439" i="1"/>
  <c r="X440" i="1"/>
  <c r="X441" i="1"/>
  <c r="X442" i="1"/>
  <c r="X443" i="1"/>
  <c r="X444" i="1"/>
  <c r="X450" i="1"/>
  <c r="X463" i="1"/>
  <c r="AA463" i="1"/>
  <c r="AD463" i="1" s="1"/>
  <c r="X464" i="1"/>
  <c r="AA464" i="1"/>
  <c r="AD464" i="1" s="1"/>
  <c r="X468" i="1"/>
  <c r="AA468" i="1"/>
  <c r="AD468" i="1" s="1"/>
  <c r="X474" i="1"/>
  <c r="X482" i="1"/>
  <c r="X484" i="1"/>
  <c r="X486" i="1"/>
  <c r="X488" i="1"/>
  <c r="Z494" i="1"/>
  <c r="AB494" i="1" s="1"/>
  <c r="U494" i="1"/>
  <c r="Z496" i="1"/>
  <c r="AB496" i="1" s="1"/>
  <c r="U496" i="1"/>
  <c r="Z498" i="1"/>
  <c r="AB498" i="1" s="1"/>
  <c r="U498" i="1"/>
  <c r="Z500" i="1"/>
  <c r="AB500" i="1" s="1"/>
  <c r="U500" i="1"/>
  <c r="Z502" i="1"/>
  <c r="AB502" i="1" s="1"/>
  <c r="U502" i="1"/>
  <c r="Z504" i="1"/>
  <c r="AB504" i="1" s="1"/>
  <c r="U504" i="1"/>
  <c r="Z506" i="1"/>
  <c r="AB506" i="1" s="1"/>
  <c r="U506" i="1"/>
  <c r="S530" i="1"/>
  <c r="W530" i="1" s="1"/>
  <c r="AA533" i="1"/>
  <c r="AD533" i="1" s="1"/>
  <c r="X533" i="1"/>
  <c r="X536" i="1"/>
  <c r="Z539" i="1"/>
  <c r="AB539" i="1" s="1"/>
  <c r="U539" i="1"/>
  <c r="X544" i="1"/>
  <c r="Z547" i="1"/>
  <c r="AB547" i="1" s="1"/>
  <c r="U547" i="1"/>
  <c r="U550" i="1"/>
  <c r="Z579" i="1"/>
  <c r="AB579" i="1" s="1"/>
  <c r="AA580" i="1"/>
  <c r="AD580" i="1" s="1"/>
  <c r="X580" i="1"/>
  <c r="M586" i="1"/>
  <c r="M585" i="1" s="1"/>
  <c r="AA599" i="1"/>
  <c r="AD599" i="1" s="1"/>
  <c r="X601" i="1"/>
  <c r="AA601" i="1"/>
  <c r="AD601" i="1" s="1"/>
  <c r="U608" i="1"/>
  <c r="Z608" i="1"/>
  <c r="AB608" i="1" s="1"/>
  <c r="W621" i="1"/>
  <c r="S620" i="1"/>
  <c r="W620" i="1" s="1"/>
  <c r="U631" i="1"/>
  <c r="U632" i="1"/>
  <c r="Z640" i="1"/>
  <c r="AB640" i="1" s="1"/>
  <c r="U640" i="1"/>
  <c r="AA645" i="1"/>
  <c r="AD645" i="1" s="1"/>
  <c r="Z647" i="1"/>
  <c r="AB647" i="1" s="1"/>
  <c r="U647" i="1"/>
  <c r="W429" i="1"/>
  <c r="AA429" i="1" s="1"/>
  <c r="AD429" i="1" s="1"/>
  <c r="AA477" i="1"/>
  <c r="AD477" i="1" s="1"/>
  <c r="X477" i="1"/>
  <c r="U523" i="1"/>
  <c r="Z523" i="1"/>
  <c r="AB523" i="1" s="1"/>
  <c r="AA537" i="1"/>
  <c r="AD537" i="1" s="1"/>
  <c r="X537" i="1"/>
  <c r="AA545" i="1"/>
  <c r="AD545" i="1" s="1"/>
  <c r="X545" i="1"/>
  <c r="U559" i="1"/>
  <c r="Z559" i="1"/>
  <c r="AB559" i="1" s="1"/>
  <c r="U566" i="1"/>
  <c r="Z566" i="1"/>
  <c r="AB566" i="1" s="1"/>
  <c r="U610" i="1"/>
  <c r="Z610" i="1"/>
  <c r="AB610" i="1" s="1"/>
  <c r="X635" i="1"/>
  <c r="AA635" i="1"/>
  <c r="AD635" i="1" s="1"/>
  <c r="U136" i="1"/>
  <c r="U140" i="1"/>
  <c r="Z141" i="1"/>
  <c r="AB141" i="1" s="1"/>
  <c r="Z143" i="1"/>
  <c r="AB143" i="1" s="1"/>
  <c r="W145" i="1"/>
  <c r="X145" i="1" s="1"/>
  <c r="U148" i="1"/>
  <c r="Z150" i="1"/>
  <c r="AB150" i="1" s="1"/>
  <c r="Z152" i="1"/>
  <c r="AB152" i="1" s="1"/>
  <c r="Q162" i="1"/>
  <c r="S162" i="1" s="1"/>
  <c r="Q163" i="1"/>
  <c r="S163" i="1" s="1"/>
  <c r="U164" i="1"/>
  <c r="U180" i="1"/>
  <c r="W191" i="1"/>
  <c r="AA191" i="1" s="1"/>
  <c r="AD191" i="1" s="1"/>
  <c r="U224" i="1"/>
  <c r="U296" i="1"/>
  <c r="U300" i="1"/>
  <c r="AB350" i="1"/>
  <c r="U352" i="1"/>
  <c r="U363" i="1"/>
  <c r="AA369" i="1"/>
  <c r="AD369" i="1" s="1"/>
  <c r="U371" i="1"/>
  <c r="U373" i="1"/>
  <c r="U374" i="1"/>
  <c r="AA377" i="1"/>
  <c r="AD377" i="1" s="1"/>
  <c r="U379" i="1"/>
  <c r="U381" i="1"/>
  <c r="U382" i="1"/>
  <c r="AA385" i="1"/>
  <c r="AD385" i="1" s="1"/>
  <c r="U387" i="1"/>
  <c r="U410" i="1"/>
  <c r="U411" i="1"/>
  <c r="U412" i="1"/>
  <c r="AA418" i="1"/>
  <c r="AD418" i="1" s="1"/>
  <c r="U424" i="1"/>
  <c r="U425" i="1"/>
  <c r="X449" i="1"/>
  <c r="AA452" i="1"/>
  <c r="AD452" i="1" s="1"/>
  <c r="AA454" i="1"/>
  <c r="AD454" i="1" s="1"/>
  <c r="AA456" i="1"/>
  <c r="AD456" i="1" s="1"/>
  <c r="AA458" i="1"/>
  <c r="AD458" i="1" s="1"/>
  <c r="AA460" i="1"/>
  <c r="AD460" i="1" s="1"/>
  <c r="AA462" i="1"/>
  <c r="AD462" i="1" s="1"/>
  <c r="X467" i="1"/>
  <c r="AA467" i="1"/>
  <c r="AD467" i="1" s="1"/>
  <c r="AA473" i="1"/>
  <c r="AD473" i="1" s="1"/>
  <c r="X473" i="1"/>
  <c r="AA481" i="1"/>
  <c r="AD481" i="1" s="1"/>
  <c r="X481" i="1"/>
  <c r="X490" i="1"/>
  <c r="U516" i="1"/>
  <c r="Z516" i="1"/>
  <c r="AB516" i="1" s="1"/>
  <c r="U519" i="1"/>
  <c r="Z519" i="1"/>
  <c r="AB519" i="1" s="1"/>
  <c r="U524" i="1"/>
  <c r="Z524" i="1"/>
  <c r="AB524" i="1" s="1"/>
  <c r="U527" i="1"/>
  <c r="Z527" i="1"/>
  <c r="AB527" i="1" s="1"/>
  <c r="X532" i="1"/>
  <c r="Z535" i="1"/>
  <c r="AB535" i="1" s="1"/>
  <c r="U535" i="1"/>
  <c r="U538" i="1"/>
  <c r="AA541" i="1"/>
  <c r="AD541" i="1" s="1"/>
  <c r="X541" i="1"/>
  <c r="U546" i="1"/>
  <c r="W554" i="1"/>
  <c r="AA554" i="1" s="1"/>
  <c r="AD554" i="1" s="1"/>
  <c r="U558" i="1"/>
  <c r="Z558" i="1"/>
  <c r="AB558" i="1" s="1"/>
  <c r="U567" i="1"/>
  <c r="Z567" i="1"/>
  <c r="AB567" i="1" s="1"/>
  <c r="S584" i="1"/>
  <c r="W584" i="1" s="1"/>
  <c r="Q582" i="1"/>
  <c r="W582" i="1" s="1"/>
  <c r="X582" i="1" s="1"/>
  <c r="Z617" i="1"/>
  <c r="AB617" i="1" s="1"/>
  <c r="U617" i="1"/>
  <c r="Z622" i="1"/>
  <c r="AB622" i="1" s="1"/>
  <c r="U622" i="1"/>
  <c r="U627" i="1"/>
  <c r="Z627" i="1"/>
  <c r="AB627" i="1" s="1"/>
  <c r="Z630" i="1"/>
  <c r="AB630" i="1" s="1"/>
  <c r="U630" i="1"/>
  <c r="X637" i="1"/>
  <c r="AA637" i="1"/>
  <c r="AD637" i="1" s="1"/>
  <c r="W552" i="1"/>
  <c r="AA552" i="1" s="1"/>
  <c r="AD552" i="1" s="1"/>
  <c r="W579" i="1"/>
  <c r="X579" i="1" s="1"/>
  <c r="W609" i="1"/>
  <c r="X609" i="1" s="1"/>
  <c r="X472" i="1"/>
  <c r="X476" i="1"/>
  <c r="X480" i="1"/>
  <c r="U484" i="1"/>
  <c r="U486" i="1"/>
  <c r="U488" i="1"/>
  <c r="Z515" i="1"/>
  <c r="AB515" i="1" s="1"/>
  <c r="AB530" i="1"/>
  <c r="U532" i="1"/>
  <c r="U540" i="1"/>
  <c r="U544" i="1"/>
  <c r="AA595" i="1"/>
  <c r="AD595" i="1" s="1"/>
  <c r="S615" i="1"/>
  <c r="S614" i="1" s="1"/>
  <c r="W614" i="1" s="1"/>
  <c r="X614" i="1" s="1"/>
  <c r="G622" i="1"/>
  <c r="U626" i="1"/>
  <c r="AA641" i="1"/>
  <c r="AD641" i="1" s="1"/>
  <c r="U644" i="1"/>
  <c r="U645" i="1"/>
  <c r="Z179" i="1"/>
  <c r="AB179" i="1" s="1"/>
  <c r="U179" i="1"/>
  <c r="X156" i="1"/>
  <c r="Z162" i="1"/>
  <c r="AB162" i="1" s="1"/>
  <c r="Z170" i="1"/>
  <c r="AB170" i="1" s="1"/>
  <c r="I173" i="1"/>
  <c r="Z194" i="1"/>
  <c r="AB194" i="1" s="1"/>
  <c r="R201" i="1"/>
  <c r="T201" i="1" s="1"/>
  <c r="Z203" i="1"/>
  <c r="U203" i="1"/>
  <c r="AA260" i="1"/>
  <c r="AD260" i="1" s="1"/>
  <c r="X260" i="1"/>
  <c r="AA137" i="1"/>
  <c r="AD137" i="1" s="1"/>
  <c r="X137" i="1"/>
  <c r="AA261" i="1"/>
  <c r="AD261" i="1" s="1"/>
  <c r="X261" i="1"/>
  <c r="M129" i="1"/>
  <c r="Z145" i="1"/>
  <c r="AB145" i="1" s="1"/>
  <c r="Z155" i="1"/>
  <c r="AB155" i="1" s="1"/>
  <c r="G129" i="1"/>
  <c r="K129" i="1"/>
  <c r="Z163" i="1"/>
  <c r="AB163" i="1" s="1"/>
  <c r="W168" i="1"/>
  <c r="X188" i="1"/>
  <c r="AA189" i="1"/>
  <c r="AD189" i="1" s="1"/>
  <c r="X189" i="1"/>
  <c r="M173" i="1"/>
  <c r="Z195" i="1"/>
  <c r="AB195" i="1" s="1"/>
  <c r="U195" i="1"/>
  <c r="Z230" i="1"/>
  <c r="AB230" i="1" s="1"/>
  <c r="Z234" i="1"/>
  <c r="AB234" i="1" s="1"/>
  <c r="Z238" i="1"/>
  <c r="AB238" i="1" s="1"/>
  <c r="Z242" i="1"/>
  <c r="AB242" i="1" s="1"/>
  <c r="Z246" i="1"/>
  <c r="AB246" i="1" s="1"/>
  <c r="Z250" i="1"/>
  <c r="AB250" i="1" s="1"/>
  <c r="Z254" i="1"/>
  <c r="AB254" i="1" s="1"/>
  <c r="Z258" i="1"/>
  <c r="AB258" i="1" s="1"/>
  <c r="AA259" i="1"/>
  <c r="AD259" i="1" s="1"/>
  <c r="X259" i="1"/>
  <c r="S184" i="1"/>
  <c r="S182" i="1" s="1"/>
  <c r="Q182" i="1"/>
  <c r="O164" i="1"/>
  <c r="Z167" i="1"/>
  <c r="AB167" i="1" s="1"/>
  <c r="Z172" i="1"/>
  <c r="AB172" i="1" s="1"/>
  <c r="Z178" i="1"/>
  <c r="AB178" i="1" s="1"/>
  <c r="U178" i="1"/>
  <c r="Z183" i="1"/>
  <c r="AB183" i="1" s="1"/>
  <c r="AA185" i="1"/>
  <c r="AD185" i="1" s="1"/>
  <c r="AA190" i="1"/>
  <c r="AD190" i="1" s="1"/>
  <c r="P196" i="1"/>
  <c r="R196" i="1" s="1"/>
  <c r="T196" i="1" s="1"/>
  <c r="Z200" i="1"/>
  <c r="U200" i="1"/>
  <c r="Z229" i="1"/>
  <c r="AB229" i="1" s="1"/>
  <c r="Z233" i="1"/>
  <c r="AB233" i="1" s="1"/>
  <c r="Z237" i="1"/>
  <c r="AB237" i="1" s="1"/>
  <c r="Z241" i="1"/>
  <c r="AB241" i="1" s="1"/>
  <c r="Z245" i="1"/>
  <c r="AB245" i="1" s="1"/>
  <c r="Z249" i="1"/>
  <c r="AB249" i="1" s="1"/>
  <c r="Z253" i="1"/>
  <c r="AB253" i="1" s="1"/>
  <c r="Z257" i="1"/>
  <c r="AB257" i="1" s="1"/>
  <c r="Z283" i="1"/>
  <c r="AB283" i="1" s="1"/>
  <c r="Z286" i="1"/>
  <c r="AB286" i="1" s="1"/>
  <c r="Z287" i="1"/>
  <c r="AB287" i="1" s="1"/>
  <c r="Z315" i="1"/>
  <c r="AB315" i="1" s="1"/>
  <c r="AA355" i="1"/>
  <c r="AD355" i="1" s="1"/>
  <c r="X355" i="1"/>
  <c r="AA399" i="1"/>
  <c r="AD399" i="1" s="1"/>
  <c r="X399" i="1"/>
  <c r="X417" i="1"/>
  <c r="AA417" i="1"/>
  <c r="AD417" i="1" s="1"/>
  <c r="U446" i="1"/>
  <c r="Z446" i="1"/>
  <c r="AB446" i="1" s="1"/>
  <c r="AA161" i="1"/>
  <c r="AD161" i="1" s="1"/>
  <c r="AA167" i="1"/>
  <c r="AD167" i="1" s="1"/>
  <c r="AA169" i="1"/>
  <c r="AD169" i="1" s="1"/>
  <c r="AA171" i="1"/>
  <c r="AD171" i="1" s="1"/>
  <c r="AA172" i="1"/>
  <c r="AD172" i="1" s="1"/>
  <c r="AA183" i="1"/>
  <c r="AD183" i="1" s="1"/>
  <c r="AA228" i="1"/>
  <c r="AD228" i="1" s="1"/>
  <c r="AA229" i="1"/>
  <c r="AD229" i="1" s="1"/>
  <c r="AA230" i="1"/>
  <c r="AD230" i="1" s="1"/>
  <c r="AA231" i="1"/>
  <c r="AD231" i="1" s="1"/>
  <c r="AA232" i="1"/>
  <c r="AD232" i="1" s="1"/>
  <c r="AA233" i="1"/>
  <c r="AD233" i="1" s="1"/>
  <c r="AA234" i="1"/>
  <c r="AD234" i="1" s="1"/>
  <c r="AA235" i="1"/>
  <c r="AD235" i="1" s="1"/>
  <c r="AA236" i="1"/>
  <c r="AD236" i="1" s="1"/>
  <c r="AA237" i="1"/>
  <c r="AD237" i="1" s="1"/>
  <c r="AA238" i="1"/>
  <c r="AD238" i="1" s="1"/>
  <c r="AA239" i="1"/>
  <c r="AD239" i="1" s="1"/>
  <c r="AA240" i="1"/>
  <c r="AD240" i="1" s="1"/>
  <c r="AA241" i="1"/>
  <c r="AD241" i="1" s="1"/>
  <c r="AA242" i="1"/>
  <c r="AD242" i="1" s="1"/>
  <c r="AA243" i="1"/>
  <c r="AD243" i="1" s="1"/>
  <c r="AA244" i="1"/>
  <c r="AD244" i="1" s="1"/>
  <c r="AA245" i="1"/>
  <c r="AD245" i="1" s="1"/>
  <c r="AA246" i="1"/>
  <c r="AD246" i="1" s="1"/>
  <c r="AA247" i="1"/>
  <c r="AD247" i="1" s="1"/>
  <c r="AA248" i="1"/>
  <c r="AD248" i="1" s="1"/>
  <c r="AA249" i="1"/>
  <c r="AD249" i="1" s="1"/>
  <c r="AA250" i="1"/>
  <c r="AD250" i="1" s="1"/>
  <c r="AA251" i="1"/>
  <c r="AD251" i="1" s="1"/>
  <c r="AA252" i="1"/>
  <c r="AD252" i="1" s="1"/>
  <c r="AA253" i="1"/>
  <c r="AD253" i="1" s="1"/>
  <c r="AA254" i="1"/>
  <c r="AD254" i="1" s="1"/>
  <c r="AA255" i="1"/>
  <c r="AD255" i="1" s="1"/>
  <c r="AA256" i="1"/>
  <c r="AD256" i="1" s="1"/>
  <c r="AA257" i="1"/>
  <c r="AD257" i="1" s="1"/>
  <c r="AA258" i="1"/>
  <c r="AD258" i="1" s="1"/>
  <c r="X262" i="1"/>
  <c r="X263" i="1"/>
  <c r="X264" i="1"/>
  <c r="X265" i="1"/>
  <c r="X266" i="1"/>
  <c r="X267" i="1"/>
  <c r="X268" i="1"/>
  <c r="X269" i="1"/>
  <c r="X270" i="1"/>
  <c r="X271" i="1"/>
  <c r="X272" i="1"/>
  <c r="X273" i="1"/>
  <c r="X274" i="1"/>
  <c r="X275" i="1"/>
  <c r="X276" i="1"/>
  <c r="X277" i="1"/>
  <c r="X278" i="1"/>
  <c r="X279" i="1"/>
  <c r="X280" i="1"/>
  <c r="U281" i="1"/>
  <c r="U282" i="1"/>
  <c r="U284" i="1"/>
  <c r="U285" i="1"/>
  <c r="U288" i="1"/>
  <c r="U289" i="1"/>
  <c r="U290" i="1"/>
  <c r="U291" i="1"/>
  <c r="U292" i="1"/>
  <c r="U293" i="1"/>
  <c r="X295" i="1"/>
  <c r="X299" i="1"/>
  <c r="U303" i="1"/>
  <c r="Z306" i="1"/>
  <c r="AB306" i="1" s="1"/>
  <c r="U307" i="1"/>
  <c r="Z310" i="1"/>
  <c r="AB310" i="1" s="1"/>
  <c r="U311" i="1"/>
  <c r="Z314" i="1"/>
  <c r="AB314" i="1" s="1"/>
  <c r="U345" i="1"/>
  <c r="Z345" i="1"/>
  <c r="AB345" i="1" s="1"/>
  <c r="AA346" i="1"/>
  <c r="AD346" i="1" s="1"/>
  <c r="X346" i="1"/>
  <c r="AA354" i="1"/>
  <c r="AD354" i="1" s="1"/>
  <c r="X354" i="1"/>
  <c r="AA358" i="1"/>
  <c r="AD358" i="1" s="1"/>
  <c r="X358" i="1"/>
  <c r="AA362" i="1"/>
  <c r="AD362" i="1" s="1"/>
  <c r="X362" i="1"/>
  <c r="AA375" i="1"/>
  <c r="AD375" i="1" s="1"/>
  <c r="X375" i="1"/>
  <c r="AA389" i="1"/>
  <c r="AD389" i="1" s="1"/>
  <c r="X389" i="1"/>
  <c r="AA397" i="1"/>
  <c r="AD397" i="1" s="1"/>
  <c r="X397" i="1"/>
  <c r="AA405" i="1"/>
  <c r="AD405" i="1" s="1"/>
  <c r="X405" i="1"/>
  <c r="X413" i="1"/>
  <c r="AA413" i="1"/>
  <c r="AD413" i="1" s="1"/>
  <c r="U429" i="1"/>
  <c r="Z429" i="1"/>
  <c r="AB429" i="1" s="1"/>
  <c r="AA391" i="1"/>
  <c r="AD391" i="1" s="1"/>
  <c r="X391" i="1"/>
  <c r="Z137" i="1"/>
  <c r="AB137" i="1" s="1"/>
  <c r="Z154" i="1"/>
  <c r="AB154" i="1" s="1"/>
  <c r="W155" i="1"/>
  <c r="Z156" i="1"/>
  <c r="AB156" i="1" s="1"/>
  <c r="Z168" i="1"/>
  <c r="AB168" i="1" s="1"/>
  <c r="Z184" i="1"/>
  <c r="AB184" i="1" s="1"/>
  <c r="Z189" i="1"/>
  <c r="AB189" i="1" s="1"/>
  <c r="Z259" i="1"/>
  <c r="AB259" i="1" s="1"/>
  <c r="Z260" i="1"/>
  <c r="AB260" i="1" s="1"/>
  <c r="Z261" i="1"/>
  <c r="AB261" i="1" s="1"/>
  <c r="Z262" i="1"/>
  <c r="AB262" i="1" s="1"/>
  <c r="Z263" i="1"/>
  <c r="AB263" i="1" s="1"/>
  <c r="Z264" i="1"/>
  <c r="AB264" i="1" s="1"/>
  <c r="Z265" i="1"/>
  <c r="AB265" i="1" s="1"/>
  <c r="Z266" i="1"/>
  <c r="AB266" i="1" s="1"/>
  <c r="Z267" i="1"/>
  <c r="AB267" i="1" s="1"/>
  <c r="Z268" i="1"/>
  <c r="AB268" i="1" s="1"/>
  <c r="Z269" i="1"/>
  <c r="AB269" i="1" s="1"/>
  <c r="Z270" i="1"/>
  <c r="AB270" i="1" s="1"/>
  <c r="Z271" i="1"/>
  <c r="AB271" i="1" s="1"/>
  <c r="Z272" i="1"/>
  <c r="AB272" i="1" s="1"/>
  <c r="Z273" i="1"/>
  <c r="AB273" i="1" s="1"/>
  <c r="Z274" i="1"/>
  <c r="AB274" i="1" s="1"/>
  <c r="Z275" i="1"/>
  <c r="AB275" i="1" s="1"/>
  <c r="Z276" i="1"/>
  <c r="AB276" i="1" s="1"/>
  <c r="Z277" i="1"/>
  <c r="AB277" i="1" s="1"/>
  <c r="Z278" i="1"/>
  <c r="AB278" i="1" s="1"/>
  <c r="Z279" i="1"/>
  <c r="AB279" i="1" s="1"/>
  <c r="Z280" i="1"/>
  <c r="AB280" i="1" s="1"/>
  <c r="X294" i="1"/>
  <c r="X298" i="1"/>
  <c r="X302" i="1"/>
  <c r="Z305" i="1"/>
  <c r="AB305" i="1" s="1"/>
  <c r="Z309" i="1"/>
  <c r="AB309" i="1" s="1"/>
  <c r="Z313" i="1"/>
  <c r="AB313" i="1" s="1"/>
  <c r="AA325" i="1"/>
  <c r="AD325" i="1" s="1"/>
  <c r="X325" i="1"/>
  <c r="AA326" i="1"/>
  <c r="AD326" i="1" s="1"/>
  <c r="X326" i="1"/>
  <c r="AA327" i="1"/>
  <c r="AD327" i="1" s="1"/>
  <c r="X327" i="1"/>
  <c r="AA328" i="1"/>
  <c r="AD328" i="1" s="1"/>
  <c r="X328" i="1"/>
  <c r="AA329" i="1"/>
  <c r="AD329" i="1" s="1"/>
  <c r="X329" i="1"/>
  <c r="AA330" i="1"/>
  <c r="AD330" i="1" s="1"/>
  <c r="X330" i="1"/>
  <c r="AA331" i="1"/>
  <c r="AD331" i="1" s="1"/>
  <c r="X331" i="1"/>
  <c r="AA332" i="1"/>
  <c r="AD332" i="1" s="1"/>
  <c r="X332" i="1"/>
  <c r="AA333" i="1"/>
  <c r="AD333" i="1" s="1"/>
  <c r="X333" i="1"/>
  <c r="AA334" i="1"/>
  <c r="AD334" i="1" s="1"/>
  <c r="X334" i="1"/>
  <c r="AA335" i="1"/>
  <c r="AD335" i="1" s="1"/>
  <c r="X335" i="1"/>
  <c r="AA336" i="1"/>
  <c r="AD336" i="1" s="1"/>
  <c r="X336" i="1"/>
  <c r="AA337" i="1"/>
  <c r="AD337" i="1" s="1"/>
  <c r="X337" i="1"/>
  <c r="AA338" i="1"/>
  <c r="AD338" i="1" s="1"/>
  <c r="X338" i="1"/>
  <c r="AA339" i="1"/>
  <c r="AD339" i="1" s="1"/>
  <c r="X339" i="1"/>
  <c r="AA340" i="1"/>
  <c r="AD340" i="1" s="1"/>
  <c r="X340" i="1"/>
  <c r="AA341" i="1"/>
  <c r="AD341" i="1" s="1"/>
  <c r="X341" i="1"/>
  <c r="AA342" i="1"/>
  <c r="AD342" i="1" s="1"/>
  <c r="X342" i="1"/>
  <c r="AA343" i="1"/>
  <c r="AD343" i="1" s="1"/>
  <c r="X343" i="1"/>
  <c r="AA344" i="1"/>
  <c r="AD344" i="1" s="1"/>
  <c r="X344" i="1"/>
  <c r="AA345" i="1"/>
  <c r="AD345" i="1" s="1"/>
  <c r="X345" i="1"/>
  <c r="Z348" i="1"/>
  <c r="AB348" i="1" s="1"/>
  <c r="AA353" i="1"/>
  <c r="AD353" i="1" s="1"/>
  <c r="X353" i="1"/>
  <c r="AA357" i="1"/>
  <c r="AD357" i="1" s="1"/>
  <c r="X357" i="1"/>
  <c r="AA361" i="1"/>
  <c r="AD361" i="1" s="1"/>
  <c r="X361" i="1"/>
  <c r="AA371" i="1"/>
  <c r="AD371" i="1" s="1"/>
  <c r="X371" i="1"/>
  <c r="AA387" i="1"/>
  <c r="AD387" i="1" s="1"/>
  <c r="X387" i="1"/>
  <c r="AA395" i="1"/>
  <c r="AD395" i="1" s="1"/>
  <c r="X395" i="1"/>
  <c r="AA403" i="1"/>
  <c r="AD403" i="1" s="1"/>
  <c r="X403" i="1"/>
  <c r="X425" i="1"/>
  <c r="AA425" i="1"/>
  <c r="AD425" i="1" s="1"/>
  <c r="U430" i="1"/>
  <c r="Z430" i="1"/>
  <c r="AB430" i="1" s="1"/>
  <c r="U434" i="1"/>
  <c r="Z434" i="1"/>
  <c r="AB434" i="1" s="1"/>
  <c r="U438" i="1"/>
  <c r="Z438" i="1"/>
  <c r="AB438" i="1" s="1"/>
  <c r="U442" i="1"/>
  <c r="Z442" i="1"/>
  <c r="AB442" i="1" s="1"/>
  <c r="AA359" i="1"/>
  <c r="AD359" i="1" s="1"/>
  <c r="X359" i="1"/>
  <c r="AA379" i="1"/>
  <c r="AD379" i="1" s="1"/>
  <c r="X379" i="1"/>
  <c r="AA407" i="1"/>
  <c r="AD407" i="1" s="1"/>
  <c r="X407" i="1"/>
  <c r="Q144" i="1"/>
  <c r="O148" i="1"/>
  <c r="Q157" i="1"/>
  <c r="Z325" i="1"/>
  <c r="AB325" i="1" s="1"/>
  <c r="Z326" i="1"/>
  <c r="AB326" i="1" s="1"/>
  <c r="Z327" i="1"/>
  <c r="AB327" i="1" s="1"/>
  <c r="Z328" i="1"/>
  <c r="AB328" i="1" s="1"/>
  <c r="Z329" i="1"/>
  <c r="AB329" i="1" s="1"/>
  <c r="Z330" i="1"/>
  <c r="AB330" i="1" s="1"/>
  <c r="Z331" i="1"/>
  <c r="AB331" i="1" s="1"/>
  <c r="Z332" i="1"/>
  <c r="AB332" i="1" s="1"/>
  <c r="Z333" i="1"/>
  <c r="AB333" i="1" s="1"/>
  <c r="Z334" i="1"/>
  <c r="AB334" i="1" s="1"/>
  <c r="Z335" i="1"/>
  <c r="AB335" i="1" s="1"/>
  <c r="Z336" i="1"/>
  <c r="AB336" i="1" s="1"/>
  <c r="Z337" i="1"/>
  <c r="AB337" i="1" s="1"/>
  <c r="Z338" i="1"/>
  <c r="AB338" i="1" s="1"/>
  <c r="Z339" i="1"/>
  <c r="AB339" i="1" s="1"/>
  <c r="Z340" i="1"/>
  <c r="AB340" i="1" s="1"/>
  <c r="Z341" i="1"/>
  <c r="AB341" i="1" s="1"/>
  <c r="Z342" i="1"/>
  <c r="AB342" i="1" s="1"/>
  <c r="Z343" i="1"/>
  <c r="AB343" i="1" s="1"/>
  <c r="Z344" i="1"/>
  <c r="AB344" i="1" s="1"/>
  <c r="Z347" i="1"/>
  <c r="AB347" i="1" s="1"/>
  <c r="AA350" i="1"/>
  <c r="AD350" i="1" s="1"/>
  <c r="AA356" i="1"/>
  <c r="AD356" i="1" s="1"/>
  <c r="X356" i="1"/>
  <c r="AA360" i="1"/>
  <c r="AD360" i="1" s="1"/>
  <c r="X360" i="1"/>
  <c r="Z364" i="1"/>
  <c r="AB364" i="1" s="1"/>
  <c r="AA383" i="1"/>
  <c r="AD383" i="1" s="1"/>
  <c r="X383" i="1"/>
  <c r="AA393" i="1"/>
  <c r="AD393" i="1" s="1"/>
  <c r="X393" i="1"/>
  <c r="AA401" i="1"/>
  <c r="AD401" i="1" s="1"/>
  <c r="X401" i="1"/>
  <c r="X421" i="1"/>
  <c r="AA421" i="1"/>
  <c r="AD421" i="1" s="1"/>
  <c r="AA347" i="1"/>
  <c r="AD347" i="1" s="1"/>
  <c r="AA348" i="1"/>
  <c r="AD348" i="1" s="1"/>
  <c r="AA349" i="1"/>
  <c r="AD349" i="1" s="1"/>
  <c r="AA409" i="1"/>
  <c r="AD409" i="1" s="1"/>
  <c r="Z432" i="1"/>
  <c r="AB432" i="1" s="1"/>
  <c r="Z436" i="1"/>
  <c r="AB436" i="1" s="1"/>
  <c r="Z440" i="1"/>
  <c r="AB440" i="1" s="1"/>
  <c r="Z444" i="1"/>
  <c r="AB444" i="1" s="1"/>
  <c r="Z448" i="1"/>
  <c r="AB448" i="1" s="1"/>
  <c r="Z346" i="1"/>
  <c r="AB346" i="1" s="1"/>
  <c r="Z353" i="1"/>
  <c r="AB353" i="1" s="1"/>
  <c r="Z354" i="1"/>
  <c r="AB354" i="1" s="1"/>
  <c r="Z355" i="1"/>
  <c r="AB355" i="1" s="1"/>
  <c r="Z356" i="1"/>
  <c r="AB356" i="1" s="1"/>
  <c r="Z357" i="1"/>
  <c r="AB357" i="1" s="1"/>
  <c r="Z358" i="1"/>
  <c r="AB358" i="1" s="1"/>
  <c r="Z359" i="1"/>
  <c r="AB359" i="1" s="1"/>
  <c r="Z360" i="1"/>
  <c r="AB360" i="1" s="1"/>
  <c r="Z361" i="1"/>
  <c r="AB361" i="1" s="1"/>
  <c r="Z362" i="1"/>
  <c r="AB362" i="1" s="1"/>
  <c r="Z366" i="1"/>
  <c r="AB366" i="1" s="1"/>
  <c r="Z445" i="1"/>
  <c r="AB445" i="1" s="1"/>
  <c r="Z449" i="1"/>
  <c r="AB449" i="1" s="1"/>
  <c r="X390" i="1"/>
  <c r="X392" i="1"/>
  <c r="X394" i="1"/>
  <c r="X396" i="1"/>
  <c r="X398" i="1"/>
  <c r="X400" i="1"/>
  <c r="X402" i="1"/>
  <c r="X404" i="1"/>
  <c r="X406" i="1"/>
  <c r="AA411" i="1"/>
  <c r="AD411" i="1" s="1"/>
  <c r="AA415" i="1"/>
  <c r="AD415" i="1" s="1"/>
  <c r="AA419" i="1"/>
  <c r="AD419" i="1" s="1"/>
  <c r="AA423" i="1"/>
  <c r="AD423" i="1" s="1"/>
  <c r="AA427" i="1"/>
  <c r="AD427" i="1" s="1"/>
  <c r="X451" i="1"/>
  <c r="AA451" i="1"/>
  <c r="AD451" i="1" s="1"/>
  <c r="X453" i="1"/>
  <c r="AA453" i="1"/>
  <c r="AD453" i="1" s="1"/>
  <c r="X455" i="1"/>
  <c r="AA455" i="1"/>
  <c r="AD455" i="1" s="1"/>
  <c r="X457" i="1"/>
  <c r="AA457" i="1"/>
  <c r="AD457" i="1" s="1"/>
  <c r="X459" i="1"/>
  <c r="AA459" i="1"/>
  <c r="AD459" i="1" s="1"/>
  <c r="X461" i="1"/>
  <c r="AA461" i="1"/>
  <c r="AD461" i="1" s="1"/>
  <c r="Z507" i="1"/>
  <c r="AB507" i="1" s="1"/>
  <c r="U507" i="1"/>
  <c r="X508" i="1"/>
  <c r="AA508" i="1"/>
  <c r="AD508" i="1" s="1"/>
  <c r="X510" i="1"/>
  <c r="AA510" i="1"/>
  <c r="AD510" i="1" s="1"/>
  <c r="X512" i="1"/>
  <c r="AA512" i="1"/>
  <c r="AD512" i="1" s="1"/>
  <c r="X514" i="1"/>
  <c r="AA514" i="1"/>
  <c r="AD514" i="1" s="1"/>
  <c r="U529" i="1"/>
  <c r="Z529" i="1"/>
  <c r="AB529" i="1" s="1"/>
  <c r="U557" i="1"/>
  <c r="Z557" i="1"/>
  <c r="AB557" i="1" s="1"/>
  <c r="U565" i="1"/>
  <c r="Z565" i="1"/>
  <c r="AB565" i="1" s="1"/>
  <c r="U573" i="1"/>
  <c r="Z573" i="1"/>
  <c r="AB573" i="1" s="1"/>
  <c r="X581" i="1"/>
  <c r="AA581" i="1"/>
  <c r="AD581" i="1" s="1"/>
  <c r="U585" i="1"/>
  <c r="Z585" i="1"/>
  <c r="AB585" i="1" s="1"/>
  <c r="X646" i="1"/>
  <c r="AA646" i="1"/>
  <c r="AD646" i="1" s="1"/>
  <c r="W612" i="1"/>
  <c r="X612" i="1" s="1"/>
  <c r="U614" i="1"/>
  <c r="AB614" i="1"/>
  <c r="O611" i="1"/>
  <c r="U561" i="1"/>
  <c r="Z561" i="1"/>
  <c r="AB561" i="1" s="1"/>
  <c r="U569" i="1"/>
  <c r="Z569" i="1"/>
  <c r="AB569" i="1" s="1"/>
  <c r="AA583" i="1"/>
  <c r="AD583" i="1" s="1"/>
  <c r="X583" i="1"/>
  <c r="W470" i="1"/>
  <c r="X509" i="1"/>
  <c r="AA509" i="1"/>
  <c r="AD509" i="1" s="1"/>
  <c r="X511" i="1"/>
  <c r="AA511" i="1"/>
  <c r="AD511" i="1" s="1"/>
  <c r="X513" i="1"/>
  <c r="AA513" i="1"/>
  <c r="AD513" i="1" s="1"/>
  <c r="Z591" i="1"/>
  <c r="AB591" i="1" s="1"/>
  <c r="U591" i="1"/>
  <c r="X592" i="1"/>
  <c r="AA592" i="1"/>
  <c r="AD592" i="1" s="1"/>
  <c r="Z599" i="1"/>
  <c r="AB599" i="1" s="1"/>
  <c r="U599" i="1"/>
  <c r="X600" i="1"/>
  <c r="AA600" i="1"/>
  <c r="AD600" i="1" s="1"/>
  <c r="AA604" i="1"/>
  <c r="AD604" i="1" s="1"/>
  <c r="X604" i="1"/>
  <c r="Z470" i="1"/>
  <c r="AB470" i="1" s="1"/>
  <c r="Z471" i="1"/>
  <c r="AB471" i="1" s="1"/>
  <c r="Z472" i="1"/>
  <c r="AB472" i="1" s="1"/>
  <c r="Z473" i="1"/>
  <c r="AB473" i="1" s="1"/>
  <c r="Z474" i="1"/>
  <c r="AB474" i="1" s="1"/>
  <c r="Z475" i="1"/>
  <c r="AB475" i="1" s="1"/>
  <c r="Z476" i="1"/>
  <c r="AB476" i="1" s="1"/>
  <c r="Z477" i="1"/>
  <c r="AB477" i="1" s="1"/>
  <c r="Z478" i="1"/>
  <c r="AB478" i="1" s="1"/>
  <c r="Z479" i="1"/>
  <c r="AB479" i="1" s="1"/>
  <c r="Z480" i="1"/>
  <c r="AB480" i="1" s="1"/>
  <c r="Z481" i="1"/>
  <c r="AB481" i="1" s="1"/>
  <c r="Z482" i="1"/>
  <c r="AB482" i="1" s="1"/>
  <c r="Z508" i="1"/>
  <c r="AB508" i="1" s="1"/>
  <c r="Z509" i="1"/>
  <c r="AB509" i="1" s="1"/>
  <c r="Z510" i="1"/>
  <c r="AB510" i="1" s="1"/>
  <c r="Z511" i="1"/>
  <c r="AB511" i="1" s="1"/>
  <c r="Z512" i="1"/>
  <c r="AB512" i="1" s="1"/>
  <c r="Z513" i="1"/>
  <c r="AB513" i="1" s="1"/>
  <c r="Z514" i="1"/>
  <c r="AB514" i="1" s="1"/>
  <c r="Z574" i="1"/>
  <c r="AB574" i="1" s="1"/>
  <c r="AB580" i="1"/>
  <c r="Z593" i="1"/>
  <c r="AB593" i="1" s="1"/>
  <c r="U593" i="1"/>
  <c r="X594" i="1"/>
  <c r="AA594" i="1"/>
  <c r="AD594" i="1" s="1"/>
  <c r="Z601" i="1"/>
  <c r="AB601" i="1" s="1"/>
  <c r="U601" i="1"/>
  <c r="AA603" i="1"/>
  <c r="AD603" i="1" s="1"/>
  <c r="X603" i="1"/>
  <c r="X638" i="1"/>
  <c r="AA638" i="1"/>
  <c r="AD638" i="1" s="1"/>
  <c r="AA553" i="1"/>
  <c r="AD553" i="1" s="1"/>
  <c r="X553" i="1"/>
  <c r="AA577" i="1"/>
  <c r="AD577" i="1" s="1"/>
  <c r="X577" i="1"/>
  <c r="X588" i="1"/>
  <c r="AA588" i="1"/>
  <c r="AD588" i="1" s="1"/>
  <c r="Z595" i="1"/>
  <c r="AB595" i="1" s="1"/>
  <c r="U595" i="1"/>
  <c r="X596" i="1"/>
  <c r="AA596" i="1"/>
  <c r="AD596" i="1" s="1"/>
  <c r="AA602" i="1"/>
  <c r="AD602" i="1" s="1"/>
  <c r="X602" i="1"/>
  <c r="Q492" i="1"/>
  <c r="X516" i="1"/>
  <c r="AA516" i="1"/>
  <c r="AD516" i="1" s="1"/>
  <c r="X517" i="1"/>
  <c r="AA517" i="1"/>
  <c r="AD517" i="1" s="1"/>
  <c r="X518" i="1"/>
  <c r="AA518" i="1"/>
  <c r="AD518" i="1" s="1"/>
  <c r="X519" i="1"/>
  <c r="AA519" i="1"/>
  <c r="AD519" i="1" s="1"/>
  <c r="X520" i="1"/>
  <c r="AA520" i="1"/>
  <c r="AD520" i="1" s="1"/>
  <c r="X521" i="1"/>
  <c r="AA521" i="1"/>
  <c r="AD521" i="1" s="1"/>
  <c r="X522" i="1"/>
  <c r="AA522" i="1"/>
  <c r="AD522" i="1" s="1"/>
  <c r="X523" i="1"/>
  <c r="AA523" i="1"/>
  <c r="AD523" i="1" s="1"/>
  <c r="X524" i="1"/>
  <c r="AA524" i="1"/>
  <c r="AD524" i="1" s="1"/>
  <c r="X525" i="1"/>
  <c r="AA525" i="1"/>
  <c r="AD525" i="1" s="1"/>
  <c r="X526" i="1"/>
  <c r="AA526" i="1"/>
  <c r="AD526" i="1" s="1"/>
  <c r="Z528" i="1"/>
  <c r="AB528" i="1" s="1"/>
  <c r="AA555" i="1"/>
  <c r="AD555" i="1" s="1"/>
  <c r="X555" i="1"/>
  <c r="Z560" i="1"/>
  <c r="AB560" i="1" s="1"/>
  <c r="Z564" i="1"/>
  <c r="AB564" i="1" s="1"/>
  <c r="Z568" i="1"/>
  <c r="AB568" i="1" s="1"/>
  <c r="Z572" i="1"/>
  <c r="AB572" i="1" s="1"/>
  <c r="W576" i="1"/>
  <c r="Z584" i="1"/>
  <c r="AB584" i="1" s="1"/>
  <c r="U584" i="1"/>
  <c r="Z587" i="1"/>
  <c r="AB587" i="1" s="1"/>
  <c r="U587" i="1"/>
  <c r="Z589" i="1"/>
  <c r="AB589" i="1" s="1"/>
  <c r="U589" i="1"/>
  <c r="X590" i="1"/>
  <c r="AA590" i="1"/>
  <c r="AD590" i="1" s="1"/>
  <c r="Z597" i="1"/>
  <c r="AB597" i="1" s="1"/>
  <c r="U597" i="1"/>
  <c r="X598" i="1"/>
  <c r="AA598" i="1"/>
  <c r="AD598" i="1" s="1"/>
  <c r="W617" i="1"/>
  <c r="S616" i="1"/>
  <c r="W616" i="1" s="1"/>
  <c r="AA527" i="1"/>
  <c r="AD527" i="1" s="1"/>
  <c r="AA528" i="1"/>
  <c r="AD528" i="1" s="1"/>
  <c r="AA529" i="1"/>
  <c r="AD529" i="1" s="1"/>
  <c r="Z556" i="1"/>
  <c r="AB556" i="1" s="1"/>
  <c r="AA557" i="1"/>
  <c r="AD557" i="1" s="1"/>
  <c r="AA558" i="1"/>
  <c r="AD558" i="1" s="1"/>
  <c r="AA559" i="1"/>
  <c r="AD559" i="1" s="1"/>
  <c r="AA560" i="1"/>
  <c r="AD560" i="1" s="1"/>
  <c r="AA561" i="1"/>
  <c r="AD561" i="1" s="1"/>
  <c r="AA562" i="1"/>
  <c r="AD562" i="1" s="1"/>
  <c r="AA563" i="1"/>
  <c r="AD563" i="1" s="1"/>
  <c r="AA564" i="1"/>
  <c r="AD564" i="1" s="1"/>
  <c r="AA565" i="1"/>
  <c r="AD565" i="1" s="1"/>
  <c r="AA566" i="1"/>
  <c r="AD566" i="1" s="1"/>
  <c r="AA567" i="1"/>
  <c r="AD567" i="1" s="1"/>
  <c r="AA568" i="1"/>
  <c r="AD568" i="1" s="1"/>
  <c r="AA569" i="1"/>
  <c r="AD569" i="1" s="1"/>
  <c r="AA570" i="1"/>
  <c r="AD570" i="1" s="1"/>
  <c r="AA571" i="1"/>
  <c r="AD571" i="1" s="1"/>
  <c r="AA572" i="1"/>
  <c r="AD572" i="1" s="1"/>
  <c r="AA573" i="1"/>
  <c r="AD573" i="1" s="1"/>
  <c r="AA574" i="1"/>
  <c r="AD574" i="1" s="1"/>
  <c r="AA575" i="1"/>
  <c r="AD575" i="1" s="1"/>
  <c r="Z588" i="1"/>
  <c r="AB588" i="1" s="1"/>
  <c r="Z590" i="1"/>
  <c r="AB590" i="1" s="1"/>
  <c r="Z592" i="1"/>
  <c r="AB592" i="1" s="1"/>
  <c r="Z594" i="1"/>
  <c r="AB594" i="1" s="1"/>
  <c r="Z596" i="1"/>
  <c r="AB596" i="1" s="1"/>
  <c r="Z598" i="1"/>
  <c r="AB598" i="1" s="1"/>
  <c r="Z600" i="1"/>
  <c r="AB600" i="1" s="1"/>
  <c r="AA607" i="1"/>
  <c r="AD607" i="1" s="1"/>
  <c r="X607" i="1"/>
  <c r="AA608" i="1"/>
  <c r="AD608" i="1" s="1"/>
  <c r="X608" i="1"/>
  <c r="U611" i="1"/>
  <c r="Z611" i="1"/>
  <c r="AB611" i="1" s="1"/>
  <c r="M611" i="1"/>
  <c r="Z629" i="1"/>
  <c r="AB629" i="1" s="1"/>
  <c r="U629" i="1"/>
  <c r="X634" i="1"/>
  <c r="AA634" i="1"/>
  <c r="AD634" i="1" s="1"/>
  <c r="Z553" i="1"/>
  <c r="AB553" i="1" s="1"/>
  <c r="Z554" i="1"/>
  <c r="AB554" i="1" s="1"/>
  <c r="Z555" i="1"/>
  <c r="AB555" i="1" s="1"/>
  <c r="Z576" i="1"/>
  <c r="AB576" i="1" s="1"/>
  <c r="Z577" i="1"/>
  <c r="AB577" i="1" s="1"/>
  <c r="Z583" i="1"/>
  <c r="AB583" i="1" s="1"/>
  <c r="Z625" i="1"/>
  <c r="AB625" i="1" s="1"/>
  <c r="U625" i="1"/>
  <c r="X630" i="1"/>
  <c r="AA630" i="1"/>
  <c r="AD630" i="1" s="1"/>
  <c r="X642" i="1"/>
  <c r="AA642" i="1"/>
  <c r="AD642" i="1" s="1"/>
  <c r="Q587" i="1"/>
  <c r="Q586" i="1" s="1"/>
  <c r="Q585" i="1" s="1"/>
  <c r="AA613" i="1"/>
  <c r="AD613" i="1" s="1"/>
  <c r="X613" i="1"/>
  <c r="AA624" i="1"/>
  <c r="AD624" i="1" s="1"/>
  <c r="X624" i="1"/>
  <c r="I611" i="1"/>
  <c r="Z615" i="1"/>
  <c r="AB615" i="1" s="1"/>
  <c r="Z616" i="1"/>
  <c r="AB616" i="1" s="1"/>
  <c r="Z619" i="1"/>
  <c r="AB619" i="1" s="1"/>
  <c r="Z623" i="1"/>
  <c r="AB623" i="1" s="1"/>
  <c r="Z628" i="1"/>
  <c r="AB628" i="1" s="1"/>
  <c r="U620" i="1"/>
  <c r="AA639" i="1"/>
  <c r="AD639" i="1" s="1"/>
  <c r="AA643" i="1"/>
  <c r="AD643" i="1" s="1"/>
  <c r="AA647" i="1"/>
  <c r="AD647" i="1" s="1"/>
  <c r="Q611" i="1"/>
  <c r="W623" i="1"/>
  <c r="M622" i="1"/>
  <c r="AA632" i="1"/>
  <c r="AD632" i="1" s="1"/>
  <c r="AA636" i="1"/>
  <c r="AD636" i="1" s="1"/>
  <c r="AA640" i="1"/>
  <c r="AD640" i="1" s="1"/>
  <c r="AA644" i="1"/>
  <c r="AD644" i="1" s="1"/>
  <c r="AA145" i="1" l="1"/>
  <c r="AD145" i="1" s="1"/>
  <c r="AA154" i="1"/>
  <c r="Z612" i="1"/>
  <c r="AB612" i="1" s="1"/>
  <c r="W164" i="1"/>
  <c r="AA164" i="1" s="1"/>
  <c r="AD164" i="1" s="1"/>
  <c r="AA609" i="1"/>
  <c r="AD609" i="1" s="1"/>
  <c r="X554" i="1"/>
  <c r="Q622" i="1"/>
  <c r="W622" i="1" s="1"/>
  <c r="W134" i="1"/>
  <c r="X134" i="1" s="1"/>
  <c r="AA625" i="1"/>
  <c r="AD625" i="1" s="1"/>
  <c r="X625" i="1"/>
  <c r="W615" i="1"/>
  <c r="AA615" i="1" s="1"/>
  <c r="AD615" i="1" s="1"/>
  <c r="X610" i="1"/>
  <c r="AA628" i="1"/>
  <c r="AD628" i="1" s="1"/>
  <c r="X136" i="1"/>
  <c r="X191" i="1"/>
  <c r="AA612" i="1"/>
  <c r="AD612" i="1" s="1"/>
  <c r="AA627" i="1"/>
  <c r="AD627" i="1" s="1"/>
  <c r="X552" i="1"/>
  <c r="Q158" i="1"/>
  <c r="Z181" i="1"/>
  <c r="AB181" i="1" s="1"/>
  <c r="U181" i="1"/>
  <c r="AA579" i="1"/>
  <c r="AD579" i="1" s="1"/>
  <c r="Z134" i="1"/>
  <c r="AB134" i="1" s="1"/>
  <c r="S158" i="1"/>
  <c r="AA515" i="1"/>
  <c r="AD515" i="1" s="1"/>
  <c r="X515" i="1"/>
  <c r="X530" i="1"/>
  <c r="AA530" i="1"/>
  <c r="AD530" i="1" s="1"/>
  <c r="X620" i="1"/>
  <c r="AA620" i="1"/>
  <c r="AD620" i="1" s="1"/>
  <c r="S611" i="1"/>
  <c r="W611" i="1" s="1"/>
  <c r="X611" i="1" s="1"/>
  <c r="X429" i="1"/>
  <c r="W163" i="1"/>
  <c r="X621" i="1"/>
  <c r="AA621" i="1"/>
  <c r="AD621" i="1" s="1"/>
  <c r="U182" i="1"/>
  <c r="Z182" i="1"/>
  <c r="AB182" i="1" s="1"/>
  <c r="AA582" i="1"/>
  <c r="AD582" i="1" s="1"/>
  <c r="W162" i="1"/>
  <c r="Q194" i="1"/>
  <c r="AA206" i="1"/>
  <c r="AD206" i="1" s="1"/>
  <c r="S194" i="1"/>
  <c r="S173" i="1" s="1"/>
  <c r="S170" i="1" s="1"/>
  <c r="W170" i="1" s="1"/>
  <c r="Z196" i="1"/>
  <c r="AB196" i="1" s="1"/>
  <c r="U196" i="1"/>
  <c r="X616" i="1"/>
  <c r="AA616" i="1"/>
  <c r="AD616" i="1" s="1"/>
  <c r="U201" i="1"/>
  <c r="Z201" i="1"/>
  <c r="AA576" i="1"/>
  <c r="AD576" i="1" s="1"/>
  <c r="X576" i="1"/>
  <c r="W182" i="1"/>
  <c r="AA623" i="1"/>
  <c r="AD623" i="1" s="1"/>
  <c r="X623" i="1"/>
  <c r="S587" i="1"/>
  <c r="AA470" i="1"/>
  <c r="AD470" i="1" s="1"/>
  <c r="X470" i="1"/>
  <c r="W492" i="1"/>
  <c r="Q148" i="1"/>
  <c r="S157" i="1"/>
  <c r="S148" i="1" s="1"/>
  <c r="X155" i="1"/>
  <c r="AA155" i="1"/>
  <c r="X617" i="1"/>
  <c r="AA617" i="1"/>
  <c r="AD617" i="1" s="1"/>
  <c r="AA618" i="1"/>
  <c r="AD618" i="1" s="1"/>
  <c r="X618" i="1"/>
  <c r="O129" i="1"/>
  <c r="AA626" i="1"/>
  <c r="AD626" i="1" s="1"/>
  <c r="X626" i="1"/>
  <c r="AA614" i="1"/>
  <c r="AD614" i="1" s="1"/>
  <c r="X584" i="1"/>
  <c r="AA584" i="1"/>
  <c r="AD584" i="1" s="1"/>
  <c r="Q139" i="1"/>
  <c r="S144" i="1"/>
  <c r="W144" i="1" s="1"/>
  <c r="AA168" i="1"/>
  <c r="AD168" i="1" s="1"/>
  <c r="X168" i="1"/>
  <c r="W184" i="1"/>
  <c r="X164" i="1" l="1"/>
  <c r="S129" i="1"/>
  <c r="W158" i="1"/>
  <c r="AA158" i="1" s="1"/>
  <c r="AD158" i="1" s="1"/>
  <c r="X622" i="1"/>
  <c r="AA622" i="1"/>
  <c r="AD622" i="1" s="1"/>
  <c r="W194" i="1"/>
  <c r="X194" i="1" s="1"/>
  <c r="AA134" i="1"/>
  <c r="AD134" i="1" s="1"/>
  <c r="X615" i="1"/>
  <c r="W148" i="1"/>
  <c r="X148" i="1" s="1"/>
  <c r="W157" i="1"/>
  <c r="AA157" i="1" s="1"/>
  <c r="X170" i="1"/>
  <c r="AA170" i="1"/>
  <c r="AD170" i="1" s="1"/>
  <c r="X163" i="1"/>
  <c r="AA163" i="1"/>
  <c r="AD163" i="1" s="1"/>
  <c r="Q173" i="1"/>
  <c r="W173" i="1" s="1"/>
  <c r="AA173" i="1" s="1"/>
  <c r="AD173" i="1" s="1"/>
  <c r="X162" i="1"/>
  <c r="AA162" i="1"/>
  <c r="AD162" i="1" s="1"/>
  <c r="AH144" i="1"/>
  <c r="AA144" i="1"/>
  <c r="AD144" i="1" s="1"/>
  <c r="X144" i="1"/>
  <c r="AA492" i="1"/>
  <c r="AD492" i="1" s="1"/>
  <c r="X492" i="1"/>
  <c r="AA184" i="1"/>
  <c r="AD184" i="1" s="1"/>
  <c r="X184" i="1"/>
  <c r="AA611" i="1"/>
  <c r="AD611" i="1" s="1"/>
  <c r="X182" i="1"/>
  <c r="AA182" i="1"/>
  <c r="AD182" i="1" s="1"/>
  <c r="AH139" i="1"/>
  <c r="Q129" i="1"/>
  <c r="W139" i="1"/>
  <c r="S586" i="1"/>
  <c r="W587" i="1"/>
  <c r="AA148" i="1" l="1"/>
  <c r="X158" i="1"/>
  <c r="W129" i="1"/>
  <c r="X129" i="1" s="1"/>
  <c r="X157" i="1"/>
  <c r="AA194" i="1"/>
  <c r="AD194" i="1" s="1"/>
  <c r="X173" i="1"/>
  <c r="S585" i="1"/>
  <c r="W585" i="1" s="1"/>
  <c r="W586" i="1"/>
  <c r="AH129" i="1"/>
  <c r="X587" i="1"/>
  <c r="AA587" i="1"/>
  <c r="AD587" i="1" s="1"/>
  <c r="X139" i="1"/>
  <c r="AA139" i="1"/>
  <c r="AD139" i="1" s="1"/>
  <c r="AA129" i="1" l="1"/>
  <c r="AD129" i="1" s="1"/>
  <c r="X586" i="1"/>
  <c r="AA586" i="1"/>
  <c r="AD586" i="1" s="1"/>
  <c r="X585" i="1"/>
  <c r="AA585" i="1"/>
  <c r="AD585" i="1" s="1"/>
  <c r="S124" i="1" l="1"/>
  <c r="S123" i="1" s="1"/>
  <c r="R119" i="1"/>
  <c r="P119" i="1"/>
  <c r="S119" i="1"/>
  <c r="S116" i="1" s="1"/>
  <c r="R110" i="1"/>
  <c r="P110" i="1"/>
  <c r="S110" i="1"/>
  <c r="Q110" i="1"/>
  <c r="O110" i="1"/>
  <c r="M110" i="1"/>
  <c r="K110" i="1"/>
  <c r="R107" i="1"/>
  <c r="T107" i="1" s="1"/>
  <c r="P107" i="1"/>
  <c r="S107" i="1"/>
  <c r="S98" i="1"/>
  <c r="L98" i="1"/>
  <c r="S86" i="1"/>
  <c r="N69" i="1"/>
  <c r="S69" i="1"/>
  <c r="R55" i="1"/>
  <c r="P55" i="1"/>
  <c r="N55" i="1"/>
  <c r="L55" i="1"/>
  <c r="S55" i="1"/>
  <c r="S37" i="1"/>
  <c r="S32" i="1"/>
  <c r="S25" i="1"/>
  <c r="S17" i="1"/>
  <c r="S20" i="1"/>
  <c r="T79" i="1"/>
  <c r="S104" i="1" l="1"/>
  <c r="S42" i="1"/>
  <c r="S16" i="1"/>
  <c r="R21" i="1"/>
  <c r="P20" i="1"/>
  <c r="Q124" i="1"/>
  <c r="Q123" i="1" s="1"/>
  <c r="Q119" i="1"/>
  <c r="Q116" i="1" s="1"/>
  <c r="Q107" i="1"/>
  <c r="Q98" i="1"/>
  <c r="Q86" i="1"/>
  <c r="Q69" i="1"/>
  <c r="Q55" i="1"/>
  <c r="Q37" i="1"/>
  <c r="Q32" i="1"/>
  <c r="Q25" i="1"/>
  <c r="P21" i="1"/>
  <c r="Q20" i="1"/>
  <c r="Q17" i="1"/>
  <c r="P17" i="1"/>
  <c r="Q104" i="1" l="1"/>
  <c r="Q42" i="1"/>
  <c r="Q16" i="1"/>
  <c r="T37" i="1"/>
  <c r="T32" i="1"/>
  <c r="T16" i="1"/>
  <c r="O124" i="1" l="1"/>
  <c r="O123" i="1" s="1"/>
  <c r="O119" i="1"/>
  <c r="O116" i="1" s="1"/>
  <c r="O107" i="1"/>
  <c r="O98" i="1"/>
  <c r="O86" i="1"/>
  <c r="N86" i="1"/>
  <c r="O69" i="1"/>
  <c r="O55" i="1"/>
  <c r="O37" i="1"/>
  <c r="O32" i="1"/>
  <c r="O25" i="1"/>
  <c r="N21" i="1"/>
  <c r="O20" i="1"/>
  <c r="N20" i="1"/>
  <c r="O17" i="1"/>
  <c r="N17" i="1"/>
  <c r="L21" i="1"/>
  <c r="I119" i="1"/>
  <c r="G119" i="1"/>
  <c r="I117" i="1"/>
  <c r="G114" i="1"/>
  <c r="G113" i="1" s="1"/>
  <c r="I114" i="1"/>
  <c r="I113" i="1" s="1"/>
  <c r="G110" i="1"/>
  <c r="I110" i="1"/>
  <c r="K107" i="1"/>
  <c r="W111" i="1"/>
  <c r="T111" i="1"/>
  <c r="U111" i="1" s="1"/>
  <c r="G107" i="1"/>
  <c r="I107" i="1"/>
  <c r="M107" i="1"/>
  <c r="G105" i="1"/>
  <c r="I105" i="1"/>
  <c r="G98" i="1"/>
  <c r="I98" i="1"/>
  <c r="K98" i="1"/>
  <c r="I86" i="1"/>
  <c r="G86" i="1"/>
  <c r="K86" i="1"/>
  <c r="G69" i="1"/>
  <c r="I69" i="1"/>
  <c r="W108" i="1"/>
  <c r="T108" i="1"/>
  <c r="U108" i="1" s="1"/>
  <c r="W100" i="1"/>
  <c r="T100" i="1"/>
  <c r="U100" i="1" s="1"/>
  <c r="W90" i="1"/>
  <c r="T90" i="1"/>
  <c r="U90" i="1" s="1"/>
  <c r="W88" i="1"/>
  <c r="T88" i="1"/>
  <c r="U88" i="1" s="1"/>
  <c r="AA108" i="1" l="1"/>
  <c r="AA88" i="1"/>
  <c r="AA100" i="1"/>
  <c r="AA90" i="1"/>
  <c r="AA111" i="1"/>
  <c r="T21" i="1"/>
  <c r="O104" i="1"/>
  <c r="O42" i="1"/>
  <c r="O16" i="1"/>
  <c r="G104" i="1"/>
  <c r="I116" i="1"/>
  <c r="X111" i="1"/>
  <c r="I104" i="1"/>
  <c r="X108" i="1"/>
  <c r="Z111" i="1"/>
  <c r="Z108" i="1"/>
  <c r="X100" i="1"/>
  <c r="Z100" i="1"/>
  <c r="X90" i="1"/>
  <c r="Z90" i="1"/>
  <c r="X88" i="1"/>
  <c r="Z88" i="1"/>
  <c r="W73" i="1"/>
  <c r="T73" i="1"/>
  <c r="U73" i="1" s="1"/>
  <c r="W72" i="1"/>
  <c r="T72" i="1"/>
  <c r="U72" i="1" s="1"/>
  <c r="W71" i="1"/>
  <c r="T71" i="1"/>
  <c r="U71" i="1" s="1"/>
  <c r="E71" i="1"/>
  <c r="W61" i="1"/>
  <c r="T61" i="1"/>
  <c r="U61" i="1" s="1"/>
  <c r="T60" i="1"/>
  <c r="U60" i="1" s="1"/>
  <c r="W57" i="1"/>
  <c r="T57" i="1"/>
  <c r="U57" i="1" s="1"/>
  <c r="E57" i="1"/>
  <c r="I55" i="1"/>
  <c r="I42" i="1" s="1"/>
  <c r="G17" i="1"/>
  <c r="G20" i="1"/>
  <c r="G25" i="1"/>
  <c r="G30" i="1"/>
  <c r="I30" i="1"/>
  <c r="G32" i="1"/>
  <c r="G37" i="1"/>
  <c r="I37" i="1"/>
  <c r="I32" i="1"/>
  <c r="I25" i="1"/>
  <c r="I20" i="1"/>
  <c r="I17" i="1"/>
  <c r="T52" i="1"/>
  <c r="U52" i="1" s="1"/>
  <c r="T53" i="1"/>
  <c r="U53" i="1" s="1"/>
  <c r="T54" i="1"/>
  <c r="Z54" i="1" s="1"/>
  <c r="T43" i="1"/>
  <c r="Z43" i="1" s="1"/>
  <c r="T44" i="1"/>
  <c r="U44" i="1" s="1"/>
  <c r="T45" i="1"/>
  <c r="U45" i="1" s="1"/>
  <c r="T46" i="1"/>
  <c r="Z46" i="1" s="1"/>
  <c r="T47" i="1"/>
  <c r="Z47" i="1" s="1"/>
  <c r="T48" i="1"/>
  <c r="U48" i="1" s="1"/>
  <c r="T49" i="1"/>
  <c r="U49" i="1" s="1"/>
  <c r="T50" i="1"/>
  <c r="Z50" i="1" s="1"/>
  <c r="T51" i="1"/>
  <c r="Z51" i="1" s="1"/>
  <c r="AA71" i="1" l="1"/>
  <c r="AA73" i="1"/>
  <c r="AA61" i="1"/>
  <c r="AA57" i="1"/>
  <c r="AA72" i="1"/>
  <c r="U54" i="1"/>
  <c r="X71" i="1"/>
  <c r="U43" i="1"/>
  <c r="X72" i="1"/>
  <c r="X73" i="1"/>
  <c r="Z73" i="1"/>
  <c r="Z72" i="1"/>
  <c r="Z71" i="1"/>
  <c r="X57" i="1"/>
  <c r="U50" i="1"/>
  <c r="G16" i="1"/>
  <c r="U51" i="1"/>
  <c r="X61" i="1"/>
  <c r="Z61" i="1"/>
  <c r="Z60" i="1"/>
  <c r="Z57" i="1"/>
  <c r="I16" i="1"/>
  <c r="U46" i="1"/>
  <c r="Z52" i="1"/>
  <c r="Z48" i="1"/>
  <c r="Z44" i="1"/>
  <c r="U47" i="1"/>
  <c r="Z53" i="1"/>
  <c r="Z49" i="1"/>
  <c r="Z45" i="1"/>
  <c r="L69" i="1"/>
  <c r="E41" i="1" l="1"/>
  <c r="E40" i="1"/>
  <c r="E39" i="1"/>
  <c r="E38" i="1"/>
  <c r="E31" i="1"/>
  <c r="E36" i="1"/>
  <c r="E35" i="1"/>
  <c r="E34" i="1"/>
  <c r="E33" i="1"/>
  <c r="E29" i="1"/>
  <c r="E28" i="1"/>
  <c r="E27" i="1"/>
  <c r="E26" i="1"/>
  <c r="E24" i="1"/>
  <c r="E23" i="1"/>
  <c r="E22" i="1"/>
  <c r="E21" i="1"/>
  <c r="E19" i="1"/>
  <c r="E18" i="1"/>
  <c r="J20" i="1"/>
  <c r="E17" i="1" l="1"/>
  <c r="E20" i="1"/>
  <c r="J104" i="1"/>
  <c r="E112" i="1"/>
  <c r="E109" i="1"/>
  <c r="E107" i="1"/>
  <c r="J107" i="1"/>
  <c r="E104" i="1"/>
  <c r="E105" i="1"/>
  <c r="E123" i="1"/>
  <c r="G124" i="1"/>
  <c r="G123" i="1" s="1"/>
  <c r="G117" i="1"/>
  <c r="G116" i="1" s="1"/>
  <c r="E126" i="1"/>
  <c r="E128" i="1"/>
  <c r="J119" i="1"/>
  <c r="E115" i="1"/>
  <c r="E114" i="1"/>
  <c r="E102" i="1"/>
  <c r="E103" i="1"/>
  <c r="E101" i="1"/>
  <c r="E92" i="1"/>
  <c r="T91" i="1"/>
  <c r="E91" i="1"/>
  <c r="J91" i="1"/>
  <c r="L86" i="1" s="1"/>
  <c r="E95" i="1"/>
  <c r="E78" i="1"/>
  <c r="T78" i="1"/>
  <c r="E79" i="1"/>
  <c r="E99" i="1"/>
  <c r="E89" i="1"/>
  <c r="E87" i="1"/>
  <c r="E77" i="1" l="1"/>
  <c r="E76" i="1"/>
  <c r="E82" i="1"/>
  <c r="E81" i="1"/>
  <c r="E80" i="1"/>
  <c r="E74" i="1"/>
  <c r="T66" i="1"/>
  <c r="E66" i="1"/>
  <c r="E68" i="1"/>
  <c r="E65" i="1"/>
  <c r="T65" i="1"/>
  <c r="E64" i="1"/>
  <c r="E63" i="1"/>
  <c r="E62" i="1"/>
  <c r="E59" i="1" l="1"/>
  <c r="E58" i="1"/>
  <c r="AA97" i="1" l="1"/>
  <c r="Z97" i="1"/>
  <c r="W102" i="1"/>
  <c r="T102" i="1"/>
  <c r="U102" i="1" s="1"/>
  <c r="E85" i="1"/>
  <c r="E84" i="1"/>
  <c r="AA102" i="1" l="1"/>
  <c r="X102" i="1"/>
  <c r="Z102" i="1"/>
  <c r="G55" i="1" l="1"/>
  <c r="E96" i="1"/>
  <c r="G42" i="1" l="1"/>
  <c r="K20" i="1" l="1"/>
  <c r="J123" i="1" l="1"/>
  <c r="AH24" i="1" l="1"/>
  <c r="W127" i="1" l="1"/>
  <c r="T127" i="1"/>
  <c r="U127" i="1" s="1"/>
  <c r="W126" i="1"/>
  <c r="T126" i="1"/>
  <c r="U126" i="1" s="1"/>
  <c r="AA128" i="1"/>
  <c r="W125" i="1"/>
  <c r="T125" i="1"/>
  <c r="U125" i="1" s="1"/>
  <c r="T124" i="1"/>
  <c r="U124" i="1" s="1"/>
  <c r="T123" i="1"/>
  <c r="U123" i="1" s="1"/>
  <c r="AA122" i="1"/>
  <c r="AA121" i="1"/>
  <c r="W120" i="1"/>
  <c r="T120" i="1"/>
  <c r="U120" i="1" s="1"/>
  <c r="T119" i="1"/>
  <c r="U119" i="1" s="1"/>
  <c r="AA118" i="1"/>
  <c r="T116" i="1"/>
  <c r="U116" i="1" s="1"/>
  <c r="AA115" i="1"/>
  <c r="AA112" i="1"/>
  <c r="T110" i="1"/>
  <c r="U110" i="1" s="1"/>
  <c r="AA109" i="1"/>
  <c r="U107" i="1"/>
  <c r="AA106" i="1"/>
  <c r="T104" i="1"/>
  <c r="U104" i="1" s="1"/>
  <c r="AA103" i="1"/>
  <c r="W101" i="1"/>
  <c r="T101" i="1"/>
  <c r="U101" i="1" s="1"/>
  <c r="W99" i="1"/>
  <c r="T99" i="1"/>
  <c r="W92" i="1"/>
  <c r="T92" i="1"/>
  <c r="U92" i="1" s="1"/>
  <c r="W91" i="1"/>
  <c r="U91" i="1"/>
  <c r="W89" i="1"/>
  <c r="T89" i="1"/>
  <c r="U89" i="1" s="1"/>
  <c r="W87" i="1"/>
  <c r="T87" i="1"/>
  <c r="W79" i="1"/>
  <c r="U79" i="1"/>
  <c r="W78" i="1"/>
  <c r="U78" i="1"/>
  <c r="Z83" i="1"/>
  <c r="W77" i="1"/>
  <c r="T77" i="1"/>
  <c r="U77" i="1" s="1"/>
  <c r="W76" i="1"/>
  <c r="T76" i="1"/>
  <c r="U76" i="1" s="1"/>
  <c r="AA82" i="1"/>
  <c r="AA81" i="1"/>
  <c r="AA80" i="1"/>
  <c r="W75" i="1"/>
  <c r="T75" i="1"/>
  <c r="U75" i="1" s="1"/>
  <c r="W74" i="1"/>
  <c r="T74" i="1"/>
  <c r="U74" i="1" s="1"/>
  <c r="W70" i="1"/>
  <c r="T70" i="1"/>
  <c r="W66" i="1"/>
  <c r="U66" i="1"/>
  <c r="AA68" i="1"/>
  <c r="W65" i="1"/>
  <c r="U65" i="1"/>
  <c r="W64" i="1"/>
  <c r="T64" i="1"/>
  <c r="U64" i="1" s="1"/>
  <c r="W63" i="1"/>
  <c r="T63" i="1"/>
  <c r="U63" i="1" s="1"/>
  <c r="AA67" i="1"/>
  <c r="W62" i="1"/>
  <c r="T62" i="1"/>
  <c r="U62" i="1" s="1"/>
  <c r="W59" i="1"/>
  <c r="T59" i="1"/>
  <c r="U59" i="1" s="1"/>
  <c r="W58" i="1"/>
  <c r="T58" i="1"/>
  <c r="U58" i="1" s="1"/>
  <c r="W56" i="1"/>
  <c r="T56" i="1"/>
  <c r="T42" i="1"/>
  <c r="Z42" i="1" s="1"/>
  <c r="AA41" i="1"/>
  <c r="AA40" i="1"/>
  <c r="T39" i="1"/>
  <c r="U39" i="1" s="1"/>
  <c r="W38" i="1"/>
  <c r="X38" i="1" s="1"/>
  <c r="T38" i="1"/>
  <c r="U38" i="1" s="1"/>
  <c r="U37" i="1"/>
  <c r="W36" i="1"/>
  <c r="T36" i="1"/>
  <c r="U36" i="1" s="1"/>
  <c r="W35" i="1"/>
  <c r="T35" i="1"/>
  <c r="U35" i="1" s="1"/>
  <c r="W34" i="1"/>
  <c r="T34" i="1"/>
  <c r="U34" i="1" s="1"/>
  <c r="W33" i="1"/>
  <c r="T33" i="1"/>
  <c r="U33" i="1" s="1"/>
  <c r="U32" i="1"/>
  <c r="T29" i="1"/>
  <c r="U29" i="1" s="1"/>
  <c r="W28" i="1"/>
  <c r="T28" i="1"/>
  <c r="U28" i="1" s="1"/>
  <c r="W27" i="1"/>
  <c r="T27" i="1"/>
  <c r="U27" i="1" s="1"/>
  <c r="W26" i="1"/>
  <c r="T26" i="1"/>
  <c r="U26" i="1" s="1"/>
  <c r="T25" i="1"/>
  <c r="U25" i="1" s="1"/>
  <c r="W24" i="1"/>
  <c r="T24" i="1"/>
  <c r="U24" i="1" s="1"/>
  <c r="W23" i="1"/>
  <c r="AA23" i="1" s="1"/>
  <c r="T23" i="1"/>
  <c r="U23" i="1" s="1"/>
  <c r="W22" i="1"/>
  <c r="T22" i="1"/>
  <c r="U22" i="1" s="1"/>
  <c r="W21" i="1"/>
  <c r="AA21" i="1" s="1"/>
  <c r="U21" i="1"/>
  <c r="W19" i="1"/>
  <c r="T19" i="1"/>
  <c r="U19" i="1" s="1"/>
  <c r="W18" i="1"/>
  <c r="T18" i="1"/>
  <c r="U18" i="1" s="1"/>
  <c r="Z16" i="1"/>
  <c r="U70" i="1" l="1"/>
  <c r="T69" i="1"/>
  <c r="U69" i="1" s="1"/>
  <c r="U56" i="1"/>
  <c r="T55" i="1"/>
  <c r="U55" i="1" s="1"/>
  <c r="U99" i="1"/>
  <c r="T98" i="1"/>
  <c r="U98" i="1" s="1"/>
  <c r="U87" i="1"/>
  <c r="T86" i="1"/>
  <c r="U86" i="1" s="1"/>
  <c r="AA70" i="1"/>
  <c r="AA76" i="1"/>
  <c r="AA77" i="1"/>
  <c r="AA62" i="1"/>
  <c r="AA75" i="1"/>
  <c r="AA125" i="1"/>
  <c r="X87" i="1"/>
  <c r="X99" i="1"/>
  <c r="X89" i="1"/>
  <c r="AA101" i="1"/>
  <c r="AA59" i="1"/>
  <c r="X35" i="1"/>
  <c r="AA34" i="1"/>
  <c r="AA58" i="1"/>
  <c r="X91" i="1"/>
  <c r="AA19" i="1"/>
  <c r="AA24" i="1"/>
  <c r="AA64" i="1"/>
  <c r="X79" i="1"/>
  <c r="X36" i="1"/>
  <c r="AA65" i="1"/>
  <c r="AA74" i="1"/>
  <c r="AA28" i="1"/>
  <c r="X92" i="1"/>
  <c r="X26" i="1"/>
  <c r="AA120" i="1"/>
  <c r="X22" i="1"/>
  <c r="AA33" i="1"/>
  <c r="AA126" i="1"/>
  <c r="AA66" i="1"/>
  <c r="AA27" i="1"/>
  <c r="X18" i="1"/>
  <c r="AA63" i="1"/>
  <c r="X78" i="1"/>
  <c r="AA127" i="1"/>
  <c r="AA56" i="1"/>
  <c r="U42" i="1"/>
  <c r="Z35" i="1"/>
  <c r="Z38" i="1"/>
  <c r="Z77" i="1"/>
  <c r="Z126" i="1"/>
  <c r="Z112" i="1"/>
  <c r="Z106" i="1"/>
  <c r="Z107" i="1"/>
  <c r="Z113" i="1"/>
  <c r="Z79" i="1"/>
  <c r="Z92" i="1"/>
  <c r="Z101" i="1"/>
  <c r="Z125" i="1"/>
  <c r="Z62" i="1"/>
  <c r="Z39" i="1"/>
  <c r="Z64" i="1"/>
  <c r="Z103" i="1"/>
  <c r="Z121" i="1"/>
  <c r="Z18" i="1"/>
  <c r="Z22" i="1"/>
  <c r="Z65" i="1"/>
  <c r="Z80" i="1"/>
  <c r="Z93" i="1"/>
  <c r="Z127" i="1"/>
  <c r="Z19" i="1"/>
  <c r="Z23" i="1"/>
  <c r="Z26" i="1"/>
  <c r="Z31" i="1"/>
  <c r="Z34" i="1"/>
  <c r="Z81" i="1"/>
  <c r="Z94" i="1"/>
  <c r="Z69" i="1"/>
  <c r="Z27" i="1"/>
  <c r="Z30" i="1"/>
  <c r="Z59" i="1"/>
  <c r="Z70" i="1"/>
  <c r="Z78" i="1"/>
  <c r="Z96" i="1"/>
  <c r="Z116" i="1"/>
  <c r="Z117" i="1"/>
  <c r="Z120" i="1"/>
  <c r="Z124" i="1"/>
  <c r="Z24" i="1"/>
  <c r="Z28" i="1"/>
  <c r="Z32" i="1"/>
  <c r="Z36" i="1"/>
  <c r="Z40" i="1"/>
  <c r="Z56" i="1"/>
  <c r="Z67" i="1"/>
  <c r="Z68" i="1"/>
  <c r="Z74" i="1"/>
  <c r="Z82" i="1"/>
  <c r="Z84" i="1"/>
  <c r="Z87" i="1"/>
  <c r="Z95" i="1"/>
  <c r="Z98" i="1"/>
  <c r="Z104" i="1"/>
  <c r="Z109" i="1"/>
  <c r="Z114" i="1"/>
  <c r="Z118" i="1"/>
  <c r="Z122" i="1"/>
  <c r="Z21" i="1"/>
  <c r="Z25" i="1"/>
  <c r="Z29" i="1"/>
  <c r="Z33" i="1"/>
  <c r="Z37" i="1"/>
  <c r="Z41" i="1"/>
  <c r="Z58" i="1"/>
  <c r="Z63" i="1"/>
  <c r="Z66" i="1"/>
  <c r="Z75" i="1"/>
  <c r="Z76" i="1"/>
  <c r="Z85" i="1"/>
  <c r="Z89" i="1"/>
  <c r="Z91" i="1"/>
  <c r="Z99" i="1"/>
  <c r="Z105" i="1"/>
  <c r="Z110" i="1"/>
  <c r="Z115" i="1"/>
  <c r="Z119" i="1"/>
  <c r="Z123" i="1"/>
  <c r="Z128" i="1"/>
  <c r="AA18" i="1"/>
  <c r="AA22" i="1"/>
  <c r="AA26" i="1"/>
  <c r="AA31" i="1"/>
  <c r="AA35" i="1"/>
  <c r="AA36" i="1"/>
  <c r="AA38" i="1"/>
  <c r="X19" i="1"/>
  <c r="X21" i="1"/>
  <c r="X23" i="1"/>
  <c r="X24" i="1"/>
  <c r="X27" i="1"/>
  <c r="X28" i="1"/>
  <c r="X33" i="1"/>
  <c r="X34" i="1"/>
  <c r="X56" i="1"/>
  <c r="X58" i="1"/>
  <c r="X59" i="1"/>
  <c r="X62" i="1"/>
  <c r="X63" i="1"/>
  <c r="X64" i="1"/>
  <c r="X65" i="1"/>
  <c r="X66" i="1"/>
  <c r="X70" i="1"/>
  <c r="X74" i="1"/>
  <c r="X75" i="1"/>
  <c r="X76" i="1"/>
  <c r="X77" i="1"/>
  <c r="AA83" i="1"/>
  <c r="AA78" i="1"/>
  <c r="AA84" i="1"/>
  <c r="AA85" i="1"/>
  <c r="AA79" i="1"/>
  <c r="AA87" i="1"/>
  <c r="AA89" i="1"/>
  <c r="AA93" i="1"/>
  <c r="AA94" i="1"/>
  <c r="AA95" i="1"/>
  <c r="AA91" i="1"/>
  <c r="AA96" i="1"/>
  <c r="AA92" i="1"/>
  <c r="AA99" i="1"/>
  <c r="X101" i="1"/>
  <c r="X120" i="1"/>
  <c r="X125" i="1"/>
  <c r="X126" i="1"/>
  <c r="X127" i="1"/>
  <c r="U16" i="1"/>
  <c r="L20" i="1"/>
  <c r="T20" i="1" s="1"/>
  <c r="L17" i="1"/>
  <c r="T17" i="1" s="1"/>
  <c r="Z17" i="1" s="1"/>
  <c r="J17" i="1"/>
  <c r="Z55" i="1" l="1"/>
  <c r="Z86" i="1"/>
  <c r="U17" i="1"/>
  <c r="U20" i="1"/>
  <c r="Z20" i="1"/>
  <c r="M124" i="1" l="1"/>
  <c r="M119" i="1"/>
  <c r="W119" i="1" s="1"/>
  <c r="W110" i="1"/>
  <c r="W107" i="1"/>
  <c r="M98" i="1"/>
  <c r="W98" i="1" s="1"/>
  <c r="M86" i="1"/>
  <c r="W86" i="1" s="1"/>
  <c r="M69" i="1"/>
  <c r="W69" i="1" s="1"/>
  <c r="M55" i="1"/>
  <c r="M37" i="1"/>
  <c r="W37" i="1" s="1"/>
  <c r="M32" i="1"/>
  <c r="W32" i="1" s="1"/>
  <c r="M25" i="1"/>
  <c r="W25" i="1" s="1"/>
  <c r="M20" i="1"/>
  <c r="W20" i="1" s="1"/>
  <c r="M17" i="1"/>
  <c r="M104" i="1" l="1"/>
  <c r="W104" i="1" s="1"/>
  <c r="AA37" i="1"/>
  <c r="AA20" i="1"/>
  <c r="AA25" i="1"/>
  <c r="W55" i="1"/>
  <c r="M42" i="1"/>
  <c r="W42" i="1" s="1"/>
  <c r="M116" i="1"/>
  <c r="W116" i="1" s="1"/>
  <c r="W17" i="1"/>
  <c r="M16" i="1"/>
  <c r="W16" i="1" s="1"/>
  <c r="AA98" i="1"/>
  <c r="AA30" i="1"/>
  <c r="AA69" i="1"/>
  <c r="AA107" i="1"/>
  <c r="AA119" i="1"/>
  <c r="AA32" i="1"/>
  <c r="AA86" i="1"/>
  <c r="AA110" i="1"/>
  <c r="W124" i="1"/>
  <c r="M123" i="1"/>
  <c r="W123" i="1" s="1"/>
  <c r="K124" i="1"/>
  <c r="K123" i="1" s="1"/>
  <c r="K119" i="1"/>
  <c r="X119" i="1" s="1"/>
  <c r="X110" i="1"/>
  <c r="X107" i="1"/>
  <c r="X98" i="1"/>
  <c r="X86" i="1"/>
  <c r="K69" i="1"/>
  <c r="X69" i="1" s="1"/>
  <c r="K55" i="1"/>
  <c r="K37" i="1"/>
  <c r="X37" i="1" s="1"/>
  <c r="K32" i="1"/>
  <c r="X32" i="1" s="1"/>
  <c r="K25" i="1"/>
  <c r="X25" i="1" s="1"/>
  <c r="X20" i="1"/>
  <c r="K17" i="1"/>
  <c r="AA42" i="1" l="1"/>
  <c r="K16" i="1"/>
  <c r="X16" i="1" s="1"/>
  <c r="AA116" i="1"/>
  <c r="AA117" i="1"/>
  <c r="AA55" i="1"/>
  <c r="X55" i="1"/>
  <c r="AA123" i="1"/>
  <c r="X123" i="1"/>
  <c r="AA113" i="1"/>
  <c r="AA16" i="1"/>
  <c r="AA104" i="1"/>
  <c r="K42" i="1"/>
  <c r="X42" i="1" s="1"/>
  <c r="K104" i="1"/>
  <c r="X104" i="1" s="1"/>
  <c r="K116" i="1"/>
  <c r="X116" i="1" s="1"/>
  <c r="AA124" i="1"/>
  <c r="X124" i="1"/>
  <c r="AA114" i="1"/>
  <c r="AA17" i="1"/>
  <c r="X17" i="1"/>
  <c r="AA105" i="1"/>
  <c r="AH23" i="1"/>
  <c r="AH22" i="1"/>
  <c r="AH21" i="1"/>
  <c r="AH20" i="1"/>
  <c r="AH16" i="1"/>
  <c r="X2149" i="1" l="1"/>
  <c r="X2150" i="1" s="1"/>
  <c r="U2150" i="1"/>
  <c r="W29" i="1"/>
  <c r="AA29" i="1" l="1"/>
  <c r="X29" i="1"/>
  <c r="W39" i="1"/>
  <c r="X39" i="1" l="1"/>
  <c r="AA39" i="1"/>
  <c r="W60" i="1" l="1"/>
  <c r="X60" i="1" l="1"/>
  <c r="AA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W10 PRO</author>
    <author/>
    <author>user</author>
    <author>ACER</author>
    <author>Ultimate</author>
    <author>WINDOWS</author>
    <author>ASUS</author>
    <author>Windows User</author>
    <author>HP 1000</author>
    <author>WIN11</author>
    <author>Ella</author>
    <author>tc={E00355D3-BC67-4F9A-A841-28A960BC5F7F}</author>
  </authors>
  <commentList>
    <comment ref="H55" authorId="0" shapeId="0" xr:uid="{00000000-0006-0000-0000-000001000000}">
      <text>
        <r>
          <rPr>
            <b/>
            <sz val="12"/>
            <color indexed="81"/>
            <rFont val="Tahoma"/>
            <family val="2"/>
          </rPr>
          <t>jumlah capaian seluruh sub kegiatan/jumlah target seluruh sub kegiatanX100</t>
        </r>
      </text>
    </comment>
    <comment ref="J55" authorId="0" shapeId="0" xr:uid="{00000000-0006-0000-0000-000002000000}">
      <text>
        <r>
          <rPr>
            <b/>
            <sz val="12"/>
            <color indexed="81"/>
            <rFont val="Tahoma"/>
            <family val="2"/>
          </rPr>
          <t>jumlah capaian seluruh sub kegiatan/jumlah target seluruh sub kegiatanX100</t>
        </r>
      </text>
    </comment>
    <comment ref="J56" authorId="0" shapeId="0" xr:uid="{00000000-0006-0000-0000-000003000000}">
      <text>
        <r>
          <rPr>
            <b/>
            <sz val="12"/>
            <color indexed="81"/>
            <rFont val="Tahoma"/>
            <family val="2"/>
          </rPr>
          <t>SDN kaliring dan haratai</t>
        </r>
      </text>
    </comment>
    <comment ref="J57" authorId="0" shapeId="0" xr:uid="{00000000-0006-0000-0000-000004000000}">
      <text>
        <r>
          <rPr>
            <b/>
            <sz val="12"/>
            <color indexed="81"/>
            <rFont val="Tahoma"/>
            <family val="2"/>
          </rPr>
          <t>SDN kaliring dan haratai</t>
        </r>
      </text>
    </comment>
    <comment ref="J58" authorId="0" shapeId="0" xr:uid="{00000000-0006-0000-0000-000005000000}">
      <text>
        <r>
          <rPr>
            <b/>
            <sz val="9"/>
            <color indexed="81"/>
            <rFont val="Tahoma"/>
            <family val="2"/>
          </rPr>
          <t>halaman 2 daha utara, 1 kalumpang, 1 jambu hulu, WC kalumpang,padang batung, telaga langsat, sei raya</t>
        </r>
      </text>
    </comment>
    <comment ref="L58" authorId="0" shapeId="0" xr:uid="{00000000-0006-0000-0000-000006000000}">
      <text>
        <r>
          <rPr>
            <b/>
            <sz val="9"/>
            <color indexed="81"/>
            <rFont val="Tahoma"/>
            <family val="2"/>
          </rPr>
          <t>WC kalumpang, pdg batung, sei raya</t>
        </r>
      </text>
    </comment>
    <comment ref="N58" authorId="0" shapeId="0" xr:uid="{00000000-0006-0000-0000-000007000000}">
      <text>
        <r>
          <rPr>
            <b/>
            <sz val="9"/>
            <color indexed="81"/>
            <rFont val="Tahoma"/>
            <family val="2"/>
          </rPr>
          <t>WC kalumpang, pdg batung, sei raya</t>
        </r>
      </text>
    </comment>
    <comment ref="P58" authorId="0" shapeId="0" xr:uid="{00000000-0006-0000-0000-000008000000}">
      <text>
        <r>
          <rPr>
            <b/>
            <sz val="9"/>
            <color indexed="81"/>
            <rFont val="Tahoma"/>
            <family val="2"/>
          </rPr>
          <t>WC kalumpang, pdg batung, sei raya</t>
        </r>
      </text>
    </comment>
    <comment ref="J59" authorId="0" shapeId="0" xr:uid="{00000000-0006-0000-0000-000009000000}">
      <text>
        <r>
          <rPr>
            <b/>
            <sz val="9"/>
            <color indexed="81"/>
            <rFont val="Tahoma"/>
            <family val="2"/>
          </rPr>
          <t>angkinang,dasel, kdg, sei raya, pdg btg, loksado 2, dabar 2</t>
        </r>
      </text>
    </comment>
    <comment ref="J60" authorId="0" shapeId="0" xr:uid="{00000000-0006-0000-0000-00000A000000}">
      <text>
        <r>
          <rPr>
            <b/>
            <sz val="9"/>
            <color indexed="81"/>
            <rFont val="Tahoma"/>
            <family val="2"/>
          </rPr>
          <t>angkinang,dasel, kdg, sei raya, pdg btg, loksado 2, dabar 2</t>
        </r>
      </text>
    </comment>
    <comment ref="J61" authorId="0" shapeId="0" xr:uid="{00000000-0006-0000-0000-00000B000000}">
      <text>
        <r>
          <rPr>
            <b/>
            <sz val="9"/>
            <color indexed="81"/>
            <rFont val="Tahoma"/>
            <family val="2"/>
          </rPr>
          <t>angkinang,dasel, kdg, sei raya, pdg btg, loksado 2, dabar 2</t>
        </r>
      </text>
    </comment>
    <comment ref="J62" authorId="0" shapeId="0" xr:uid="{00000000-0006-0000-0000-00000C000000}">
      <text>
        <r>
          <rPr>
            <b/>
            <sz val="9"/>
            <color indexed="81"/>
            <rFont val="Tahoma"/>
            <family val="2"/>
          </rPr>
          <t>WC kdg, sei raya, simpur</t>
        </r>
      </text>
    </comment>
    <comment ref="J63" authorId="0" shapeId="0" xr:uid="{00000000-0006-0000-0000-00000D000000}">
      <text>
        <r>
          <rPr>
            <b/>
            <sz val="9"/>
            <color indexed="81"/>
            <rFont val="Tahoma"/>
            <family val="2"/>
          </rPr>
          <t>4 alat peraga 1 pengadaan laptop</t>
        </r>
      </text>
    </comment>
    <comment ref="J69" authorId="0" shapeId="0" xr:uid="{00000000-0006-0000-0000-00000E000000}">
      <text>
        <r>
          <rPr>
            <b/>
            <sz val="12"/>
            <color indexed="81"/>
            <rFont val="Tahoma"/>
            <family val="2"/>
          </rPr>
          <t>jumlah capaian seluruh sub kegiatan/jumlah target seluruh sub kegiatanX100</t>
        </r>
      </text>
    </comment>
    <comment ref="J70" authorId="1" shapeId="0" xr:uid="{00000000-0006-0000-0000-00000F000000}">
      <text>
        <r>
          <rPr>
            <sz val="12"/>
            <color indexed="81"/>
            <rFont val="Tahoma"/>
            <family val="2"/>
          </rPr>
          <t>Penyediaan Lahan Perpus SMP 2 Kdg</t>
        </r>
      </text>
    </comment>
    <comment ref="J71" authorId="1" shapeId="0" xr:uid="{00000000-0006-0000-0000-000010000000}">
      <text>
        <r>
          <rPr>
            <sz val="12"/>
            <color indexed="81"/>
            <rFont val="Tahoma"/>
            <family val="2"/>
          </rPr>
          <t>Penyediaan Lahan Perpus SMP 2 Kdg</t>
        </r>
      </text>
    </comment>
    <comment ref="J72" authorId="1" shapeId="0" xr:uid="{00000000-0006-0000-0000-000011000000}">
      <text>
        <r>
          <rPr>
            <sz val="12"/>
            <color indexed="81"/>
            <rFont val="Tahoma"/>
            <family val="2"/>
          </rPr>
          <t>Penyediaan Lahan Perpus SMP 2 Kdg</t>
        </r>
      </text>
    </comment>
    <comment ref="J73" authorId="1" shapeId="0" xr:uid="{00000000-0006-0000-0000-000012000000}">
      <text>
        <r>
          <rPr>
            <sz val="12"/>
            <color indexed="81"/>
            <rFont val="Tahoma"/>
            <family val="2"/>
          </rPr>
          <t>Penyediaan Lahan Perpus SMP 2 Kdg</t>
        </r>
      </text>
    </comment>
    <comment ref="J74" authorId="0" shapeId="0" xr:uid="{00000000-0006-0000-0000-000013000000}">
      <text>
        <r>
          <rPr>
            <b/>
            <sz val="9"/>
            <color indexed="81"/>
            <rFont val="Tahoma"/>
            <family val="2"/>
          </rPr>
          <t>Darul Amin Dahut</t>
        </r>
      </text>
    </comment>
    <comment ref="J75" authorId="0" shapeId="0" xr:uid="{00000000-0006-0000-0000-000014000000}">
      <text>
        <r>
          <rPr>
            <b/>
            <sz val="9"/>
            <color indexed="81"/>
            <rFont val="Tahoma"/>
            <family val="2"/>
          </rPr>
          <t>Halaman smp 2 loksado, pagar smp 2 angkinang, halaman smp 1 dahut, halaman smp 1 tegal</t>
        </r>
      </text>
    </comment>
    <comment ref="J76" authorId="0" shapeId="0" xr:uid="{00000000-0006-0000-0000-000015000000}">
      <text>
        <r>
          <rPr>
            <b/>
            <sz val="9"/>
            <color indexed="81"/>
            <rFont val="Tahoma"/>
            <family val="2"/>
          </rPr>
          <t>wc smp 4 dahut, ruang guru smp 1 kdg</t>
        </r>
      </text>
    </comment>
    <comment ref="J80" authorId="0" shapeId="0" xr:uid="{00000000-0006-0000-0000-000016000000}">
      <text>
        <r>
          <rPr>
            <b/>
            <sz val="9"/>
            <color indexed="81"/>
            <rFont val="Tahoma"/>
            <family val="2"/>
          </rPr>
          <t>SMP 2 Sei raya 2, SMP 3 Dasel 3, SMP 1 kdg 3, SMP 1 pdg btg 2, SMP 2 Dahut 2, SMP 4 Dasel 2</t>
        </r>
      </text>
    </comment>
    <comment ref="H81" authorId="0" shapeId="0" xr:uid="{00000000-0006-0000-0000-000017000000}">
      <text>
        <r>
          <rPr>
            <b/>
            <sz val="9"/>
            <color indexed="81"/>
            <rFont val="Tahoma"/>
            <family val="2"/>
          </rPr>
          <t>SMP 1 angkinang</t>
        </r>
      </text>
    </comment>
    <comment ref="J81" authorId="0" shapeId="0" xr:uid="{00000000-0006-0000-0000-000018000000}">
      <text>
        <r>
          <rPr>
            <b/>
            <sz val="9"/>
            <color indexed="81"/>
            <rFont val="Tahoma"/>
            <family val="2"/>
          </rPr>
          <t>SMP 3 pdg btg</t>
        </r>
      </text>
    </comment>
    <comment ref="J82" authorId="0" shapeId="0" xr:uid="{00000000-0006-0000-0000-000019000000}">
      <text>
        <r>
          <rPr>
            <b/>
            <sz val="9"/>
            <color indexed="81"/>
            <rFont val="Tahoma"/>
            <family val="2"/>
          </rPr>
          <t>SMP 2 Kdg</t>
        </r>
      </text>
    </comment>
    <comment ref="J87" authorId="0" shapeId="0" xr:uid="{00000000-0006-0000-0000-00001A000000}">
      <text>
        <r>
          <rPr>
            <b/>
            <sz val="9"/>
            <color indexed="81"/>
            <rFont val="Tahoma"/>
            <family val="2"/>
          </rPr>
          <t>TK Azzahra kdg</t>
        </r>
      </text>
    </comment>
    <comment ref="J88" authorId="1" shapeId="0" xr:uid="{00000000-0006-0000-0000-00001B000000}">
      <text>
        <r>
          <rPr>
            <sz val="12"/>
            <color indexed="81"/>
            <rFont val="Tahoma"/>
            <family val="2"/>
          </rPr>
          <t>TK mekar subur Dasel, TK undas pdg btg, TPA Ibnu Amin Sei Raya</t>
        </r>
      </text>
    </comment>
    <comment ref="J89" authorId="1" shapeId="0" xr:uid="{00000000-0006-0000-0000-00001C000000}">
      <text>
        <r>
          <rPr>
            <sz val="12"/>
            <color indexed="81"/>
            <rFont val="Tahoma"/>
            <family val="2"/>
          </rPr>
          <t>TK mekar subur Dasel, TK undas pdg btg, TPA Ibnu Amin Sei Raya</t>
        </r>
      </text>
    </comment>
    <comment ref="J90" authorId="1" shapeId="0" xr:uid="{00000000-0006-0000-0000-00001D000000}">
      <text>
        <r>
          <rPr>
            <sz val="12"/>
            <color indexed="81"/>
            <rFont val="Tahoma"/>
            <family val="2"/>
          </rPr>
          <t>TK mekar subur Dasel, TK undas pdg btg, TPA Ibnu Amin Sei Raya</t>
        </r>
      </text>
    </comment>
    <comment ref="I92" authorId="0" shapeId="0" xr:uid="{00000000-0006-0000-0000-00001E000000}">
      <text>
        <r>
          <rPr>
            <b/>
            <sz val="9"/>
            <color indexed="81"/>
            <rFont val="Tahoma"/>
            <family val="2"/>
          </rPr>
          <t>Negeri</t>
        </r>
      </text>
    </comment>
    <comment ref="J93" authorId="0" shapeId="0" xr:uid="{00000000-0006-0000-0000-00001F000000}">
      <text>
        <r>
          <rPr>
            <b/>
            <sz val="9"/>
            <color indexed="81"/>
            <rFont val="Tahoma"/>
            <family val="2"/>
          </rPr>
          <t>pengurukan tanah TPA ibnu amin kec.sei raya</t>
        </r>
      </text>
    </comment>
    <comment ref="J99" authorId="0" shapeId="0" xr:uid="{00000000-0006-0000-0000-000020000000}">
      <text>
        <r>
          <rPr>
            <b/>
            <sz val="9"/>
            <color indexed="81"/>
            <rFont val="Tahoma"/>
            <family val="2"/>
          </rPr>
          <t>PKBM serumpun pdg btg</t>
        </r>
      </text>
    </comment>
    <comment ref="D113" authorId="0" shapeId="0" xr:uid="{00000000-0006-0000-0000-000021000000}">
      <text>
        <r>
          <rPr>
            <b/>
            <sz val="9"/>
            <color indexed="81"/>
            <rFont val="Tahoma"/>
            <family val="2"/>
          </rPr>
          <t>Jumlah penduduk yg mengunjungi peninggalan sejarah/target jumlah penduduk yang mengunjungi peninggalan sejarahX100</t>
        </r>
      </text>
    </comment>
    <comment ref="E627" authorId="2" shapeId="0" xr:uid="{E1F306A0-7A41-4BC6-A407-624429BDA848}">
      <text>
        <r>
          <rPr>
            <sz val="11"/>
            <color theme="1"/>
            <rFont val="Calibri"/>
            <family val="2"/>
            <scheme val="minor"/>
          </rPr>
          <t>jumlah UKBM yang berkembang/jumlah seluruh UKBMx100</t>
        </r>
      </text>
    </comment>
    <comment ref="H627" authorId="2" shapeId="0" xr:uid="{86339AC0-3DDD-4F74-9B6D-FBED7939CCA8}">
      <text>
        <r>
          <rPr>
            <sz val="11"/>
            <color theme="1"/>
            <rFont val="Calibri"/>
            <family val="2"/>
            <scheme val="minor"/>
          </rPr>
          <t>jumlah UKBM yang berkembang/jumlah seluruh UKBMx100</t>
        </r>
      </text>
    </comment>
    <comment ref="J627" authorId="2" shapeId="0" xr:uid="{D6683412-A83A-4CB6-B51B-C5F644064D59}">
      <text>
        <r>
          <rPr>
            <sz val="11"/>
            <color theme="1"/>
            <rFont val="Calibri"/>
            <family val="2"/>
            <scheme val="minor"/>
          </rPr>
          <t>jumlah UKBM yang berkembang/jumlah seluruh UKBMx100</t>
        </r>
      </text>
    </comment>
    <comment ref="J703" authorId="0" shapeId="0" xr:uid="{3960C1C1-AA33-4684-B085-642FBBC5BF1A}">
      <text>
        <r>
          <rPr>
            <b/>
            <sz val="9"/>
            <color indexed="81"/>
            <rFont val="Tahoma"/>
            <family val="2"/>
          </rPr>
          <t>Panjang kondisi baik/sedang dibagi panjang total jalan kabupatenx100</t>
        </r>
      </text>
    </comment>
    <comment ref="E705" authorId="1" shapeId="0" xr:uid="{A69F7020-3363-4C6B-9F0C-8B33F5D22E44}">
      <text>
        <r>
          <rPr>
            <sz val="12"/>
            <color indexed="81"/>
            <rFont val="Tahoma"/>
            <family val="2"/>
          </rPr>
          <t>Baru sampai 2022</t>
        </r>
      </text>
    </comment>
    <comment ref="J750" authorId="2" shapeId="0" xr:uid="{982AD624-2F9E-41D9-9A76-D12BE7BD2F6F}">
      <text>
        <r>
          <rPr>
            <sz val="11"/>
            <color theme="1"/>
            <rFont val="Calibri"/>
            <family val="2"/>
            <scheme val="minor"/>
          </rPr>
          <t>======
ID#AAAAXuVvDEI
    (2022-04-21 00:39:07)
Renja Murni, Renja Perubahan, RKA Murni, RKA Perubahan</t>
        </r>
      </text>
    </comment>
    <comment ref="J751" authorId="2" shapeId="0" xr:uid="{0BC84030-DDA6-47A1-AFEE-F0492F751961}">
      <text>
        <r>
          <rPr>
            <sz val="11"/>
            <color theme="1"/>
            <rFont val="Calibri"/>
            <family val="2"/>
            <scheme val="minor"/>
          </rPr>
          <t>======
ID#AAAAXuVvDEM
    (2022-04-21 00:39:07)
Lap TW 1,2,3, LKJ</t>
        </r>
      </text>
    </comment>
    <comment ref="J891" authorId="0" shapeId="0" xr:uid="{85EE736F-E54B-4CDC-9EEF-170962F70C08}">
      <text>
        <r>
          <rPr>
            <b/>
            <sz val="12"/>
            <color indexed="81"/>
            <rFont val="Tahoma"/>
            <family val="2"/>
          </rPr>
          <t>2 air softgun, 8 Borgol, 5 Alat Kejut, 10 Sangkur, 5 Senter</t>
        </r>
      </text>
    </comment>
    <comment ref="D894" authorId="3" shapeId="0" xr:uid="{BB7A92F2-8F35-401D-AC34-0605FFF342D5}">
      <text>
        <r>
          <rPr>
            <b/>
            <sz val="9"/>
            <color indexed="81"/>
            <rFont val="Tahoma"/>
            <family val="2"/>
          </rPr>
          <t>user:</t>
        </r>
        <r>
          <rPr>
            <sz val="9"/>
            <color indexed="81"/>
            <rFont val="Tahoma"/>
            <family val="2"/>
          </rPr>
          <t xml:space="preserve">
Jumlah pelanggaran Perda yang diselesaikan / jumlah pelanggaran perda yang ada x 100%</t>
        </r>
      </text>
    </comment>
    <comment ref="D895" authorId="3" shapeId="0" xr:uid="{4BAE7C64-32B3-49E3-A57B-B39CF42EE114}">
      <text>
        <r>
          <rPr>
            <b/>
            <sz val="9"/>
            <color indexed="81"/>
            <rFont val="Tahoma"/>
            <family val="2"/>
          </rPr>
          <t>user:</t>
        </r>
        <r>
          <rPr>
            <sz val="9"/>
            <color indexed="81"/>
            <rFont val="Tahoma"/>
            <family val="2"/>
          </rPr>
          <t xml:space="preserve">
Jumlah penindakan pelanggaran Perda melalui penyidikan, BAP dan Persidangan Tipiring / Jumlah pelanggaran Perda yg perlu dilakukan penyidikan, BAP dan Persidangan  x 100%</t>
        </r>
      </text>
    </comment>
    <comment ref="D896" authorId="3" shapeId="0" xr:uid="{A9453267-FE37-4E2C-A197-521B53BFE93A}">
      <text>
        <r>
          <rPr>
            <b/>
            <sz val="9"/>
            <color indexed="81"/>
            <rFont val="Tahoma"/>
            <family val="2"/>
          </rPr>
          <t>user:</t>
        </r>
        <r>
          <rPr>
            <sz val="9"/>
            <color indexed="81"/>
            <rFont val="Tahoma"/>
            <family val="2"/>
          </rPr>
          <t xml:space="preserve">
Jumlah penindakan pelanggaran Perda melalui Penyidikan, BAP dan Persidangan / Jumlah pelanggaran Perda yg perlu dilakukan penyidikan, BAP dan Persidangan x 100%</t>
        </r>
      </text>
    </comment>
    <comment ref="D899" authorId="3" shapeId="0" xr:uid="{7C41C30D-EF3E-41ED-B92A-6899DA1FEFCE}">
      <text>
        <r>
          <rPr>
            <b/>
            <sz val="9"/>
            <color indexed="81"/>
            <rFont val="Tahoma"/>
            <family val="2"/>
          </rPr>
          <t>user:</t>
        </r>
        <r>
          <rPr>
            <sz val="9"/>
            <color indexed="81"/>
            <rFont val="Tahoma"/>
            <family val="2"/>
          </rPr>
          <t xml:space="preserve">
Jumlah pemadaman dan pengendalian kebakaran / Jumlah kejadian kebakaran x 100%</t>
        </r>
      </text>
    </comment>
    <comment ref="J899" authorId="0" shapeId="0" xr:uid="{31343A3E-0D89-4CA0-86DF-9AA0D45F202F}">
      <text>
        <r>
          <rPr>
            <b/>
            <sz val="12"/>
            <color indexed="81"/>
            <rFont val="Tahoma"/>
            <family val="2"/>
          </rPr>
          <t>Penyediaan BBM Mesin dan Mobil</t>
        </r>
      </text>
    </comment>
    <comment ref="D900" authorId="3" shapeId="0" xr:uid="{7C8B7F81-498B-41E1-8730-3DF4DA1D20E1}">
      <text>
        <r>
          <rPr>
            <b/>
            <sz val="9"/>
            <color indexed="81"/>
            <rFont val="Tahoma"/>
            <family val="2"/>
          </rPr>
          <t>user:</t>
        </r>
        <r>
          <rPr>
            <sz val="9"/>
            <color indexed="81"/>
            <rFont val="Tahoma"/>
            <family val="2"/>
          </rPr>
          <t xml:space="preserve">
Jumlah pemadaman dan pengendalian kebakaran / Jumlah kejadian kebakaran x 100%</t>
        </r>
      </text>
    </comment>
    <comment ref="J900" authorId="0" shapeId="0" xr:uid="{18AFA1E5-6ABD-4EBD-B7C1-E2B950B9B899}">
      <text>
        <r>
          <rPr>
            <b/>
            <sz val="12"/>
            <color indexed="81"/>
            <rFont val="Tahoma"/>
            <family val="2"/>
          </rPr>
          <t>Penyediaan BBM Mesin dan Mobil</t>
        </r>
      </text>
    </comment>
    <comment ref="N902" authorId="0" shapeId="0" xr:uid="{5878D93F-04C6-4134-9067-2EB3E34579B8}">
      <text>
        <r>
          <rPr>
            <b/>
            <sz val="9"/>
            <color indexed="81"/>
            <rFont val="Tahoma"/>
            <family val="2"/>
          </rPr>
          <t>Sosialisasi penggunaan apar dan jalur evakuasi di 3 Instansi (PD, Polres, Kejaksaan)</t>
        </r>
      </text>
    </comment>
    <comment ref="J905" authorId="0" shapeId="0" xr:uid="{00C4E2F9-7ACA-4B8D-A162-7889AE70FB0C}">
      <text>
        <r>
          <rPr>
            <b/>
            <sz val="12"/>
            <color indexed="81"/>
            <rFont val="Tahoma"/>
            <family val="2"/>
          </rPr>
          <t>renstra, rka murni, rka perubahan, renja murni, renja perubahan</t>
        </r>
      </text>
    </comment>
    <comment ref="L905" authorId="0" shapeId="0" xr:uid="{FBE633D7-5976-4415-8AFC-2EEFA4E65083}">
      <text>
        <r>
          <rPr>
            <b/>
            <sz val="12"/>
            <color indexed="81"/>
            <rFont val="Tahoma"/>
            <family val="2"/>
          </rPr>
          <t>renstra</t>
        </r>
      </text>
    </comment>
    <comment ref="N905" authorId="0" shapeId="0" xr:uid="{F829C175-3C6B-4C95-B051-0EACF9207DF3}">
      <text>
        <r>
          <rPr>
            <b/>
            <sz val="12"/>
            <color indexed="81"/>
            <rFont val="Tahoma"/>
            <family val="2"/>
          </rPr>
          <t>rka murni,renja murni,rka perubahan</t>
        </r>
      </text>
    </comment>
    <comment ref="O905" authorId="0" shapeId="0" xr:uid="{C6247ED5-9177-4779-A074-BBE0B9DD3B52}">
      <text>
        <r>
          <rPr>
            <b/>
            <sz val="12"/>
            <color indexed="81"/>
            <rFont val="Tahoma"/>
            <family val="2"/>
          </rPr>
          <t>realisasi aapril s.d Juni / Juni dikurang maret</t>
        </r>
      </text>
    </comment>
    <comment ref="P905" authorId="0" shapeId="0" xr:uid="{28515052-7A0D-4974-B050-894F590AD76F}">
      <text>
        <r>
          <rPr>
            <b/>
            <sz val="12"/>
            <color indexed="81"/>
            <rFont val="Tahoma"/>
            <family val="2"/>
          </rPr>
          <t>rka murni,renja murni,rka perubahan</t>
        </r>
      </text>
    </comment>
    <comment ref="Q905" authorId="0" shapeId="0" xr:uid="{61107195-7A17-454B-9F9D-9E35B3EDEA8F}">
      <text>
        <r>
          <rPr>
            <b/>
            <sz val="12"/>
            <color indexed="81"/>
            <rFont val="Tahoma"/>
            <family val="2"/>
          </rPr>
          <t>realisasi aapril s.d Juni / Juni dikurang maret</t>
        </r>
      </text>
    </comment>
    <comment ref="J906" authorId="0" shapeId="0" xr:uid="{D6295C4A-0DAB-480D-9848-5152C7389561}">
      <text>
        <r>
          <rPr>
            <b/>
            <sz val="9"/>
            <color indexed="81"/>
            <rFont val="Tahoma"/>
            <family val="2"/>
          </rPr>
          <t>LKJ TW I, LKJ TW II, LKJ TW III, lkj tahunan,cascading,iku murni ,iku perubahan,pk murni,pk perubahan,rencana aksi</t>
        </r>
      </text>
    </comment>
    <comment ref="L906" authorId="0" shapeId="0" xr:uid="{F8035A6C-6AFB-4125-A844-5FFAC1B532E3}">
      <text>
        <r>
          <rPr>
            <b/>
            <sz val="9"/>
            <color indexed="81"/>
            <rFont val="Tahoma"/>
            <family val="2"/>
          </rPr>
          <t>lkj tw1 ,iku murni,pk murni,cascading</t>
        </r>
      </text>
    </comment>
    <comment ref="N906" authorId="0" shapeId="0" xr:uid="{76559137-20AF-4B05-972D-FB615EE38A07}">
      <text>
        <r>
          <rPr>
            <sz val="12"/>
            <color indexed="81"/>
            <rFont val="Tahoma"/>
            <family val="2"/>
          </rPr>
          <t>lkj tw 2</t>
        </r>
      </text>
    </comment>
    <comment ref="P906" authorId="0" shapeId="0" xr:uid="{611733EF-3836-42BF-9FEB-F56A104DD3B6}">
      <text>
        <r>
          <rPr>
            <sz val="12"/>
            <color indexed="81"/>
            <rFont val="Tahoma"/>
            <family val="2"/>
          </rPr>
          <t>lkj tw 3</t>
        </r>
      </text>
    </comment>
    <comment ref="C971" authorId="0" shapeId="0" xr:uid="{98193569-67BC-468F-A0B6-5DAF2EF98EFA}">
      <text>
        <r>
          <rPr>
            <b/>
            <sz val="9"/>
            <color indexed="81"/>
            <rFont val="Tahoma"/>
            <family val="2"/>
          </rPr>
          <t>USER:</t>
        </r>
        <r>
          <rPr>
            <sz val="9"/>
            <color indexed="81"/>
            <rFont val="Tahoma"/>
            <family val="2"/>
          </rPr>
          <t xml:space="preserve">
Mobil
5 Pusat
2 Daerah
Speddboat 2
Trail 2
TKSK 11
12 Dinas
34 Unit</t>
        </r>
      </text>
    </comment>
    <comment ref="C972" authorId="0" shapeId="0" xr:uid="{6E2C6032-2B5D-464B-9F3D-2029DD3696D5}">
      <text>
        <r>
          <rPr>
            <b/>
            <sz val="9"/>
            <color indexed="81"/>
            <rFont val="Tahoma"/>
            <family val="2"/>
          </rPr>
          <t>USER:</t>
        </r>
        <r>
          <rPr>
            <sz val="9"/>
            <color indexed="81"/>
            <rFont val="Tahoma"/>
            <family val="2"/>
          </rPr>
          <t xml:space="preserve">
2 Gedung
2 TMP
Target 1
Realisasi 0</t>
        </r>
      </text>
    </comment>
    <comment ref="C973" authorId="0" shapeId="0" xr:uid="{A1518F1C-275F-4E94-8E5E-D46BB1483008}">
      <text>
        <r>
          <rPr>
            <b/>
            <sz val="9"/>
            <color indexed="81"/>
            <rFont val="Tahoma"/>
            <family val="2"/>
          </rPr>
          <t>USER:</t>
        </r>
        <r>
          <rPr>
            <sz val="9"/>
            <color indexed="81"/>
            <rFont val="Tahoma"/>
            <family val="2"/>
          </rPr>
          <t xml:space="preserve">
22 ac
10 komp
laptop 10
printer 10
sound 2
total 56 unit</t>
        </r>
      </text>
    </comment>
    <comment ref="J974" authorId="1" shapeId="0" xr:uid="{C550EE00-B467-4A04-9708-16EFC94E513D}">
      <text>
        <r>
          <rPr>
            <b/>
            <sz val="12"/>
            <color indexed="81"/>
            <rFont val="Tahoma"/>
            <family val="2"/>
          </rPr>
          <t>Jumlah PSKS yang Memiliki Kompetensi dibagi Jumlah PSKS yang terdatax100</t>
        </r>
      </text>
    </comment>
    <comment ref="H975" authorId="1" shapeId="0" xr:uid="{32906DB2-23A2-47CB-A175-2D658EFFF0FF}">
      <text>
        <r>
          <rPr>
            <b/>
            <sz val="12"/>
            <color indexed="81"/>
            <rFont val="Tahoma"/>
            <family val="2"/>
          </rPr>
          <t>Lembaga/Orsos/Relawan/Petugas Sosial yg aktif dibagi Jumlah embaga/Orsos/Relawan/Petugas Sosial yang terdatax100</t>
        </r>
      </text>
    </comment>
    <comment ref="J975" authorId="1" shapeId="0" xr:uid="{847CA398-60A0-40A3-9199-D8A11DBB8CF2}">
      <text>
        <r>
          <rPr>
            <b/>
            <sz val="12"/>
            <color indexed="81"/>
            <rFont val="Tahoma"/>
            <family val="2"/>
          </rPr>
          <t>Jumlah PSKS yang Mengikuti Pengembangan Kompetensi dibagi Jumlah PSKS yang terdatax100</t>
        </r>
      </text>
    </comment>
    <comment ref="L975" authorId="1" shapeId="0" xr:uid="{18362947-F860-403C-82E3-91255F1944A0}">
      <text>
        <r>
          <rPr>
            <b/>
            <sz val="12"/>
            <color indexed="81"/>
            <rFont val="Tahoma"/>
            <family val="2"/>
          </rPr>
          <t>Jumlah PSKS yang Mengikuti Pengembangan Kompetensi dibagi Jumlah PSKS yang terdatax100</t>
        </r>
      </text>
    </comment>
    <comment ref="N975" authorId="1" shapeId="0" xr:uid="{6E9C0616-F672-412A-9CB7-361AEE8EF3BC}">
      <text>
        <r>
          <rPr>
            <b/>
            <sz val="12"/>
            <color indexed="81"/>
            <rFont val="Tahoma"/>
            <family val="2"/>
          </rPr>
          <t>Jumlah PSKS yang Mengikuti Pengembangan Kompetensi dibagi Jumlah PSKS yang terdatax100</t>
        </r>
      </text>
    </comment>
    <comment ref="P975" authorId="1" shapeId="0" xr:uid="{866BAA8B-2D5B-4FF1-B4EF-C1CB1BF29D2D}">
      <text>
        <r>
          <rPr>
            <b/>
            <sz val="12"/>
            <color indexed="81"/>
            <rFont val="Tahoma"/>
            <family val="2"/>
          </rPr>
          <t>Jumlah PSKS yang Mengikuti Pengembangan Kompetensi dibagi Jumlah PSKS yang terdatax100</t>
        </r>
      </text>
    </comment>
    <comment ref="R975" authorId="1" shapeId="0" xr:uid="{EC9990C2-6BA4-41F1-A312-F57438BFB6CF}">
      <text>
        <r>
          <rPr>
            <b/>
            <sz val="12"/>
            <color indexed="81"/>
            <rFont val="Tahoma"/>
            <family val="2"/>
          </rPr>
          <t>Jumlah PSKS yang Mengikuti Pengembangan Kompetensi dibagi Jumlah PSKS yang terdatax100</t>
        </r>
      </text>
    </comment>
    <comment ref="J979" authorId="0" shapeId="0" xr:uid="{5CD44D73-2CCB-488D-A70B-884E4B2E1429}">
      <text>
        <r>
          <rPr>
            <b/>
            <sz val="9"/>
            <color indexed="81"/>
            <rFont val="Tahoma"/>
            <family val="2"/>
          </rPr>
          <t>USER:</t>
        </r>
        <r>
          <rPr>
            <sz val="9"/>
            <color indexed="81"/>
            <rFont val="Tahoma"/>
            <family val="2"/>
          </rPr>
          <t xml:space="preserve">
17 LKSA
27 Karang Taruna
Samping 
Tagana</t>
        </r>
      </text>
    </comment>
    <comment ref="L979" authorId="0" shapeId="0" xr:uid="{E174A9A0-108C-45B0-8C20-BD79449400C7}">
      <text>
        <r>
          <rPr>
            <b/>
            <sz val="9"/>
            <color indexed="81"/>
            <rFont val="Tahoma"/>
            <family val="2"/>
          </rPr>
          <t>USER:</t>
        </r>
        <r>
          <rPr>
            <sz val="9"/>
            <color indexed="81"/>
            <rFont val="Tahoma"/>
            <family val="2"/>
          </rPr>
          <t xml:space="preserve">
TAGANA
SAMPING DESA</t>
        </r>
      </text>
    </comment>
    <comment ref="J981" authorId="1" shapeId="0" xr:uid="{4922D552-A34D-49F2-8916-6A2FA4D55360}">
      <text>
        <r>
          <rPr>
            <b/>
            <sz val="12"/>
            <color indexed="81"/>
            <rFont val="Tahoma"/>
            <family val="2"/>
          </rPr>
          <t>Jumlah Disabilitas Anak Terlantar dan Perempuan Rawan Sosial Ekonomi Yang Mandiri/jumlah PMKS yang terdatax100</t>
        </r>
      </text>
    </comment>
    <comment ref="R981" authorId="1" shapeId="0" xr:uid="{89E26F31-38A0-4A24-841B-CCEDFCD99782}">
      <text>
        <r>
          <rPr>
            <b/>
            <sz val="12"/>
            <color indexed="81"/>
            <rFont val="Tahoma"/>
            <family val="2"/>
          </rPr>
          <t>Jumlah Disabilitas Anak Terlantar dan Perempuan Rawan Sosial Ekonomi Yang Mandiri/jumlah PMKS yang terdatax100</t>
        </r>
      </text>
    </comment>
    <comment ref="L985" authorId="1" shapeId="0" xr:uid="{89D2CB7C-6BDF-4CE5-893C-C77486C77B36}">
      <text>
        <r>
          <rPr>
            <b/>
            <sz val="12"/>
            <color indexed="81"/>
            <rFont val="Tahoma"/>
            <family val="2"/>
          </rPr>
          <t>Jumlah PMKS yang mendapat rehabilitasi sosial dasar/Jumlah PMKS yang terdatax100</t>
        </r>
      </text>
    </comment>
    <comment ref="N985" authorId="1" shapeId="0" xr:uid="{22C01DCB-82D9-4622-96A5-B26C65B9F6F8}">
      <text>
        <r>
          <rPr>
            <b/>
            <sz val="12"/>
            <color indexed="81"/>
            <rFont val="Tahoma"/>
            <family val="2"/>
          </rPr>
          <t>Jumlah PMKS yang mendapat rehabilitasi sosial dasar/Jumlah PMKS yang terdatax100</t>
        </r>
      </text>
    </comment>
    <comment ref="P985" authorId="1" shapeId="0" xr:uid="{EF53F9BF-AD9D-4236-A22B-18A5E637550B}">
      <text>
        <r>
          <rPr>
            <b/>
            <sz val="12"/>
            <color indexed="81"/>
            <rFont val="Tahoma"/>
            <family val="2"/>
          </rPr>
          <t>Jumlah PMKS yang mendapat rehabilitasi sosial dasar/Jumlah PMKS yang terdatax100</t>
        </r>
      </text>
    </comment>
    <comment ref="R985" authorId="1" shapeId="0" xr:uid="{EFEBF48F-8251-4761-96C4-50804F1C487D}">
      <text>
        <r>
          <rPr>
            <b/>
            <sz val="12"/>
            <color indexed="81"/>
            <rFont val="Tahoma"/>
            <family val="2"/>
          </rPr>
          <t>Jumlah PMKS yang mendapat rehabilitasi sosial dasar/Jumlah PMKS yang terdatax100</t>
        </r>
      </text>
    </comment>
    <comment ref="J992" authorId="0" shapeId="0" xr:uid="{07F10E41-E475-41EB-A67A-3BBC6076F7A5}">
      <text>
        <r>
          <rPr>
            <b/>
            <sz val="12"/>
            <color indexed="81"/>
            <rFont val="Tahoma"/>
            <family val="2"/>
          </rPr>
          <t>Jumlah tuna sosial yang mendapatkan rehabilitasi sosial/jumlah PMKS yang terdata x 100</t>
        </r>
      </text>
    </comment>
    <comment ref="L992" authorId="0" shapeId="0" xr:uid="{1F4BEEF0-ED11-4AC5-85EA-1ECCC69886AB}">
      <text>
        <r>
          <rPr>
            <b/>
            <sz val="12"/>
            <color indexed="81"/>
            <rFont val="Tahoma"/>
            <family val="2"/>
          </rPr>
          <t>Jumlah tuna sosial yang mendapatkan rehabilitasi sosial/jumlah PMKS yang terdata x 100</t>
        </r>
      </text>
    </comment>
    <comment ref="N992" authorId="0" shapeId="0" xr:uid="{8F60ACCF-2379-44FE-9AC6-27F89F3B5B89}">
      <text>
        <r>
          <rPr>
            <b/>
            <sz val="12"/>
            <color indexed="81"/>
            <rFont val="Tahoma"/>
            <family val="2"/>
          </rPr>
          <t>Jumlah tuna sosial yang mendapatkan rehabilitasi sosial/jumlah PMKS yang terdata x 100</t>
        </r>
      </text>
    </comment>
    <comment ref="P992" authorId="0" shapeId="0" xr:uid="{57888CFF-A04E-42F0-A03F-2ABE2C0B2C59}">
      <text>
        <r>
          <rPr>
            <b/>
            <sz val="12"/>
            <color indexed="81"/>
            <rFont val="Tahoma"/>
            <family val="2"/>
          </rPr>
          <t>Jumlah tuna sosial yang mendapatkan rehabilitasi sosial/jumlah PMKS yang terdata x 100</t>
        </r>
      </text>
    </comment>
    <comment ref="R992" authorId="0" shapeId="0" xr:uid="{19DE08E2-6372-4629-B6C4-6E1795F300CA}">
      <text>
        <r>
          <rPr>
            <b/>
            <sz val="12"/>
            <color indexed="81"/>
            <rFont val="Tahoma"/>
            <family val="2"/>
          </rPr>
          <t>Jumlah tuna sosial yang mendapatkan rehabilitasi sosial/jumlah PMKS yang terdata x 100</t>
        </r>
      </text>
    </comment>
    <comment ref="J998" authorId="1" shapeId="0" xr:uid="{D791EE9F-B6D2-473D-B48E-5427819D66A0}">
      <text>
        <r>
          <rPr>
            <b/>
            <sz val="12"/>
            <color indexed="81"/>
            <rFont val="Tahoma"/>
            <family val="2"/>
          </rPr>
          <t>Jumlah Fakir Miskin yang Mandiri/jumlah PMKS yg terdatax100</t>
        </r>
      </text>
    </comment>
    <comment ref="L998" authorId="1" shapeId="0" xr:uid="{37C8E939-46A4-4702-89B0-0620A7582C30}">
      <text>
        <r>
          <rPr>
            <b/>
            <sz val="12"/>
            <color indexed="81"/>
            <rFont val="Tahoma"/>
            <family val="2"/>
          </rPr>
          <t>Jumlah Fakir Miskin yang Mandiri/jumlah PMKS yg terdatax100</t>
        </r>
      </text>
    </comment>
    <comment ref="N998" authorId="1" shapeId="0" xr:uid="{34C8EF5A-93E3-4AF6-B161-4F8A4EE2A150}">
      <text>
        <r>
          <rPr>
            <b/>
            <sz val="12"/>
            <color indexed="81"/>
            <rFont val="Tahoma"/>
            <family val="2"/>
          </rPr>
          <t>Jumlah Fakir Miskin yang Mandiri/jumlah PMKS yg terdatax100</t>
        </r>
      </text>
    </comment>
    <comment ref="P998" authorId="1" shapeId="0" xr:uid="{01BAC785-60FB-4D52-AC86-929E469298C5}">
      <text>
        <r>
          <rPr>
            <b/>
            <sz val="12"/>
            <color indexed="81"/>
            <rFont val="Tahoma"/>
            <family val="2"/>
          </rPr>
          <t>Jumlah Fakir Miskin yang Mandiri/jumlah PMKS yg terdatax100</t>
        </r>
      </text>
    </comment>
    <comment ref="C1008" authorId="0" shapeId="0" xr:uid="{DECDA969-E4CD-4909-8110-3398DA31670D}">
      <text>
        <r>
          <rPr>
            <b/>
            <sz val="9"/>
            <color indexed="81"/>
            <rFont val="Tahoma"/>
            <family val="2"/>
          </rPr>
          <t>USER:</t>
        </r>
        <r>
          <rPr>
            <sz val="9"/>
            <color indexed="81"/>
            <rFont val="Tahoma"/>
            <family val="2"/>
          </rPr>
          <t xml:space="preserve">
DTKS atau Datu Suban</t>
        </r>
      </text>
    </comment>
    <comment ref="R1015" authorId="0" shapeId="0" xr:uid="{DA4EE7EF-B8D4-4C37-90B6-CAD36F1B96C5}">
      <text>
        <r>
          <rPr>
            <b/>
            <sz val="12"/>
            <color indexed="81"/>
            <rFont val="Tahoma"/>
            <family val="2"/>
          </rPr>
          <t>s.d juli</t>
        </r>
      </text>
    </comment>
    <comment ref="R1016" authorId="0" shapeId="0" xr:uid="{1436E8EA-8831-4807-B413-E5A9F95C1BFB}">
      <text>
        <r>
          <rPr>
            <b/>
            <sz val="12"/>
            <color indexed="81"/>
            <rFont val="Tahoma"/>
            <family val="2"/>
          </rPr>
          <t>s.d juli</t>
        </r>
      </text>
    </comment>
    <comment ref="R1018" authorId="0" shapeId="0" xr:uid="{EA4913D0-1EFA-4F6E-AA87-53247995C8D9}">
      <text>
        <r>
          <rPr>
            <b/>
            <sz val="12"/>
            <color indexed="81"/>
            <rFont val="Tahoma"/>
            <family val="2"/>
          </rPr>
          <t>s.d juli</t>
        </r>
      </text>
    </comment>
    <comment ref="R1019" authorId="0" shapeId="0" xr:uid="{C33582B0-DDCC-45B1-B3E1-3B4F6AF5552A}">
      <text>
        <r>
          <rPr>
            <b/>
            <sz val="12"/>
            <color indexed="81"/>
            <rFont val="Tahoma"/>
            <family val="2"/>
          </rPr>
          <t>s.d juli</t>
        </r>
      </text>
    </comment>
    <comment ref="E1050" authorId="0" shapeId="0" xr:uid="{DD7C0223-15B7-4927-8F11-9D56248076EE}">
      <text>
        <r>
          <rPr>
            <b/>
            <sz val="12"/>
            <rFont val="Tahoma"/>
            <charset val="134"/>
          </rPr>
          <t>2022 Pemagangan, Instalasi Listrik</t>
        </r>
      </text>
    </comment>
    <comment ref="J1050" authorId="0" shapeId="0" xr:uid="{407C8B61-8456-4BD7-A7E7-ADDDF4A4B9FA}">
      <text>
        <r>
          <rPr>
            <b/>
            <sz val="12"/>
            <rFont val="Tahoma"/>
            <charset val="134"/>
          </rPr>
          <t>Pelatihan mobil bensin 20, Sepeda Motor 20, Menjahit 16, Dinamo Starter 10</t>
        </r>
      </text>
    </comment>
    <comment ref="N1050" authorId="0" shapeId="0" xr:uid="{2C99EF91-0D6E-4AB8-B841-CB1BCF0784C0}">
      <text>
        <r>
          <rPr>
            <b/>
            <sz val="12"/>
            <rFont val="Tahoma"/>
            <charset val="134"/>
          </rPr>
          <t>Pelatihan Mobil Bensin</t>
        </r>
      </text>
    </comment>
    <comment ref="P1050" authorId="0" shapeId="0" xr:uid="{24CB1B86-FF36-4077-804A-92704DDDC6BF}">
      <text>
        <r>
          <rPr>
            <b/>
            <sz val="12"/>
            <rFont val="Tahoma"/>
            <charset val="134"/>
          </rPr>
          <t>Pelatihan Mobil Bensin</t>
        </r>
      </text>
    </comment>
    <comment ref="R1050" authorId="0" shapeId="0" xr:uid="{5AD9FADC-7ABD-4794-9BC5-FF0E88AB46F0}">
      <text>
        <r>
          <rPr>
            <b/>
            <sz val="12"/>
            <rFont val="Tahoma"/>
            <charset val="134"/>
          </rPr>
          <t>Pelatihan Mobil Bensin</t>
        </r>
      </text>
    </comment>
    <comment ref="J1051" authorId="0" shapeId="0" xr:uid="{3ECCF001-F095-4387-80C3-144D66B02093}">
      <text>
        <r>
          <rPr>
            <b/>
            <sz val="12"/>
            <rFont val="Tahoma"/>
            <charset val="134"/>
          </rPr>
          <t>Pemagangan</t>
        </r>
      </text>
    </comment>
    <comment ref="J1052" authorId="1" shapeId="0" xr:uid="{A7CD857B-8A1C-4DB8-9D1D-A772BAF60AFC}">
      <text>
        <r>
          <rPr>
            <b/>
            <sz val="12"/>
            <rFont val="Tahoma"/>
            <charset val="134"/>
          </rPr>
          <t>Jumlah lowongan kerja/jumlah pencari kerja terdaftarx100</t>
        </r>
      </text>
    </comment>
    <comment ref="J1054" authorId="0" shapeId="0" xr:uid="{97BDC425-2F62-4949-B400-75BD3617913B}">
      <text>
        <r>
          <rPr>
            <b/>
            <sz val="12"/>
            <rFont val="Tahoma"/>
            <charset val="134"/>
          </rPr>
          <t>Tidak terealisasi dana dialihkan ke pelatihan dinamo starter</t>
        </r>
      </text>
    </comment>
    <comment ref="H1068" authorId="0" shapeId="0" xr:uid="{BA80D988-5F7D-46CF-A1AF-F38321F76811}">
      <text>
        <r>
          <rPr>
            <b/>
            <sz val="12"/>
            <rFont val="Tahoma"/>
            <charset val="134"/>
          </rPr>
          <t>Banjarmasin Sasirangan Festival</t>
        </r>
      </text>
    </comment>
    <comment ref="N1071" authorId="0" shapeId="0" xr:uid="{14412A69-76B0-45C5-9136-61E48093BCA3}">
      <text>
        <r>
          <rPr>
            <b/>
            <sz val="12"/>
            <rFont val="Tahoma"/>
            <charset val="134"/>
          </rPr>
          <t>P IRT</t>
        </r>
      </text>
    </comment>
    <comment ref="P1071" authorId="0" shapeId="0" xr:uid="{BF6CB7D2-9261-408C-ABFE-15E51A8EC314}">
      <text>
        <r>
          <rPr>
            <b/>
            <sz val="12"/>
            <rFont val="Tahoma"/>
            <charset val="134"/>
          </rPr>
          <t>P IRT</t>
        </r>
      </text>
    </comment>
    <comment ref="R1071" authorId="0" shapeId="0" xr:uid="{9C55DB92-662B-4AB2-BD0B-377508054F98}">
      <text>
        <r>
          <rPr>
            <b/>
            <sz val="12"/>
            <rFont val="Tahoma"/>
            <charset val="134"/>
          </rPr>
          <t>P IRT</t>
        </r>
      </text>
    </comment>
    <comment ref="H1106" authorId="4" shapeId="0" xr:uid="{CCEFB83B-726E-4BC2-BDD2-C8C1CCC2D7CA}">
      <text>
        <r>
          <rPr>
            <b/>
            <sz val="9"/>
            <color indexed="81"/>
            <rFont val="Tahoma"/>
            <family val="2"/>
          </rPr>
          <t>ACER:</t>
        </r>
        <r>
          <rPr>
            <sz val="9"/>
            <color indexed="81"/>
            <rFont val="Tahoma"/>
            <family val="2"/>
          </rPr>
          <t xml:space="preserve">
2021 desa badaun 245
 total 2020 dan 2021 2944</t>
        </r>
      </text>
    </comment>
    <comment ref="J1106" authorId="5" shapeId="0" xr:uid="{A34D2678-6433-43A2-B3B7-413C44437BB6}">
      <text>
        <r>
          <rPr>
            <sz val="14"/>
            <color indexed="81"/>
            <rFont val="Tahoma"/>
            <family val="2"/>
          </rPr>
          <t>Jumlah SKPD yang melaksanakan pemberdayaan perempuan dibagi jumlah SKPD dikali 100</t>
        </r>
      </text>
    </comment>
    <comment ref="L1109" authorId="5" shapeId="0" xr:uid="{9E7CC836-BEE1-4ED4-AAF6-8990F46435EA}">
      <text>
        <r>
          <rPr>
            <b/>
            <sz val="12"/>
            <color indexed="81"/>
            <rFont val="Tahoma"/>
            <family val="2"/>
          </rPr>
          <t>Jan = 1
Feb = 2
Maret = 1
Total 4 Kasus</t>
        </r>
      </text>
    </comment>
    <comment ref="N1109" authorId="5" shapeId="0" xr:uid="{EEC95590-9047-4DBA-B71B-0BD9D78F0597}">
      <text>
        <r>
          <rPr>
            <b/>
            <sz val="12"/>
            <color indexed="81"/>
            <rFont val="Tahoma"/>
            <family val="2"/>
          </rPr>
          <t xml:space="preserve">April = 1
Mei = 1
Juni = 0
Total 2
</t>
        </r>
      </text>
    </comment>
    <comment ref="P1109" authorId="5" shapeId="0" xr:uid="{E74618EE-26C8-4F71-A421-2721087AA7F3}">
      <text>
        <r>
          <rPr>
            <b/>
            <sz val="12"/>
            <color indexed="81"/>
            <rFont val="Tahoma"/>
            <family val="2"/>
          </rPr>
          <t xml:space="preserve">April = 1
Mei = 1
Juni = 0
Total 2
</t>
        </r>
      </text>
    </comment>
    <comment ref="R1109" authorId="5" shapeId="0" xr:uid="{C8F15FC4-36A9-422B-A9A7-D97A50FEFC44}">
      <text>
        <r>
          <rPr>
            <b/>
            <sz val="12"/>
            <color indexed="81"/>
            <rFont val="Tahoma"/>
            <family val="2"/>
          </rPr>
          <t xml:space="preserve">Oktober = 0
november = 1
Desember = 1
Total 2
</t>
        </r>
      </text>
    </comment>
    <comment ref="N1111" authorId="6" shapeId="0" xr:uid="{4FE36038-0B18-4DEB-AA29-6A2D81072E8C}">
      <text>
        <r>
          <rPr>
            <b/>
            <sz val="9"/>
            <color indexed="81"/>
            <rFont val="Tahoma"/>
            <family val="2"/>
          </rPr>
          <t>WINDOWS:</t>
        </r>
        <r>
          <rPr>
            <sz val="9"/>
            <color indexed="81"/>
            <rFont val="Tahoma"/>
            <family val="2"/>
          </rPr>
          <t xml:space="preserve">
april 1, mei 1</t>
        </r>
      </text>
    </comment>
    <comment ref="P1111" authorId="6" shapeId="0" xr:uid="{2C1B5D19-C5C3-4D3E-8CCF-DC0600CD14D1}">
      <text>
        <r>
          <rPr>
            <b/>
            <sz val="9"/>
            <color indexed="81"/>
            <rFont val="Tahoma"/>
            <family val="2"/>
          </rPr>
          <t>WINDOWS:</t>
        </r>
        <r>
          <rPr>
            <sz val="9"/>
            <color indexed="81"/>
            <rFont val="Tahoma"/>
            <family val="2"/>
          </rPr>
          <t xml:space="preserve">
Juli 1</t>
        </r>
      </text>
    </comment>
    <comment ref="R1111" authorId="6" shapeId="0" xr:uid="{73CD437C-9F2F-4669-8567-AB7FC1F7FF43}">
      <text>
        <r>
          <rPr>
            <b/>
            <sz val="9"/>
            <color indexed="81"/>
            <rFont val="Tahoma"/>
            <family val="2"/>
          </rPr>
          <t>WINDOWS:</t>
        </r>
        <r>
          <rPr>
            <sz val="9"/>
            <color indexed="81"/>
            <rFont val="Tahoma"/>
            <family val="2"/>
          </rPr>
          <t xml:space="preserve">
November 1
Desember 1</t>
        </r>
      </text>
    </comment>
    <comment ref="L1113" authorId="5" shapeId="0" xr:uid="{6F92CC4F-4044-40BE-AD5B-F63DF914C384}">
      <text>
        <r>
          <rPr>
            <b/>
            <sz val="12"/>
            <color indexed="81"/>
            <rFont val="Tahoma"/>
            <family val="2"/>
          </rPr>
          <t>Jan = 1
Feb = 2
Maret = 1
Total 4 Kasus</t>
        </r>
      </text>
    </comment>
    <comment ref="N1113" authorId="5" shapeId="0" xr:uid="{EE00B9B6-D20A-40F6-829B-6C84FC560FDF}">
      <text>
        <r>
          <rPr>
            <b/>
            <sz val="12"/>
            <color indexed="81"/>
            <rFont val="Tahoma"/>
            <family val="2"/>
          </rPr>
          <t xml:space="preserve">April = 1
Mei = 0
Juni = 0
Total 1
</t>
        </r>
      </text>
    </comment>
    <comment ref="P1113" authorId="5" shapeId="0" xr:uid="{BABC8326-5B1E-4438-8721-F1A61DC5BCD5}">
      <text>
        <r>
          <rPr>
            <b/>
            <sz val="12"/>
            <color indexed="81"/>
            <rFont val="Tahoma"/>
            <family val="2"/>
          </rPr>
          <t xml:space="preserve">April = 1
Mei = 0
Juni = 0
Total 1
</t>
        </r>
      </text>
    </comment>
    <comment ref="E1116" authorId="4" shapeId="0" xr:uid="{AA088CBE-87D0-4E0E-958F-CB88532BEEDA}">
      <text>
        <r>
          <rPr>
            <b/>
            <sz val="9"/>
            <color indexed="81"/>
            <rFont val="Tahoma"/>
            <family val="2"/>
          </rPr>
          <t>ACER:</t>
        </r>
        <r>
          <rPr>
            <sz val="9"/>
            <color indexed="81"/>
            <rFont val="Tahoma"/>
            <family val="2"/>
          </rPr>
          <t xml:space="preserve">
1. Desa hariti
2. Desa malutu
3. Desa mandala
4. desa teluk labak
5. Desa muning baru
6. Desa panggungan
7. Desa Bajayau tengah
8. Desa Badaun
9. Desa Tambingkar
10. Desa Lungau</t>
        </r>
      </text>
    </comment>
    <comment ref="H1116" authorId="4" shapeId="0" xr:uid="{4CFD87C4-3D82-4F8E-A211-63E98F9ED43B}">
      <text>
        <r>
          <rPr>
            <b/>
            <sz val="9"/>
            <color indexed="81"/>
            <rFont val="Tahoma"/>
            <family val="2"/>
          </rPr>
          <t>ACER:</t>
        </r>
        <r>
          <rPr>
            <sz val="9"/>
            <color indexed="81"/>
            <rFont val="Tahoma"/>
            <family val="2"/>
          </rPr>
          <t xml:space="preserve">
1. Desa hariti
2. Desa malutu
3. Desa mandala
4. desa teluk labak
5. Desa muning baru
6. Desa panggungan
7. Desa Bajayau tengah
8. Desa Badaun</t>
        </r>
      </text>
    </comment>
    <comment ref="J1116" authorId="4" shapeId="0" xr:uid="{A04F101A-337D-426B-B63C-1FC30BE3AC38}">
      <text>
        <r>
          <rPr>
            <b/>
            <sz val="9"/>
            <color indexed="81"/>
            <rFont val="Tahoma"/>
            <family val="2"/>
          </rPr>
          <t>ACER:</t>
        </r>
        <r>
          <rPr>
            <sz val="9"/>
            <color indexed="81"/>
            <rFont val="Tahoma"/>
            <family val="2"/>
          </rPr>
          <t xml:space="preserve">
1. Desa hariti
2. Desa malutu
3. Desa mandala
4. desa teluk labak
5. Desa muning baru
6. Desa panggungan
7. Desa Bajayau tengah
8. Desa Badaun
9. Desa Tambingkar</t>
        </r>
      </text>
    </comment>
    <comment ref="L1116" authorId="6" shapeId="0" xr:uid="{0C584B3D-6C25-4098-8F79-5CC2E590068B}">
      <text>
        <r>
          <rPr>
            <b/>
            <sz val="9"/>
            <color indexed="81"/>
            <rFont val="Tahoma"/>
            <family val="2"/>
          </rPr>
          <t>WINDOWS:</t>
        </r>
        <r>
          <rPr>
            <sz val="9"/>
            <color indexed="81"/>
            <rFont val="Tahoma"/>
            <family val="2"/>
          </rPr>
          <t xml:space="preserve">
Ds. Tambingkar</t>
        </r>
      </text>
    </comment>
    <comment ref="J1119" authorId="7" shapeId="0" xr:uid="{28028E65-9942-4A33-83F7-4F16999C787E}">
      <text>
        <r>
          <rPr>
            <sz val="12"/>
            <color indexed="81"/>
            <rFont val="Tahoma"/>
            <family val="2"/>
          </rPr>
          <t>blm revisi 60 DWP, 30 GATRI, 55 dan 60 GOW</t>
        </r>
      </text>
    </comment>
    <comment ref="L1122" authorId="6" shapeId="0" xr:uid="{5F010DDE-4B27-445F-A362-0958C26BA309}">
      <text>
        <r>
          <rPr>
            <b/>
            <sz val="9"/>
            <color indexed="81"/>
            <rFont val="Tahoma"/>
            <family val="2"/>
          </rPr>
          <t>WINDOWS:</t>
        </r>
        <r>
          <rPr>
            <sz val="9"/>
            <color indexed="81"/>
            <rFont val="Tahoma"/>
            <family val="2"/>
          </rPr>
          <t xml:space="preserve">
1. FAD</t>
        </r>
      </text>
    </comment>
    <comment ref="N1122" authorId="6" shapeId="0" xr:uid="{5B1456F6-E552-445C-BA4B-9361F8E94EF7}">
      <text>
        <r>
          <rPr>
            <b/>
            <sz val="9"/>
            <color indexed="81"/>
            <rFont val="Tahoma"/>
            <family val="2"/>
          </rPr>
          <t>WINDOWS:</t>
        </r>
        <r>
          <rPr>
            <sz val="9"/>
            <color indexed="81"/>
            <rFont val="Tahoma"/>
            <family val="2"/>
          </rPr>
          <t xml:space="preserve">
1. SRA
2. Pesantren Ramah Anak
3. Puskesmas Ramah Anak
4. Masjid Ramah Anak
5. APSAI</t>
        </r>
      </text>
    </comment>
    <comment ref="E1123" authorId="4" shapeId="0" xr:uid="{F09AD313-C2C2-4CD4-8A11-B533C438CCB0}">
      <text>
        <r>
          <rPr>
            <b/>
            <sz val="9"/>
            <color indexed="81"/>
            <rFont val="Tahoma"/>
            <family val="2"/>
          </rPr>
          <t>ACER:</t>
        </r>
        <r>
          <rPr>
            <sz val="9"/>
            <color indexed="81"/>
            <rFont val="Tahoma"/>
            <family val="2"/>
          </rPr>
          <t xml:space="preserve">
Desa bajayau dan desa mandala</t>
        </r>
      </text>
    </comment>
    <comment ref="H1123" authorId="4" shapeId="0" xr:uid="{02797F07-4598-44BF-B420-83EA60AF703C}">
      <text>
        <r>
          <rPr>
            <b/>
            <sz val="9"/>
            <color indexed="81"/>
            <rFont val="Tahoma"/>
            <family val="2"/>
          </rPr>
          <t>ACER:</t>
        </r>
        <r>
          <rPr>
            <sz val="9"/>
            <color indexed="81"/>
            <rFont val="Tahoma"/>
            <family val="2"/>
          </rPr>
          <t xml:space="preserve">
desa jembatan merah dan desa baluti</t>
        </r>
      </text>
    </comment>
    <comment ref="L1123" authorId="4" shapeId="0" xr:uid="{D58D11C7-C956-41F4-AA76-923968AB9469}">
      <text>
        <r>
          <rPr>
            <b/>
            <sz val="9"/>
            <color indexed="81"/>
            <rFont val="Tahoma"/>
            <family val="2"/>
          </rPr>
          <t>ACER:</t>
        </r>
        <r>
          <rPr>
            <sz val="9"/>
            <color indexed="81"/>
            <rFont val="Tahoma"/>
            <family val="2"/>
          </rPr>
          <t xml:space="preserve">
Desa sungai raya selatan dan desa tambingkar</t>
        </r>
      </text>
    </comment>
    <comment ref="L1124" authorId="6" shapeId="0" xr:uid="{728C217A-93B8-4A29-90F1-150B050579B3}">
      <text>
        <r>
          <rPr>
            <b/>
            <sz val="9"/>
            <color indexed="81"/>
            <rFont val="Tahoma"/>
            <family val="2"/>
          </rPr>
          <t>WINDOWS:</t>
        </r>
        <r>
          <rPr>
            <sz val="9"/>
            <color indexed="81"/>
            <rFont val="Tahoma"/>
            <family val="2"/>
          </rPr>
          <t xml:space="preserve">
1. Video FAD Pencegahan Perkawinan
2. Video FAD Pencegahan Covid-19
3. Sertifikat KHA
</t>
        </r>
      </text>
    </comment>
    <comment ref="L1127" authorId="0" shapeId="0" xr:uid="{CAE00AD9-34A9-41EB-BF6A-515CFF4563E4}">
      <text>
        <r>
          <rPr>
            <b/>
            <sz val="12"/>
            <color indexed="81"/>
            <rFont val="Tahoma"/>
            <family val="2"/>
          </rPr>
          <t>KASUS ANAK</t>
        </r>
        <r>
          <rPr>
            <sz val="12"/>
            <color indexed="81"/>
            <rFont val="Tahoma"/>
            <family val="2"/>
          </rPr>
          <t xml:space="preserve">
 Jan = 1
Feb = 2
Maret = 1
Total 4 Kasus</t>
        </r>
      </text>
    </comment>
    <comment ref="N1127" authorId="0" shapeId="0" xr:uid="{6178C7D9-23B1-489E-86C1-164D2F7F8DC1}">
      <text>
        <r>
          <rPr>
            <sz val="12"/>
            <color indexed="81"/>
            <rFont val="Tahoma"/>
            <family val="2"/>
          </rPr>
          <t>April = 1
Mei = 3
Juni = 4
Total 8</t>
        </r>
      </text>
    </comment>
    <comment ref="P1127" authorId="0" shapeId="0" xr:uid="{6A967716-A663-4CD2-A91B-7468315FF3EC}">
      <text>
        <r>
          <rPr>
            <sz val="12"/>
            <color indexed="81"/>
            <rFont val="Tahoma"/>
            <family val="2"/>
          </rPr>
          <t>Juli = 2
Agustus = 3
September = 4
Total 9</t>
        </r>
      </text>
    </comment>
    <comment ref="R1127" authorId="0" shapeId="0" xr:uid="{5448EA40-C2B5-4ED3-8DF5-1D570A6963C1}">
      <text>
        <r>
          <rPr>
            <sz val="12"/>
            <color indexed="81"/>
            <rFont val="Tahoma"/>
            <family val="2"/>
          </rPr>
          <t>Oktober = 4
November  = 2
Desember = 0
Total 6</t>
        </r>
      </text>
    </comment>
    <comment ref="N1131" authorId="6" shapeId="0" xr:uid="{647B9BD0-6D90-4389-985F-7D6FB81AAB2E}">
      <text>
        <r>
          <rPr>
            <b/>
            <sz val="9"/>
            <color indexed="81"/>
            <rFont val="Tahoma"/>
            <family val="2"/>
          </rPr>
          <t xml:space="preserve">WINDOWS:
</t>
        </r>
        <r>
          <rPr>
            <sz val="9"/>
            <color indexed="81"/>
            <rFont val="Tahoma"/>
            <family val="2"/>
          </rPr>
          <t>april 1, mei 3, juni 2</t>
        </r>
      </text>
    </comment>
    <comment ref="P1131" authorId="6" shapeId="0" xr:uid="{B73B6B1B-7A31-440C-BC8A-F8801E80BA0D}">
      <text>
        <r>
          <rPr>
            <b/>
            <sz val="9"/>
            <color indexed="81"/>
            <rFont val="Tahoma"/>
            <family val="2"/>
          </rPr>
          <t xml:space="preserve">WINDOWS:
</t>
        </r>
        <r>
          <rPr>
            <sz val="9"/>
            <color indexed="81"/>
            <rFont val="Tahoma"/>
            <family val="2"/>
          </rPr>
          <t>juli 2, agustus 3, september 4</t>
        </r>
      </text>
    </comment>
    <comment ref="R1131" authorId="0" shapeId="0" xr:uid="{C76FA905-25D9-446F-9441-38A3B7666BBA}">
      <text>
        <r>
          <rPr>
            <sz val="12"/>
            <color indexed="81"/>
            <rFont val="Tahoma"/>
            <family val="2"/>
          </rPr>
          <t>Oktober = 4
November  = 2
Desember = 0
Total 6</t>
        </r>
      </text>
    </comment>
    <comment ref="E1138" authorId="4" shapeId="0" xr:uid="{4838B745-3696-4D4D-BABE-864CEF48581E}">
      <text>
        <r>
          <rPr>
            <b/>
            <sz val="9"/>
            <color indexed="81"/>
            <rFont val="Tahoma"/>
            <family val="2"/>
          </rPr>
          <t>ACER:</t>
        </r>
        <r>
          <rPr>
            <sz val="9"/>
            <color indexed="81"/>
            <rFont val="Tahoma"/>
            <family val="2"/>
          </rPr>
          <t xml:space="preserve">
Desa Bajayau Lama</t>
        </r>
      </text>
    </comment>
    <comment ref="H1138" authorId="4" shapeId="0" xr:uid="{A8EDE903-8094-4DE4-B79C-E5D8EDA1F5C8}">
      <text>
        <r>
          <rPr>
            <b/>
            <sz val="9"/>
            <color indexed="81"/>
            <rFont val="Tahoma"/>
            <family val="2"/>
          </rPr>
          <t>ACER:</t>
        </r>
        <r>
          <rPr>
            <sz val="9"/>
            <color indexed="81"/>
            <rFont val="Tahoma"/>
            <family val="2"/>
          </rPr>
          <t xml:space="preserve">
Desa Lungau</t>
        </r>
      </text>
    </comment>
    <comment ref="J1138" authorId="4" shapeId="0" xr:uid="{8EF08A62-A751-442F-90EE-EAB739155916}">
      <text>
        <r>
          <rPr>
            <b/>
            <sz val="9"/>
            <color indexed="81"/>
            <rFont val="Tahoma"/>
            <family val="2"/>
          </rPr>
          <t>ACER:</t>
        </r>
        <r>
          <rPr>
            <sz val="9"/>
            <color indexed="81"/>
            <rFont val="Tahoma"/>
            <family val="2"/>
          </rPr>
          <t xml:space="preserve">
Desa Parigi</t>
        </r>
      </text>
    </comment>
    <comment ref="N1138" authorId="4" shapeId="0" xr:uid="{417681C5-5461-4802-B91D-2CB68E7458EB}">
      <text>
        <r>
          <rPr>
            <b/>
            <sz val="9"/>
            <color indexed="81"/>
            <rFont val="Tahoma"/>
            <family val="2"/>
          </rPr>
          <t>ACER:</t>
        </r>
        <r>
          <rPr>
            <sz val="9"/>
            <color indexed="81"/>
            <rFont val="Tahoma"/>
            <family val="2"/>
          </rPr>
          <t xml:space="preserve">
Desa Parigi</t>
        </r>
      </text>
    </comment>
    <comment ref="H1142" authorId="4" shapeId="0" xr:uid="{3F322BD5-3985-4A0B-86BA-C26EBE55DDA9}">
      <text>
        <r>
          <rPr>
            <b/>
            <sz val="9"/>
            <color indexed="81"/>
            <rFont val="Tahoma"/>
            <family val="2"/>
          </rPr>
          <t>Laporan bulan November
IUD 282
mow 722
MOP 42
IMPLAN 1790
TOTAL MKJP 2836
JML PUS 41134</t>
        </r>
      </text>
    </comment>
    <comment ref="L1142" authorId="6" shapeId="0" xr:uid="{12E2F048-CCE2-404B-99DB-45FF3FE91015}">
      <text>
        <r>
          <rPr>
            <b/>
            <sz val="9"/>
            <color indexed="81"/>
            <rFont val="Tahoma"/>
            <family val="2"/>
          </rPr>
          <t>WINDOWS:</t>
        </r>
        <r>
          <rPr>
            <sz val="9"/>
            <color indexed="81"/>
            <rFont val="Tahoma"/>
            <family val="2"/>
          </rPr>
          <t xml:space="preserve">
2017 total KB aktif MKJP
27174 Peserta KB Aktif</t>
        </r>
      </text>
    </comment>
    <comment ref="N1142" authorId="6" shapeId="0" xr:uid="{115BEBE1-FC41-4786-AAD0-7CFF5C96EA04}">
      <text>
        <r>
          <rPr>
            <b/>
            <sz val="9"/>
            <color indexed="81"/>
            <rFont val="Tahoma"/>
            <family val="2"/>
          </rPr>
          <t>WINDOWS:</t>
        </r>
        <r>
          <rPr>
            <sz val="9"/>
            <color indexed="81"/>
            <rFont val="Tahoma"/>
            <family val="2"/>
          </rPr>
          <t xml:space="preserve">
1978 total KB aktif MKJP
26807  Peserta KB Aktif</t>
        </r>
      </text>
    </comment>
    <comment ref="P1142" authorId="6" shapeId="0" xr:uid="{B1BF4A3F-8E94-4BDE-AAFD-BA3A6D20020E}">
      <text>
        <r>
          <rPr>
            <b/>
            <sz val="9"/>
            <color indexed="81"/>
            <rFont val="Tahoma"/>
            <family val="2"/>
          </rPr>
          <t>WINDOWS:</t>
        </r>
        <r>
          <rPr>
            <sz val="9"/>
            <color indexed="81"/>
            <rFont val="Tahoma"/>
            <family val="2"/>
          </rPr>
          <t xml:space="preserve">
1978 total KB aktif MKJP
26807  Peserta KB Aktif</t>
        </r>
      </text>
    </comment>
    <comment ref="R1142" authorId="6" shapeId="0" xr:uid="{CEC7949F-4133-4D24-9DC2-C78BE974B654}">
      <text>
        <r>
          <rPr>
            <b/>
            <sz val="9"/>
            <color indexed="81"/>
            <rFont val="Tahoma"/>
            <family val="2"/>
          </rPr>
          <t>WINDOWS:</t>
        </r>
        <r>
          <rPr>
            <sz val="9"/>
            <color indexed="81"/>
            <rFont val="Tahoma"/>
            <family val="2"/>
          </rPr>
          <t xml:space="preserve">
IAT = 1995
TIAL = 2555
total 4550
PUS = 36174</t>
        </r>
      </text>
    </comment>
    <comment ref="R1148" authorId="6" shapeId="0" xr:uid="{C892D551-3ABA-4574-9DA6-870B65568C45}">
      <text>
        <r>
          <rPr>
            <b/>
            <sz val="9"/>
            <color indexed="81"/>
            <rFont val="Tahoma"/>
            <family val="2"/>
          </rPr>
          <t>WINDOWS:</t>
        </r>
        <r>
          <rPr>
            <sz val="9"/>
            <color indexed="81"/>
            <rFont val="Tahoma"/>
            <family val="2"/>
          </rPr>
          <t xml:space="preserve">
Laporan SIGA bln Desember (dallap tabel 11)</t>
        </r>
      </text>
    </comment>
    <comment ref="P1152" authorId="6" shapeId="0" xr:uid="{B7D14E76-F62F-43C2-BACB-25551B4887BF}">
      <text>
        <r>
          <rPr>
            <b/>
            <sz val="9"/>
            <color indexed="81"/>
            <rFont val="Tahoma"/>
            <family val="2"/>
          </rPr>
          <t>WINDOWS:</t>
        </r>
        <r>
          <rPr>
            <sz val="9"/>
            <color indexed="81"/>
            <rFont val="Tahoma"/>
            <family val="2"/>
          </rPr>
          <t xml:space="preserve">
IMPLAN 1080
IUD 273
VASEKTOMI 22
TUBEKTOMI 617</t>
        </r>
      </text>
    </comment>
    <comment ref="R1156" authorId="6" shapeId="0" xr:uid="{C1A9C0E9-A122-4C25-8295-C1D87E9E92FE}">
      <text>
        <r>
          <rPr>
            <b/>
            <sz val="9"/>
            <color indexed="81"/>
            <rFont val="Tahoma"/>
            <family val="2"/>
          </rPr>
          <t>WINDOWS:</t>
        </r>
        <r>
          <rPr>
            <sz val="9"/>
            <color indexed="81"/>
            <rFont val="Tahoma"/>
            <family val="2"/>
          </rPr>
          <t xml:space="preserve">
Laporan SIGA bln Desember (dallap tabel 11)</t>
        </r>
      </text>
    </comment>
    <comment ref="N1161" authorId="6" shapeId="0" xr:uid="{9FB2D758-48DF-4AAB-850B-DA078C065ADB}">
      <text>
        <r>
          <rPr>
            <b/>
            <sz val="9"/>
            <color indexed="81"/>
            <rFont val="Tahoma"/>
            <family val="2"/>
          </rPr>
          <t>WINDOWS:</t>
        </r>
        <r>
          <rPr>
            <sz val="9"/>
            <color indexed="81"/>
            <rFont val="Tahoma"/>
            <family val="2"/>
          </rPr>
          <t xml:space="preserve">
sisanya dihilangkan dialihkan anggarannya utk stunting</t>
        </r>
      </text>
    </comment>
    <comment ref="N1163" authorId="6" shapeId="0" xr:uid="{B3BCFDF0-0727-43E1-AE2A-127F09B3850D}">
      <text>
        <r>
          <rPr>
            <b/>
            <sz val="9"/>
            <color indexed="81"/>
            <rFont val="Tahoma"/>
            <family val="2"/>
          </rPr>
          <t>WINDOWS:</t>
        </r>
        <r>
          <rPr>
            <sz val="9"/>
            <color indexed="81"/>
            <rFont val="Tahoma"/>
            <family val="2"/>
          </rPr>
          <t xml:space="preserve">
Kegiatan gelar dagang tidak bisa dilaksanakan krn anggaran dipotong</t>
        </r>
      </text>
    </comment>
    <comment ref="H1166" authorId="1" shapeId="0" xr:uid="{D9974721-FBC3-483E-93C4-B52990E62EA3}">
      <text>
        <r>
          <rPr>
            <sz val="12"/>
            <color indexed="81"/>
            <rFont val="Tahoma"/>
            <family val="2"/>
          </rPr>
          <t>Renja Murni, Renja Perubahan, RKA Murni, RKA Perubahan</t>
        </r>
      </text>
    </comment>
    <comment ref="J1166" authorId="1" shapeId="0" xr:uid="{39EF0EB2-0711-417E-A7BC-DA1803FED576}">
      <text>
        <r>
          <rPr>
            <sz val="12"/>
            <color indexed="81"/>
            <rFont val="Tahoma"/>
            <family val="2"/>
          </rPr>
          <t>Renja Murni, Renja Perubahan, RKA Murni, RKA Perubahan</t>
        </r>
      </text>
    </comment>
    <comment ref="H1167" authorId="1" shapeId="0" xr:uid="{3F211AAB-46E7-4385-9813-8225FCA96401}">
      <text>
        <r>
          <rPr>
            <sz val="12"/>
            <color indexed="81"/>
            <rFont val="Tahoma"/>
            <family val="2"/>
          </rPr>
          <t>Lap TW 1,2,3, LKJ</t>
        </r>
      </text>
    </comment>
    <comment ref="J1167" authorId="1" shapeId="0" xr:uid="{986D6E2D-D1AA-492D-A0A5-B738130C7038}">
      <text>
        <r>
          <rPr>
            <sz val="12"/>
            <color indexed="81"/>
            <rFont val="Tahoma"/>
            <family val="2"/>
          </rPr>
          <t>Lap TW 1,2,3, LKJ</t>
        </r>
      </text>
    </comment>
    <comment ref="J1194" authorId="0" shapeId="0" xr:uid="{9E125B55-AF23-4E18-ADC6-AD392FA0EA3D}">
      <text>
        <r>
          <rPr>
            <b/>
            <sz val="12"/>
            <color indexed="81"/>
            <rFont val="Tahoma"/>
            <family val="2"/>
          </rPr>
          <t>Desa Hamayung Utara dan Wasah Tengah</t>
        </r>
      </text>
    </comment>
    <comment ref="H1201" authorId="1" shapeId="0" xr:uid="{783F7F41-9E91-4D0D-B320-E59060F63209}">
      <text>
        <r>
          <rPr>
            <b/>
            <sz val="12"/>
            <color indexed="81"/>
            <rFont val="Tahoma"/>
            <family val="2"/>
          </rPr>
          <t>Poktan Hidup Makmur, Poktan Tungkuan Dua, Poktan Budi Bhakti, Penggilingan Padi Dua Saputra</t>
        </r>
      </text>
    </comment>
    <comment ref="N1214" authorId="0" shapeId="0" xr:uid="{96BABA15-94FD-4847-9665-7FDAE08D3D34}">
      <text>
        <r>
          <rPr>
            <b/>
            <sz val="9"/>
            <color indexed="81"/>
            <rFont val="Tahoma"/>
            <family val="2"/>
          </rPr>
          <t>Data</t>
        </r>
      </text>
    </comment>
    <comment ref="J1217" authorId="0" shapeId="0" xr:uid="{1BD1889F-69B6-4342-8766-319A7FA4A215}">
      <text>
        <r>
          <rPr>
            <b/>
            <sz val="12"/>
            <color indexed="81"/>
            <rFont val="Tahoma"/>
            <family val="2"/>
          </rPr>
          <t>Jumlah sample aman/seluruh sample X 100</t>
        </r>
      </text>
    </comment>
    <comment ref="J1265" authorId="8" shapeId="0" xr:uid="{274A431E-A090-455B-BC37-9D2912F45809}">
      <text>
        <r>
          <rPr>
            <b/>
            <sz val="12"/>
            <color indexed="81"/>
            <rFont val="Tahoma"/>
            <family val="2"/>
          </rPr>
          <t>Jumlah LKD aktid/jumlah seluruh LKDx100</t>
        </r>
      </text>
    </comment>
    <comment ref="R1269" authorId="0" shapeId="0" xr:uid="{F73C7BA7-AC3C-4E8F-BC0B-7354B78D7CBA}">
      <text>
        <r>
          <rPr>
            <b/>
            <sz val="12"/>
            <color indexed="81"/>
            <rFont val="Tahoma"/>
            <family val="2"/>
          </rPr>
          <t>Rencana direalisasikan di bulan Okt</t>
        </r>
      </text>
    </comment>
    <comment ref="J1295" authorId="5" shapeId="0" xr:uid="{A562ADCD-071A-4FB4-8A1E-1BB9DDC866EE}">
      <text>
        <r>
          <rPr>
            <sz val="14"/>
            <color indexed="81"/>
            <rFont val="Tahoma"/>
            <family val="2"/>
          </rPr>
          <t>Jumlah kendaraan yg lolos uji dibagi jumlah kendaraan yg wajib uji</t>
        </r>
      </text>
    </comment>
    <comment ref="L1295" authorId="5" shapeId="0" xr:uid="{51F753A7-4ABB-4734-AE83-1909D6800FE0}">
      <text>
        <r>
          <rPr>
            <sz val="14"/>
            <color indexed="81"/>
            <rFont val="Tahoma"/>
            <family val="2"/>
          </rPr>
          <t>Jumlah kendaraan yg lulus uji dibagi jumlah kendaraan yg wajib uji</t>
        </r>
      </text>
    </comment>
    <comment ref="N1295" authorId="5" shapeId="0" xr:uid="{7DA4CF4E-72E4-43EE-B9EF-756D79C2EAB4}">
      <text>
        <r>
          <rPr>
            <sz val="14"/>
            <color indexed="81"/>
            <rFont val="Tahoma"/>
            <family val="2"/>
          </rPr>
          <t>Jumlah kendaraan yg lulus uji dibagi jumlah kendaraan yg wajib uji</t>
        </r>
      </text>
    </comment>
    <comment ref="P1295" authorId="5" shapeId="0" xr:uid="{8F0E9FFC-1ED7-4215-8456-0E3107F1169B}">
      <text>
        <r>
          <rPr>
            <sz val="14"/>
            <color indexed="81"/>
            <rFont val="Tahoma"/>
            <family val="2"/>
          </rPr>
          <t>Jumlah kendaraan yg lulus uji dibagi jumlah kendaraan yg wajib uji</t>
        </r>
      </text>
    </comment>
    <comment ref="R1295" authorId="5" shapeId="0" xr:uid="{554F7302-32A5-499B-909D-CB57755B868A}">
      <text>
        <r>
          <rPr>
            <sz val="14"/>
            <color indexed="81"/>
            <rFont val="Tahoma"/>
            <family val="2"/>
          </rPr>
          <t>Jumlah kendaraan yg lulus uji dibagi jumlah kendaraan yg wajib uji</t>
        </r>
      </text>
    </comment>
    <comment ref="J1308" authorId="5" shapeId="0" xr:uid="{B7BEF26B-BA02-4FA6-9DEB-C0F6EAF99F2F}">
      <text>
        <r>
          <rPr>
            <b/>
            <sz val="14"/>
            <color indexed="81"/>
            <rFont val="Tahoma"/>
            <family val="2"/>
          </rPr>
          <t>Jumlah kapal yg mendapat surat rekomendasi ijin pelayaran dibagi jumlah kapal yg wajib mendapatkan ijin pelayaran*100%</t>
        </r>
        <r>
          <rPr>
            <sz val="9"/>
            <color indexed="81"/>
            <rFont val="Tahoma"/>
            <family val="2"/>
          </rPr>
          <t xml:space="preserve">
</t>
        </r>
      </text>
    </comment>
    <comment ref="L1314" authorId="1" shapeId="0" xr:uid="{845DAFED-B3D5-4895-AF73-67A917851B82}">
      <text>
        <r>
          <rPr>
            <b/>
            <sz val="9"/>
            <color indexed="81"/>
            <rFont val="Tahoma"/>
            <family val="2"/>
          </rPr>
          <t>1. Renstra, RKA Murni, RKA Perubahan, Renja Murni, Renja Perubahan</t>
        </r>
      </text>
    </comment>
    <comment ref="N1314" authorId="1" shapeId="0" xr:uid="{5068246A-3324-4848-9389-A05264462D7F}">
      <text>
        <r>
          <rPr>
            <b/>
            <sz val="9"/>
            <color indexed="81"/>
            <rFont val="Tahoma"/>
            <family val="2"/>
          </rPr>
          <t>RKA Murni, RKA Perubahan, Renja Murni</t>
        </r>
      </text>
    </comment>
    <comment ref="L1315" authorId="1" shapeId="0" xr:uid="{02997CE2-E61D-4FFC-92BE-0EEA5BF9933C}">
      <text>
        <r>
          <rPr>
            <b/>
            <sz val="9"/>
            <color indexed="81"/>
            <rFont val="Tahoma"/>
            <family val="2"/>
          </rPr>
          <t>LKJ TW I, LKJ TW II, LKJ TW III, LKJ Tahunan, Cascading, PK Murni, PK Perubahan, IKU Murni, IKU Perubahan, Rencana Aksi</t>
        </r>
      </text>
    </comment>
    <comment ref="N1315" authorId="1" shapeId="0" xr:uid="{0B66B16C-4C20-47FC-8987-D5C171421BD8}">
      <text>
        <r>
          <rPr>
            <b/>
            <sz val="9"/>
            <color indexed="81"/>
            <rFont val="Tahoma"/>
            <family val="2"/>
          </rPr>
          <t>LKJ TW I</t>
        </r>
      </text>
    </comment>
    <comment ref="J1340" authorId="0" shapeId="0" xr:uid="{07573A1D-2349-4A68-B457-7D28D117A5C1}">
      <text>
        <r>
          <rPr>
            <b/>
            <sz val="12"/>
            <color indexed="81"/>
            <rFont val="Tahoma"/>
            <family val="2"/>
          </rPr>
          <t>Jumlah Izin Usaha yang Terealisasi/Jumlah Jenis Usaha X 100
Jumlah Jenis Usaha 12 + 2 Potensi / 24 Total Potensi</t>
        </r>
      </text>
    </comment>
    <comment ref="E1342" authorId="0" shapeId="0" xr:uid="{9F9859E3-7D88-41F9-BF2C-11E4773950A0}">
      <text>
        <r>
          <rPr>
            <b/>
            <sz val="12"/>
            <color indexed="81"/>
            <rFont val="Tahoma"/>
            <family val="2"/>
          </rPr>
          <t>rencana disesuaikan menjadi 24 jenis usaha</t>
        </r>
      </text>
    </comment>
    <comment ref="J1342" authorId="0" shapeId="0" xr:uid="{FC0E8AD2-CE44-4291-8191-B31C744827D2}">
      <text>
        <r>
          <rPr>
            <b/>
            <sz val="12"/>
            <color indexed="81"/>
            <rFont val="Tahoma"/>
            <family val="2"/>
          </rPr>
          <t>Rencana disesuaikan menjadi 14 Jenis Usaha</t>
        </r>
      </text>
    </comment>
    <comment ref="J1359" authorId="0" shapeId="0" xr:uid="{6BD8CC85-3CDD-45A6-9119-FA2FEA30FBA3}">
      <text>
        <r>
          <rPr>
            <b/>
            <sz val="12"/>
            <color indexed="81"/>
            <rFont val="Tahoma"/>
            <family val="2"/>
          </rPr>
          <t>Jumlah Investor yang melaporkan LKPM tepat waktu/jumlah seluruh investor X 100</t>
        </r>
      </text>
    </comment>
    <comment ref="J1368" authorId="0" shapeId="0" xr:uid="{3736A8D8-B073-4886-ADF5-0F87BA0D66A6}">
      <text>
        <r>
          <rPr>
            <b/>
            <sz val="12"/>
            <color indexed="81"/>
            <rFont val="Tahoma"/>
            <family val="2"/>
          </rPr>
          <t>Jumlah Konfirmasi Status Wajib Pajak yang Tertagih/Jumlah KSWP seluruhnya X 100</t>
        </r>
      </text>
    </comment>
    <comment ref="G1378" authorId="9" shapeId="0" xr:uid="{89B61A96-6BE4-44F1-8687-A5FFACC35970}">
      <text>
        <r>
          <rPr>
            <b/>
            <sz val="14"/>
            <color indexed="81"/>
            <rFont val="Tahoma"/>
            <family val="2"/>
          </rPr>
          <t>HP 1000:</t>
        </r>
        <r>
          <rPr>
            <sz val="14"/>
            <color indexed="81"/>
            <rFont val="Tahoma"/>
            <family val="2"/>
          </rPr>
          <t xml:space="preserve">
pagu 2021 perubahan + 2022 perubahan + pagu 2023</t>
        </r>
      </text>
    </comment>
    <comment ref="J1378" authorId="9" shapeId="0" xr:uid="{29CE16BD-8988-4C5A-B406-BEE09B05902B}">
      <text>
        <r>
          <rPr>
            <b/>
            <sz val="9"/>
            <color indexed="81"/>
            <rFont val="Tahoma"/>
            <family val="2"/>
          </rPr>
          <t>HP 1000:</t>
        </r>
        <r>
          <rPr>
            <sz val="9"/>
            <color indexed="81"/>
            <rFont val="Tahoma"/>
            <family val="2"/>
          </rPr>
          <t xml:space="preserve">
</t>
        </r>
        <r>
          <rPr>
            <sz val="12"/>
            <color indexed="81"/>
            <rFont val="Tahoma"/>
            <family val="2"/>
          </rPr>
          <t>Renstra,RKA Murni,RKA Perubahan,Renja Murni,Renja PErubahan</t>
        </r>
      </text>
    </comment>
    <comment ref="L1378" authorId="9" shapeId="0" xr:uid="{B6A81C19-C6B6-4E49-AC81-902077D6BFFE}">
      <text>
        <r>
          <rPr>
            <b/>
            <sz val="12"/>
            <color indexed="81"/>
            <rFont val="Tahoma"/>
            <family val="2"/>
          </rPr>
          <t>HP 1000:</t>
        </r>
        <r>
          <rPr>
            <sz val="12"/>
            <color indexed="81"/>
            <rFont val="Tahoma"/>
            <family val="2"/>
          </rPr>
          <t xml:space="preserve">
Renstra</t>
        </r>
      </text>
    </comment>
    <comment ref="N1378" authorId="9" shapeId="0" xr:uid="{20170336-7824-4E9D-A76F-46E59D3ACA06}">
      <text>
        <r>
          <rPr>
            <b/>
            <sz val="12"/>
            <color indexed="81"/>
            <rFont val="Tahoma"/>
            <family val="2"/>
          </rPr>
          <t>HP 1000:</t>
        </r>
        <r>
          <rPr>
            <sz val="12"/>
            <color indexed="81"/>
            <rFont val="Tahoma"/>
            <family val="2"/>
          </rPr>
          <t xml:space="preserve">
RKA Murni,RKA Perubahan,Renja Murni</t>
        </r>
      </text>
    </comment>
    <comment ref="O1378" authorId="9" shapeId="0" xr:uid="{45BE6BDF-C865-4ADA-8993-B39C983EE34B}">
      <text>
        <r>
          <rPr>
            <b/>
            <sz val="12"/>
            <color indexed="81"/>
            <rFont val="Tahoma"/>
            <family val="2"/>
          </rPr>
          <t>HP 1000:</t>
        </r>
        <r>
          <rPr>
            <sz val="12"/>
            <color indexed="81"/>
            <rFont val="Tahoma"/>
            <family val="2"/>
          </rPr>
          <t xml:space="preserve">
realisasi juni dikurang maret</t>
        </r>
      </text>
    </comment>
    <comment ref="Q1378" authorId="9" shapeId="0" xr:uid="{4CFFA7CF-4937-4F17-8CB9-F54A12046EE7}">
      <text>
        <r>
          <rPr>
            <b/>
            <sz val="11"/>
            <color indexed="81"/>
            <rFont val="Tahoma"/>
            <family val="2"/>
          </rPr>
          <t>realisasi September dikurangi Juni dan Maret</t>
        </r>
      </text>
    </comment>
    <comment ref="J1379" authorId="9" shapeId="0" xr:uid="{F927746A-C90E-42ED-959B-90E1579308D6}">
      <text>
        <r>
          <rPr>
            <b/>
            <sz val="12"/>
            <color indexed="81"/>
            <rFont val="Tahoma"/>
            <family val="2"/>
          </rPr>
          <t>HP 1000:</t>
        </r>
        <r>
          <rPr>
            <sz val="12"/>
            <color indexed="81"/>
            <rFont val="Tahoma"/>
            <family val="2"/>
          </rPr>
          <t xml:space="preserve">
LKJ TW I,LKJ TW II,LKJ TW III,LKJ Tahunan,Cascading,PK Murni,PK Perubahan,Rencana aksi,IKU murni,Iku perubahan</t>
        </r>
      </text>
    </comment>
    <comment ref="L1379" authorId="9" shapeId="0" xr:uid="{6D591FAF-9F55-4E9C-880A-9E65C4DA8F29}">
      <text>
        <r>
          <rPr>
            <b/>
            <sz val="12"/>
            <color indexed="81"/>
            <rFont val="Tahoma"/>
            <family val="2"/>
          </rPr>
          <t>HP 1000:</t>
        </r>
        <r>
          <rPr>
            <sz val="12"/>
            <color indexed="81"/>
            <rFont val="Tahoma"/>
            <family val="2"/>
          </rPr>
          <t xml:space="preserve">
LKJ TW I,Cascading,PK Murni,IKU Murni</t>
        </r>
      </text>
    </comment>
    <comment ref="N1379" authorId="9" shapeId="0" xr:uid="{F4A45937-DF0D-4D6D-8F9C-F7F15BAC75F0}">
      <text>
        <r>
          <rPr>
            <b/>
            <sz val="12"/>
            <color indexed="81"/>
            <rFont val="Tahoma"/>
            <family val="2"/>
          </rPr>
          <t>HP 1000:</t>
        </r>
        <r>
          <rPr>
            <sz val="12"/>
            <color indexed="81"/>
            <rFont val="Tahoma"/>
            <family val="2"/>
          </rPr>
          <t xml:space="preserve">
LKJ TW II</t>
        </r>
      </text>
    </comment>
    <comment ref="P1379" authorId="7" shapeId="0" xr:uid="{85C4F898-E32A-42AB-BD82-8B32DDC6DBD0}">
      <text>
        <r>
          <rPr>
            <b/>
            <sz val="9"/>
            <color indexed="81"/>
            <rFont val="Tahoma"/>
            <family val="2"/>
          </rPr>
          <t>LKJ TW III, PK Perubahan, Rancana Aksi, IKU Perubahan</t>
        </r>
      </text>
    </comment>
    <comment ref="R1379" authorId="7" shapeId="0" xr:uid="{7DA594E9-E715-412E-954E-D70C3FD071FB}">
      <text>
        <r>
          <rPr>
            <b/>
            <sz val="9"/>
            <color indexed="81"/>
            <rFont val="Tahoma"/>
            <family val="2"/>
          </rPr>
          <t>LKJ Tahunan</t>
        </r>
      </text>
    </comment>
    <comment ref="G1406" authorId="9" shapeId="0" xr:uid="{BD4DDFD5-4EEF-4373-BA79-F368284C9C18}">
      <text>
        <r>
          <rPr>
            <sz val="14"/>
            <color indexed="81"/>
            <rFont val="Tahoma"/>
            <family val="2"/>
          </rPr>
          <t>Pagu 2021  + Pagu 2022</t>
        </r>
        <r>
          <rPr>
            <sz val="9"/>
            <color indexed="81"/>
            <rFont val="Tahoma"/>
            <family val="2"/>
          </rPr>
          <t xml:space="preserve">
</t>
        </r>
      </text>
    </comment>
    <comment ref="H1407" authorId="9" shapeId="0" xr:uid="{5906844A-1581-416B-8C29-A074E6CF0E5B}">
      <text>
        <r>
          <rPr>
            <b/>
            <sz val="12"/>
            <color indexed="81"/>
            <rFont val="Tahoma"/>
            <family val="2"/>
          </rPr>
          <t>HP 1000:</t>
        </r>
        <r>
          <rPr>
            <sz val="12"/>
            <color indexed="81"/>
            <rFont val="Tahoma"/>
            <family val="2"/>
          </rPr>
          <t xml:space="preserve">
pemeliharaan AC,PC,Printer,Laptop</t>
        </r>
      </text>
    </comment>
    <comment ref="J1408" authorId="9" shapeId="0" xr:uid="{1ED7425F-A309-4055-A386-3ACF6B784D99}">
      <text>
        <r>
          <rPr>
            <sz val="14"/>
            <color indexed="81"/>
            <rFont val="Tahoma"/>
            <family val="2"/>
          </rPr>
          <t>Jumlah Pemuda Wirausaha/Jumlah Pemuda *100</t>
        </r>
      </text>
    </comment>
    <comment ref="J1409" authorId="9" shapeId="0" xr:uid="{8D3A41CE-797C-4AE6-9CEB-43250F6BC85B}">
      <text>
        <r>
          <rPr>
            <sz val="14"/>
            <color indexed="81"/>
            <rFont val="Tahoma"/>
            <family val="2"/>
          </rPr>
          <t>jumlah pemuda yg aktif menjadi anggota organisasi/jumlah pemuda x 100</t>
        </r>
      </text>
    </comment>
    <comment ref="L1409" authorId="9" shapeId="0" xr:uid="{7A620705-EBCB-4B99-8759-39D3CFC6CF54}">
      <text>
        <r>
          <rPr>
            <sz val="14"/>
            <color indexed="81"/>
            <rFont val="Tahoma"/>
            <family val="2"/>
          </rPr>
          <t>jumlah pemuda yg aktif menjadi anggota organisasi/jumlah pemuda x 100</t>
        </r>
      </text>
    </comment>
    <comment ref="N1411" authorId="0" shapeId="0" xr:uid="{D1575773-E8B1-4854-A7C1-3377DDC38213}">
      <text>
        <r>
          <rPr>
            <b/>
            <sz val="12"/>
            <color indexed="81"/>
            <rFont val="Tahoma"/>
            <family val="2"/>
          </rPr>
          <t>Drumband, Paduan Suara, Paskibraka</t>
        </r>
      </text>
    </comment>
    <comment ref="P1411" authorId="0" shapeId="0" xr:uid="{9B6FAB3B-D35C-4B9B-8F93-D92C6B9CE0AE}">
      <text>
        <r>
          <rPr>
            <b/>
            <sz val="12"/>
            <color indexed="81"/>
            <rFont val="Tahoma"/>
            <family val="2"/>
          </rPr>
          <t>Paskibraka Prov, Pepelingasih</t>
        </r>
      </text>
    </comment>
    <comment ref="R1411" authorId="0" shapeId="0" xr:uid="{0F10F361-6065-45DE-8C26-0066090443ED}">
      <text>
        <r>
          <rPr>
            <b/>
            <sz val="12"/>
            <color indexed="81"/>
            <rFont val="Tahoma"/>
            <family val="2"/>
          </rPr>
          <t>Paskibraka Prov, Pepelingasih</t>
        </r>
      </text>
    </comment>
    <comment ref="G1412" authorId="9" shapeId="0" xr:uid="{2A0863B6-F963-4AE7-A91C-0EB5610F6A8C}">
      <text>
        <r>
          <rPr>
            <sz val="14"/>
            <color indexed="81"/>
            <rFont val="Tahoma"/>
            <family val="2"/>
          </rPr>
          <t>Pagu 2022</t>
        </r>
      </text>
    </comment>
    <comment ref="G1414" authorId="9" shapeId="0" xr:uid="{93BA3DF4-C802-4D98-9799-0E0B6DC4D2EA}">
      <text>
        <r>
          <rPr>
            <sz val="14"/>
            <color indexed="81"/>
            <rFont val="Tahoma"/>
            <family val="2"/>
          </rPr>
          <t xml:space="preserve">Pagu 2022 +Pagu 2023
</t>
        </r>
      </text>
    </comment>
    <comment ref="G1423" authorId="9" shapeId="0" xr:uid="{98F0EFB0-E8D3-41DC-91EF-762216DC7B1E}">
      <text>
        <r>
          <rPr>
            <sz val="12"/>
            <color indexed="81"/>
            <rFont val="Tahoma"/>
            <family val="2"/>
          </rPr>
          <t>Pagu 2022</t>
        </r>
      </text>
    </comment>
    <comment ref="J1426" authorId="0" shapeId="0" xr:uid="{9F7A47BA-9334-41D8-B71D-C1A19911268B}">
      <text>
        <r>
          <rPr>
            <b/>
            <sz val="12"/>
            <color indexed="81"/>
            <rFont val="Tahoma"/>
            <family val="2"/>
          </rPr>
          <t>Atletik, Gulat, Karate, Panahan, Taekwondo, Tinju, Volly Pasir, Judo, Kempo, Brif, Dayung, Renang</t>
        </r>
      </text>
    </comment>
    <comment ref="E1427" authorId="0" shapeId="0" xr:uid="{4888EBC7-4502-42F9-A8A3-BB36D52F191E}">
      <text>
        <r>
          <rPr>
            <b/>
            <sz val="12"/>
            <color indexed="81"/>
            <rFont val="Tahoma"/>
            <family val="2"/>
          </rPr>
          <t>7, 5, 5</t>
        </r>
      </text>
    </comment>
    <comment ref="G1427" authorId="9" shapeId="0" xr:uid="{66A6B9FE-1A66-4D26-A9B1-C8DC3D3CBCD6}">
      <text>
        <r>
          <rPr>
            <sz val="12"/>
            <color indexed="81"/>
            <rFont val="Tahoma"/>
            <family val="2"/>
          </rPr>
          <t>Pagu 2021 + Pagu 2022</t>
        </r>
        <r>
          <rPr>
            <sz val="9"/>
            <color indexed="81"/>
            <rFont val="Tahoma"/>
            <family val="2"/>
          </rPr>
          <t xml:space="preserve">
</t>
        </r>
      </text>
    </comment>
    <comment ref="U1427" authorId="0" shapeId="0" xr:uid="{76DC8644-00E0-405F-95CE-4BFED6F30F4D}">
      <text>
        <r>
          <rPr>
            <b/>
            <sz val="9"/>
            <color indexed="81"/>
            <rFont val="Tahoma"/>
            <family val="2"/>
          </rPr>
          <t>Negatif</t>
        </r>
      </text>
    </comment>
    <comment ref="E1429" authorId="0" shapeId="0" xr:uid="{4D837F08-483D-4853-9B5D-D8C83C117C4E}">
      <text>
        <r>
          <rPr>
            <b/>
            <sz val="12"/>
            <color indexed="81"/>
            <rFont val="Tahoma"/>
            <family val="2"/>
          </rPr>
          <t>KONI, NPC, KORMI</t>
        </r>
      </text>
    </comment>
    <comment ref="H1429" authorId="0" shapeId="0" xr:uid="{39B21592-6E2D-43CE-A4D6-0E51E426A67F}">
      <text>
        <r>
          <rPr>
            <b/>
            <sz val="12"/>
            <color indexed="81"/>
            <rFont val="Tahoma"/>
            <family val="2"/>
          </rPr>
          <t>KONI, NPC
Anggaran masih di BPKPD</t>
        </r>
      </text>
    </comment>
    <comment ref="J1429" authorId="0" shapeId="0" xr:uid="{6953BDD4-9EA2-40D2-899F-9C9C640ACF44}">
      <text>
        <r>
          <rPr>
            <b/>
            <sz val="12"/>
            <color indexed="81"/>
            <rFont val="Tahoma"/>
            <family val="2"/>
          </rPr>
          <t>KONI, NPC</t>
        </r>
      </text>
    </comment>
    <comment ref="E1434" authorId="0" shapeId="0" xr:uid="{E79093E6-BA52-49FE-BF28-48701997F6D1}">
      <text>
        <r>
          <rPr>
            <b/>
            <sz val="12"/>
            <color indexed="81"/>
            <rFont val="Tahoma"/>
            <family val="2"/>
          </rPr>
          <t>Dayung, HAORNAS, Sepeda Santai</t>
        </r>
      </text>
    </comment>
    <comment ref="G1434" authorId="9" shapeId="0" xr:uid="{0B175CA3-BFFF-41E0-9F46-562A3C478C66}">
      <text>
        <r>
          <rPr>
            <sz val="14"/>
            <color indexed="81"/>
            <rFont val="Tahoma"/>
            <family val="2"/>
          </rPr>
          <t>Pagu 2021 + Pagu 2022</t>
        </r>
      </text>
    </comment>
    <comment ref="J1434" authorId="0" shapeId="0" xr:uid="{8EFE6A81-C5A8-42F2-BFBF-682DAA5F491C}">
      <text>
        <r>
          <rPr>
            <b/>
            <sz val="12"/>
            <color indexed="81"/>
            <rFont val="Tahoma"/>
            <family val="2"/>
          </rPr>
          <t>Dayung, HAORNAS, Sepeda Santai</t>
        </r>
      </text>
    </comment>
    <comment ref="E1435" authorId="0" shapeId="0" xr:uid="{C3FCF460-191E-48A3-AC72-3C6F4D25ABFA}">
      <text>
        <r>
          <rPr>
            <b/>
            <sz val="12"/>
            <color indexed="81"/>
            <rFont val="Tahoma"/>
            <family val="2"/>
          </rPr>
          <t>Panjat Tebing, GOS, Lapangan Tenis Antaludin, Lap Tenis Tumpang Talu, Lap Basket, Kolam Renang AAC, Stadion 2 Des, Gedung Serbaguna, Duta Futsal, Venue IODI, Lapangan Volly (2)</t>
        </r>
      </text>
    </comment>
    <comment ref="H1435" authorId="0" shapeId="0" xr:uid="{A6BC112C-6519-40FB-BF5B-0371E2EF031E}">
      <text>
        <r>
          <rPr>
            <b/>
            <sz val="12"/>
            <color indexed="81"/>
            <rFont val="Tahoma"/>
            <family val="2"/>
          </rPr>
          <t>Kolam Renang, 6 Venue anggaran di Setda Bag. Umun</t>
        </r>
      </text>
    </comment>
    <comment ref="J1435" authorId="0" shapeId="0" xr:uid="{35FEA538-6501-4C76-9F64-8F979039809A}">
      <text>
        <r>
          <rPr>
            <b/>
            <sz val="12"/>
            <color indexed="81"/>
            <rFont val="Tahoma"/>
            <family val="2"/>
          </rPr>
          <t>Panjat Tebing, GOS, Lapangan Tenis Antaludin, Lap Tenis Tumpang Talu, Lap Basket, Kolam Renang AAC, Stadion 2 Des</t>
        </r>
      </text>
    </comment>
    <comment ref="L1435" authorId="0" shapeId="0" xr:uid="{31D846E7-A0B7-43DC-87D9-363F3894F0EA}">
      <text>
        <r>
          <rPr>
            <b/>
            <sz val="9"/>
            <color indexed="81"/>
            <rFont val="Tahoma"/>
            <family val="2"/>
          </rPr>
          <t>Kolam Renang</t>
        </r>
      </text>
    </comment>
    <comment ref="G1436" authorId="9" shapeId="0" xr:uid="{3181F17C-DD78-4FA1-8170-F82F725DA1BC}">
      <text>
        <r>
          <rPr>
            <sz val="12"/>
            <color indexed="81"/>
            <rFont val="Tahoma"/>
            <family val="2"/>
          </rPr>
          <t>Pagu 2021 + Pagu 2022</t>
        </r>
      </text>
    </comment>
    <comment ref="J1436" authorId="0" shapeId="0" xr:uid="{316F8303-3B98-47FA-85FD-3605398F8BDD}">
      <text>
        <r>
          <rPr>
            <b/>
            <sz val="12"/>
            <color indexed="81"/>
            <rFont val="Tahoma"/>
            <family val="2"/>
          </rPr>
          <t>Terjal, Goes Sehati</t>
        </r>
      </text>
    </comment>
    <comment ref="G1437" authorId="9" shapeId="0" xr:uid="{8EEB8BC8-E008-40D4-8FC9-BA92EB75BA81}">
      <text>
        <r>
          <rPr>
            <sz val="12"/>
            <color indexed="81"/>
            <rFont val="Tahoma"/>
            <family val="2"/>
          </rPr>
          <t>Pagu 2022</t>
        </r>
      </text>
    </comment>
    <comment ref="H1438" authorId="9" shapeId="0" xr:uid="{1858A53A-4013-4812-9A5D-BE7DEBE141EA}">
      <text>
        <r>
          <rPr>
            <sz val="14"/>
            <color indexed="81"/>
            <rFont val="Tahoma"/>
            <family val="2"/>
          </rPr>
          <t>jumlah pemuda yg aktif menjadi anggota organisasi/jumlah pemuda x 100</t>
        </r>
      </text>
    </comment>
    <comment ref="J1438" authorId="9" shapeId="0" xr:uid="{C6D22ED9-84B1-48DD-97DD-F508E44B4774}">
      <text>
        <r>
          <rPr>
            <sz val="14"/>
            <color indexed="81"/>
            <rFont val="Tahoma"/>
            <family val="2"/>
          </rPr>
          <t>jumlah pemuda yg aktif menjadi anggota organisasi/jumlah pemuda x 100</t>
        </r>
      </text>
    </comment>
    <comment ref="L1438" authorId="9" shapeId="0" xr:uid="{B01B8B41-A7E1-4512-BBE7-E336ED8E81E3}">
      <text>
        <r>
          <rPr>
            <sz val="14"/>
            <color indexed="81"/>
            <rFont val="Tahoma"/>
            <family val="2"/>
          </rPr>
          <t>jumlah pemuda yg aktif menjadi anggota organisasi/jumlah pemuda x 100</t>
        </r>
      </text>
    </comment>
    <comment ref="H1440" authorId="9" shapeId="0" xr:uid="{92AE21B0-C640-4CC3-8898-6A10B60AD42B}">
      <text>
        <r>
          <rPr>
            <sz val="12"/>
            <color indexed="81"/>
            <rFont val="Tahoma"/>
            <family val="2"/>
          </rPr>
          <t>(Indikator: Jumlah Kegiatan Kepramukaan yg diselenggarakan dan diikuti))</t>
        </r>
      </text>
    </comment>
    <comment ref="J1442" authorId="0" shapeId="0" xr:uid="{E9C2D80D-2FFC-46BB-B169-9E9579922C5A}">
      <text>
        <r>
          <rPr>
            <b/>
            <sz val="12"/>
            <color indexed="81"/>
            <rFont val="Tahoma"/>
            <family val="2"/>
          </rPr>
          <t>Tanuhi, Dermaga Ni'ih, Green House Loksado, Hotel Ramu, Dermaga Loksado</t>
        </r>
      </text>
    </comment>
    <comment ref="E1448" authorId="0" shapeId="0" xr:uid="{D9B211A5-AEFD-485D-BA6A-EE98813A6590}">
      <text>
        <r>
          <rPr>
            <b/>
            <sz val="12"/>
            <color theme="1"/>
            <rFont val="Calibri"/>
            <family val="2"/>
            <scheme val="minor"/>
          </rPr>
          <t>Kalang Hadangan Paharangan, Tanuhi</t>
        </r>
      </text>
    </comment>
    <comment ref="G1448" authorId="9" shapeId="0" xr:uid="{C049014E-0EC9-4D55-A976-A77B5A829F8D}">
      <text>
        <r>
          <rPr>
            <sz val="12"/>
            <color indexed="81"/>
            <rFont val="Tahoma"/>
            <family val="2"/>
          </rPr>
          <t>Pagu 2022</t>
        </r>
      </text>
    </comment>
    <comment ref="J1448" authorId="0" shapeId="0" xr:uid="{A4E96F29-805C-4287-A0D8-A072DCF8792D}">
      <text>
        <r>
          <rPr>
            <b/>
            <sz val="12"/>
            <color indexed="81"/>
            <rFont val="Tahoma"/>
            <family val="2"/>
          </rPr>
          <t>Bukit Langara, Tanuhi, Dermaga Ni'ih, Hotel Ramu</t>
        </r>
      </text>
    </comment>
    <comment ref="E1450" authorId="0" shapeId="0" xr:uid="{2C344F32-FB8D-48AB-8038-F5FF1C29926E}">
      <text>
        <r>
          <rPr>
            <b/>
            <sz val="12"/>
            <color theme="1"/>
            <rFont val="Calibri"/>
            <family val="2"/>
            <scheme val="minor"/>
          </rPr>
          <t>Kalang Hadangan Paharangan, Tanuhi</t>
        </r>
      </text>
    </comment>
    <comment ref="G1450" authorId="9" shapeId="0" xr:uid="{EF3D7784-9FA0-4723-87A1-62B191630555}">
      <text>
        <r>
          <rPr>
            <sz val="14"/>
            <color indexed="81"/>
            <rFont val="Tahoma"/>
            <family val="2"/>
          </rPr>
          <t>Pagu 2021 + Pagu 2023</t>
        </r>
      </text>
    </comment>
    <comment ref="E1457" authorId="0" shapeId="0" xr:uid="{FE7BDABD-BB73-448E-9936-786AAA0AEFD2}">
      <text>
        <r>
          <rPr>
            <b/>
            <sz val="12"/>
            <color indexed="81"/>
            <rFont val="Tahoma"/>
            <family val="2"/>
          </rPr>
          <t>Spanduk dan Baliho, Sticker, Video, Tas Kain, Map Promosi, Kalender Dinding dan Meja, Payung, Topi, Mug dan Piring, Lanting, Roll Banner, Umbul Umbul</t>
        </r>
      </text>
    </comment>
    <comment ref="J1457" authorId="0" shapeId="0" xr:uid="{B2E9B2C7-0683-49FF-B2C4-2B888BB0C364}">
      <text>
        <r>
          <rPr>
            <b/>
            <sz val="12"/>
            <color indexed="81"/>
            <rFont val="Tahoma"/>
            <family val="2"/>
          </rPr>
          <t>Spanduk dan Baliho, Sticker, Video, Tas Kain, Map Promosi, Kalender Dinding dan Meja, Payung, Topi, Mug dan Piring, Lanting, Roll Banner, Umbul Umbul</t>
        </r>
      </text>
    </comment>
    <comment ref="L1457" authorId="0" shapeId="0" xr:uid="{7A105938-13CD-417E-BFFD-F7A8BAF20B62}">
      <text>
        <r>
          <rPr>
            <b/>
            <sz val="12"/>
            <color indexed="81"/>
            <rFont val="Tahoma"/>
            <family val="2"/>
          </rPr>
          <t>Spanduk dan Baliho, Sticker, Umbul umbu</t>
        </r>
        <r>
          <rPr>
            <b/>
            <sz val="9"/>
            <color indexed="81"/>
            <rFont val="Tahoma"/>
            <family val="2"/>
          </rPr>
          <t>l</t>
        </r>
      </text>
    </comment>
    <comment ref="N1457" authorId="0" shapeId="0" xr:uid="{41B0A01C-49A9-43DF-B012-B0C837E6257E}">
      <text>
        <r>
          <rPr>
            <b/>
            <sz val="12"/>
            <color indexed="81"/>
            <rFont val="Tahoma"/>
            <family val="2"/>
          </rPr>
          <t>Roll Banner, Mug dan Piring, Lanting, Topi</t>
        </r>
      </text>
    </comment>
    <comment ref="P1457" authorId="0" shapeId="0" xr:uid="{C604FE56-3DE2-4277-A2DC-B4F2EF99ECFF}">
      <text>
        <r>
          <rPr>
            <b/>
            <sz val="12"/>
            <color indexed="81"/>
            <rFont val="Tahoma"/>
            <family val="2"/>
          </rPr>
          <t>Map Promosi, Tas Kain, Payung, Video</t>
        </r>
      </text>
    </comment>
    <comment ref="E1458" authorId="0" shapeId="0" xr:uid="{86D3C66F-9176-40A9-B410-E32ECA935BC7}">
      <text>
        <r>
          <rPr>
            <b/>
            <sz val="12"/>
            <color indexed="81"/>
            <rFont val="Tahoma"/>
            <family val="2"/>
          </rPr>
          <t>Festival Loksado, Burung Berkicau, Tour de Loksado, Temu Komunitas Pecinta Wisata Alam, Pemilihan Duta Pariwisata HSS</t>
        </r>
      </text>
    </comment>
    <comment ref="J1458" authorId="0" shapeId="0" xr:uid="{4FCE1BAE-C914-4FED-B2F3-0685455E20A3}">
      <text>
        <r>
          <rPr>
            <b/>
            <sz val="12"/>
            <color indexed="81"/>
            <rFont val="Tahoma"/>
            <family val="2"/>
          </rPr>
          <t>Festival Loksado, Burung Berkicau, Tour de Loksado, Temu Komunitas Pecinta Wisata Alam, Pemilihan Duta Pariwisata HSS</t>
        </r>
      </text>
    </comment>
    <comment ref="G1464" authorId="9" shapeId="0" xr:uid="{B3DE233F-63F9-45A0-9FE9-355FEB75AF5E}">
      <text>
        <r>
          <rPr>
            <sz val="14"/>
            <color indexed="81"/>
            <rFont val="Tahoma"/>
            <family val="2"/>
          </rPr>
          <t>Pagu 2021 + Pagu 2022</t>
        </r>
      </text>
    </comment>
    <comment ref="E1492" authorId="1" shapeId="0" xr:uid="{5803F7FE-187A-4552-939A-B01F3C6A46AE}">
      <text>
        <r>
          <rPr>
            <sz val="12"/>
            <color indexed="81"/>
            <rFont val="Tahoma"/>
            <family val="2"/>
          </rPr>
          <t>Jumlah Desa yang memiliki Perpustakaan yang sesuai standart dibagi jumlah seluruh Desa di kali 100</t>
        </r>
      </text>
    </comment>
    <comment ref="J1492" authorId="1" shapeId="0" xr:uid="{49FE8CD7-9A07-4A97-94C1-D8EC9B01ADD8}">
      <text>
        <r>
          <rPr>
            <sz val="12"/>
            <color indexed="81"/>
            <rFont val="Tahoma"/>
            <family val="2"/>
          </rPr>
          <t>Jumlah Desa yang memiliki Perpustakaan yang sesuai standart dibagi jumlah seluruh Desa di kali 100</t>
        </r>
      </text>
    </comment>
    <comment ref="E1503" authorId="1" shapeId="0" xr:uid="{A6905B8F-FB78-4705-92E4-509FD4E63715}">
      <text>
        <r>
          <rPr>
            <sz val="12"/>
            <color indexed="81"/>
            <rFont val="Tahoma"/>
            <family val="2"/>
          </rPr>
          <t>Jumlah PD yang menerapkan Pengelolaan Arsip dibagi Jumlah PD seluruhnya dikali 100</t>
        </r>
      </text>
    </comment>
    <comment ref="H1503" authorId="0" shapeId="0" xr:uid="{32DE3406-EB82-4D52-ABC9-DE273E7036E3}">
      <text>
        <r>
          <rPr>
            <b/>
            <sz val="12"/>
            <color indexed="81"/>
            <rFont val="Tahoma"/>
            <family val="2"/>
          </rPr>
          <t>B</t>
        </r>
      </text>
    </comment>
    <comment ref="J1503" authorId="1" shapeId="0" xr:uid="{CBDFC0A5-919B-4294-BFED-B4651F378C30}">
      <text>
        <r>
          <rPr>
            <sz val="12"/>
            <color indexed="81"/>
            <rFont val="Tahoma"/>
            <family val="2"/>
          </rPr>
          <t>Jumlah PD yang menerapkan Pengelolaan Arsip dibagi Jumlah PD seluruhnya dikali 100</t>
        </r>
      </text>
    </comment>
    <comment ref="H1511" authorId="0" shapeId="0" xr:uid="{808A0C3B-1992-4BC5-AAEE-717E1F7D98B9}">
      <text>
        <r>
          <rPr>
            <b/>
            <sz val="12"/>
            <color indexed="81"/>
            <rFont val="Tahoma"/>
            <family val="2"/>
          </rPr>
          <t>B</t>
        </r>
      </text>
    </comment>
    <comment ref="J1511" authorId="1" shapeId="0" xr:uid="{8A542C07-CD0E-4448-9770-450AF4A4FF20}">
      <text>
        <r>
          <rPr>
            <sz val="12"/>
            <color indexed="81"/>
            <rFont val="Tahoma"/>
            <family val="2"/>
          </rPr>
          <t>Jumlah PD yang menerapkan Pengelolaan Arsip dibagi Jumlah PD seluruhnya dikali 100</t>
        </r>
      </text>
    </comment>
    <comment ref="G1514" authorId="0" shapeId="0" xr:uid="{CD1E0623-263C-4DE6-94F6-46350F43BD75}">
      <text>
        <r>
          <rPr>
            <b/>
            <sz val="9"/>
            <color indexed="81"/>
            <rFont val="Tahoma"/>
            <family val="2"/>
          </rPr>
          <t>USER:</t>
        </r>
        <r>
          <rPr>
            <sz val="9"/>
            <color indexed="81"/>
            <rFont val="Tahoma"/>
            <family val="2"/>
          </rPr>
          <t xml:space="preserve">
</t>
        </r>
        <r>
          <rPr>
            <sz val="12"/>
            <color indexed="81"/>
            <rFont val="Tahoma"/>
            <family val="2"/>
          </rPr>
          <t>isi total pagu dari 2021, 2022, 2023</t>
        </r>
      </text>
    </comment>
    <comment ref="J1516" authorId="0" shapeId="0" xr:uid="{264544E6-2F23-4B54-B22E-12D89F277DF2}">
      <text>
        <r>
          <rPr>
            <b/>
            <sz val="9"/>
            <color indexed="81"/>
            <rFont val="Tahoma"/>
            <family val="2"/>
          </rPr>
          <t>U</t>
        </r>
        <r>
          <rPr>
            <b/>
            <sz val="12"/>
            <color indexed="81"/>
            <rFont val="Tahoma"/>
            <family val="2"/>
          </rPr>
          <t>SER:</t>
        </r>
        <r>
          <rPr>
            <sz val="12"/>
            <color indexed="81"/>
            <rFont val="Tahoma"/>
            <family val="2"/>
          </rPr>
          <t xml:space="preserve">
renstra, rka murni, rka perubahan, renja murni, renja perubahan</t>
        </r>
      </text>
    </comment>
    <comment ref="L1516" authorId="0" shapeId="0" xr:uid="{D36C2175-6EBB-4648-AD08-D17830DC56FF}">
      <text>
        <r>
          <rPr>
            <b/>
            <sz val="9"/>
            <color indexed="81"/>
            <rFont val="Tahoma"/>
            <family val="2"/>
          </rPr>
          <t>USER:</t>
        </r>
        <r>
          <rPr>
            <sz val="9"/>
            <color indexed="81"/>
            <rFont val="Tahoma"/>
            <family val="2"/>
          </rPr>
          <t xml:space="preserve">
</t>
        </r>
        <r>
          <rPr>
            <sz val="12"/>
            <color indexed="81"/>
            <rFont val="Tahoma"/>
            <family val="2"/>
          </rPr>
          <t>renstra</t>
        </r>
      </text>
    </comment>
    <comment ref="N1516" authorId="0" shapeId="0" xr:uid="{53DB4A9B-0CDD-42C4-84BC-5FC876C7E8B1}">
      <text>
        <r>
          <rPr>
            <b/>
            <sz val="9"/>
            <color indexed="81"/>
            <rFont val="Tahoma"/>
            <family val="2"/>
          </rPr>
          <t>USER:</t>
        </r>
        <r>
          <rPr>
            <sz val="9"/>
            <color indexed="81"/>
            <rFont val="Tahoma"/>
            <family val="2"/>
          </rPr>
          <t xml:space="preserve">
</t>
        </r>
        <r>
          <rPr>
            <sz val="12"/>
            <color indexed="81"/>
            <rFont val="Tahoma"/>
            <family val="2"/>
          </rPr>
          <t>renja murni, rka murni, rka perubahan</t>
        </r>
      </text>
    </comment>
    <comment ref="P1516" authorId="0" shapeId="0" xr:uid="{5810940F-831A-457F-A10C-11FB478241CC}">
      <text>
        <r>
          <rPr>
            <b/>
            <sz val="9"/>
            <color indexed="81"/>
            <rFont val="Tahoma"/>
            <family val="2"/>
          </rPr>
          <t>USER:</t>
        </r>
        <r>
          <rPr>
            <sz val="9"/>
            <color indexed="81"/>
            <rFont val="Tahoma"/>
            <family val="2"/>
          </rPr>
          <t xml:space="preserve">
</t>
        </r>
        <r>
          <rPr>
            <sz val="12"/>
            <color indexed="81"/>
            <rFont val="Tahoma"/>
            <family val="2"/>
          </rPr>
          <t>renja murni, rka murni, rka perubahan</t>
        </r>
      </text>
    </comment>
    <comment ref="J1517" authorId="0" shapeId="0" xr:uid="{1B05E1D6-9F15-4D53-A3E0-95DCF71D99CF}">
      <text>
        <r>
          <rPr>
            <b/>
            <sz val="9"/>
            <color indexed="81"/>
            <rFont val="Tahoma"/>
            <family val="2"/>
          </rPr>
          <t>US</t>
        </r>
        <r>
          <rPr>
            <b/>
            <sz val="12"/>
            <color indexed="81"/>
            <rFont val="Tahoma"/>
            <family val="2"/>
          </rPr>
          <t>ER:</t>
        </r>
        <r>
          <rPr>
            <sz val="12"/>
            <color indexed="81"/>
            <rFont val="Tahoma"/>
            <family val="2"/>
          </rPr>
          <t xml:space="preserve">
lkj tw 1, lkj tw 2, lkj tw 3, lkj tahunan, cascading, pk murni, pk perubahan, rencana aksi, iku murni, iku perubahan</t>
        </r>
      </text>
    </comment>
    <comment ref="L1517" authorId="0" shapeId="0" xr:uid="{6F088BCA-5F98-423D-9037-99DA911903B0}">
      <text>
        <r>
          <rPr>
            <b/>
            <sz val="9"/>
            <color indexed="81"/>
            <rFont val="Tahoma"/>
            <family val="2"/>
          </rPr>
          <t>USER:</t>
        </r>
        <r>
          <rPr>
            <sz val="9"/>
            <color indexed="81"/>
            <rFont val="Tahoma"/>
            <family val="2"/>
          </rPr>
          <t xml:space="preserve">
</t>
        </r>
        <r>
          <rPr>
            <sz val="12"/>
            <color indexed="81"/>
            <rFont val="Tahoma"/>
            <family val="2"/>
          </rPr>
          <t>lkj tw 1, pk murni, iku murni, cascading</t>
        </r>
      </text>
    </comment>
    <comment ref="N1517" authorId="0" shapeId="0" xr:uid="{242DDCDD-61B0-4526-B069-9A5D1EF1CE67}">
      <text>
        <r>
          <rPr>
            <b/>
            <sz val="9"/>
            <color indexed="81"/>
            <rFont val="Tahoma"/>
            <family val="2"/>
          </rPr>
          <t>USER:</t>
        </r>
        <r>
          <rPr>
            <sz val="9"/>
            <color indexed="81"/>
            <rFont val="Tahoma"/>
            <family val="2"/>
          </rPr>
          <t xml:space="preserve">
</t>
        </r>
        <r>
          <rPr>
            <sz val="12"/>
            <color indexed="81"/>
            <rFont val="Tahoma"/>
            <family val="2"/>
          </rPr>
          <t>lkj tw 2</t>
        </r>
      </text>
    </comment>
    <comment ref="P1517" authorId="0" shapeId="0" xr:uid="{DD9EDF1F-0FA6-40B8-80E8-33202585DD70}">
      <text>
        <r>
          <rPr>
            <b/>
            <sz val="9"/>
            <color indexed="81"/>
            <rFont val="Tahoma"/>
            <family val="2"/>
          </rPr>
          <t>USER:</t>
        </r>
        <r>
          <rPr>
            <sz val="9"/>
            <color indexed="81"/>
            <rFont val="Tahoma"/>
            <family val="2"/>
          </rPr>
          <t xml:space="preserve">
</t>
        </r>
        <r>
          <rPr>
            <sz val="12"/>
            <color indexed="81"/>
            <rFont val="Tahoma"/>
            <family val="2"/>
          </rPr>
          <t>lkj tw 2</t>
        </r>
      </text>
    </comment>
    <comment ref="N1539" authorId="0" shapeId="0" xr:uid="{28F1AF64-FB74-4570-8274-38A38F46CCBA}">
      <text>
        <r>
          <rPr>
            <b/>
            <sz val="12"/>
            <color indexed="81"/>
            <rFont val="Tahoma"/>
            <family val="2"/>
          </rPr>
          <t>DAU</t>
        </r>
      </text>
    </comment>
    <comment ref="P1539" authorId="0" shapeId="0" xr:uid="{3DAEC9D6-A456-453F-ACFC-233243F1F070}">
      <text>
        <r>
          <rPr>
            <b/>
            <sz val="12"/>
            <color indexed="81"/>
            <rFont val="Tahoma"/>
            <family val="2"/>
          </rPr>
          <t>DAU</t>
        </r>
      </text>
    </comment>
    <comment ref="H1540" authorId="0" shapeId="0" xr:uid="{6D324D8C-97DD-4B45-AB64-6466AABC9B6F}">
      <text>
        <r>
          <rPr>
            <b/>
            <sz val="12"/>
            <color indexed="81"/>
            <rFont val="Tahoma"/>
            <family val="2"/>
          </rPr>
          <t>2019, 55 org 1 set, 30 org tempirai+perahu</t>
        </r>
      </text>
    </comment>
    <comment ref="R1540" authorId="0" shapeId="0" xr:uid="{07C4934D-37EE-40D6-8AAB-9ED16DAC9E1C}">
      <text>
        <r>
          <rPr>
            <b/>
            <sz val="12"/>
            <color indexed="81"/>
            <rFont val="Tahoma"/>
            <family val="2"/>
          </rPr>
          <t>63 org 1 set, 9 org tempirai+perahu</t>
        </r>
      </text>
    </comment>
    <comment ref="Q1541" authorId="0" shapeId="0" xr:uid="{23774946-36C2-4ED1-B3DB-15FA70E5C58F}">
      <text>
        <r>
          <rPr>
            <b/>
            <sz val="9"/>
            <color indexed="81"/>
            <rFont val="Tahoma"/>
            <charset val="1"/>
          </rPr>
          <t>USER:</t>
        </r>
        <r>
          <rPr>
            <sz val="9"/>
            <color indexed="81"/>
            <rFont val="Tahoma"/>
            <charset val="1"/>
          </rPr>
          <t xml:space="preserve">
tidak dapat dilaksanakan karena pergeseran anggaran sehingga anggaran yang tersedia dihapus</t>
        </r>
      </text>
    </comment>
    <comment ref="E1555" authorId="0" shapeId="0" xr:uid="{5E05C15D-DF3A-47B2-B766-7E399FE61314}">
      <text>
        <r>
          <rPr>
            <b/>
            <sz val="12"/>
            <color indexed="81"/>
            <rFont val="Tahoma"/>
            <family val="2"/>
          </rPr>
          <t>Bangkau, Paharangan, Pantai Ulin, Muning Dalam, Bago Tanggul, Bajayau Lama</t>
        </r>
      </text>
    </comment>
    <comment ref="H1555" authorId="0" shapeId="0" xr:uid="{D67FCEBF-FC43-4B2A-9203-9C7D8FF2EE7B}">
      <text>
        <r>
          <rPr>
            <b/>
            <sz val="12"/>
            <color indexed="81"/>
            <rFont val="Tahoma"/>
            <family val="2"/>
          </rPr>
          <t>Bangkau, Paharangan, Pantai Ulin, Muning Dalam, Bago Tanggul, Bajayau Lama</t>
        </r>
      </text>
    </comment>
    <comment ref="J1555" authorId="0" shapeId="0" xr:uid="{DA597165-D740-41FB-A665-6C4786A43796}">
      <text>
        <r>
          <rPr>
            <b/>
            <sz val="12"/>
            <color indexed="81"/>
            <rFont val="Tahoma"/>
            <family val="2"/>
          </rPr>
          <t>Bangkau, Paharangan, Pantai Ulin, Muning Dalam, Bago Tanggul, Bajayau Lama</t>
        </r>
      </text>
    </comment>
    <comment ref="L1555" authorId="0" shapeId="0" xr:uid="{2BFDEB73-7A82-46D4-BB79-E346E452D4C0}">
      <text>
        <r>
          <rPr>
            <b/>
            <sz val="12"/>
            <color indexed="81"/>
            <rFont val="Tahoma"/>
            <family val="2"/>
          </rPr>
          <t>Bangkau</t>
        </r>
      </text>
    </comment>
    <comment ref="N1555" authorId="0" shapeId="0" xr:uid="{854ADB28-0935-4F89-9133-806BB3778554}">
      <text>
        <r>
          <rPr>
            <b/>
            <sz val="12"/>
            <color indexed="81"/>
            <rFont val="Tahoma"/>
            <family val="2"/>
          </rPr>
          <t>Bago Tanggul, Bajayau Lama</t>
        </r>
      </text>
    </comment>
    <comment ref="P1555" authorId="0" shapeId="0" xr:uid="{6336D72F-9DBE-468A-8338-75B4B3C3B862}">
      <text>
        <r>
          <rPr>
            <b/>
            <sz val="12"/>
            <color indexed="81"/>
            <rFont val="Tahoma"/>
            <family val="2"/>
          </rPr>
          <t>Bago Tanggul, Bajayau Lama</t>
        </r>
      </text>
    </comment>
    <comment ref="E1588" authorId="10" shapeId="0" xr:uid="{A1FCA204-CF54-4FED-A079-1BD71B6ABA05}">
      <text>
        <r>
          <rPr>
            <b/>
            <sz val="9"/>
            <color indexed="81"/>
            <rFont val="Tahoma"/>
            <family val="2"/>
          </rPr>
          <t>WIN11:</t>
        </r>
        <r>
          <rPr>
            <sz val="9"/>
            <color indexed="81"/>
            <rFont val="Tahoma"/>
            <family val="2"/>
          </rPr>
          <t xml:space="preserve">
Pondok Pertemuan + RMU
</t>
        </r>
      </text>
    </comment>
    <comment ref="H1588" authorId="10" shapeId="0" xr:uid="{A2C55CFB-A809-4BBB-81D8-6533A58B7314}">
      <text>
        <r>
          <rPr>
            <b/>
            <sz val="9"/>
            <color indexed="81"/>
            <rFont val="Tahoma"/>
            <family val="2"/>
          </rPr>
          <t>WIN11:</t>
        </r>
        <r>
          <rPr>
            <sz val="9"/>
            <color indexed="81"/>
            <rFont val="Tahoma"/>
            <family val="2"/>
          </rPr>
          <t xml:space="preserve">
Pondok Pertemuan + RMU
</t>
        </r>
      </text>
    </comment>
    <comment ref="J1588" authorId="10" shapeId="0" xr:uid="{85C729EE-5A9B-49F4-88F4-7B2CFAA6AFBD}">
      <text>
        <r>
          <rPr>
            <b/>
            <sz val="9"/>
            <color indexed="81"/>
            <rFont val="Tahoma"/>
            <family val="2"/>
          </rPr>
          <t>WIN11:</t>
        </r>
        <r>
          <rPr>
            <sz val="9"/>
            <color indexed="81"/>
            <rFont val="Tahoma"/>
            <family val="2"/>
          </rPr>
          <t xml:space="preserve">
Pondok Pertemuan + RMU
</t>
        </r>
      </text>
    </comment>
    <comment ref="L1588" authorId="10" shapeId="0" xr:uid="{086BFF8D-7EA4-4DA9-96E6-5E50C871F49C}">
      <text>
        <r>
          <rPr>
            <b/>
            <sz val="9"/>
            <color indexed="81"/>
            <rFont val="Tahoma"/>
            <family val="2"/>
          </rPr>
          <t>WIN11:</t>
        </r>
        <r>
          <rPr>
            <sz val="9"/>
            <color indexed="81"/>
            <rFont val="Tahoma"/>
            <family val="2"/>
          </rPr>
          <t xml:space="preserve">
Pondok Pertemuan + RMU
</t>
        </r>
      </text>
    </comment>
    <comment ref="N1588" authorId="10" shapeId="0" xr:uid="{D5AE8FB7-40D4-4B3B-98E3-632022A50437}">
      <text>
        <r>
          <rPr>
            <b/>
            <sz val="9"/>
            <color indexed="81"/>
            <rFont val="Tahoma"/>
            <family val="2"/>
          </rPr>
          <t>WIN11:</t>
        </r>
        <r>
          <rPr>
            <sz val="9"/>
            <color indexed="81"/>
            <rFont val="Tahoma"/>
            <family val="2"/>
          </rPr>
          <t xml:space="preserve">
Pondok Pertemuan + RMU
</t>
        </r>
      </text>
    </comment>
    <comment ref="K1599" authorId="0" shapeId="0" xr:uid="{18CAEB1A-B68C-461D-8E31-30A81F014C7F}">
      <text>
        <r>
          <rPr>
            <b/>
            <sz val="9"/>
            <color indexed="81"/>
            <rFont val="Tahoma"/>
            <family val="2"/>
          </rPr>
          <t>USER:</t>
        </r>
        <r>
          <rPr>
            <sz val="9"/>
            <color indexed="81"/>
            <rFont val="Tahoma"/>
            <family val="2"/>
          </rPr>
          <t xml:space="preserve">
Menyesuaikan DPA</t>
        </r>
      </text>
    </comment>
    <comment ref="J1666" authorId="0" shapeId="0" xr:uid="{A47FC277-C647-4236-9915-42239A40E2FD}">
      <text>
        <r>
          <rPr>
            <b/>
            <sz val="12"/>
            <color indexed="81"/>
            <rFont val="Tahoma"/>
            <family val="2"/>
          </rPr>
          <t>Jumlah nilai ekspor tahun n-n-1/jumlah nilai ekspor tahun n-1X100</t>
        </r>
      </text>
    </comment>
    <comment ref="J1667" authorId="0" shapeId="0" xr:uid="{D63C9083-849E-4DAF-9475-45FE2B5F59B6}">
      <text>
        <r>
          <rPr>
            <b/>
            <sz val="12"/>
            <color indexed="81"/>
            <rFont val="Tahoma"/>
            <family val="2"/>
          </rPr>
          <t>Jumlah objek pengawasan yang dilakukan pengawasan/Jumlah seluruh objek pengawasanX100</t>
        </r>
      </text>
    </comment>
    <comment ref="J1690" authorId="0" shapeId="0" xr:uid="{0B8119F1-296D-4924-8DCC-D5963B982E18}">
      <text>
        <r>
          <rPr>
            <b/>
            <sz val="12"/>
            <color indexed="81"/>
            <rFont val="Tahoma"/>
            <family val="2"/>
          </rPr>
          <t>Jumlah nilai ekspor tahun n-n-1/jumlah nilai ekspor tahun n-1X100</t>
        </r>
      </text>
    </comment>
    <comment ref="H1694" authorId="8" shapeId="0" xr:uid="{A487ECF1-4D4C-4720-AE01-443488D4017B}">
      <text>
        <r>
          <rPr>
            <b/>
            <sz val="9"/>
            <color indexed="81"/>
            <rFont val="Tahoma"/>
            <family val="2"/>
          </rPr>
          <t>Windows User:</t>
        </r>
        <r>
          <rPr>
            <sz val="9"/>
            <color indexed="81"/>
            <rFont val="Tahoma"/>
            <family val="2"/>
          </rPr>
          <t xml:space="preserve">
1. Renja Murni
2. Renja Perubahan
3. RKA Murni
4. RKA Perubahan
5. IKU
6. Cascading
7. PK Murni
8. PK Perubahan
9. Rencana Aksi
10. Penyesuaian Renstra</t>
        </r>
      </text>
    </comment>
    <comment ref="J1694" authorId="8" shapeId="0" xr:uid="{8C1B80FA-1279-4AA9-8D97-051EE89C101B}">
      <text>
        <r>
          <rPr>
            <b/>
            <sz val="9"/>
            <color indexed="81"/>
            <rFont val="Tahoma"/>
            <family val="2"/>
          </rPr>
          <t>Windows User:</t>
        </r>
        <r>
          <rPr>
            <sz val="9"/>
            <color indexed="81"/>
            <rFont val="Tahoma"/>
            <family val="2"/>
          </rPr>
          <t xml:space="preserve">
1. Renja Murni
2. Renja Perubahan
3. RKA Murni
4. RKA Perubahan
5. IKU
6. Cascading
7. PK Murni
8. PK Perubahan
9. Rencana Aksi
10. Penyesuaian Renstra</t>
        </r>
      </text>
    </comment>
    <comment ref="H1695" authorId="8" shapeId="0" xr:uid="{E12302ED-29B8-4BF5-B551-CEADFD8C82D2}">
      <text>
        <r>
          <rPr>
            <b/>
            <sz val="9"/>
            <color indexed="81"/>
            <rFont val="Tahoma"/>
            <family val="2"/>
          </rPr>
          <t>Windows User:</t>
        </r>
        <r>
          <rPr>
            <sz val="9"/>
            <color indexed="81"/>
            <rFont val="Tahoma"/>
            <family val="2"/>
          </rPr>
          <t xml:space="preserve">
1. Laporan Kinerja Tw I
2. Lpaoran Kinerja Tw II
3. Laporan Kinerja Tw III
4. Laporan Kinerja Tw IV
5. Laporan Kinerja Tahunan</t>
        </r>
      </text>
    </comment>
    <comment ref="J1695" authorId="8" shapeId="0" xr:uid="{4189386C-3745-47C9-AE81-BC5AD477176A}">
      <text>
        <r>
          <rPr>
            <b/>
            <sz val="9"/>
            <color indexed="81"/>
            <rFont val="Tahoma"/>
            <family val="2"/>
          </rPr>
          <t>Windows User:</t>
        </r>
        <r>
          <rPr>
            <sz val="9"/>
            <color indexed="81"/>
            <rFont val="Tahoma"/>
            <family val="2"/>
          </rPr>
          <t xml:space="preserve">
1. Laporan Kinerja Tw I
2. Lpaoran Kinerja Tw II
3. Laporan Kinerja Tw III
4. Laporan Kinerja Tw IV
5. Laporan Kinerja Tahunan</t>
        </r>
      </text>
    </comment>
    <comment ref="H1696" authorId="8" shapeId="0" xr:uid="{05F6622B-3C9C-4272-812F-5D81669008D2}">
      <text>
        <r>
          <rPr>
            <b/>
            <sz val="9"/>
            <color indexed="81"/>
            <rFont val="Tahoma"/>
            <family val="2"/>
          </rPr>
          <t>Windows User:</t>
        </r>
        <r>
          <rPr>
            <sz val="9"/>
            <color indexed="81"/>
            <rFont val="Tahoma"/>
            <family val="2"/>
          </rPr>
          <t xml:space="preserve">
1. Renja Murni
2. Renja Perubahan
3. RKA Murni
4. RKA Perubahan
5. IKU
6. Cascading
7. PK Murni
8. PK Perubahan
9. Rencana Aksi
10. Penyesuaian Renstra</t>
        </r>
      </text>
    </comment>
    <comment ref="J1696" authorId="8" shapeId="0" xr:uid="{9E9FAC7D-6EDA-49A8-9B80-24A778DD0CE2}">
      <text>
        <r>
          <rPr>
            <b/>
            <sz val="9"/>
            <color indexed="81"/>
            <rFont val="Tahoma"/>
            <family val="2"/>
          </rPr>
          <t>Windows User:</t>
        </r>
        <r>
          <rPr>
            <sz val="9"/>
            <color indexed="81"/>
            <rFont val="Tahoma"/>
            <family val="2"/>
          </rPr>
          <t xml:space="preserve">
1. Renja Murni
2. Renja Perubahan
3. RKA Murni
4. RKA Perubahan
5. IKU
6. Cascading
7. PK Murni
8. PK Perubahan
9. Rencana Aksi
10. Penyesuaian Renstra</t>
        </r>
      </text>
    </comment>
    <comment ref="H1697" authorId="8" shapeId="0" xr:uid="{80E6B481-5118-46A6-A095-F8EB79CB88C6}">
      <text>
        <r>
          <rPr>
            <b/>
            <sz val="9"/>
            <color indexed="81"/>
            <rFont val="Tahoma"/>
            <family val="2"/>
          </rPr>
          <t>Windows User:</t>
        </r>
        <r>
          <rPr>
            <sz val="9"/>
            <color indexed="81"/>
            <rFont val="Tahoma"/>
            <family val="2"/>
          </rPr>
          <t xml:space="preserve">
1. Laporan Kinerja Tw I
2. Lpaoran Kinerja Tw II
3. Laporan Kinerja Tw III
4. Laporan Kinerja Tw IV
5. Laporan Kinerja Tahunan</t>
        </r>
      </text>
    </comment>
    <comment ref="J1697" authorId="8" shapeId="0" xr:uid="{A8307DE2-CC11-465B-BF77-C16EC924DD44}">
      <text>
        <r>
          <rPr>
            <b/>
            <sz val="9"/>
            <color indexed="81"/>
            <rFont val="Tahoma"/>
            <family val="2"/>
          </rPr>
          <t>Windows User:</t>
        </r>
        <r>
          <rPr>
            <sz val="9"/>
            <color indexed="81"/>
            <rFont val="Tahoma"/>
            <family val="2"/>
          </rPr>
          <t xml:space="preserve">
1. Laporan Kinerja Tw I
2. Lpaoran Kinerja Tw II
3. Laporan Kinerja Tw III
4. Laporan Kinerja Tw IV
5. Laporan Kinerja Tahunan</t>
        </r>
      </text>
    </comment>
    <comment ref="E1800" authorId="5" shapeId="0" xr:uid="{79B7A1AF-6B72-4829-BE59-5796C797F93A}">
      <text>
        <r>
          <rPr>
            <sz val="12"/>
            <rFont val="Tahoma"/>
            <family val="2"/>
          </rPr>
          <t>Nilai rata-rata unsur tertimbang x nilai penimbang</t>
        </r>
      </text>
    </comment>
    <comment ref="H1800" authorId="5" shapeId="0" xr:uid="{A4876691-D485-4DA0-9FF2-9093B3592867}">
      <text>
        <r>
          <rPr>
            <sz val="12"/>
            <rFont val="Tahoma"/>
            <family val="2"/>
          </rPr>
          <t>Nilai rata-rata unsur tertimbang x nilai penimbang</t>
        </r>
      </text>
    </comment>
    <comment ref="J1800" authorId="5" shapeId="0" xr:uid="{8881BCFE-39F5-42F2-BC50-DB1C07F64E22}">
      <text>
        <r>
          <rPr>
            <sz val="12"/>
            <rFont val="Tahoma"/>
            <family val="2"/>
          </rPr>
          <t>Nilai rata-rata unsur tertimbang x nilai penimbang</t>
        </r>
      </text>
    </comment>
    <comment ref="J1905" authorId="11" shapeId="0" xr:uid="{B72F0CC4-B478-4D12-B169-BD44C3115069}">
      <text>
        <r>
          <rPr>
            <b/>
            <sz val="9"/>
            <color indexed="81"/>
            <rFont val="Tahoma"/>
            <family val="2"/>
          </rPr>
          <t>Ella:</t>
        </r>
        <r>
          <rPr>
            <sz val="9"/>
            <color indexed="81"/>
            <rFont val="Tahoma"/>
            <family val="2"/>
          </rPr>
          <t xml:space="preserve">
1. RENJA MURNI
2. RENJA PERUBAHAN
3. PK MURNI
4. PK PERUBAHAN
5. RENSTRA PENYESUAIAN
6. IKU
8. CASCADING TH BERJALAN
9. RENCANA AKSI
10. RKA TH +1</t>
        </r>
      </text>
    </comment>
    <comment ref="L1905" authorId="11" shapeId="0" xr:uid="{054E74C8-294A-4615-91F8-8F27560C473B}">
      <text>
        <r>
          <rPr>
            <b/>
            <sz val="9"/>
            <color indexed="81"/>
            <rFont val="Tahoma"/>
            <family val="2"/>
          </rPr>
          <t>Ella:</t>
        </r>
        <r>
          <rPr>
            <sz val="9"/>
            <color indexed="81"/>
            <rFont val="Tahoma"/>
            <family val="2"/>
          </rPr>
          <t xml:space="preserve">
1. RENJA 2023
2. PK 2022
3. IKU 2022
4. CASCADING 2022
5. RENCANA AKSI 2022
6. Renstra</t>
        </r>
      </text>
    </comment>
    <comment ref="P1905" authorId="11" shapeId="0" xr:uid="{1CAFC385-0FD7-4C6E-B7FC-794096A54DAA}">
      <text>
        <r>
          <rPr>
            <b/>
            <sz val="9"/>
            <color indexed="81"/>
            <rFont val="Tahoma"/>
            <family val="2"/>
          </rPr>
          <t>Ella:</t>
        </r>
        <r>
          <rPr>
            <sz val="9"/>
            <color indexed="81"/>
            <rFont val="Tahoma"/>
            <family val="2"/>
          </rPr>
          <t xml:space="preserve">
RENJA PERUBAHAN</t>
        </r>
      </text>
    </comment>
    <comment ref="R1905" authorId="4" shapeId="0" xr:uid="{E6A3E57A-3430-4A40-936C-8A9DE6E6C6F6}">
      <text>
        <r>
          <rPr>
            <b/>
            <sz val="9"/>
            <color indexed="81"/>
            <rFont val="Tahoma"/>
            <family val="2"/>
          </rPr>
          <t>ACER:</t>
        </r>
        <r>
          <rPr>
            <sz val="9"/>
            <color indexed="81"/>
            <rFont val="Tahoma"/>
            <family val="2"/>
          </rPr>
          <t xml:space="preserve">
1. PK Perubahan
2. RKA 2023
3. RKA perubahan 2022
</t>
        </r>
      </text>
    </comment>
    <comment ref="J1906" authorId="11" shapeId="0" xr:uid="{70F5B7DC-754C-4F7B-9AAD-3BD318F00130}">
      <text>
        <r>
          <rPr>
            <b/>
            <sz val="9"/>
            <color indexed="81"/>
            <rFont val="Tahoma"/>
            <family val="2"/>
          </rPr>
          <t>Ella:</t>
        </r>
        <r>
          <rPr>
            <sz val="9"/>
            <color indexed="81"/>
            <rFont val="Tahoma"/>
            <family val="2"/>
          </rPr>
          <t xml:space="preserve">
LAPORAN tw1,2,3,4 TAHUNAN</t>
        </r>
      </text>
    </comment>
    <comment ref="L1906" authorId="11" shapeId="0" xr:uid="{CEF4CCAB-7077-4C52-9E55-2B01A85E397A}">
      <text>
        <r>
          <rPr>
            <b/>
            <sz val="9"/>
            <color indexed="81"/>
            <rFont val="Tahoma"/>
            <family val="2"/>
          </rPr>
          <t>Ella:</t>
        </r>
        <r>
          <rPr>
            <sz val="9"/>
            <color indexed="81"/>
            <rFont val="Tahoma"/>
            <family val="2"/>
          </rPr>
          <t xml:space="preserve">
LAPORAN TW 1 2022 DAN TAHUNAN 2021</t>
        </r>
      </text>
    </comment>
    <comment ref="N1906" authorId="11" shapeId="0" xr:uid="{9BAD8525-C5BC-4961-B376-07E78EE2CB49}">
      <text>
        <r>
          <rPr>
            <b/>
            <sz val="9"/>
            <color indexed="81"/>
            <rFont val="Tahoma"/>
            <family val="2"/>
          </rPr>
          <t>Ella:</t>
        </r>
        <r>
          <rPr>
            <sz val="9"/>
            <color indexed="81"/>
            <rFont val="Tahoma"/>
            <family val="2"/>
          </rPr>
          <t xml:space="preserve">
LAP TW 2</t>
        </r>
      </text>
    </comment>
    <comment ref="P1906" authorId="11" shapeId="0" xr:uid="{1A46818F-DA5B-4BD3-A4D2-55D5E48B3739}">
      <text>
        <r>
          <rPr>
            <b/>
            <sz val="9"/>
            <color indexed="81"/>
            <rFont val="Tahoma"/>
            <family val="2"/>
          </rPr>
          <t>Ella:</t>
        </r>
        <r>
          <rPr>
            <sz val="9"/>
            <color indexed="81"/>
            <rFont val="Tahoma"/>
            <family val="2"/>
          </rPr>
          <t xml:space="preserve">
LAP TW 3</t>
        </r>
      </text>
    </comment>
    <comment ref="R1906" authorId="12" shapeId="0" xr:uid="{2C1A37D8-DF55-4D51-94C7-752074ACD1B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Lapkin tw 4</t>
        </r>
      </text>
    </comment>
    <comment ref="J1927" authorId="11" shapeId="0" xr:uid="{BA0A14DC-CB81-4A08-8EF1-2BD5D8CB9930}">
      <text>
        <r>
          <rPr>
            <b/>
            <sz val="9"/>
            <color indexed="81"/>
            <rFont val="Tahoma"/>
            <family val="2"/>
          </rPr>
          <t>Ella:</t>
        </r>
        <r>
          <rPr>
            <sz val="9"/>
            <color indexed="81"/>
            <rFont val="Tahoma"/>
            <family val="2"/>
          </rPr>
          <t xml:space="preserve">
1. RODA 2 : 42 UNIT
2. RODA 4 : 6 UNIT</t>
        </r>
      </text>
    </comment>
    <comment ref="L1927" authorId="11" shapeId="0" xr:uid="{8455F94E-7EE1-426E-AE36-72F1847D6894}">
      <text>
        <r>
          <rPr>
            <b/>
            <sz val="9"/>
            <color indexed="81"/>
            <rFont val="Tahoma"/>
            <family val="2"/>
          </rPr>
          <t>Ella:</t>
        </r>
        <r>
          <rPr>
            <sz val="9"/>
            <color indexed="81"/>
            <rFont val="Tahoma"/>
            <family val="2"/>
          </rPr>
          <t xml:space="preserve">
1. RODA 2 : 4 UNIT
2. RODA 4 : 1 UNIT</t>
        </r>
      </text>
    </comment>
    <comment ref="N1927" authorId="11" shapeId="0" xr:uid="{699FF05A-D40D-4121-88AC-96CA76E434F2}">
      <text>
        <r>
          <rPr>
            <b/>
            <sz val="9"/>
            <color indexed="81"/>
            <rFont val="Tahoma"/>
            <family val="2"/>
          </rPr>
          <t>Ella:</t>
        </r>
        <r>
          <rPr>
            <sz val="9"/>
            <color indexed="81"/>
            <rFont val="Tahoma"/>
            <family val="2"/>
          </rPr>
          <t xml:space="preserve">
1. RODA 2 : 4 UNIT
2. RODA 4 : 1 UNIT</t>
        </r>
      </text>
    </comment>
    <comment ref="P1927" authorId="11" shapeId="0" xr:uid="{BEBE3866-F5A7-433C-8EF3-DD7749563E85}">
      <text>
        <r>
          <rPr>
            <b/>
            <sz val="9"/>
            <color indexed="81"/>
            <rFont val="Tahoma"/>
            <family val="2"/>
          </rPr>
          <t>Ella:</t>
        </r>
        <r>
          <rPr>
            <sz val="9"/>
            <color indexed="81"/>
            <rFont val="Tahoma"/>
            <family val="2"/>
          </rPr>
          <t xml:space="preserve">
1. RODA 2 : 3 UNIT
2. RODA 4 : 2 UNIT</t>
        </r>
      </text>
    </comment>
    <comment ref="J1928" authorId="11" shapeId="0" xr:uid="{C223A109-3339-4BB1-8FAC-1AE4818183CD}">
      <text>
        <r>
          <rPr>
            <b/>
            <sz val="9"/>
            <color indexed="81"/>
            <rFont val="Tahoma"/>
            <family val="2"/>
          </rPr>
          <t>Ella:</t>
        </r>
        <r>
          <rPr>
            <sz val="9"/>
            <color indexed="81"/>
            <rFont val="Tahoma"/>
            <family val="2"/>
          </rPr>
          <t xml:space="preserve">
1. AULA
2. KANTOR
3. GEDUNG ANGGARAN
4. GEDUNG AK DAN ASET</t>
        </r>
      </text>
    </comment>
    <comment ref="L1928" authorId="11" shapeId="0" xr:uid="{25F26253-FB4F-4F1E-A3F0-B563019FCFBF}">
      <text>
        <r>
          <rPr>
            <b/>
            <sz val="9"/>
            <color indexed="81"/>
            <rFont val="Tahoma"/>
            <family val="2"/>
          </rPr>
          <t>Ella:</t>
        </r>
        <r>
          <rPr>
            <sz val="9"/>
            <color indexed="81"/>
            <rFont val="Tahoma"/>
            <family val="2"/>
          </rPr>
          <t xml:space="preserve">
1. AULA
2. KANTOR
3. GEDUNG ANGGARAN
4. GEDUNG AK DAN ASET</t>
        </r>
      </text>
    </comment>
    <comment ref="N1928" authorId="11" shapeId="0" xr:uid="{28E84BC7-80D3-470C-9954-495227310065}">
      <text>
        <r>
          <rPr>
            <b/>
            <sz val="9"/>
            <color indexed="81"/>
            <rFont val="Tahoma"/>
            <family val="2"/>
          </rPr>
          <t>Ella:</t>
        </r>
        <r>
          <rPr>
            <sz val="9"/>
            <color indexed="81"/>
            <rFont val="Tahoma"/>
            <family val="2"/>
          </rPr>
          <t xml:space="preserve">
1. AULA
2. KANTOR
3. GEDUNG ANGGARAN
4. GEDUNG AK DAN ASET</t>
        </r>
      </text>
    </comment>
    <comment ref="P1928" authorId="11" shapeId="0" xr:uid="{9F110499-2285-4B05-BB16-D873DDE74045}">
      <text>
        <r>
          <rPr>
            <b/>
            <sz val="9"/>
            <color indexed="81"/>
            <rFont val="Tahoma"/>
            <family val="2"/>
          </rPr>
          <t>Ella:</t>
        </r>
        <r>
          <rPr>
            <sz val="9"/>
            <color indexed="81"/>
            <rFont val="Tahoma"/>
            <family val="2"/>
          </rPr>
          <t xml:space="preserve">
1. AULA
2. KANTOR
3. GEDUNG ANGGARAN
4. GEDUNG AK DAN ASET</t>
        </r>
      </text>
    </comment>
    <comment ref="D1931" authorId="11" shapeId="0" xr:uid="{0E9A5E15-5EA7-42AD-AE65-D520E1D1E4AD}">
      <text>
        <r>
          <rPr>
            <sz val="16"/>
            <color indexed="81"/>
            <rFont val="Tahoma"/>
            <family val="2"/>
          </rPr>
          <t xml:space="preserve">Jumlah Dokumen RAPBD yang tepat waktu dibagi jumlah dokumen RAPBD yang seharusnya kali 100
dokumen : 
1. KUA PPAS MURNI
2. KUA PPAS PERUBAHAN
3. RKA MURNI 
4. RKA PERUBAHAN
5. APBD
6. APBD PERUBAHAN
</t>
        </r>
      </text>
    </comment>
    <comment ref="P1931" authorId="11" shapeId="0" xr:uid="{09D07B8A-CC3C-4D60-8D1F-9716C8D06C03}">
      <text>
        <r>
          <rPr>
            <b/>
            <sz val="9"/>
            <color indexed="81"/>
            <rFont val="Tahoma"/>
            <family val="2"/>
          </rPr>
          <t>Ella:</t>
        </r>
        <r>
          <rPr>
            <sz val="9"/>
            <color indexed="81"/>
            <rFont val="Tahoma"/>
            <family val="2"/>
          </rPr>
          <t xml:space="preserve">
KUA PPAS MURNI
2. KUA PPAS PERUBAHAN
3. RKA MURNI 
4. RKA PERUBAHAN
5. APBD PERUBAHAN
</t>
        </r>
      </text>
    </comment>
    <comment ref="R1931" authorId="11" shapeId="0" xr:uid="{1407947C-FF3F-4C88-8ABF-004BDBFD8AAF}">
      <text>
        <r>
          <rPr>
            <b/>
            <sz val="9"/>
            <color indexed="81"/>
            <rFont val="Tahoma"/>
            <family val="2"/>
          </rPr>
          <t>Ella:</t>
        </r>
        <r>
          <rPr>
            <sz val="9"/>
            <color indexed="81"/>
            <rFont val="Tahoma"/>
            <family val="2"/>
          </rPr>
          <t xml:space="preserve">
KUA PPAS MURNI
2. KUA PPAS PERUBAHAN
3. RKA MURNI 
4. RKA PERUBAHAN
5. APBD PERUBAHAN
</t>
        </r>
      </text>
    </comment>
    <comment ref="D1932" authorId="11" shapeId="0" xr:uid="{D689CA32-6C15-44FA-866A-D72F0CF646EC}">
      <text>
        <r>
          <rPr>
            <b/>
            <sz val="14"/>
            <color indexed="81"/>
            <rFont val="Tahoma"/>
            <family val="2"/>
          </rPr>
          <t>Jumlah SP2D yang terbit dan dinyatakan tepat waktu di bagi jumlah SP2D yang diterbitkan x 100% (penerbitan SP2D paling lama 2 hari sejak SPM diterima)</t>
        </r>
        <r>
          <rPr>
            <sz val="9"/>
            <color indexed="81"/>
            <rFont val="Tahoma"/>
            <family val="2"/>
          </rPr>
          <t xml:space="preserve">
</t>
        </r>
      </text>
    </comment>
    <comment ref="D1933" authorId="11" shapeId="0" xr:uid="{246B8E35-5048-4636-9714-3ACAA50E3EB1}">
      <text>
        <r>
          <rPr>
            <b/>
            <sz val="12"/>
            <color indexed="81"/>
            <rFont val="Tahoma"/>
            <family val="2"/>
          </rPr>
          <t xml:space="preserve">Jumlah dokumen laporan keuangan yang tepat waktu dibagi jumlah dokumen laporan keuangan  yang seharusnya kali 100
DOKUMEN :
1. LKPD
2. Raperda pertanggungjawaban
3. raperbup pertanggungjawaban
4. Laporan Prognosis
</t>
        </r>
        <r>
          <rPr>
            <sz val="9"/>
            <color indexed="81"/>
            <rFont val="Tahoma"/>
            <family val="2"/>
          </rPr>
          <t xml:space="preserve">
</t>
        </r>
      </text>
    </comment>
    <comment ref="D1952" authorId="11" shapeId="0" xr:uid="{27CA0B55-1810-4910-8F09-E38A21932FB8}">
      <text>
        <r>
          <rPr>
            <b/>
            <sz val="9"/>
            <color indexed="81"/>
            <rFont val="Tahoma"/>
            <family val="2"/>
          </rPr>
          <t>51</t>
        </r>
        <r>
          <rPr>
            <sz val="9"/>
            <color indexed="81"/>
            <rFont val="Tahoma"/>
            <family val="2"/>
          </rPr>
          <t xml:space="preserve">
</t>
        </r>
      </text>
    </comment>
    <comment ref="D1953" authorId="11" shapeId="0" xr:uid="{7BF2225A-9249-41D2-BC4B-0324B9798DE3}">
      <text>
        <r>
          <rPr>
            <sz val="9"/>
            <color indexed="81"/>
            <rFont val="Tahoma"/>
            <family val="2"/>
          </rPr>
          <t>2 DOK</t>
        </r>
      </text>
    </comment>
    <comment ref="D1954" authorId="11" shapeId="0" xr:uid="{BF4084DF-E3FD-465D-9D96-9B6E2A031043}">
      <text>
        <r>
          <rPr>
            <sz val="9"/>
            <color indexed="81"/>
            <rFont val="Tahoma"/>
            <family val="2"/>
          </rPr>
          <t xml:space="preserve">TARGET 297
</t>
        </r>
      </text>
    </comment>
    <comment ref="P1955" authorId="11" shapeId="0" xr:uid="{25DBDB57-761E-469C-BA1F-EB9EA1B36B9A}">
      <text>
        <r>
          <rPr>
            <b/>
            <sz val="9"/>
            <color indexed="81"/>
            <rFont val="Tahoma"/>
            <family val="2"/>
          </rPr>
          <t>Ella:</t>
        </r>
        <r>
          <rPr>
            <sz val="9"/>
            <color indexed="81"/>
            <rFont val="Tahoma"/>
            <family val="2"/>
          </rPr>
          <t xml:space="preserve">
1. Tw4
2.tw 1
3. tw 2
4. bos semester 1
</t>
        </r>
      </text>
    </comment>
    <comment ref="J1956" authorId="11" shapeId="0" xr:uid="{F9589D6A-9BB7-43A5-B568-A621B4C1F9D8}">
      <text>
        <r>
          <rPr>
            <b/>
            <sz val="9"/>
            <color indexed="81"/>
            <rFont val="Tahoma"/>
            <family val="2"/>
          </rPr>
          <t>Ella:</t>
        </r>
        <r>
          <rPr>
            <sz val="9"/>
            <color indexed="81"/>
            <rFont val="Tahoma"/>
            <family val="2"/>
          </rPr>
          <t xml:space="preserve">
BULANAN 12
SEMESTERAN 2
TRIWULAN 4</t>
        </r>
      </text>
    </comment>
    <comment ref="L1956" authorId="11" shapeId="0" xr:uid="{636A7AB9-3533-4E66-869D-B2FD663725FC}">
      <text>
        <r>
          <rPr>
            <b/>
            <sz val="9"/>
            <color indexed="81"/>
            <rFont val="Tahoma"/>
            <family val="2"/>
          </rPr>
          <t>Ella:</t>
        </r>
        <r>
          <rPr>
            <sz val="9"/>
            <color indexed="81"/>
            <rFont val="Tahoma"/>
            <family val="2"/>
          </rPr>
          <t xml:space="preserve">
BULANAN 3
TRIWULAN 1
prognosis 1 semester 2 2021</t>
        </r>
      </text>
    </comment>
    <comment ref="N1956" authorId="11" shapeId="0" xr:uid="{03ADE131-9A47-407B-A5E6-BEF4FADCD1B8}">
      <text>
        <r>
          <rPr>
            <b/>
            <sz val="9"/>
            <color indexed="81"/>
            <rFont val="Tahoma"/>
            <family val="2"/>
          </rPr>
          <t>Ella:</t>
        </r>
        <r>
          <rPr>
            <sz val="9"/>
            <color indexed="81"/>
            <rFont val="Tahoma"/>
            <family val="2"/>
          </rPr>
          <t xml:space="preserve">
bulanan 3
triwulan 1
</t>
        </r>
      </text>
    </comment>
    <comment ref="P1956" authorId="11" shapeId="0" xr:uid="{A013CE39-4FCE-4A25-9481-000F51A232EB}">
      <text>
        <r>
          <rPr>
            <b/>
            <sz val="9"/>
            <color indexed="81"/>
            <rFont val="Tahoma"/>
            <family val="2"/>
          </rPr>
          <t>Ella:</t>
        </r>
        <r>
          <rPr>
            <sz val="9"/>
            <color indexed="81"/>
            <rFont val="Tahoma"/>
            <family val="2"/>
          </rPr>
          <t xml:space="preserve">
lap bulanan 3
triwulan 1
prognosis 2022 1</t>
        </r>
      </text>
    </comment>
    <comment ref="J1970" authorId="11" shapeId="0" xr:uid="{22446AC4-9EF5-44EF-8170-F29C4F8E3750}">
      <text>
        <r>
          <rPr>
            <b/>
            <sz val="9"/>
            <color indexed="81"/>
            <rFont val="Tahoma"/>
            <family val="2"/>
          </rPr>
          <t>Ella:</t>
        </r>
        <r>
          <rPr>
            <sz val="9"/>
            <color indexed="81"/>
            <rFont val="Tahoma"/>
            <family val="2"/>
          </rPr>
          <t xml:space="preserve">
RKBMD murni dan Perubahan</t>
        </r>
      </text>
    </comment>
    <comment ref="J1977" authorId="11" shapeId="0" xr:uid="{CA18DBB0-B7D9-42EF-8DA6-A7CF93B969A6}">
      <text>
        <r>
          <rPr>
            <b/>
            <sz val="9"/>
            <color indexed="81"/>
            <rFont val="Tahoma"/>
            <family val="2"/>
          </rPr>
          <t>Ella:</t>
        </r>
        <r>
          <rPr>
            <sz val="9"/>
            <color indexed="81"/>
            <rFont val="Tahoma"/>
            <family val="2"/>
          </rPr>
          <t xml:space="preserve">
9/11 J.Pajak
</t>
        </r>
      </text>
    </comment>
    <comment ref="J1985" authorId="11" shapeId="0" xr:uid="{4E23A468-8B79-4EE8-8C01-E7C63E1D5912}">
      <text>
        <r>
          <rPr>
            <b/>
            <sz val="9"/>
            <color indexed="81"/>
            <rFont val="Tahoma"/>
            <family val="2"/>
          </rPr>
          <t>Ella:</t>
        </r>
        <r>
          <rPr>
            <sz val="9"/>
            <color indexed="81"/>
            <rFont val="Tahoma"/>
            <family val="2"/>
          </rPr>
          <t xml:space="preserve">
murni dan perubahan</t>
        </r>
      </text>
    </comment>
    <comment ref="H1986" authorId="11" shapeId="0" xr:uid="{AF1F8478-917B-4817-AD1C-13A815A785CA}">
      <text>
        <r>
          <rPr>
            <sz val="16"/>
            <color indexed="81"/>
            <rFont val="Tahoma"/>
            <family val="2"/>
          </rPr>
          <t>refocusing</t>
        </r>
        <r>
          <rPr>
            <sz val="9"/>
            <color indexed="81"/>
            <rFont val="Tahoma"/>
            <family val="2"/>
          </rPr>
          <t xml:space="preserve">
</t>
        </r>
      </text>
    </comment>
    <comment ref="J1986" authorId="11" shapeId="0" xr:uid="{582D8D02-4ACC-46F0-90CE-909DA6AC966C}">
      <text>
        <r>
          <rPr>
            <b/>
            <sz val="9"/>
            <color indexed="81"/>
            <rFont val="Tahoma"/>
            <family val="2"/>
          </rPr>
          <t xml:space="preserve">pertriwulan
</t>
        </r>
      </text>
    </comment>
    <comment ref="J2091" authorId="1" shapeId="0" xr:uid="{F238F70F-9C55-45DC-BB6B-1E89675F3B90}">
      <text>
        <r>
          <rPr>
            <b/>
            <sz val="12"/>
            <color indexed="81"/>
            <rFont val="Tahoma"/>
            <family val="2"/>
          </rPr>
          <t>baru+lama</t>
        </r>
      </text>
    </comment>
    <comment ref="J2092" authorId="1" shapeId="0" xr:uid="{876E1DA5-2E95-40A8-9CE9-C5F8B125DB58}">
      <text>
        <r>
          <rPr>
            <b/>
            <sz val="12"/>
            <color indexed="81"/>
            <rFont val="Tahoma"/>
            <family val="2"/>
          </rPr>
          <t>baru+lama</t>
        </r>
      </text>
    </comment>
    <comment ref="J2103" authorId="5" shapeId="0" xr:uid="{9D82553B-CA38-4729-8B19-4FD3196EA2FF}">
      <text>
        <r>
          <rPr>
            <sz val="16"/>
            <color indexed="81"/>
            <rFont val="Tahoma"/>
            <family val="2"/>
          </rPr>
          <t>Target akan dituliskan saat triwulan 4</t>
        </r>
      </text>
    </comment>
    <comment ref="E2143" authorId="0" shapeId="0" xr:uid="{05E81270-FA3C-4F40-AD21-2D9880BEE680}">
      <text>
        <r>
          <rPr>
            <b/>
            <sz val="12"/>
            <color indexed="81"/>
            <rFont val="Tahoma"/>
            <family val="2"/>
          </rPr>
          <t>FKUB, FKDM, FPK, Tim PKS, Tim Kewaspadaan Dini PD, IKMASIL, Timdu P4GN &amp; PN</t>
        </r>
      </text>
    </comment>
    <comment ref="H2143" authorId="0" shapeId="0" xr:uid="{06F8E12B-EC13-4B5B-8796-30C02E70EC8B}">
      <text>
        <r>
          <rPr>
            <b/>
            <sz val="12"/>
            <color indexed="81"/>
            <rFont val="Tahoma"/>
            <family val="2"/>
          </rPr>
          <t>FKUB, FKDM, FPK, Tim PKS, Tim Kewaspadaan Dini PD, IKMASIL, Timdu P4GN &amp; PN</t>
        </r>
      </text>
    </comment>
    <comment ref="J2143" authorId="0" shapeId="0" xr:uid="{07345398-7E48-4A9F-9920-73C169E542FE}">
      <text>
        <r>
          <rPr>
            <b/>
            <sz val="12"/>
            <color indexed="81"/>
            <rFont val="Tahoma"/>
            <family val="2"/>
          </rPr>
          <t>FKUB, FKDM, FPK, Tim PKS, Tim Kewaspadaan Dini PD, IKMASIL, Timdu P4GN &amp; PN</t>
        </r>
      </text>
    </comment>
    <comment ref="R2143" authorId="0" shapeId="0" xr:uid="{70591569-BFCC-4EB4-BD4C-2738425F8634}">
      <text>
        <r>
          <rPr>
            <b/>
            <sz val="12"/>
            <color indexed="81"/>
            <rFont val="Tahoma"/>
            <family val="2"/>
          </rPr>
          <t>FKUB, FKDM, FPK, Tim PKS, Tim Kewaspadaan Dini PD, IKMASIL, Timdu P4GN &amp; PN</t>
        </r>
      </text>
    </comment>
    <comment ref="E2144" authorId="0" shapeId="0" xr:uid="{1C53E672-F886-4541-BE30-7D7D79F489E6}">
      <text>
        <r>
          <rPr>
            <b/>
            <sz val="12"/>
            <color indexed="81"/>
            <rFont val="Tahoma"/>
            <family val="2"/>
          </rPr>
          <t>FKUB, FKDM, FPK, Tim PKS, Tim Kewaspadaan Dini PD, IKMASIL, Timdu P4GN &amp; PN</t>
        </r>
      </text>
    </comment>
    <comment ref="H2144" authorId="0" shapeId="0" xr:uid="{8D7CEDE7-E892-4CB9-BBE9-2302A9FF9C80}">
      <text>
        <r>
          <rPr>
            <b/>
            <sz val="12"/>
            <color indexed="81"/>
            <rFont val="Tahoma"/>
            <family val="2"/>
          </rPr>
          <t>FKUB, FKDM, FPK, Tim PKS, Tim Kewaspadaan Dini PD, IKMASIL, Timdu P4GN &amp; PN</t>
        </r>
      </text>
    </comment>
    <comment ref="E2146" authorId="0" shapeId="0" xr:uid="{57741A9F-EB3D-4E6D-A886-BDADCA6D4C41}">
      <text>
        <r>
          <rPr>
            <b/>
            <sz val="12"/>
            <color indexed="81"/>
            <rFont val="Tahoma"/>
            <family val="2"/>
          </rPr>
          <t>FKUB, FKDM, FPK, Tim PKS, Tim Kewaspadaan Dini PD, IKMASIL</t>
        </r>
      </text>
    </comment>
    <comment ref="H2146" authorId="0" shapeId="0" xr:uid="{1EE2E203-9897-4A6F-BBC6-BD1E6A08C159}">
      <text>
        <r>
          <rPr>
            <b/>
            <sz val="12"/>
            <color indexed="81"/>
            <rFont val="Tahoma"/>
            <family val="2"/>
          </rPr>
          <t>FKUB, FKDM, FPK, Tim PKS, Tim Kewaspadaan Dini PD, IKMASIL</t>
        </r>
      </text>
    </comment>
    <comment ref="J2146" authorId="0" shapeId="0" xr:uid="{02287CC7-FD41-4D97-92F0-4493ECBBE242}">
      <text>
        <r>
          <rPr>
            <b/>
            <sz val="12"/>
            <color indexed="81"/>
            <rFont val="Tahoma"/>
            <family val="2"/>
          </rPr>
          <t>FKUB, FKDM, FPK, Tim PKS, Tim Kewaspadaan Dini PD, IKMASIL</t>
        </r>
      </text>
    </comment>
    <comment ref="R2146" authorId="0" shapeId="0" xr:uid="{5BDD6879-E678-4170-ABF5-A4C83BD63440}">
      <text>
        <r>
          <rPr>
            <b/>
            <sz val="12"/>
            <color indexed="81"/>
            <rFont val="Tahoma"/>
            <family val="2"/>
          </rPr>
          <t>FKUB, FKDM, FPK, Tim PKS, Tim Kewaspadaan Dini PD, IKMASIL</t>
        </r>
      </text>
    </comment>
    <comment ref="E2147" authorId="0" shapeId="0" xr:uid="{57D7ECF2-FD27-4773-A6E3-364A5773B1C8}">
      <text>
        <r>
          <rPr>
            <b/>
            <sz val="12"/>
            <color indexed="81"/>
            <rFont val="Tahoma"/>
            <family val="2"/>
          </rPr>
          <t>FKUB, FKDM, FPK, Tim PKS, Tim Kewaspadaan Dini PD, IKMASIL</t>
        </r>
      </text>
    </comment>
    <comment ref="H2147" authorId="0" shapeId="0" xr:uid="{46938303-14C6-47F7-8F59-C6B4CBC6764C}">
      <text>
        <r>
          <rPr>
            <b/>
            <sz val="12"/>
            <color indexed="81"/>
            <rFont val="Tahoma"/>
            <family val="2"/>
          </rPr>
          <t>FKUB, FKDM, FPK, Tim PKS, Tim Kewaspadaan Dini PD, IKMASIL</t>
        </r>
      </text>
    </comment>
    <comment ref="J2147" authorId="0" shapeId="0" xr:uid="{B8E6C215-1D68-40AC-8B71-D95440D34C31}">
      <text>
        <r>
          <rPr>
            <b/>
            <sz val="12"/>
            <color indexed="81"/>
            <rFont val="Tahoma"/>
            <family val="2"/>
          </rPr>
          <t>FKUB, FKDM, FPK, Tim PKS, Tim Kewaspadaan Dini PD, IKMASIL</t>
        </r>
      </text>
    </comment>
    <comment ref="R2147" authorId="0" shapeId="0" xr:uid="{6EA5A8CB-E05B-4F00-93CC-8635B7D962A3}">
      <text>
        <r>
          <rPr>
            <b/>
            <sz val="12"/>
            <color indexed="81"/>
            <rFont val="Tahoma"/>
            <family val="2"/>
          </rPr>
          <t>FKUB, FKDM, FPK, Tim PKS, Tim Kewaspadaan Dini PD, IKMASIL</t>
        </r>
      </text>
    </comment>
    <comment ref="E2148" authorId="0" shapeId="0" xr:uid="{3C4D10FC-1B47-4FD4-94AF-A35821F34C8E}">
      <text>
        <r>
          <rPr>
            <b/>
            <sz val="12"/>
            <color indexed="81"/>
            <rFont val="Tahoma"/>
            <family val="2"/>
          </rPr>
          <t>FKUB, FKDM, FPK, Tim PKS, Tim Kewaspadaan Dini PD, IKMASIL</t>
        </r>
      </text>
    </comment>
    <comment ref="H2148" authorId="0" shapeId="0" xr:uid="{F4B5B64A-CD16-44A5-9FFC-F5E4E68B4800}">
      <text>
        <r>
          <rPr>
            <b/>
            <sz val="12"/>
            <color indexed="81"/>
            <rFont val="Tahoma"/>
            <family val="2"/>
          </rPr>
          <t>FKUB, FKDM, FPK, Tim PKS, Tim Kewaspadaan Dini PD, IKMASIL</t>
        </r>
      </text>
    </comment>
    <comment ref="J2148" authorId="0" shapeId="0" xr:uid="{6FF8B94A-F117-4E68-B6C9-D765CCF3EC8B}">
      <text>
        <r>
          <rPr>
            <b/>
            <sz val="12"/>
            <color indexed="81"/>
            <rFont val="Tahoma"/>
            <family val="2"/>
          </rPr>
          <t>FKUB, FKDM, FPK, Tim PKS, Tim Kewaspadaan Dini PD, IKMASIL</t>
        </r>
      </text>
    </comment>
    <comment ref="R2148" authorId="0" shapeId="0" xr:uid="{15F5654A-859A-4F0C-8AC9-574D9DBA4386}">
      <text>
        <r>
          <rPr>
            <b/>
            <sz val="12"/>
            <color indexed="81"/>
            <rFont val="Tahoma"/>
            <family val="2"/>
          </rPr>
          <t>FKUB, FKDM, FPK, Tim PKS, Tim Kewaspadaan Dini PD, IKMASIL</t>
        </r>
      </text>
    </comment>
  </commentList>
</comments>
</file>

<file path=xl/sharedStrings.xml><?xml version="1.0" encoding="utf-8"?>
<sst xmlns="http://schemas.openxmlformats.org/spreadsheetml/2006/main" count="12458" uniqueCount="3003">
  <si>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</si>
  <si>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</si>
  <si>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</si>
  <si>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</si>
  <si>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</si>
  <si>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</si>
  <si>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Realisasi Kinerja Pada Triwulan</t>
  </si>
  <si>
    <t>SKPD Penanggung Jawab</t>
  </si>
  <si>
    <t>I</t>
  </si>
  <si>
    <t>II</t>
  </si>
  <si>
    <t>III</t>
  </si>
  <si>
    <t>IV</t>
  </si>
  <si>
    <t>K</t>
  </si>
  <si>
    <t>Rp</t>
  </si>
  <si>
    <t>[kolom (8-11)(K)]</t>
  </si>
  <si>
    <t>[kolom (8-11)(Rp)]</t>
  </si>
  <si>
    <t>[kolom (6)(K) + kolom (12)(K)]</t>
  </si>
  <si>
    <t>[kolom (6)(Rp) + kolom (12)(Rp)]</t>
  </si>
  <si>
    <t>[kolom (13)(K) : kolom (5)(K)] x 100%</t>
  </si>
  <si>
    <t>[Kolom (13)(Rp) : Kolom (5)(Rp)] x 100%</t>
  </si>
  <si>
    <t>tabel 5.2 rpjmd, misi 5, hal 207</t>
  </si>
  <si>
    <t>tabel  6,1 renstra kolom 5</t>
  </si>
  <si>
    <t>tabel  6,1 renstra kolom 6</t>
  </si>
  <si>
    <t>tabel  6,1 renstra kolom 9</t>
  </si>
  <si>
    <t>tabel  6,1 renstra kolom 18</t>
  </si>
  <si>
    <t>tabel  6,1 Renstra kolom 19</t>
  </si>
  <si>
    <t>tabel  6,1 Renstra kolom 10</t>
  </si>
  <si>
    <t>tabel  6,1 renstra kolom 11</t>
  </si>
  <si>
    <t>sistem emonev triwulan II</t>
  </si>
  <si>
    <t>Meningkatnya akuntabilitas Instansi Pemerintah dan Kualitas Pelayanan Publik</t>
  </si>
  <si>
    <t>Meningkatnya Kinerja Keuangan dan Kinerja Birokrasi</t>
  </si>
  <si>
    <t>Rata-rata Capaian Kinerja (%)</t>
  </si>
  <si>
    <t>Predikat Kinerja</t>
  </si>
  <si>
    <t>Faktor pendorong keberhasilan pencapaian:</t>
  </si>
  <si>
    <t>Faktor penghambat pencapaian kinerja:</t>
  </si>
  <si>
    <t>Tindak lanjut yang diperlukan dalam triwulan berikutnya*):</t>
  </si>
  <si>
    <t>Tindak lanjut yang diperlukan dalam Renja Perangkat Daerah Kabupaten berikutnya*):</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</si>
  <si>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</si>
  <si>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</si>
  <si>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</si>
  <si>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</si>
  <si>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</si>
  <si>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</si>
  <si>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</si>
  <si>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</si>
  <si>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</si>
  <si>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</si>
  <si>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</si>
  <si>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</si>
  <si>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</si>
  <si>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</si>
  <si>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</si>
  <si>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</si>
  <si>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</si>
  <si>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</si>
  <si>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Dok</t>
  </si>
  <si>
    <t>Keg</t>
  </si>
  <si>
    <t>Org</t>
  </si>
  <si>
    <t>%</t>
  </si>
  <si>
    <t>Paket</t>
  </si>
  <si>
    <t>Meningkatnya Pemanfaatan Potensi Pariwisata dan Kebudayaan Bagi Masyarakat</t>
  </si>
  <si>
    <t>Pembangunan Perpustakaan Sekolah</t>
  </si>
  <si>
    <t>[kolom (12)(K) : kolom (7)(K)] x 100%</t>
  </si>
  <si>
    <t>[kolom (12)(Rp) : kolom (7)(Rp)] x 100%</t>
  </si>
  <si>
    <t>Realisasi dan Tingkat Capaian Kinerja dan Anggaran Renja Perangkat Daerah yang Dievaluasi</t>
  </si>
  <si>
    <t>Disusun</t>
  </si>
  <si>
    <t>Kabupaten Hulu Sungai Selatan</t>
  </si>
  <si>
    <t>Dinas Pendidikan dan Kebudayaan</t>
  </si>
  <si>
    <t>Program Penunjang Urusan Pemerintahan Daerah Kabupaten/Kota</t>
  </si>
  <si>
    <t>Penyusunan Dokumen Perencanaan Perangkat Daerah</t>
  </si>
  <si>
    <t>Evaluasi Kinerja Perangkat Daerah</t>
  </si>
  <si>
    <t>Administrasi Keuangan Perangkat Daerah</t>
  </si>
  <si>
    <t>Penyedian Gaji dan Tunjangan ASN</t>
  </si>
  <si>
    <t>Koordinasi dan Penyusunan Laporan Keuangan Akhir Tahun SKPD</t>
  </si>
  <si>
    <t>Koordinasi dan Penyusunan laporan Keuangan Bulanan/Triwulanan/Semesteran SKPD</t>
  </si>
  <si>
    <t>Penyusunan Pelaporan dan Analisis Prognosis Realisasi Anggaran</t>
  </si>
  <si>
    <t>Administrasi Umum Perangkat Daerah</t>
  </si>
  <si>
    <t>Penyelenggaraan Rapat Koordinasi dan Konsultasi SKPD</t>
  </si>
  <si>
    <t>Pengadaan Barang Milik Daerah Penunjang Urusan Pemerintah Daerah</t>
  </si>
  <si>
    <t>Penyediaan Jasa Penunjang Urusan Pemerintahan Daerah</t>
  </si>
  <si>
    <t>Penyediaan Jasa Pelayanan Umum Kantor</t>
  </si>
  <si>
    <t>Pemeliharaan Barang Milik daerah Penunjang Urusan Pemerintahan Daerah</t>
  </si>
  <si>
    <t>Penyediaan Jasa Pemeliharaan, Biaya Pemeliharaan, Pajak dan Perizinan Kendaraan Dinas Operasional atau Lapangan</t>
  </si>
  <si>
    <t>Pemeliharaan/Rehabilitasi Gedung Kantor dan Bangunan Lainnya</t>
  </si>
  <si>
    <t>Pemeliharaan/Rehabilitasi Sarana dan Prasarana Gedung Kantor atau Bangunan Lainnya</t>
  </si>
  <si>
    <t>Pengadaan Kendaraan Dinas Operasional atau Lapangan</t>
  </si>
  <si>
    <t>Penyediaan Jasa Surat Menyurat</t>
  </si>
  <si>
    <t>Penyediaan Jasa Komunikasi, Sumber Daya air dan Listrik</t>
  </si>
  <si>
    <t>Penyediaan Jasa Perlengkapan dan Peralatan Kantor</t>
  </si>
  <si>
    <t>Penyediaan Jasa Pemeliharaan, Biaya Pemeliharaan dan Pajak Kendaraan Perorangan Dinas atau Kendaraan Dinas Jabatan</t>
  </si>
  <si>
    <t>Pengelolaan Pendidikan Sekolah Dasar</t>
  </si>
  <si>
    <t>Program Pengelolaan Pendidikan</t>
  </si>
  <si>
    <t>Rehabilitasi Sedang/ Berat Ruang Kelas</t>
  </si>
  <si>
    <t>Rehabilitasi Sedang/ Berat Sarana, Prasarana dan Utilitas Sekolah</t>
  </si>
  <si>
    <t>Pengadaan Alat Praktik dan Peraga Siswa</t>
  </si>
  <si>
    <t>Pembinaan Minat Bakat dan Kreativitas Siswa</t>
  </si>
  <si>
    <t>Penyediaan Pendidik dan Tenaga Kependidikan bagi satuan pendidikan Sekolah Dasar</t>
  </si>
  <si>
    <t>Pengembangan Karir Pendidik dan Tenaga Kependidikan pada Satuan Pendidikan Sekolah Dasar</t>
  </si>
  <si>
    <t>Pengelolaan Dana BOS Sekolah Dasar</t>
  </si>
  <si>
    <t>Pembangunan Asrama Sekolah</t>
  </si>
  <si>
    <t>Rehabilitasi Sedang/ Berat Ruang Kelas Sekolah</t>
  </si>
  <si>
    <t>Rehabilitasi Sedang/ Berat Perpustakaan Sekolah</t>
  </si>
  <si>
    <t>Rehabilitasi Sedang/ Berat Kantin Sekolah</t>
  </si>
  <si>
    <t>Rehabilitasi Sedang/ berat Sarana, Prasarana dan Utilitas Sekolah</t>
  </si>
  <si>
    <t>Penyediaan Pendidik dan Tenaga Kependidikan bagi satuan pendidikan Sekolah Menengah Pertama</t>
  </si>
  <si>
    <t>Pembinaan Kelembagaan dan Manajemen Sekolah</t>
  </si>
  <si>
    <t>Pengelolaan Dana BOS Sekolah Menengah Pertama</t>
  </si>
  <si>
    <t>Pengelolaan Pendidikan Sekolah Menengeah Pertama</t>
  </si>
  <si>
    <t>Pengelolaan Pendidikan  Anak Usia Dini (PAUD)</t>
  </si>
  <si>
    <t>Rehabilitasi Sedang/ Berat Gedung/ Ruang Kelas/ Ruang Guru PAUD</t>
  </si>
  <si>
    <t>Pemeliharaan Rutin Sarana, Prasarana dan Utilitas PAUD</t>
  </si>
  <si>
    <t>Penyelenggaraan Proses Belajar PAUD</t>
  </si>
  <si>
    <t>Penyediaan Pendidik dan Tenaga Kependidikan bagi satuan PAUD</t>
  </si>
  <si>
    <t>Pengembangan Karir Pendidik dan Tenaga kependidikan pada Satuan Pendidikan PAUD</t>
  </si>
  <si>
    <t>Pembinaan Kelembagaan dan Menejemen PAUD</t>
  </si>
  <si>
    <t>Pengelolaan Pendidikan  Nonformal/ Kesetaraan</t>
  </si>
  <si>
    <t>Pembangunan Gedung/ Ruang Kelas/ Ruang Guru Nonformal/ Kesetaraan</t>
  </si>
  <si>
    <t>Penyelenggaraan Proses Belajar Nonformal/ Kesetaraan</t>
  </si>
  <si>
    <t>Pengembangan Karir Pendidik dan Tenaga Kependidikan pada Satuan Pendidikan Norformal/ Kesetaraan</t>
  </si>
  <si>
    <t>Program Pengembangan Kebudayaan</t>
  </si>
  <si>
    <t>Pengelolaan Kebudayaan yang Masyarakat Pelakunya dalam Daerah Kabupaten/Kota</t>
  </si>
  <si>
    <t>Pelindungan, Pengembangan, Pemanfaatan Objek Pemajuan Kebudayaan</t>
  </si>
  <si>
    <t>Pelestarian Kesenian Tradisional yang Masyarakat Pelakunya dalam Daerah Kabupaten/Kota</t>
  </si>
  <si>
    <t>Pembinaan Sumber Daya Manusia, Lembaga, dan Pranata Tradisional</t>
  </si>
  <si>
    <t>Pembinaan Lembaga Adat yang Penganutnya dalam Daerah Kabupaten/ Kota</t>
  </si>
  <si>
    <t>Pembinaan Sumber Daya Manusia, Lembaga, dan Pranata Adat</t>
  </si>
  <si>
    <t>Program Pembinaan Sejarah</t>
  </si>
  <si>
    <t>Pembinaan Sejarah dalam 1 (satu) Daerah Kabupaten/ Kota</t>
  </si>
  <si>
    <t>Pemberdayaan Sumber Daya Manusia dan Lembaga Sejarah Lokal Kabupaten/ Kota</t>
  </si>
  <si>
    <t>Program Pelestarian dan Pengelolaan Cagar Budaya</t>
  </si>
  <si>
    <t>Pendaftaran Objek Diduga Cagar Budaya</t>
  </si>
  <si>
    <t>Pengelolaan Cagar Budaya Peringkat Kabupaten/ Kota</t>
  </si>
  <si>
    <t>Pengembangan Cagar Budaya</t>
  </si>
  <si>
    <t>Pemanfaatan Cagar Budaya</t>
  </si>
  <si>
    <t>Program Pengelolaan Permuseuman</t>
  </si>
  <si>
    <t>Pengelolaan Museum Kabupaten/Kota</t>
  </si>
  <si>
    <t>Pelindungan, Pengembangan dan Pemanfaatan Koleksi secara Terpadu</t>
  </si>
  <si>
    <t>Penyediaan dan Pemeliharaan Sarana dan Prasarana Museum</t>
  </si>
  <si>
    <t>Unit</t>
  </si>
  <si>
    <t>Jumlah dokumen Perencanaan dan Evaluasi Kinerja yang berkualitas</t>
  </si>
  <si>
    <t>Jumlah dokumen administrasi Keuangan sesuai standar</t>
  </si>
  <si>
    <t>Jumlah dokumen administrasi umum sesuai standar</t>
  </si>
  <si>
    <t>Tingkat Pelayanan Adminstrasi Umum sesuai Standar</t>
  </si>
  <si>
    <t>Tingkat kepuasan pelayanan</t>
  </si>
  <si>
    <t>Persentase pemenuhan SPM pendidikan dasar</t>
  </si>
  <si>
    <t>Museum Terkelola Dengan Baik</t>
  </si>
  <si>
    <t>Museum</t>
  </si>
  <si>
    <t>Cagar Budaya</t>
  </si>
  <si>
    <t>Musem</t>
  </si>
  <si>
    <t>Ruang</t>
  </si>
  <si>
    <t>Pembangunan Sarana, Prasarana dan Utilitas Sekolah</t>
  </si>
  <si>
    <t>APK PAUD Formal</t>
  </si>
  <si>
    <t>Persentase Pemenuhan SPM/SNP PAUD</t>
  </si>
  <si>
    <t>Angka Partisipasi Sekolah Dikmas</t>
  </si>
  <si>
    <t>Persentase Pemenuhan Aspek SPM Dikmas</t>
  </si>
  <si>
    <t>Angka Partisipasi Kasar (APK) SD</t>
  </si>
  <si>
    <t>Angka Partisipasi Murni (APM) SD</t>
  </si>
  <si>
    <t>Angka Putus Sekolah (APS) SD</t>
  </si>
  <si>
    <t>Persentase Pemenuhan SPM/SNP SD</t>
  </si>
  <si>
    <t>Angka Partisipasi Kasar (APK) SMP</t>
  </si>
  <si>
    <t>Angka Partisipasi Murni (APM) SMP</t>
  </si>
  <si>
    <t>Angka Putus Sekolah (APS) SMP</t>
  </si>
  <si>
    <t>Persentase Pemenuhan SPM/SNP SMP</t>
  </si>
  <si>
    <t>79,05</t>
  </si>
  <si>
    <t>2,50</t>
  </si>
  <si>
    <t>93,06</t>
  </si>
  <si>
    <t>29,92</t>
  </si>
  <si>
    <t>98,30</t>
  </si>
  <si>
    <t>6,64</t>
  </si>
  <si>
    <t>91,37</t>
  </si>
  <si>
    <t>80,25</t>
  </si>
  <si>
    <t>43,75</t>
  </si>
  <si>
    <t>Perencanaan, Penganggaran dan Evaluasi Kinerja Perangkat Daerah</t>
  </si>
  <si>
    <t>Lap</t>
  </si>
  <si>
    <t>Persentase Cagar Budaya Terlestarikan dan Terkelola dengan Baik</t>
  </si>
  <si>
    <t>Pengelolaan Dana BOP Sekolah</t>
  </si>
  <si>
    <t>Pengelolaan Dana BOP PAUD</t>
  </si>
  <si>
    <t>Persentase pengelolaan pendidikan sekolah dasar</t>
  </si>
  <si>
    <t>Pembangunan Gedung/ Ruang Kelas/ Ruang Guru PAUD</t>
  </si>
  <si>
    <t>Pengadaan Mebel PAUD</t>
  </si>
  <si>
    <t>Pengadaan Mebel Sekolah</t>
  </si>
  <si>
    <t>Pengembangan Karir Pendidik dan Tenaga Kependidikan pada Satuan Pendidikan Sekolah Menengah Pertama</t>
  </si>
  <si>
    <t>Persentase pengelolaan pendidikan sekolah menengah pertama</t>
  </si>
  <si>
    <t>Persentase pengelolaan pendidikan anak usia dini (PAUD)</t>
  </si>
  <si>
    <t>Persentase pengelolaan pendidikan nonformal/kesetaraan</t>
  </si>
  <si>
    <t>Persentase Penduduk yang Mengunjungi Peninggalan Sejarah</t>
  </si>
  <si>
    <t>Jumlah Sejarah Lokal yang dibina</t>
  </si>
  <si>
    <t>Penetapan Cagar Budaya Peringkat Kabupaten/ Kota</t>
  </si>
  <si>
    <t>Jumlah Cagar Budaya yang ditetapkan</t>
  </si>
  <si>
    <t>Jumlah Cagar Budaya Peringkat Kabupaten yang terkelola</t>
  </si>
  <si>
    <t>Pelindungan Cagar Budaya</t>
  </si>
  <si>
    <t>Jumlah Museum yang Dikelola</t>
  </si>
  <si>
    <t>Persentase Cakupan Pengelolaan Kebudayaan yang Pelakunya Masyarakat dalam Daerah Kab</t>
  </si>
  <si>
    <t>Persentase OPK yang dikembangkan menjadi daya tarik wisata</t>
  </si>
  <si>
    <t>Persentase Cakupan Kesenian Tradisional yang Masyarakat Pelakunya dalam Daerah Kabupaten</t>
  </si>
  <si>
    <t>Jumlah Cakupan Pembinaan Lembaga Adat</t>
  </si>
  <si>
    <t>Balai Adat</t>
  </si>
  <si>
    <t>Target Kinerja dan Anggaran Renja Perangkat Daerah Tahun Berjalan (Tahun 2022) yang Dievaluasi</t>
  </si>
  <si>
    <t>Realisasi Kinerja dan Anggaran Renstra Perangkat Daerah s/d Tahun 2022</t>
  </si>
  <si>
    <t>Tingkat Capaian Kinerja dan Realisasi Anggaran Renstra Perangkat Daerah s/d Tahun 2022 (%)</t>
  </si>
  <si>
    <t>Realisasi Capaian Kinerja Renstra Perangkat Daerah sampai dengan Renja Perangkat Daerah Tahun Lalu (2021)</t>
  </si>
  <si>
    <t>Pembangunan Ruang Unit Kesehatan Sekolah</t>
  </si>
  <si>
    <t>Rehabilitasi Sedang/Berat Ruang Unit Kesehatan Sekolah</t>
  </si>
  <si>
    <t>Pembangunan Laboratorium</t>
  </si>
  <si>
    <t>Pembangunan Sarana, Prasarana dan Utilitas PAUD</t>
  </si>
  <si>
    <t>Pengadaan Alat Praktik dan Peraga Siswa PAUD</t>
  </si>
  <si>
    <t>Pengadaan Alat Praktik dan Peraga Siswa Nonformal/Kesetaraan</t>
  </si>
  <si>
    <t>Penyediaan Sarana dan Prasarana Pembinaan Lembaga Adat</t>
  </si>
  <si>
    <t>Pelindungan, Pengembangan, Pemanfaatan Objek Pemajuan Tradisi Budaya</t>
  </si>
  <si>
    <t>Pembinaan dan Peningkatan Mutu dan Kapasitas Sumber Daya Manusia Permuseuman</t>
  </si>
  <si>
    <t>Peningkatan Pelayanan dan Akses Masyarakat terhadap Museum</t>
  </si>
  <si>
    <t>Jumlah Dokumen Perencanaan Perangkat Daerah</t>
  </si>
  <si>
    <t>Jumlah Laporan Evaluasi Kinerja Perangkat Daerah</t>
  </si>
  <si>
    <t>Jumlah Orang yang Menerima Gaji dan Tunjangan ASN</t>
  </si>
  <si>
    <t>Jumlah Laporan Keuangan Akhir Tahun SKPD dan Laporan Hasil Koordinasi Penyusunan Laporan Keuangan Akhir Tahun SKPD</t>
  </si>
  <si>
    <t>Jumlah Laporan Keuangan Bulanan/Triwulanan/Semesteran SKPD dan Laporan Koordinasi Penyusunan Laporan Keuangan Bulanan/Triwulanan/Semesteran SKPD</t>
  </si>
  <si>
    <t>Jumlah Dokumen Pelaporan dan Analisis Prognosis Realisasi Anggaran</t>
  </si>
  <si>
    <t>Jumlah Paket Peralatan dan Perlengkapan Kantor yang Disediakan</t>
  </si>
  <si>
    <t>Jumlah Paket Bahan Logistik Kantor yang Disediakan</t>
  </si>
  <si>
    <t>Jumlah Paket Barang Cetakan dan Penggandaan yang Disediakan</t>
  </si>
  <si>
    <t>Jumlah Laporan Penyelenggaraan Rapat Koordinasi dan Konsultasi SKPD</t>
  </si>
  <si>
    <t>Jumlah Unit Kendaraan Dinas Operasional atau Lapangan yang Disediakan</t>
  </si>
  <si>
    <t>Jumlah Laporan Penyediaan Jasa Surat Menyurat</t>
  </si>
  <si>
    <t>Jumlah Laporan Penyediaan Jasa Komunikasi, Sumber Daya Air dan Listrik yang Disediakan</t>
  </si>
  <si>
    <t>Jumlah Laporan Penyediaan Jasa Pelayanan Umum Kantor yang Disediakan</t>
  </si>
  <si>
    <t>Jumlah Laporan Penyediaan Jasa Peralatan dan Perlengkapan Kantor yang Disediakan</t>
  </si>
  <si>
    <t>Jumlah Kendaraan Dinas Operasional atau Lapangan yang Dipelihara dan dibayarkan Pajak dan Perizinannya</t>
  </si>
  <si>
    <t>Jumlah Gedung Kantor dan Bangunan Lainnya yang Dipelihara/Direhabilitasi</t>
  </si>
  <si>
    <t>Jumlah Sarana dan Prasarana Gedung Kantor atau Bangunan Lainnya yang Dipelihara/Direhabilitasi</t>
  </si>
  <si>
    <t>Jumlah Kendaraan Perorangan Dinas atau Kendaraan Dinas Jabatan yang Dipelihara dan dibayarkan Pajaknya</t>
  </si>
  <si>
    <t>Jumlah Ruang Unit Kesehatan Sekolah yang Telah Dibangun</t>
  </si>
  <si>
    <t>Jumlah Perpustakaan Sekolah Yang Telah Dibangun</t>
  </si>
  <si>
    <t>Jumlah Sarana, Prasarana, dan Utilitas Sekolah Dasar Yang Telah Dibangun</t>
  </si>
  <si>
    <t>Jumlah Ruang Kelas Yang Direhabilitasi Sedang/Berat</t>
  </si>
  <si>
    <t>Rehabilitasi Sedang/Berat Ruang Guru/Kepala Sekolah/TU</t>
  </si>
  <si>
    <t>Jumlah Ruang Guru/Kepala Sekolah/TU Yang Telah Direhabilitasi Sedang/Berat</t>
  </si>
  <si>
    <t>Jumlah Ruang Unit Kesehatan Sekolah Yang Telah Direhabilitasi Sedang/Berat</t>
  </si>
  <si>
    <t>Jumlah Alat Praktik dan Peraga Siswa Yang Tersedia</t>
  </si>
  <si>
    <t>Jumlah Siswa yang Mengikuti Ajang Kompetisi/Lomba Akademik dan Non Akademik</t>
  </si>
  <si>
    <t>Peserta Didik</t>
  </si>
  <si>
    <t>Jumlah Pendidik dan Tenaga Kependidikan yang Tersedia pada Satuan Pendidikan Sekolah Dasar</t>
  </si>
  <si>
    <t>Jumlah Sekolah Dasar yang Mengelola Dana BOS</t>
  </si>
  <si>
    <t>Satuan Pendidikan</t>
  </si>
  <si>
    <t>Jumlah Mebel sekolah yang Tersedia</t>
  </si>
  <si>
    <t>Jumlah Pendidik dan Tenaga Kependidikan yang Mendapatkan Fasilitasi Kenaikan Pangkat/Golongan, Pemberian Promosi, Peningkatan Kompetensi dan Kualifikasi</t>
  </si>
  <si>
    <t>Jumlah Ruang Laboratorium yang Telah Dibangun</t>
  </si>
  <si>
    <t>Jumlah Ruang Serba Guna/Aula yang Telah Dibangun</t>
  </si>
  <si>
    <t>Jumlah Asrama Sekolah Yang Telah Dibangun</t>
  </si>
  <si>
    <t>Jumlah Sarana, Prasarana dan Utilitas Sekolah Yang Telah Dibangun</t>
  </si>
  <si>
    <t>Jumlah Sarana, Prasarana, dan Utilitas Sekolah Dasar Yang Telah Direhabilitasi Sedang/Berat</t>
  </si>
  <si>
    <t>Jumlah Pendidik dan Tenaga Kependidikan yang Tersedia pada Satuan Pendidikan Sekolah Menengah Pertama</t>
  </si>
  <si>
    <t>Jumlah Sekolah Menengah Pertama yang Mengelola Dana BOS</t>
  </si>
  <si>
    <t>Jumlah Ruang Kelas Sekolah Yang Direhabilitasi Sedang/Berat</t>
  </si>
  <si>
    <t>Jumlah Perpustakaan Sekolah yang Telah Direhabilitasi Sedang/Berat</t>
  </si>
  <si>
    <t>Jumlah Kantin Sekolah yang Direhabilitasi Sedang/Berat</t>
  </si>
  <si>
    <t>Jumlah Sekolah Menengah Pertama yang Dilaksanakan Pembinaan</t>
  </si>
  <si>
    <t>Jumlah Gedung/Ruang Kelas/Ruang Guru PAUD yang Telah Dibangun</t>
  </si>
  <si>
    <t>Jumlah Sarana, Prasarana dan Utilitas PAUD yang Telah Dibangun</t>
  </si>
  <si>
    <t>Jumlah Gedung/Ruang Kelas/Ruang Guru PAUD yang Telah Direhabilitasi Sedang/Berat</t>
  </si>
  <si>
    <t>Jumlah Alat Praktik dan Peraga PAUD yang Tersedia</t>
  </si>
  <si>
    <t>Jumlah Pendidik dan Tenaga Kependidikan yang Tersedia pada PAUD</t>
  </si>
  <si>
    <t>Jumlah PAUD yang  Mengelola Dana BOP</t>
  </si>
  <si>
    <t>Jumlah Sarana, Prasarana dan Utilitas PAUD yang Dilaksanakan Pemeliharaan</t>
  </si>
  <si>
    <t>Jumlah Mebel PAUD yang Tersedia</t>
  </si>
  <si>
    <t>Jumlah Peserta Didik PAUD yang Mengikuti Proses Belajar</t>
  </si>
  <si>
    <t>Jumlah PAUD yang Dilaksanakan Pembinaan Kelembagaan dan Manajemen</t>
  </si>
  <si>
    <t>Jumlah Gedung/Ruang Kelas/Ruang Guru Non Formal/Kesetaraan yang Telah Dibangun</t>
  </si>
  <si>
    <t>Jumlah Alat Praktik dan Peraga Siswa Non Formal/ Kesetaraan yang Tersedia</t>
  </si>
  <si>
    <t>Jumlah Peserta Didik yang Mengikuti Proses Belajar</t>
  </si>
  <si>
    <t>Jumlah Sekolah Non Formal/Kesetaraan yang Mengelola Dana BOP</t>
  </si>
  <si>
    <t>Jumlah Objek  Pemajuan Kebudayaan yang Dilakukan Pelindungan, Pengembangan, Pemanfaatan</t>
  </si>
  <si>
    <t>Objek</t>
  </si>
  <si>
    <t>Jumlah Objek Pemajuan Tradisi Budaya yang Dilakukan Pelindungan, Pengembangan dan Pemanfaatan</t>
  </si>
  <si>
    <t>Jumlah Laporan Pembinaan Sumber Daya Manusia, Lembaga, dan Pranata Tradisional</t>
  </si>
  <si>
    <t>Jumlah Sarana dan Prasarana Lembaga Adat yang Disediakan/Difasilitasi</t>
  </si>
  <si>
    <t>Jumlah Sumber Daya Manusia, Lembaga, dan Pranata Adat yang Dibina</t>
  </si>
  <si>
    <t>Jumlah Sumber Daya Manusia dan Lembaga Sejarah Lokal Provinsi yang Diberdayakan</t>
  </si>
  <si>
    <t>Jumlah Objek Diduga Cagar Budaya yang Didaftarkan</t>
  </si>
  <si>
    <t>Jumlah Objek Cagar Budaya yang Dimanfaatkan</t>
  </si>
  <si>
    <t>Jumlah Objek Cagar Budaya yang Dikembangkan</t>
  </si>
  <si>
    <t>Jumlah Objek Cagar Budaya yang Dilindungi</t>
  </si>
  <si>
    <t>Jumlah Koleksi Museum yang Dilakukan Pelindungan, Pengembangan, dan Pemanfataan Koleksi Secara Terpadu</t>
  </si>
  <si>
    <t>Jumlah Pelayanan dan Akses Masyarakat Terhadap Museum</t>
  </si>
  <si>
    <t>Jumlah Sarana dan Prasarana Museum yang Tersedia dan Terpelihara</t>
  </si>
  <si>
    <t>Jumlah Sumber Daya Manusia Permuseuman yang Ditingkatkan Mutu dan Kapasitasnya</t>
  </si>
  <si>
    <t>Penyediaan Peralatan dan Perlengkapan Kantor</t>
  </si>
  <si>
    <t>Penyediaan Barang Cetakan dan Penggandaan</t>
  </si>
  <si>
    <t>Penyediaan Bahan Logistik Kantor</t>
  </si>
  <si>
    <t>Pembangunan Sarana Prasarana dan Utilitas Sekolah</t>
  </si>
  <si>
    <t>Pembangunan Ruang Serba Guna/ Aula</t>
  </si>
  <si>
    <t>Memastikan perencanaan kinerja berkualitas</t>
  </si>
  <si>
    <t>Skor perencanaan kinerja</t>
  </si>
  <si>
    <t>≥ 26</t>
  </si>
  <si>
    <t>Skor</t>
  </si>
  <si>
    <t>Dinas Kesehatan</t>
  </si>
  <si>
    <t>Memastikan pengukuran kinerja tersedia</t>
  </si>
  <si>
    <t>Skor pengukuran kinerja</t>
  </si>
  <si>
    <t>≥  22</t>
  </si>
  <si>
    <t>Memastikan pelaporan kinerja berkualitas</t>
  </si>
  <si>
    <t>Skor Pelaporan Kinerja</t>
  </si>
  <si>
    <t>≥  12</t>
  </si>
  <si>
    <t>Memastikan terlaksananya evaluasi akuntabilitas kinerja internal</t>
  </si>
  <si>
    <t>Skor evaluasi akuntabilitas kinerja internal</t>
  </si>
  <si>
    <t>≥  8,5</t>
  </si>
  <si>
    <t>≥  8.5</t>
  </si>
  <si>
    <t>Memastikan target capaian kinerja tercapai</t>
  </si>
  <si>
    <t>Skor capaian  kinerja</t>
  </si>
  <si>
    <t>≥  13</t>
  </si>
  <si>
    <t>Memastikan Perencanaan, Penganggaran dan Evaluasi Kinerja yang Berkualitas dan Tersusun dengan Baik</t>
  </si>
  <si>
    <t>Perencanaan, Pengangnggaran dan Evaluasi Kinerja Perangkat Daerah</t>
  </si>
  <si>
    <t>Jumlah dokumen perencanaan  Dinkes yang berkualitas</t>
  </si>
  <si>
    <t>Jumlah Dokumen Laporan AKIP yang berkualitas</t>
  </si>
  <si>
    <t>Tersusunnya Dokumen Perencanaan Perangkat Daerah</t>
  </si>
  <si>
    <t>Terlaksananya Evaluasi Kinerja Perangkat Daerah</t>
  </si>
  <si>
    <t>Tersedianya Laporan Capaian Kinerja dan Ikhtisar Realisasi Kinerja SKPD dan Laporan Hasil Koordinasi Penyusunan Laporan Capaian Kinerja dan Ikhtisar  Realisasi Kinerja SKPD</t>
  </si>
  <si>
    <t>Koordinasi dan Penyusunan Laporan Capaian Kinerja dan Ikhtisar Realisasi Kinerja SKPD</t>
  </si>
  <si>
    <t>Jumlah Laporan Capaian Kinerja dan Ikhtisar Realisasi Kinerja SKPD dan Laporan Hasil Koordinasi Penyusunan Laporan Capaian Kinerja dan Ikhtisar Realisasi Kinerja SKPD</t>
  </si>
  <si>
    <t>Tersusunnya pelaporan administrasi keuangan yang kredibel</t>
  </si>
  <si>
    <t>Jumlah laporan gaji dan tunjangan ASN</t>
  </si>
  <si>
    <t>Jumlah laporan keuangan akhir tahun</t>
  </si>
  <si>
    <t>Jumlah laporan keuangan bulanan/ semesteran/ triwulanan</t>
  </si>
  <si>
    <t>Jumlah laporan prognosis realisasi anggaran</t>
  </si>
  <si>
    <t>Tersedianya Penerimaan Transaksi Keuangan dan Pengeluaran  Transaksi Keuangan serta Pembukuan Terkait Transaksi Keuangan</t>
  </si>
  <si>
    <t>Jumlah Laporan Keuangan</t>
  </si>
  <si>
    <t>Tersedianya Gaji dan Tunjangan ASN</t>
  </si>
  <si>
    <t>Jumlah ASN yang menerima gaji dan tunjangan</t>
  </si>
  <si>
    <t>Org/bln</t>
  </si>
  <si>
    <t>Terlaksananya pelayanan administrasi pendapatan sesuai standar</t>
  </si>
  <si>
    <t>Administrasi Pendapatan Daerah Kewenangan Perangkat Daerah</t>
  </si>
  <si>
    <t>Persentase  Pelayanan administrasi pendapatan sesuai standar</t>
  </si>
  <si>
    <t xml:space="preserve">Terlaksanaya Penerimaan, Pengumpulan, Pengklasifikasian dan  Penelaahan Data Obyek Kerja di bidang Program Anggaran dan Pelaporan
</t>
  </si>
  <si>
    <t>Jumlah Laporan Data Obyek Kerja</t>
  </si>
  <si>
    <t xml:space="preserve">Tersedianya Rencana Pengelolaan Retribusi Daerah
</t>
  </si>
  <si>
    <t xml:space="preserve">Perencanaan Pengelolaan Retribusi Daerah </t>
  </si>
  <si>
    <t>Jumlah Dokumen Rencana Pengelolaan Retribusi
Daerah</t>
  </si>
  <si>
    <t>Memastikan pelayanan administrasi umum bermanfaat</t>
  </si>
  <si>
    <t>Persentase komponen instalasi listrik berfungsi dengan baik</t>
  </si>
  <si>
    <t>Persentase peralatan dan perlengkapan kantor sesuai kebutuhan kerja</t>
  </si>
  <si>
    <t>Persentase pemanfaatan bahan logistik sesuai kebutuhan kerja</t>
  </si>
  <si>
    <t>Persentase barang cetakan dan penggandaan sesuai kebutuhan kerja</t>
  </si>
  <si>
    <t>Persentase pelayanan koordinasi dan konsultasi yang sesuai anggaran</t>
  </si>
  <si>
    <t>Tersedianya Komponen Instalasi Listrik/Penerangan Bangunan Kantor</t>
  </si>
  <si>
    <t>Penyedian Komponen Instalasi Listrik/Penerangan Bangunan kantor</t>
  </si>
  <si>
    <t>Jumlah Paket Komponen Instalasi Listrik/Penerangan Bangunan Kantor yang Disediakan</t>
  </si>
  <si>
    <t>Tersedianya Peralatan dan Perlengkapan Kantor</t>
  </si>
  <si>
    <t>Penyedian Peralatan dan Perlengkapan Kantor</t>
  </si>
  <si>
    <t>Tersedianya Bahan Logistik Kantor</t>
  </si>
  <si>
    <t>Penyedian Bahan Logistik Kantor</t>
  </si>
  <si>
    <t>Tersedianya Barang Cetakan dan Penggandaan</t>
  </si>
  <si>
    <t>Penyedian Barang Cetakan dan Penggandaan</t>
  </si>
  <si>
    <t>Terlaksananya Penyelenggaraan Rapat Koordinasi dan Konsultasi SKPD</t>
  </si>
  <si>
    <t>Memastikan pelayanan penunjang kantor tersedia dengan baik</t>
  </si>
  <si>
    <t>Persentase  jasa surat menyurat sesuai kebutuhan</t>
  </si>
  <si>
    <t>Persentase fasilitas Komunikasi, Sumber Daya Air dan Listrik tersedia dengan baik</t>
  </si>
  <si>
    <t>Persentase tenaga jasa umum kantor bekerja dengan baik</t>
  </si>
  <si>
    <t>Terlaksananya Penyediaan Jasa Surat Menyurat</t>
  </si>
  <si>
    <t>Tersedianya Jasa Komunikasi, Sumber Daya Air dan Listrik</t>
  </si>
  <si>
    <t>Penyediaan Jasa Komunikasi, Sumber Daya Air dan Listrik</t>
  </si>
  <si>
    <t>Tersedianya Jasa Pelayanan Umum Kantor</t>
  </si>
  <si>
    <t>Memastikan barang milik daerah terpelihara dengan baik dan layak berfungsi</t>
  </si>
  <si>
    <t>Persentase kendaraan operasional yang layak jalan dan berfungsi baik</t>
  </si>
  <si>
    <t>Persentase gedung kantor dalam kondisi baik</t>
  </si>
  <si>
    <t>Persentase Sarana dan Prasarana Gedung Kantor atau Bangunan Lainnya</t>
  </si>
  <si>
    <t>Tersedianya Jasa Pemeliharaan, Biaya Pemeliharaan dan Pajak Kendaraan Perorangan Dinas atau Kendaraan Dinas Jabatan</t>
  </si>
  <si>
    <t>Terlaksananya Pemeliharaan/Rehabilitasi Gedung  Kantor dan Bangunan Lainnya</t>
  </si>
  <si>
    <t>Jumlah Gedung Kantor dan Bangunan Lainnya yang  Dipelihara/Direhabilitasi</t>
  </si>
  <si>
    <t>Terlaksananya  Pemeliharaan/Rehabilitasi  Sarana dan   Prasarana   Gedung   Kantor   atau   Bangunan Lainnya</t>
  </si>
  <si>
    <t>Peningkatan Pelayanan BLUD</t>
  </si>
  <si>
    <t>Pelayanan dan Penunjang Pelayanan BLUD (Puskesmas Negara)</t>
  </si>
  <si>
    <t>Jumlah BLUD yang Menyediakan Pelayanan dan Penunjang Pelayanan</t>
  </si>
  <si>
    <t>Unit Kerja</t>
  </si>
  <si>
    <t>Pelayanan dan Penunjang Pelayanan BLUD (Puskesmas Kandangan)</t>
  </si>
  <si>
    <t>Meningkatnya Pertolongan Medis pada Kelahiran</t>
  </si>
  <si>
    <t>Program Pemenuhan Upayan kesehatan Perorangan dan Upaya Kesehatan Masyarakat</t>
  </si>
  <si>
    <t>% Kelahiran di Faskes</t>
  </si>
  <si>
    <t>Menurunnya komplikasi obstetri (komplikasi kehamilan, persalinan dan masa nifas)</t>
  </si>
  <si>
    <t>Persentase Penurunan Komplikasi obstetri</t>
  </si>
  <si>
    <t>Meningkatnya Pelayanan Kesehatan Pasca Persalinan</t>
  </si>
  <si>
    <t>% Cakupan Pelayanan Ibu Nifas</t>
  </si>
  <si>
    <t>Meningkatnya Pelayanan Kesehatan Bayi dan Balita</t>
  </si>
  <si>
    <t>% Pelayanan bayi</t>
  </si>
  <si>
    <t>%Cakupan desa UCI</t>
  </si>
  <si>
    <t>% Imunisasi dasar lengkap pada bayi</t>
  </si>
  <si>
    <t>Menurunnya Bayi/Balita Gizi Kurang</t>
  </si>
  <si>
    <t>% Penurunan Balita gizi kurang</t>
  </si>
  <si>
    <t>Menurunnya BBLR (Berat badan lahir rendah)</t>
  </si>
  <si>
    <t>% BBLR</t>
  </si>
  <si>
    <t>Meningkatnya Pelayanan Kesehatan Penyakit Menular dan Tidak Menular</t>
  </si>
  <si>
    <t>% Penyakit yang terkendali penyebarannya sesuai SPM</t>
  </si>
  <si>
    <t>Meningkatnya Ketersediaan Pelayanan Faskes dan Jaminan Kesehatan Sesuai Standar</t>
  </si>
  <si>
    <t>Penyediaan Fasilitas Pelayanan Kesehatan untuk UKM dan UKP Kewenangan Daerah Kabupaten/Kota</t>
  </si>
  <si>
    <t>% Fasilitas kesehatan Terakreditasi Paripurna</t>
  </si>
  <si>
    <t>Terbangunnya Fasilitas Kesehatan Lainnya</t>
  </si>
  <si>
    <t>Pembangunan Fasilitas Kesehatan Lainnya</t>
  </si>
  <si>
    <t>Jumlah Fasilitas Kesehatan Lainnya yang Dibangun</t>
  </si>
  <si>
    <t>Tersedianya       Sarana,       Prasarana       dan       Alat Kesehatan    yang    Telah    Dilakukan    Rehabilitasi dan Pemeliharaan oleh Puskesmas</t>
  </si>
  <si>
    <t>Rehabilitasi dan Pemeliharaan Puskesmas</t>
  </si>
  <si>
    <t>Jumlah Sarana, Prasarana dan Alat Kesehatan yang Telah Dilakukan Rehabilitasi dan Pemeliharaan Oleh Puskesmas</t>
  </si>
  <si>
    <t xml:space="preserve">Tersedianya  Sarana , Prasarana  dan  Alat Kesehatan  yang  Telah  Dilakukan  Rehabilitasi dan Pemeliharaan     </t>
  </si>
  <si>
    <t>Rehabilitasi dan Pemeliharaan Fasilitas Kesehatan Lainnya</t>
  </si>
  <si>
    <t>Jumlah Sarana, Prasarana dan Alat Kesehatan yang Telah Dilakukan Rehabilitasi dan Pemeliharaan Oleh Fasilitas Kesehatan Lainnya</t>
  </si>
  <si>
    <t>Tersedianya  Sarana  dan  Prasarana  Rumah  Dinas Tenaga  Kesehatan  yang Telah  Dilakukan Rehabilitasi dan Pemeliharaan</t>
  </si>
  <si>
    <t>Rehabilitasi dan Pemeliharaan Rumah Dinas Tenaga Kesehatan</t>
  </si>
  <si>
    <t>Jumlah Sarana dan Prasarana Rumah Dinas Tenaga Kesehatan yang Telah Dilakukan Rehabilitasi dan Pemeliharaan</t>
  </si>
  <si>
    <t>Tersedianya      Alat      Kesehatan/Alat      Penunjang Medik Fasilitas Pelayanan Kesehatan</t>
  </si>
  <si>
    <t>Pengadaan Alat Kesehatan/Alat Penunjang Medik Fasilitas Pelayanan Kesehatan</t>
  </si>
  <si>
    <t>Jumlah Alat Kesehatan/Alat Penunjang Medik Fasilitas Pelayanan Kesehatan yang Disediakan</t>
  </si>
  <si>
    <t>Tersedianya Obat  dan Vaksin</t>
  </si>
  <si>
    <t>Pengadaan Obat, Vaksin</t>
  </si>
  <si>
    <t>Jumlah Obat dan Vaksin yang Disediakan</t>
  </si>
  <si>
    <t>Tersedianya Bahan Habis Pakai</t>
  </si>
  <si>
    <t>Pengadaan Bahan Habis Pakai</t>
  </si>
  <si>
    <t>Jumlah Bahan Habis Pakai yang Disediakan</t>
  </si>
  <si>
    <t>Terpeliharanya   Alat    Kesehatan/Alat    Penunjang Medik      Fasilitas      Layanan      Kesehatan      Sesuai Standar</t>
  </si>
  <si>
    <t>Pemeliharaan Rutin dan Berkala Alat Kesehatan/Alat Penunjang Medik Fasilitas Pelayanan Kesehatan</t>
  </si>
  <si>
    <t>Jumlah alat Kesehatan/Alat Penunjang Medik Fasilitas Pelayanan Kesehatan yang Terpelihara Sesuai Standar</t>
  </si>
  <si>
    <t>Terlaksananya   Distribusi   Alat   Kesehatan,   Obat, Vaksin,     Bahan     Medis     Habis     Pakai     (BMHP), Makanan    dan    Minuman    ke    Puskesmas    serta Fasilitas Kesehatan Lainnya</t>
  </si>
  <si>
    <t>Distribusi Alat Kesehatan Obat, Vaksin, BMHP, Makanan dan Minuman ke Puskesmas serta Fasilitas Kesehatan Lainnya</t>
  </si>
  <si>
    <t>Jumlah Distribusi Alat Kesehatan, Obat, Vaksin, Bahan Medis Habis Pakai (BMHP), Makanan dan Minuman yang Didistribusikan ke Puskesmas serta Fasilitas Kesehatan Lainnya</t>
  </si>
  <si>
    <t>Terbangunnya      Pusat      Kesehatan      Masyarakat</t>
  </si>
  <si>
    <t>Pembangunan Puskesmas</t>
  </si>
  <si>
    <t>Jumlah Pusat Kesehatan Masyarakat (Puskesmas) yang Dibangun</t>
  </si>
  <si>
    <t>Tersedianya       Prasarana       Fasilitas       Pelayanan  Kesehatan</t>
  </si>
  <si>
    <t>Pengadaan Prasarana dan Pendukung Fasilitas Pelayanan Kesehatan</t>
  </si>
  <si>
    <t>Jumlah Prasarana Fasilitas Pelayanan Kesehatan yang Disediakan</t>
  </si>
  <si>
    <t>Meningkatnya Pelayanan PONEK dan PONED</t>
  </si>
  <si>
    <t>Penyediaan Layanan Kesehatan untuk UKM dan UKP Rujukan Tingkat Daerah Kabupaten/Kota</t>
  </si>
  <si>
    <t>% Penyelenggaraan Pelayanan Obstetri Neonatal Emergensi Komprehensif (PONEK) 24 jam di RSUD</t>
  </si>
  <si>
    <t>% Puskesmas yg menyelenggarakan Pelayanan Obstetri Neonatal Emergensi</t>
  </si>
  <si>
    <t>Meningkatnya Pemeriksanaan Kehamilan</t>
  </si>
  <si>
    <t>% Kunjungan K4</t>
  </si>
  <si>
    <t>Meningkatnya Pertolongan Persalinan Bagi Ibu Hamil dari Keluarga Kurang Mampu</t>
  </si>
  <si>
    <t>% Persalinan oleh tenaga non kesehatan</t>
  </si>
  <si>
    <t xml:space="preserve">% penduduk HSS yang memiliki jaminan kesehatan </t>
  </si>
  <si>
    <t>Meningkatnya Kesadaran Ibu untuk Memberikan ASI</t>
  </si>
  <si>
    <t>% Bayi yang diberikan ASI eksklusif</t>
  </si>
  <si>
    <t>Meningkatnya Kesehatan Ibu Hamil</t>
  </si>
  <si>
    <t xml:space="preserve">% Ibu hamil yang mendapat tablet FE
</t>
  </si>
  <si>
    <t>% Ibu hamil yang mendapatkan Imunisasi TT</t>
  </si>
  <si>
    <t>% Ibu hamil kek</t>
  </si>
  <si>
    <t>Memastikan Puskesmas melakukan PANDU PTM</t>
  </si>
  <si>
    <t>% Puskesmas yang melaksanakan PANDU PTM</t>
  </si>
  <si>
    <t>Memastikan Tidak terjadi KLB</t>
  </si>
  <si>
    <t>Jumlah kejadian KLB di daerah dalam kurun waktu 1 tahun</t>
  </si>
  <si>
    <t>Meningkatnya pemberdayaan masyarakat untuk hidup sehat</t>
  </si>
  <si>
    <t>% Keluarga ber-PHBS</t>
  </si>
  <si>
    <t>Pengelolaan Pelayanan Kesehatan Ibu Hamil</t>
  </si>
  <si>
    <t>Jumlah Ibu Hamil yang Mendapatkan Pelayanan Kesehatan Sesuai Standar</t>
  </si>
  <si>
    <t>Pengelolaan Pelayanan Kesehatan Ibu Hamil (Puskesmas Angkinang)</t>
  </si>
  <si>
    <t>-</t>
  </si>
  <si>
    <t>Pengelolaan Pelayanan Kesehatan Ibu Hamil (Puskesmas Bajayau)</t>
  </si>
  <si>
    <t>Pengelolaan Pelayanan Kesehatan Ibu Hamil (Puskesmas Bamban)</t>
  </si>
  <si>
    <t>Pengelolaan Pelayanan Kesehatan Ibu Hamil (Puskesmas Baruh Jaya)</t>
  </si>
  <si>
    <t>Pengelolaan Pelayanan Kesehatan Ibu Hamil (Puskesmas Batang Kulur)</t>
  </si>
  <si>
    <t>Pengelolaan Pelayanan Kesehatan Ibu Hamil (Puskesmas Bayanan)</t>
  </si>
  <si>
    <t>Pengelolaan Pelayanan Kesehatan Ibu Hamil (Puskesmas Gambah)</t>
  </si>
  <si>
    <t>Pengelolaan Pelayanan Kesehatan Ibu Hamil (Puskesmas Jambu Hilir)</t>
  </si>
  <si>
    <t>Pengelolaan Pelayanan Kesehatan Ibu Hamil (Puskesmas Kaliring)</t>
  </si>
  <si>
    <t>Pengelolaan Pelayanan Kesehatan Ibu Hamil (Puskesmas Kalumpang)</t>
  </si>
  <si>
    <t>Pengelolaan Pelayanan Kesehatan Ibu Hamil (Puskesmas Kandangan)</t>
  </si>
  <si>
    <t>Pengelolaan Pelayanan Kesehatan Ibu Hamil (Puskesmas Loksado)</t>
  </si>
  <si>
    <t>Pengelolaan Pelayanan Kesehatan Ibu Hamil (Puskesmas Malinau)</t>
  </si>
  <si>
    <t>Pengelolaan Pelayanan Kesehatan Ibu Hamil (Puskesmas Negara)</t>
  </si>
  <si>
    <t>Pengelolaan Pelayanan Kesehatan Ibu Hamil (Puskesmas Padang Batung)</t>
  </si>
  <si>
    <t>Pengelolaan Pelayanan Kesehatan Ibu Hamil (Puskesmas Pasungkan)</t>
  </si>
  <si>
    <t>Pengelolaan Pelayanan Kesehatan Ibu Hamil (Puskesmas Simpur)</t>
  </si>
  <si>
    <t>Pengelolaan Pelayanan Kesehatan Ibu Hamil (Puskesmas Sungai Pinang)</t>
  </si>
  <si>
    <t>Pengelolaan Pelayanan Kesehatan Ibu Hamil (Puskesmas Sungai Raya)</t>
  </si>
  <si>
    <t>Pengelolaan Pelayanan Kesehatan Ibu Hamil (Puskesmas Telaga Langsat)</t>
  </si>
  <si>
    <t>Pengelolaan Pelayanan Kesehatan Ibu Hamil (Puskesmas Wasah)</t>
  </si>
  <si>
    <t>Pengelolaan Pelayanan Kesehatan Ibu Bersalin</t>
  </si>
  <si>
    <t>Jumlah Ibu Bersalin yang Mendapatkan Pelayanan Kesehatan Sesuai Standar</t>
  </si>
  <si>
    <t>Pengelolaan Pelayanan Kesehatan Ibu Bersalin (Puskesmas Angkinang)</t>
  </si>
  <si>
    <t>Jumlah Ibu Bersalin yang mendapatkan pelayanan sesuai standar</t>
  </si>
  <si>
    <t>Pengelolaan Pelayanan Kesehatan Ibu Bersalin (Puskesmas Bamban)</t>
  </si>
  <si>
    <t>Pengelolaan Pelayanan Kesehatan Ibu Bersalin (Puskesmas Batang Kulur)</t>
  </si>
  <si>
    <t>Pengelolaan Pelayanan Kesehatan Ibu Bersalin (Puskesmas Gambah)</t>
  </si>
  <si>
    <t>Pengelolaan Pelayanan Kesehatan Ibu Bersalin (Puskesmas Jambu Hilir)</t>
  </si>
  <si>
    <t>Pengelolaan Pelayanan Kesehatan Ibu Bersalin (Puskesmas Kaliring)</t>
  </si>
  <si>
    <t>Pengelolaan Pelayanan Kesehatan Ibu Bersalin (Puskesmas Kalumpang)</t>
  </si>
  <si>
    <t>Pengelolaan Pelayanan Kesehatan Ibu Bersalin (Puskesmas Kandangan)</t>
  </si>
  <si>
    <t>Pengelolaan Pelayanan Kesehatan Ibu Bersalin (Puskesmas Loksado)</t>
  </si>
  <si>
    <t>Pengelolaan Pelayanan Kesehatan Ibu Bersalin (Puskesmas Malinau)</t>
  </si>
  <si>
    <t>Pengelolaan Pelayanan Kesehatan Ibu Bersalin (Puskesmas Negara)</t>
  </si>
  <si>
    <t>Pengelolaan Pelayanan Kesehatan Ibu Bersalin (Puskesmas Padang Batung)</t>
  </si>
  <si>
    <t>Pengelolaan Pelayanan Kesehatan Ibu Bersalin (Puskesmas Simpur)</t>
  </si>
  <si>
    <t>Pengelolaan Pelayanan Kesehatan Ibu Bersalin (Puskesmas Telaga Langsat)</t>
  </si>
  <si>
    <t>Pengelolaan Pelayanan Kesehatan Bayi Baru Lahir (Puskesmas Angkinang)</t>
  </si>
  <si>
    <t>Jumlah Bayi Baru Lahir yang Mendapatkan Pelayanan Kesehatan Sesuai Standar</t>
  </si>
  <si>
    <t>Pengelolaan Pelayanan Kesehatan Bayi Baru Lahir (Puskesmas Bajayau)</t>
  </si>
  <si>
    <t>Pengelolaan Pelayanan Kesehatan Bayi Baru Lahir (Puskesmas Bamban)</t>
  </si>
  <si>
    <t>Pengelolaan Pelayanan Kesehatan Bayi Baru Lahir (Puskesmas Baruh Jaya)</t>
  </si>
  <si>
    <t>Pengelolaan Pelayanan Kesehatan Bayi Baru Lahir (Puskesmas Batang Kulur)</t>
  </si>
  <si>
    <t>Pengelolaan Pelayanan Kesehatan Bayi Baru Lahir (Puskesmas Bayanan)</t>
  </si>
  <si>
    <t>Pengelolaan Pelayanan Kesehatan Bayi Baru Lahir (Puskesmas Gambah)</t>
  </si>
  <si>
    <t>Pengelolaan Pelayanan Kesehatan Bayi Baru Lahir (Puskesmas Jambu Hilir)</t>
  </si>
  <si>
    <t>Pengelolaan Pelayanan Kesehatan Bayi Baru Lahir (Puskesmas Kaliring)</t>
  </si>
  <si>
    <t>Pengelolaan Pelayanan Kesehatan Bayi Baru Lahir (Puskesmas Kalumpang)</t>
  </si>
  <si>
    <t>Pengelolaan Pelayanan Kesehatan Bayi Baru Lahir (Puskesmas Loksado)</t>
  </si>
  <si>
    <t>Pengelolaan Pelayanan Kesehatan Bayi Baru Lahir (Puskesmas Malinau)</t>
  </si>
  <si>
    <t>Pengelolaan Pelayanan Kesehatan Bayi Baru Lahir (Puskesmas Negara)</t>
  </si>
  <si>
    <t>Pengelolaan Pelayanan Kesehatan Bayi Baru Lahir (Puskesmas Pasungkan)</t>
  </si>
  <si>
    <t>Pengelolaan Pelayanan Kesehatan Bayi Baru Lahir (Puskesmas Sungai Raya)</t>
  </si>
  <si>
    <t>Pengelolaan Pelayanan Kesehatan Bayi Baru Lahir (Puskesmas Wasah)</t>
  </si>
  <si>
    <t>Pengelolaan Pelayanan Kesehatan Balita</t>
  </si>
  <si>
    <t>Jumlah Balita yang Mendapatkan Pelayanan Kesehatan Sesuai Standar</t>
  </si>
  <si>
    <t>Pengelolaan Pelayanan Kesehatan Balita (Puskesmas Angkinang)</t>
  </si>
  <si>
    <t>Pengelolaan Pelayanan Kesehatan Balita (Puskesmas Bajayau)</t>
  </si>
  <si>
    <t>Pengelolaan Pelayanan Kesehatan Balita (Puskesmas Bamban)</t>
  </si>
  <si>
    <t>Pengelolaan Pelayanan Kesehatan Balita (Puskesmas Baruh Jaya)</t>
  </si>
  <si>
    <t>Pengelolaan Pelayanan Kesehatan Balita (Puskesmas Batang Kulur)</t>
  </si>
  <si>
    <t>Pengelolaan Pelayanan Kesehatan Balita (Puskesmas Bayanan)</t>
  </si>
  <si>
    <t>Pengelolaan Pelayanan Kesehatan Balita (Puskesmas Gambah)</t>
  </si>
  <si>
    <t>Pengelolaan Pelayanan Kesehatan Balita (Puskesmas Jambu Hilir)</t>
  </si>
  <si>
    <t>Pengelolaan Pelayanan Kesehatan Balita (Puskesmas Kaliring)</t>
  </si>
  <si>
    <t>Pengelolaan Pelayanan Kesehatan Balita (Puskesmas Kalumpang)</t>
  </si>
  <si>
    <t>Pengelolaan Pelayanan Kesehatan Balita (Puskesmas Kandangan)</t>
  </si>
  <si>
    <t>Pengelolaan Pelayanan Kesehatan Balita (Puskesmas Loksado)</t>
  </si>
  <si>
    <t>Pengelolaan Pelayanan Kesehatan Balita (Puskesmas Malinau)</t>
  </si>
  <si>
    <t>Pengelolaan Pelayanan Kesehatan Balita (Puskesmas Negara)</t>
  </si>
  <si>
    <t>Pengelolaan Pelayanan Kesehatan Balita (Puskesmas Padang Batung)</t>
  </si>
  <si>
    <t>Pengelolaan Pelayanan Kesehatan Balita (Puskesmas Pasungkan)</t>
  </si>
  <si>
    <t>Pengelolaan Pelayanan Kesehatan Balita (Puskesmas Simpur)</t>
  </si>
  <si>
    <t>Pengelolaan Pelayanan Kesehatan Balita (Puskesmas Sungai Pinang)</t>
  </si>
  <si>
    <t>Pengelolaan Pelayanan Kesehatan Balita (Puskesmas Sungai Raya)</t>
  </si>
  <si>
    <t>Pengelolaan Pelayanan Kesehatan Balita (Puskesmas Telaga Langsat)</t>
  </si>
  <si>
    <t>Pengelolaan Pelayanan Kesehatan Balita (Puskesmas Wasah)</t>
  </si>
  <si>
    <t>Pengelolaan Pelayanan Kesehatan pada Usia Pendidikan Dasar</t>
  </si>
  <si>
    <t>Jumlah Anak Usia Pendidikan Dasar yang Mendapatkan Pelayanan Kesehatan Sesuai Standar</t>
  </si>
  <si>
    <t>Pengelolaan Pelayanan Kesehatan pada Usia Pendidikan Dasar (Puskesmas Angkinang)</t>
  </si>
  <si>
    <t>Pengelolaan Pelayanan Kesehatan pada Usia Pendidikan Dasar (Puskesmas Bajayau)</t>
  </si>
  <si>
    <t>Pengelolaan Pelayanan Kesehatan pada Usia Pendidikan Dasar (Puskesmas Bamban)</t>
  </si>
  <si>
    <t>Pengelolaan Pelayanan Kesehatan pada Usia Pendidikan Dasar (Puskesmas Baruh Jaya)</t>
  </si>
  <si>
    <t>Pengelolaan Pelayanan Kesehatan pada Usia Pendidikan Dasar (Puskesmas Batang Kulur)</t>
  </si>
  <si>
    <t>Pengelolaan Pelayanan Kesehatan pada Usia Pendidikan Dasar (Puskesmas Bayanan)</t>
  </si>
  <si>
    <t>Pengelolaan Pelayanan Kesehatan pada Usia Pendidikan Dasar (Puskesmas Gambah)</t>
  </si>
  <si>
    <t>Pengelolaan Pelayanan Kesehatan pada Usia Pendidikan Dasar (Puskesmas Jambu Hilir)</t>
  </si>
  <si>
    <t>Pengelolaan Pelayanan Kesehatan pada Usia Pendidikan Dasar (Puskesmas Kaliring)</t>
  </si>
  <si>
    <t>Pengelolaan Pelayanan Kesehatan pada Usia Pendidikan Dasar (Puskesmas Kalumpang)</t>
  </si>
  <si>
    <t>Pengelolaan Pelayanan Kesehatan pada Usia Pendidikan Dasar (Puskesmas Kandangan)</t>
  </si>
  <si>
    <t>Pengelolaan Pelayanan Kesehatan pada Usia Pendidikan Dasar (Puskesmas Loksado)</t>
  </si>
  <si>
    <t>Pengelolaan Pelayanan Kesehatan pada Usia Pendidikan Dasar (Puskesmas Malinau)</t>
  </si>
  <si>
    <t>Pengelolaan Pelayanan Kesehatan pada Usia Pendidikan Dasar (Puskesmas Negara)</t>
  </si>
  <si>
    <t>Pengelolaan Pelayanan Kesehatan pada Usia Pendidikan Dasar (Puskesmas Padang Batung)</t>
  </si>
  <si>
    <t>Pengelolaan Pelayanan Kesehatan pada Usia Pendidikan Dasar (Puskesmas Pasungkan)</t>
  </si>
  <si>
    <t>Pengelolaan Pelayanan Kesehatan pada Usia Pendidikan Dasar (Puskesmas Simpur)</t>
  </si>
  <si>
    <t>Pengelolaan Pelayanan Kesehatan pada Usia Pendidikan Dasar (Puskesmas Sungai Pinang)</t>
  </si>
  <si>
    <t>Pengelolaan Pelayanan Kesehatan pada Usia Pendidikan Dasar (Puskesmas Sungai Raya)</t>
  </si>
  <si>
    <t>Pengelolaan Pelayanan Kesehatan pada Usia Pendidikan Dasar (Puskesmas Telaga Langsat)</t>
  </si>
  <si>
    <t>Pengelolaan Pelayanan Kesehatan pada Usia Pendidikan Dasar (Puskesmas Wasah)</t>
  </si>
  <si>
    <t>Pengelolaan Pelayanan Kesehatan pada Usia Produktif</t>
  </si>
  <si>
    <t>Jumlah Penduduk Usia Produktif yang Mendapatkan Pelayanan Kesehatan Sesuai Standar</t>
  </si>
  <si>
    <t>Pengelolaan Pelayanan Kesehatan pada Usia Produktif (Puskesmas Angkinang)</t>
  </si>
  <si>
    <t>Pengelolaan Pelayanan Kesehatan pada Usia Produktif (Puskesmas Bajayau)</t>
  </si>
  <si>
    <t>Pengelolaan Pelayanan Kesehatan pada Usia Produktif (Puskesmas Bamban)</t>
  </si>
  <si>
    <t>Pengelolaan Pelayanan Kesehatan pada Usia Produktif (Puskesmas Baruh Jaya)</t>
  </si>
  <si>
    <t>Pengelolaan Pelayanan Kesehatan pada Usia Produktif (Puskesmas Batang Kulur)</t>
  </si>
  <si>
    <t>Pengelolaan Pelayanan Kesehatan pada Usia Produktif (Puskesmas Bayanan)</t>
  </si>
  <si>
    <t>Pengelolaan Pelayanan Kesehatan pada Usia Produktif (Puskesmas Gambah)</t>
  </si>
  <si>
    <t>Pengelolaan Pelayanan Kesehatan pada Usia Produktif (Puskesmas Jambu Hilir)</t>
  </si>
  <si>
    <t>Pengelolaan Pelayanan Kesehatan pada Usia Produktif (Puskesmas Kaliring)</t>
  </si>
  <si>
    <t>Pengelolaan Pelayanan Kesehatan pada Usia Produktif (Puskesmas Kalumpang)</t>
  </si>
  <si>
    <t>Pengelolaan Pelayanan Kesehatan pada Usia Produktif (Puskesmas Kandangan)</t>
  </si>
  <si>
    <t>Pengelolaan Pelayanan Kesehatan pada Usia Produktif (Puskesmas Loksado)</t>
  </si>
  <si>
    <t>Pengelolaan Pelayanan Kesehatan pada Usia Produktif (Puskesmas Malinau)</t>
  </si>
  <si>
    <t>Pengelolaan Pelayanan Kesehatan pada Usia Produktif (Puskesmas Negara)</t>
  </si>
  <si>
    <t>Pengelolaan Pelayanan Kesehatan pada Usia Produktif (Puskesmas Padang Batung)</t>
  </si>
  <si>
    <t>Pengelolaan Pelayanan Kesehatan pada Usia Produktif (Puskesmas Pasungkan)</t>
  </si>
  <si>
    <t>Pengelolaan Pelayanan Kesehatan pada Usia Produktif (Puskesmas Simpur)</t>
  </si>
  <si>
    <t>Pengelolaan Pelayanan Kesehatan pada Usia Produktif (Puskesmas Sungai Pinang)</t>
  </si>
  <si>
    <t>Pengelolaan Pelayanan Kesehatan pada Usia Produktif (Puskesmas Sungai Raya)</t>
  </si>
  <si>
    <t>Pengelolaan Pelayanan Kesehatan pada Usia Produktif (Puskesmas Telaga Langsat)</t>
  </si>
  <si>
    <t>Pengelolaan Pelayanan Kesehatan pada Usia Produktif (Puskesmas Wasah)</t>
  </si>
  <si>
    <t>Pengelolaan Pelayanan Kesehatan pada Usia Lanjut</t>
  </si>
  <si>
    <t>Jumlah Penduduk Usia Lanjut yang Mendapatkan Pelayanan Kesehatan Sesuai Standar</t>
  </si>
  <si>
    <t>Pengelolaan Pelayanan Kesehatan pada Usia Lanjut (Puskesmas Angkinang)</t>
  </si>
  <si>
    <t>Pengelolaan Pelayanan Kesehatan pada Usia Lanjut (Puskesmas Bajayau)</t>
  </si>
  <si>
    <t>Pengelolaan Pelayanan Kesehatan pada Usia Lanjut (Puskesmas Bamban)</t>
  </si>
  <si>
    <t>Pengelolaan Pelayanan Kesehatan pada Usia Lanjut (Puskesmas Baruh Jaya)</t>
  </si>
  <si>
    <t>Pengelolaan Pelayanan Kesehatan pada Usia Lanjut (Puskesmas Batang Kulur)</t>
  </si>
  <si>
    <t>Pengelolaan Pelayanan Kesehatan pada Usia Lanjut (Puskesmas Bayanan)</t>
  </si>
  <si>
    <t>Pengelolaan Pelayanan Kesehatan pada Usia Lanjut (Puskesmas Gambah)</t>
  </si>
  <si>
    <t>Pengelolaan Pelayanan Kesehatan pada Usia Lanjut (Puskesmas Jambu Hilir)</t>
  </si>
  <si>
    <t>Pengelolaan Pelayanan Kesehatan pada Usia Lanjut (Puskesmas Kaliring)</t>
  </si>
  <si>
    <t>Pengelolaan Pelayanan Kesehatan pada Usia Lanjut (Puskesmas Kalumpang)</t>
  </si>
  <si>
    <t>Pengelolaan Pelayanan Kesehatan pada Usia Lanjut (Puskesmas Kandangan)</t>
  </si>
  <si>
    <t>Pengelolaan Pelayanan Kesehatan pada Usia Lanjut (Puskesmas Loksado)</t>
  </si>
  <si>
    <t>Pengelolaan Pelayanan Kesehatan pada Usia Lanjut (Puskesmas Malinau)</t>
  </si>
  <si>
    <t>Pengelolaan Pelayanan Kesehatan pada Usia Lanjut (Puskesmas Negara)</t>
  </si>
  <si>
    <t>Pengelolaan Pelayanan Kesehatan pada Usia Lanjut (Puskesmas Padang Batung)</t>
  </si>
  <si>
    <t>Pengelolaan Pelayanan Kesehatan pada Usia Lanjut (Puskesmas Pasungkan)</t>
  </si>
  <si>
    <t>Pengelolaan Pelayanan Kesehatan pada Usia Lanjut (Puskesmas Simpur)</t>
  </si>
  <si>
    <t>Pengelolaan Pelayanan Kesehatan pada Usia Lanjut (Puskesmas Sungai Pinang)</t>
  </si>
  <si>
    <t>Pengelolaan Pelayanan Kesehatan pada Usia Lanjut (Puskesmas Sungai Raya)</t>
  </si>
  <si>
    <t>Pengelolaan Pelayanan Kesehatan pada Usia Lanjut (Puskesmas Telaga Langsat)</t>
  </si>
  <si>
    <t>Pengelolaan Pelayanan Kesehatan pada Usia Lanjut (Puskesmas Wasah)</t>
  </si>
  <si>
    <t>Pengelolaan Pelayanan Kesehatan Penderita Hipertensi</t>
  </si>
  <si>
    <t>Jumlah Penderita Hipertensi yang Mendapatkan Pelayanan Kesehatan Sesuai Standar</t>
  </si>
  <si>
    <t>Pengelolaan Pelayanan Kesehatan Penderita Hipertensi (Puskesmas Loksado)</t>
  </si>
  <si>
    <t>Pengelolaan Pelayanan Kesehatan Penderita Hipertensi (Puskesmas Negara)</t>
  </si>
  <si>
    <t>Pengelolaan Pelayanan Kesehatan Penderita Diabetes Melitus</t>
  </si>
  <si>
    <t>Jumlah Penderita Diabetes Melitus yang Mendapatkan Pelayanan Kesehatan Sesuai Standar</t>
  </si>
  <si>
    <t>Pengelolaan Pelayanan Kesehatan Penderita Diabetes Melitus (Puskesmas Loksado)</t>
  </si>
  <si>
    <t>Pengelolaan Pelayanan Kesehatan Penderita Diabetes Melitus (Puskesmas Negara)</t>
  </si>
  <si>
    <t>Pengelolaan Pelayanan Kesehatan Orang dengan Gangguan Jiwa Berat</t>
  </si>
  <si>
    <t>Jumlah Orang dengan Gangguan Jiwa Berat yang Mendapatkan Pelayanan Kesehatan Sesuai Standar</t>
  </si>
  <si>
    <t>Pengelolaan Pelayanan Kesehatan Orang dengan Gangguan Jiwa Berat (Puskesmas Angkinang)</t>
  </si>
  <si>
    <t>Pengelolaan Pelayanan Kesehatan Orang dengan Gangguan Jiwa Berat (Puskesmas Bajayau)</t>
  </si>
  <si>
    <t>Pengelolaan Pelayanan Kesehatan Orang dengan Gangguan Jiwa Berat (Puskesmas Bayanan)</t>
  </si>
  <si>
    <t>Pengelolaan Pelayanan Kesehatan Orang dengan Gangguan Jiwa Berat (Puskesmas Gambah)</t>
  </si>
  <si>
    <t>Pengelolaan Pelayanan Kesehatan Orang dengan Gangguan Jiwa Berat (Puskesmas Kalumpang)</t>
  </si>
  <si>
    <t>Pengelolaan Pelayanan Kesehatan Orang dengan Gangguan Jiwa Berat (Puskesmas Kandangan)</t>
  </si>
  <si>
    <t>Pengelolaan Pelayanan Kesehatan Orang dengan Gangguan Jiwa Berat (Puskesmas Negara)</t>
  </si>
  <si>
    <t>Pengelolaan Pelayanan Kesehatan Orang dengan Gangguan Jiwa Berat (Puskesmas Padang Batung)</t>
  </si>
  <si>
    <t>Pengelolaan Pelayanan Kesehatan Orang dengan Gangguan Jiwa Berat (Puskesmas Pasungkan)</t>
  </si>
  <si>
    <t>Pengelolaan Pelayanan Kesehatan Orang dengan Gangguan Jiwa Berat (Puskesmas Simpur)</t>
  </si>
  <si>
    <t>Pengelolaan Pelayanan Kesehatan Orang dengan Gangguan Jiwa Berat (Puskesmas Sungai Pinang)</t>
  </si>
  <si>
    <t>Pengelolaan Pelayanan Kesehatan Orang dengan Gangguan Jiwa Berat (Puskesmas Sungai Raya)</t>
  </si>
  <si>
    <t>Pengelolaan Pelayanan Kesehatan Orang dengan Gangguan Jiwa Berat (Puskesmas Telaga Langsat)</t>
  </si>
  <si>
    <t>Pengelolaan Pelayanan Kesehatan Orang dengan Gangguan Jiwa Berat (Puskesmas Wasah)</t>
  </si>
  <si>
    <t>Pengelolaan Pelayanan Kesehatan Orang Terduga Tuberkulosis</t>
  </si>
  <si>
    <t>Jumlah Orang Terduga Menderita Tuberkulosis yang Mendapatkan Pelayanan Kesehatan Sesuai Standar</t>
  </si>
  <si>
    <t>Pengelolaan Pelayanan Kesehatan Orang Terduga Tuberkulosis (Puskesmas Angkinang)</t>
  </si>
  <si>
    <t>Pengelolaan Pelayanan Kesehatan Orang Terduga Tuberkulosis (Puskesmas Bajayau)</t>
  </si>
  <si>
    <t>Pengelolaan Pelayanan Kesehatan Orang Terduga Tuberkulosis (Puskesmas Bamban)</t>
  </si>
  <si>
    <t>Pengelolaan Pelayanan Kesehatan Orang Terduga Tuberkulosis (Puskesmas Baruh Jaya)</t>
  </si>
  <si>
    <t>Pengelolaan Pelayanan Kesehatan Orang Terduga Tuberkulosis (Puskesmas Bayanan)</t>
  </si>
  <si>
    <t>Pengelolaan Pelayanan Kesehatan Orang Terduga Tuberkulosis (Puskesmas Gambah)</t>
  </si>
  <si>
    <t>Pengelolaan Pelayanan Kesehatan Orang Terduga Tuberkulosis (Puskesmas Jambu Hilir)</t>
  </si>
  <si>
    <t>Pengelolaan Pelayanan Kesehatan Orang Terduga Tuberkulosis (Puskesmas Kaliring)</t>
  </si>
  <si>
    <t>Pengelolaan Pelayanan Kesehatan Orang Terduga Tuberkulosis (Puskesmas Kalumpang)</t>
  </si>
  <si>
    <t>Pengelolaan Pelayanan Kesehatan Orang Terduga Tuberkulosis (Puskesmas Kandangan)</t>
  </si>
  <si>
    <t>Pengelolaan Pelayanan Kesehatan Orang Terduga Tuberkulosis (Puskesmas Loksado)</t>
  </si>
  <si>
    <t>Pengelolaan Pelayanan Kesehatan Orang Terduga Tuberkulosis (Puskesmas Malinau)</t>
  </si>
  <si>
    <t>Pengelolaan Pelayanan Kesehatan Orang Terduga Tuberkulosis (Puskesmas Negara)</t>
  </si>
  <si>
    <t>Pengelolaan Pelayanan Kesehatan Orang Terduga Tuberkulosis (Puskesmas Padang Batung)</t>
  </si>
  <si>
    <t>Pengelolaan Pelayanan Kesehatan Orang Terduga Tuberkulosis (Puskesmas Pasungkan)</t>
  </si>
  <si>
    <t>Pengelolaan Pelayanan Kesehatan Orang Terduga Tuberkulosis (Puskesmas Simpur)</t>
  </si>
  <si>
    <t>Pengelolaan Pelayanan Kesehatan Orang Terduga Tuberkulosis (Puskesmas Sungai Pinang)</t>
  </si>
  <si>
    <t>Pengelolaan Pelayanan Kesehatan Orang Terduga Tuberkulosis (Puskesmas Sungai Raya)</t>
  </si>
  <si>
    <t>Pengelolaan Pelayanan Kesehatan Orang Terduga Tuberkulosis (Puskesmas Telaga Langsat)</t>
  </si>
  <si>
    <t>Pengelolaan Pelayanan Kesehatan Orang Terduga Tuberkulosis (Puskesmas Wasah)</t>
  </si>
  <si>
    <t>Pengelolaan Pelayanan Kesehatan Orang dengan Risiko Terinfeksi HIV</t>
  </si>
  <si>
    <t>Jumlah Orang Terduga Menderita HIV yang Mendapatkan Pelayanan Kesehatan Sesuai Standar</t>
  </si>
  <si>
    <t>Pengelolaan Pelayanan Kesehatan Orang dengan Risiko Terinfeksi HIV (Puskesmas Angkinang)</t>
  </si>
  <si>
    <t>Pengelolaan Pelayanan Kesehatan Orang dengan Risiko Terinfeksi HIV (Puskesmas Bajayau)</t>
  </si>
  <si>
    <t>Pengelolaan Pelayanan Kesehatan Orang dengan Risiko Terinfeksi HIV (Puskesmas Bamban)</t>
  </si>
  <si>
    <t>Pengelolaan Pelayanan Kesehatan Orang dengan Risiko Terinfeksi HIV (Puskesmas Baruh Jaya)</t>
  </si>
  <si>
    <t>Pengelolaan Pelayanan Kesehatan Orang dengan Risiko Terinfeksi HIV (Puskesmas Batang Kulur)</t>
  </si>
  <si>
    <t>Pengelolaan Pelayanan Kesehatan Orang dengan Risiko Terinfeksi HIV (Puskesmas Bayanan)</t>
  </si>
  <si>
    <t>Pengelolaan Pelayanan Kesehatan Orang dengan Risiko Terinfeksi HIV (Puskesmas Gambah)</t>
  </si>
  <si>
    <t>Pengelolaan Pelayanan Kesehatan Orang dengan Risiko Terinfeksi HIV (Puskesmas Jambu Hilir)</t>
  </si>
  <si>
    <t>Pengelolaan Pelayanan Kesehatan Orang dengan Risiko Terinfeksi HIV (Puskesmas Kaliring)</t>
  </si>
  <si>
    <t>Pengelolaan Pelayanan Kesehatan Orang dengan Risiko Terinfeksi HIV (Puskesmas Kalumpang)</t>
  </si>
  <si>
    <t>Pengelolaan Pelayanan Kesehatan Orang dengan Risiko Terinfeksi HIV (Puskesmas Kandangan)</t>
  </si>
  <si>
    <t>Pengelolaan Pelayanan Kesehatan Orang dengan Risiko Terinfeksi HIV (Puskesmas Loksado)</t>
  </si>
  <si>
    <t>Pengelolaan Pelayanan Kesehatan Orang dengan Risiko Terinfeksi HIV (Puskesmas Malinau)</t>
  </si>
  <si>
    <t>Pengelolaan Pelayanan Kesehatan Orang dengan Risiko Terinfeksi HIV (Puskesmas Negara)</t>
  </si>
  <si>
    <t>Pengelolaan Pelayanan Kesehatan Orang dengan Risiko Terinfeksi HIV (Puskesmas Padang Batung)</t>
  </si>
  <si>
    <t>Pengelolaan Pelayanan Kesehatan Orang dengan Risiko Terinfeksi HIV (Puskesmas Pasungkan)</t>
  </si>
  <si>
    <t>Pengelolaan Pelayanan Kesehatan Orang dengan Risiko Terinfeksi HIV (Puskesmas Simpur)</t>
  </si>
  <si>
    <t>Pengelolaan Pelayanan Kesehatan Orang dengan Risiko Terinfeksi HIV (Puskesmas Sungai Pinang)</t>
  </si>
  <si>
    <t>Pengelolaan Pelayanan Kesehatan bagi Penduduk pada Kondisi Kejadian Luar Biasa (KLB)</t>
  </si>
  <si>
    <t>Jumlah Dokumen Hasil Pengelolaan Pelayanan Kesehatan bagi Penduduk pada Kondisi Kejadian Luar Biasa (KLB) Sesuai Standar</t>
  </si>
  <si>
    <t>Pengelolaan Pelayanan Kesehatan bagi Penduduk pada Kondisi Kejadian Luar Biasa (KLB) (Puskesmas Angkinang)</t>
  </si>
  <si>
    <t>Pengelolaan Pelayanan Kesehatan bagi Penduduk pada Kondisi Kejadian Luar Biasa (KLB) (Puskesmas Bajayau)</t>
  </si>
  <si>
    <t>Pengelolaan Pelayanan Kesehatan bagi Penduduk pada Kondisi Kejadian Luar Biasa (KLB) (Puskesmas Bamban)</t>
  </si>
  <si>
    <t>Pengelolaan Pelayanan Kesehatan bagi Penduduk pada Kondisi Kejadian Luar Biasa (KLB) (Puskesmas Baruh Jaya)</t>
  </si>
  <si>
    <t>Pengelolaan Pelayanan Kesehatan bagi Penduduk pada Kondisi Kejadian Luar Biasa (KLB) (Puskesmas Batang Kulur)</t>
  </si>
  <si>
    <t>Pengelolaan Pelayanan Kesehatan bagi Penduduk pada Kondisi Kejadian Luar Biasa (KLB) (Puskesmas Bayanan)</t>
  </si>
  <si>
    <t>Pengelolaan Pelayanan Kesehatan bagi Penduduk pada Kondisi Kejadian Luar Biasa (KLB) (Puskesmas Gambah)</t>
  </si>
  <si>
    <t>Pengelolaan Pelayanan Kesehatan bagi Penduduk pada Kondisi Kejadian Luar Biasa (KLB) (Puskesmas Jambu Hilir)</t>
  </si>
  <si>
    <t>Pengelolaan Pelayanan Kesehatan bagi Penduduk pada Kondisi Kejadian Luar Biasa (KLB) (Puskesmas Kaliring)</t>
  </si>
  <si>
    <t>Pengelolaan Pelayanan Kesehatan bagi Penduduk pada Kondisi Kejadian Luar Biasa (KLB) (Puskesmas Kalumpang)</t>
  </si>
  <si>
    <t>Pengelolaan Pelayanan Kesehatan bagi Penduduk pada Kondisi Kejadian Luar Biasa (KLB) (Puskesmas Kandangan)</t>
  </si>
  <si>
    <t>Pengelolaan Pelayanan Kesehatan bagi Penduduk pada Kondisi Kejadian Luar Biasa (KLB) (Puskesmas Loksado)</t>
  </si>
  <si>
    <t>Pengelolaan Pelayanan Kesehatan bagi Penduduk pada Kondisi Kejadian Luar Biasa (KLB) (Puskesmas Malinau)</t>
  </si>
  <si>
    <t>Pengelolaan Pelayanan Kesehatan bagi Penduduk pada Kondisi Kejadian Luar Biasa (KLB) (Puskesmas Negara)</t>
  </si>
  <si>
    <t>Pengelolaan Pelayanan Kesehatan bagi Penduduk pada Kondisi Kejadian Luar Biasa (KLB) (Puskesmas Padang Batung)</t>
  </si>
  <si>
    <t>Pengelolaan Pelayanan Kesehatan bagi Penduduk pada Kondisi Kejadian Luar Biasa (KLB) (Puskesmas Pasungkan)</t>
  </si>
  <si>
    <t>Pengelolaan Pelayanan Kesehatan bagi Penduduk pada Kondisi Kejadian Luar Biasa (KLB) (Puskesmas Simpur)</t>
  </si>
  <si>
    <t>Pengelolaan Pelayanan Kesehatan bagi Penduduk pada Kondisi Kejadian Luar Biasa (KLB) (Puskesmas Sungai Raya)</t>
  </si>
  <si>
    <t>Pengelolaan Pelayanan Kesehatan bagi Penduduk pada Kondisi Kejadian Luar Biasa (KLB) (Puskesmas Telaga Langsat)</t>
  </si>
  <si>
    <t>Pengelolaan Pelayanan Kesehatan bagi Penduduk pada Kondisi Kejadian Luar Biasa (KLB) (Puskesmas Wasah)</t>
  </si>
  <si>
    <t>Pengelolaan Pelayanan Kesehatan Gizi Masyarakat</t>
  </si>
  <si>
    <t>Jumlah Dokumen Hasil Pengelolaan Pelayanan Kesehatan Gizi Masyarakat</t>
  </si>
  <si>
    <t>Pengelolaan Pelayanan Kesehatan Gizi Masyarakat (Puskesmas Angkinang)</t>
  </si>
  <si>
    <t>Pengelolaan Pelayanan Kesehatan Gizi Masyarakat (Puskesmas Bajayau)</t>
  </si>
  <si>
    <t>Pengelolaan Pelayanan Kesehatan Gizi Masyarakat (Puskesmas Bamban)</t>
  </si>
  <si>
    <t>Pengelolaan Pelayanan Kesehatan Gizi Masyarakat (Puskesmas Baruh Jaya)</t>
  </si>
  <si>
    <t>Pengelolaan Pelayanan Kesehatan Gizi Masyarakat (Puskesmas Batang Kulur)</t>
  </si>
  <si>
    <t>Pengelolaan Pelayanan Kesehatan Gizi Masyarakat (Puskesmas Gambah)</t>
  </si>
  <si>
    <t>Pengelolaan Pelayanan Kesehatan Gizi Masyarakat (Puskesmas Jambu Hilir)</t>
  </si>
  <si>
    <t>Pengelolaan Pelayanan Kesehatan Gizi Masyarakat (Puskesmas Kaliring)</t>
  </si>
  <si>
    <t>Pengelolaan Pelayanan Kesehatan Gizi Masyarakat (Puskesmas Kalumpang)</t>
  </si>
  <si>
    <t>Pengelolaan Pelayanan Kesehatan Gizi Masyarakat (Puskesmas Kandangan)</t>
  </si>
  <si>
    <t>Pengelolaan Pelayanan Kesehatan Gizi Masyarakat (Puskesmas Loksado)</t>
  </si>
  <si>
    <t>Pengelolaan Pelayanan Kesehatan Gizi Masyarakat (Puskesmas Malinau)</t>
  </si>
  <si>
    <t>Pengelolaan Pelayanan Kesehatan Gizi Masyarakat (Puskesmas Negara)</t>
  </si>
  <si>
    <t>Pengelolaan Pelayanan Kesehatan Gizi Masyarakat (Puskesmas Padang Batung)</t>
  </si>
  <si>
    <t>Pengelolaan Pelayanan Kesehatan Gizi Masyarakat (Puskesmas Pasungkan)</t>
  </si>
  <si>
    <t>Pengelolaan Pelayanan Kesehatan Gizi Masyarakat (Puskesmas Simpur)</t>
  </si>
  <si>
    <t>Pengelolaan Pelayanan Kesehatan Gizi Masyarakat (Puskesmas Sungai Pinang)</t>
  </si>
  <si>
    <t>Pengelolaan Pelayanan Kesehatan Gizi Masyarakat (Puskesmas Sungai Raya)</t>
  </si>
  <si>
    <t>Pengelolaan Pelayanan Kesehatan Gizi Masyarakat (Puskesmas Telaga Langsat)</t>
  </si>
  <si>
    <t>Pengelolaan Pelayanan Kesehatan Gizi Masyarakat (Puskesmas Wasah)</t>
  </si>
  <si>
    <t>Pengelolaan Pelayanan Kesehatan Kerja dan Olahraga</t>
  </si>
  <si>
    <t>Jumlah Dokumen Hasil Pengelolaan Pelayanan Kesehatan Kerja dan Olahraga</t>
  </si>
  <si>
    <t>Pengelolaan Pelayanan Kesehatan Kerja dan Olahraga (Puskesmas Angkinang)</t>
  </si>
  <si>
    <t>Pengelolaan Pelayanan Kesehatan Kerja dan Olahraga (Puskesmas Bamban)</t>
  </si>
  <si>
    <t>Pengelolaan Pelayanan Kesehatan Kerja dan Olahraga (Puskesmas Baruh Jaya)</t>
  </si>
  <si>
    <t>Pengelolaan Pelayanan Kesehatan Kerja dan Olahraga (Puskesmas Batang Kulur)</t>
  </si>
  <si>
    <t>Pengelolaan Pelayanan Kesehatan Kerja dan Olahraga (Puskesmas Bayanan)</t>
  </si>
  <si>
    <t>Pengelolaan Pelayanan Kesehatan Kerja dan Olahraga (Puskesmas Gambah)</t>
  </si>
  <si>
    <t>Pengelolaan Pelayanan Kesehatan Kerja dan Olahraga (Puskesmas Jambu Hilir)</t>
  </si>
  <si>
    <t>Pengelolaan Pelayanan Kesehatan Kerja dan Olahraga (Puskesmas Kaliring)</t>
  </si>
  <si>
    <t>Pengelolaan Pelayanan Kesehatan Kerja dan Olahraga (Puskesmas Kalumpang)</t>
  </si>
  <si>
    <t>Pengelolaan Pelayanan Kesehatan Kerja dan Olahraga (Puskesmas Kandangan)</t>
  </si>
  <si>
    <t>Pengelolaan Pelayanan Kesehatan Kerja dan Olahraga (Puskesmas Loksado)</t>
  </si>
  <si>
    <t>Pengelolaan Pelayanan Kesehatan Kerja dan Olahraga (Puskesmas Malinau)</t>
  </si>
  <si>
    <t>Pengelolaan Pelayanan Kesehatan Kerja dan Olahraga (Puskesmas Negara)</t>
  </si>
  <si>
    <t>Pengelolaan Pelayanan Kesehatan Kerja dan Olahraga (Puskesmas Padang Batung)</t>
  </si>
  <si>
    <t>Pengelolaan Pelayanan Kesehatan Kerja dan Olahraga (Puskesmas Simpur)</t>
  </si>
  <si>
    <t>Pengelolaan Pelayanan Kesehatan Kerja dan Olahraga (Puskesmas Sungai Pinang)</t>
  </si>
  <si>
    <t>Pengelolaan Pelayanan Kesehatan Kerja dan Olahraga (Puskesmas Sungai Raya)</t>
  </si>
  <si>
    <t>Pengelolaan Pelayanan Kesehatan Kerja dan Olahraga (Puskesmas Telaga Langsat)</t>
  </si>
  <si>
    <t>Pengelolaan Pelayanan Kesehatan Kerja dan Olahraga (Puskesmas Wasah)</t>
  </si>
  <si>
    <t>Pengelolaan Pelayanan Kesehatan Lingkungan</t>
  </si>
  <si>
    <t>Jumlah Dokumen Hasil Pengelolaan Pelayanan Kesehatan Lingkungan</t>
  </si>
  <si>
    <t>Pengelolaan Pelayanan Kesehatan Lingkungan (Puskesmas Angkinang)</t>
  </si>
  <si>
    <t>Pengelolaan Pelayanan Kesehatan Lingkungan (Puskesmas Bajayau)</t>
  </si>
  <si>
    <t>Pengelolaan Pelayanan Kesehatan Lingkungan (Puskesmas Bamban)</t>
  </si>
  <si>
    <t>Pengelolaan Pelayanan Kesehatan Lingkungan (Puskesmas Baruh Jaya)</t>
  </si>
  <si>
    <t>Pengelolaan Pelayanan Kesehatan Lingkungan (Puskesmas Batang Kulur)</t>
  </si>
  <si>
    <t>Pengelolaan Pelayanan Kesehatan Lingkungan (Puskesmas Bayanan)</t>
  </si>
  <si>
    <t>Pengelolaan Pelayanan Kesehatan Lingkungan (Puskesmas Gambah)</t>
  </si>
  <si>
    <t>Pengelolaan Pelayanan Kesehatan Lingkungan (Puskesmas Jambu Hilir)</t>
  </si>
  <si>
    <t>Pengelolaan Pelayanan Kesehatan Lingkungan (Puskesmas Kaliring)</t>
  </si>
  <si>
    <t>Pengelolaan Pelayanan Kesehatan Lingkungan (Puskesmas Kalumpang)</t>
  </si>
  <si>
    <t>Pengelolaan Pelayanan Kesehatan Lingkungan (Puskesmas Kandangan)</t>
  </si>
  <si>
    <t>Pengelolaan Pelayanan Kesehatan Lingkungan (Puskesmas Loksado)</t>
  </si>
  <si>
    <t>Pengelolaan Pelayanan Kesehatan Lingkungan (Puskesmas Malinau)</t>
  </si>
  <si>
    <t>Pengelolaan Pelayanan Kesehatan Lingkungan (Puskesmas Negara)</t>
  </si>
  <si>
    <t>Pengelolaan Pelayanan Kesehatan Lingkungan (Puskesmas Padang Batung)</t>
  </si>
  <si>
    <t>Pengelolaan Pelayanan Kesehatan Lingkungan (Puskesmas Pasungkan)</t>
  </si>
  <si>
    <t>Pengelolaan Pelayanan Kesehatan Lingkungan (Puskesmas Simpur)</t>
  </si>
  <si>
    <t>Pengelolaan Pelayanan Kesehatan Lingkungan (Puskesmas Sungai Pinang)</t>
  </si>
  <si>
    <t>Pengelolaan Pelayanan Kesehatan Lingkungan (Puskesmas Sungai Raya)</t>
  </si>
  <si>
    <t>Pengelolaan Pelayanan Kesehatan Lingkungan (Puskesmas Telaga Langsat)</t>
  </si>
  <si>
    <t>Pengelolaan Pelayanan Kesehatan Lingkungan (Puskesmas Wasah)</t>
  </si>
  <si>
    <t>Pengelolaan Pelayanan Promosi Kesehatan</t>
  </si>
  <si>
    <t>Jumlah Dokumen Hasil Pengelolaan Pelayanan Promosi Kesehatan</t>
  </si>
  <si>
    <t>Pengelolaan Pelayanan Promosi Kesehatan (Puskesmas Angkinang)</t>
  </si>
  <si>
    <t>Pengelolaan Pelayanan Promosi Kesehatan (Puskesmas Bajayau)</t>
  </si>
  <si>
    <t>Pengelolaan Pelayanan Promosi Kesehatan (Puskesmas Bamban)</t>
  </si>
  <si>
    <t>Pengelolaan Pelayanan Promosi Kesehatan (Puskesmas Baruh Jaya)</t>
  </si>
  <si>
    <t>Pengelolaan Pelayanan Promosi Kesehatan (Puskesmas Batang Kulur)</t>
  </si>
  <si>
    <t>Pengelolaan Pelayanan Promosi Kesehatan (Puskesmas Gambah)</t>
  </si>
  <si>
    <t>Pengelolaan Pelayanan Promosi Kesehatan (Puskesmas Jambu Hilir)</t>
  </si>
  <si>
    <t>Pengelolaan Pelayanan Promosi Kesehatan (Puskesmas Kaliring)</t>
  </si>
  <si>
    <t>Pengelolaan Pelayanan Promosi Kesehatan (Puskesmas Kalumpang)</t>
  </si>
  <si>
    <t>Pengelolaan Pelayanan Promosi Kesehatan (Puskesmas Kandangan)</t>
  </si>
  <si>
    <t>Pengelolaan Pelayanan Promosi Kesehatan (Puskesmas Loksado)</t>
  </si>
  <si>
    <t>Pengelolaan Pelayanan Promosi Kesehatan (Puskesmas Malinau)</t>
  </si>
  <si>
    <t>Pengelolaan Pelayanan Promosi Kesehatan (Puskesmas Negara)</t>
  </si>
  <si>
    <t>Pengelolaan Pelayanan Promosi Kesehatan (Puskesmas Padang Batung)</t>
  </si>
  <si>
    <t>Pengelolaan Pelayanan Promosi Kesehatan (Puskesmas Pasungkan)</t>
  </si>
  <si>
    <t>Pengelolaan Pelayanan Promosi Kesehatan (Puskesmas Simpur)</t>
  </si>
  <si>
    <t>Pengelolaan Pelayanan Promosi Kesehatan (Puskesmas Sungai Pinang)</t>
  </si>
  <si>
    <t>Pengelolaan Pelayanan Promosi Kesehatan (Puskesmas Sungai Raya)</t>
  </si>
  <si>
    <t>Pengelolaan Pelayanan Promosi Kesehatan (Puskesmas Telaga Langsat)</t>
  </si>
  <si>
    <t>Pengelolaan Pelayanan Promosi Kesehatan (Puskesmas Wasah)</t>
  </si>
  <si>
    <t>Pengelolaan Pelayanan Kesehatan Tradisional, Akupuntur, Asuhan Mandiri dan Tradisional Lainnya</t>
  </si>
  <si>
    <t>Jumlah Dokumen Hasil Pengelolaan Pelayanan Kesehatan Tradisional, Akupuntur, Asuhan Mandiri dan Tradisional Lainnya</t>
  </si>
  <si>
    <t>Pengelolaan Pelayanan Kesehatan Tradisional, Akupuntur, Asuhan Mandiri dan Tradisional Lainnya (Puskesmas Jambu Hilir)</t>
  </si>
  <si>
    <t>Pengelolaan Surveilans Kesehatan</t>
  </si>
  <si>
    <t>Jumlah Dokumen Hasil Pengelolaan Surveilans Kesehatan</t>
  </si>
  <si>
    <t>Pengelolaan Surveilans Kesehatan (Puskesmas Baruh Jaya)</t>
  </si>
  <si>
    <t>Pengelolaan Surveilans Kesehatan (Puskesmas Malinau)</t>
  </si>
  <si>
    <t>Pengelolaan Surveilans Kesehatan (Puskesmas Pasungkan)</t>
  </si>
  <si>
    <t>Pengelolaan Surveilans Kesehatan (Puskesmas Simpur)</t>
  </si>
  <si>
    <t>Pengelolaan Surveilans Kesehatan (Puskesmas Wasah)</t>
  </si>
  <si>
    <t>Pengelolaan Pelayanan Kesehatan Jiwa dan NAPZA (Puskesmas Bamban)</t>
  </si>
  <si>
    <t>Jumlah Penyalahguna NAPZA yang Mendapatkan Pelayanan Kesehatan</t>
  </si>
  <si>
    <t>Pengelolaan Pelayanan Kesehatan Jiwa dan NAPZA (Puskesmas Baruh Jaya)</t>
  </si>
  <si>
    <t>Pengelolaan Pelayanan Kesehatan Jiwa dan NAPZA (Puskesmas Batang Kulur)</t>
  </si>
  <si>
    <t>Pengelolaan Pelayanan Kesehatan Jiwa dan NAPZA (Puskesmas Jambu Hilir)</t>
  </si>
  <si>
    <t>Pengelolaan Pelayanan Kesehatan Jiwa dan NAPZA (Puskesmas Kaliring)</t>
  </si>
  <si>
    <t>Pengelolaan Pelayanan Kesehatan Jiwa dan NAPZA (Puskesmas Loksado)</t>
  </si>
  <si>
    <t>Pengelolaan Pelayanan Kesehatan Jiwa dan NAPZA (Puskesmas Malinau)</t>
  </si>
  <si>
    <t>Pengelolaan Pelayanan Kesehatan Jiwa dan NAPZA (Puskesmas Simpur)</t>
  </si>
  <si>
    <t>Pengelolaan Pelayanan Kesehatan Jiwa dan NAPZA (Puskesmas Wasah)</t>
  </si>
  <si>
    <t>Pelayanan Kesehatan Penyakit Menular dan Tidak Menular</t>
  </si>
  <si>
    <t>Jumlah Dokumen Hasil Pelayanan Kesehatan Penyakit Menular dan Tidak Menular</t>
  </si>
  <si>
    <t>Pelayanan Kesehatan Penyakit Menular dan Tidak Menular (Puskesmas Angkinang)</t>
  </si>
  <si>
    <t>Pelayanan Kesehatan Penyakit Menular dan Tidak Menular (Puskesmas Bajayau)</t>
  </si>
  <si>
    <t>Pelayanan Kesehatan Penyakit Menular dan Tidak Menular (Puskesmas Bamban)</t>
  </si>
  <si>
    <t>Pelayanan Kesehatan Penyakit Menular dan Tidak Menular (Puskesmas Baruh Jaya)</t>
  </si>
  <si>
    <t>Pelayanan Kesehatan Penyakit Menular dan Tidak Menular (Puskesmas Batang Kulur)</t>
  </si>
  <si>
    <t>Pelayanan Kesehatan Penyakit Menular dan Tidak Menular (Puskesmas Bayanan)</t>
  </si>
  <si>
    <t>Pelayanan Kesehatan Penyakit Menular dan Tidak Menular (Puskesmas Gambah)</t>
  </si>
  <si>
    <t>Pelayanan Kesehatan Penyakit Menular dan Tidak Menular (Puskesmas Jambu Hilir)</t>
  </si>
  <si>
    <t>Pelayanan Kesehatan Penyakit Menular dan Tidak Menular (Puskesmas Kaliring)</t>
  </si>
  <si>
    <t>Pelayanan Kesehatan Penyakit Menular dan Tidak Menular (Puskesmas Kalumpang)</t>
  </si>
  <si>
    <t>Pelayanan Kesehatan Penyakit Menular dan Tidak Menular (Puskesmas Kandangan)</t>
  </si>
  <si>
    <t>Pelayanan Kesehatan Penyakit Menular dan Tidak Menular (Puskesmas Loksado)</t>
  </si>
  <si>
    <t>Pelayanan Kesehatan Penyakit Menular dan Tidak Menular (Puskesmas Malinau)</t>
  </si>
  <si>
    <t>Pelayanan Kesehatan Penyakit Menular dan Tidak Menular (Puskesmas Negara)</t>
  </si>
  <si>
    <t>Pelayanan Kesehatan Penyakit Menular dan Tidak Menular (Puskesmas Padang Batung)</t>
  </si>
  <si>
    <t>Pelayanan Kesehatan Penyakit Menular dan Tidak Menular (Puskesmas Pasungkan)</t>
  </si>
  <si>
    <t>Pelayanan Kesehatan Penyakit Menular dan Tidak Menular (Puskesmas Simpur)</t>
  </si>
  <si>
    <t>Pelayanan Kesehatan Penyakit Menular dan Tidak Menular (Puskesmas Sungai Pinang)</t>
  </si>
  <si>
    <t>Pelayanan Kesehatan Penyakit Menular dan Tidak Menular (Puskesmas Sungai Raya)</t>
  </si>
  <si>
    <t>Pelayanan Kesehatan Penyakit Menular dan Tidak Menular (Puskesmas Telaga Langsat)</t>
  </si>
  <si>
    <t>Pelayanan Kesehatan Penyakit Menular dan Tidak Menular (Puskesmas Wasah)</t>
  </si>
  <si>
    <t>Pengelolaan Jaminan Kesehatan Masyarakat</t>
  </si>
  <si>
    <t>Jumlah Dokumen Hasil Pengelolaan Jaminan Kesehatan Masyarakat</t>
  </si>
  <si>
    <t>Penyelenggaraan Kabupaten/Kota Sehat</t>
  </si>
  <si>
    <t>Jumlah Dokumen Hasil Penyelenggaraan Kabupaten/Kota Sehat</t>
  </si>
  <si>
    <t>Operasional Pelayanan Puskesmas</t>
  </si>
  <si>
    <t>Jumlah Dokumen Operasional Pelayanan Puskesmas</t>
  </si>
  <si>
    <t>Operasional Pelayanan Puskesmas (Puskesmas Angkinang)</t>
  </si>
  <si>
    <t>Operasional Pelayanan Puskesmas (Puskesmas Bajayau)</t>
  </si>
  <si>
    <t>Operasional Pelayanan Puskesmas (Puskesmas Bamban)</t>
  </si>
  <si>
    <t>Operasional Pelayanan Puskesmas (Puskesmas Baruh Jaya)</t>
  </si>
  <si>
    <t>Operasional Pelayanan Puskesmas (Puskesmas Batang Kulur)</t>
  </si>
  <si>
    <t>Operasional Pelayanan Puskesmas (Puskesmas Bayanan)</t>
  </si>
  <si>
    <t>Operasional Pelayanan Puskesmas (Puskesmas Gambah)</t>
  </si>
  <si>
    <t>Operasional Pelayanan Puskesmas (Puskesmas Jambu Hilir)</t>
  </si>
  <si>
    <t>Operasional Pelayanan Puskesmas (Puskesmas Kaliring)</t>
  </si>
  <si>
    <t>Operasional Pelayanan Puskesmas (Puskesmas Kalumpang)</t>
  </si>
  <si>
    <t>Operasional Pelayanan Puskesmas (Puskesmas Kandangan)</t>
  </si>
  <si>
    <t>Operasional Pelayanan Puskesmas (Puskesmas Loksado)</t>
  </si>
  <si>
    <t>Operasional Pelayanan Puskesmas (Puskesmas Malinau)</t>
  </si>
  <si>
    <t>Operasional Pelayanan Puskesmas (Puskesmas Negara)</t>
  </si>
  <si>
    <t>Operasional Pelayanan Puskesmas (Puskesmas Padang Batung)</t>
  </si>
  <si>
    <t>Operasional Pelayanan Puskesmas (Puskesmas Pasungkan)</t>
  </si>
  <si>
    <t>Operasional Pelayanan Puskesmas (Puskesmas Simpur)</t>
  </si>
  <si>
    <t>Operasional Pelayanan Puskesmas (Puskesmas Sungai Pinang)</t>
  </si>
  <si>
    <t>Operasional Pelayanan Puskesmas (Puskesmas Sungai Raya)</t>
  </si>
  <si>
    <t>Operasional Pelayanan Puskesmas (Puskesmas Telaga Langsat)</t>
  </si>
  <si>
    <t>Operasional Pelayanan Puskesmas (Puskesmas Wasah)</t>
  </si>
  <si>
    <t>30116722.50</t>
  </si>
  <si>
    <t>Operasional Pelayanan Fasilitas Kesehatan Lainnya</t>
  </si>
  <si>
    <t>Jumlah Dokumen Operasional Pelayanan Fasilitas Kesehatan Lainnya</t>
  </si>
  <si>
    <t>Pelaksanaan Akreditasi Fasilitas Kesehatan di Kabupaten/Kota</t>
  </si>
  <si>
    <t>Jumlah Fasilitas Kesehatan yang Terakreditasi di Kabupaten/Kota</t>
  </si>
  <si>
    <t>Pengelolaan Pelayanan Kesehatan bagi Penduduk Terdampak Krisis Kesehatan Akibat Bencana dan/atau Berpotensi Bencana</t>
  </si>
  <si>
    <t>Jumlah Dokumen Hasil Pengelolaan Pelayanan Kesehatan bagi Penduduk Terdampak Krisis Kesehatan Akibat Bencana dan/atau Berpotensi Bencana Sesuai Standar</t>
  </si>
  <si>
    <t>Penyelenggaraan Sistem Informasi Kesehatan secara Terintegrasi</t>
  </si>
  <si>
    <t>Terlaksananya Pengelolaan Sistem Informasi Kesehatan</t>
  </si>
  <si>
    <t>Pengelolaan Sistem Informasi Kesehatan</t>
  </si>
  <si>
    <t>Jumlah Dokumen Hasil Pengelolaan Sistem Informasi Kesehatan</t>
  </si>
  <si>
    <t>Tersedianya Alat/Perangkat  Sistem Informasi Kesehatan dan Jaringan Internet</t>
  </si>
  <si>
    <t>Pengadaan Alat/Perangkat Sistem Informasi Kesehatan dan Jaringan Internet</t>
  </si>
  <si>
    <t>Jumlah Alat/Perangkat Sistem Informasi Kesehatan dan Jaringan Internet yang Disediakan</t>
  </si>
  <si>
    <t>Penerbitan Izin Rumah Sakit Kelas C dan D serta Fasilitas Pelayanan Kesehatan Tingkat Daerah Kabupaten/Kota</t>
  </si>
  <si>
    <t>Faskes</t>
  </si>
  <si>
    <t>Peningkatan Tata Kelola Rumah Sakit dan Fasilitas Pelayanan Kesehatan Tingkat Daerah Kabupaten/Kota</t>
  </si>
  <si>
    <t xml:space="preserve">Jumlah Rumah Sakit dan Fasilitas Pelayanan Kesehatan Tingkat Daerah Kabupaten/Kota yang Melakukan Peningkatan Tata Kelola Sesuai Standar
</t>
  </si>
  <si>
    <t>Peningkatan Mutu Pelayanan Fasilitas Kesehatan</t>
  </si>
  <si>
    <t>Jumlah Fasilitas Kesehatan yang Dilakukan Pengukuran Indikator Nasional Mutu (INM) Pelayanan kesehatan</t>
  </si>
  <si>
    <t>Program Peningkatan Kapasitas Sumber Daya Manusia Kesehatan</t>
  </si>
  <si>
    <t>Meningkatnya ketersediaan tenaga kesehatan yang kompeten</t>
  </si>
  <si>
    <t>Perencanaan Kebutuhan dan Pendayagunaan Sumberdaya Manusia Kesehatan untuk UKP dan UKM di Wilayah Kabupaten/Kota</t>
  </si>
  <si>
    <t>ratio Tenaga Kesehatan (dokter, bidan, perawat, Kesmas, Sanitarian, Gizi)</t>
  </si>
  <si>
    <t xml:space="preserve">Dokter umum  1:2500  Bidan 1:1000  Perawat 1:855 Kesmas 1: 6667  Sanitarian 1: 5556 Gizi 1: 7143 </t>
  </si>
  <si>
    <t>Dokter umum  1:4471 Bidan 1:740 Perawat 1:429 Kesmas 1: 10857  Sanitarian 1 : 6909   Gizi 1: 4146</t>
  </si>
  <si>
    <t>Dokter umum  1:2500  Bidan 1:1000  Perawat 1:855  Kesmas 1: 6667  Sanitarian 1: 5556 Gizi 1: 7143</t>
  </si>
  <si>
    <t>Dokter umum  1:4471  Bidan 1:740 Perawat 1:429 Kesmas 1: 19500 Sanitarian 1: 7862 Gizi 1: 13800</t>
  </si>
  <si>
    <t>Pemenuhan Kebutuhan Sumber Daya Manusia Kesehatan sesuai Standar</t>
  </si>
  <si>
    <t>Jumlah Sumber Daya Manusia Kesehatan yang Memenuhi Standar di Fasilitas Pelayanan Kesehatan (Fasyankes)</t>
  </si>
  <si>
    <t>Pemenuhan Kebutuhan Sumber Daya Manusia Kesehatan sesuai Standar (Puskesmas Angkinang)</t>
  </si>
  <si>
    <t>Pemenuhan Kebutuhan Sumber Daya Manusia Kesehatan sesuai Standar (Puskesmas Bajayau)</t>
  </si>
  <si>
    <t>Pemenuhan Kebutuhan Sumber Daya Manusia Kesehatan sesuai Standar (Puskesmas Bamban)</t>
  </si>
  <si>
    <t>Pemenuhan Kebutuhan Sumber Daya Manusia Kesehatan sesuai Standar (Puskesmas Baruh Jaya)</t>
  </si>
  <si>
    <t>Pemenuhan Kebutuhan Sumber Daya Manusia Kesehatan sesuai Standar (Puskesmas Batang Kulur)</t>
  </si>
  <si>
    <t>Pemenuhan Kebutuhan Sumber Daya Manusia Kesehatan sesuai Standar (Puskesmas Bayanan)</t>
  </si>
  <si>
    <t>Pemenuhan Kebutuhan Sumber Daya Manusia Kesehatan sesuai Standar (Puskesmas Gambah)</t>
  </si>
  <si>
    <t>Pemenuhan Kebutuhan Sumber Daya Manusia Kesehatan sesuai Standar (Puskesmas Jambu Hilir)</t>
  </si>
  <si>
    <t>Pemenuhan Kebutuhan Sumber Daya Manusia Kesehatan sesuai Standar (Puskesmas Kaliring)</t>
  </si>
  <si>
    <t>Pemenuhan Kebutuhan Sumber Daya Manusia Kesehatan sesuai Standar (Puskesmas Kalumpang)</t>
  </si>
  <si>
    <t>Pemenuhan Kebutuhan Sumber Daya Manusia Kesehatan sesuai Standar (Puskesmas Kandangan)</t>
  </si>
  <si>
    <t>Pemenuhan Kebutuhan Sumber Daya Manusia Kesehatan sesuai Standar (Puskesmas Loksado)</t>
  </si>
  <si>
    <t>Pemenuhan Kebutuhan Sumber Daya Manusia Kesehatan sesuai Standar (Puskesmas Malinau)</t>
  </si>
  <si>
    <t>Pemenuhan Kebutuhan Sumber Daya Manusia Kesehatan sesuai Standar (Puskesmas Negara)</t>
  </si>
  <si>
    <t>Pemenuhan Kebutuhan Sumber Daya Manusia Kesehatan sesuai Standar (Puskesmas Padang Batung)</t>
  </si>
  <si>
    <t>Pemenuhan Kebutuhan Sumber Daya Manusia Kesehatan sesuai Standar (Puskesmas Pasungkan)</t>
  </si>
  <si>
    <t>Pemenuhan Kebutuhan Sumber Daya Manusia Kesehatan sesuai Standar (Puskesmas Simpur)</t>
  </si>
  <si>
    <t>Pemenuhan Kebutuhan Sumber Daya Manusia Kesehatan sesuai Standar (Puskesmas Sungai Pinang)</t>
  </si>
  <si>
    <t>Pemenuhan Kebutuhan Sumber Daya Manusia Kesehatan sesuai Standar (Puskesmas Sungai Raya)</t>
  </si>
  <si>
    <t>Pemenuhan Kebutuhan Sumber Daya Manusia Kesehatan sesuai Standar (Puskesmas Telaga Langsat)</t>
  </si>
  <si>
    <t>Pemenuhan Kebutuhan Sumber Daya Manusia Kesehatan sesuai Standar (Puskesmas Wasah)</t>
  </si>
  <si>
    <t>Pengembangan Mutu dan Peningkatan Kompetensi Teknis Sumber Daya Manusia Kesehatan Tingkat Daerah Kabupaten/Kota</t>
  </si>
  <si>
    <t>Jumlah Sumber Daya Manusia Kesehatan Tingkat Daerah Kabupaten/Kota yang Ditingkatkan Mutu dan Kompetensinya</t>
  </si>
  <si>
    <t>Program Sediaan Farmasi, Alat Kesehatan Dan Makanan Minuman</t>
  </si>
  <si>
    <t>Pemberian Izin Apotek, Toko Obat, Toko Alat Kesehatan dan Optikal, Usaha Mikro Obat Tradisional (UMOT)</t>
  </si>
  <si>
    <t>Pengendalian dan Pengawasan serta Tindak Lanjut Pengawasan Perizinan Apotek, Toko Obat, Toko Alat Kesehatan, dan Optikal, Usaha Mikro Obat Tradisional (UMOT)</t>
  </si>
  <si>
    <t>Jumlah Dokumen Hasil Pengendalian dan Pengawasan serta Tindak Lanjut Pengawasan Perizinan Apotek, Toko Obat, Toko Alat Kesehatan, dan Optikal, Usaha Mikro Obat Tradisional (UMOT)</t>
  </si>
  <si>
    <t>Penerbitan Sertifikat Produksi Pangan Industri Rumah Tangga dan Nomor P-IRT sebagai Izin Produksi, untuk Produk Makanan Minuman Tertentu yang dapat Diproduksi oleh Industri Rumah Tangga</t>
  </si>
  <si>
    <t>Pengendalian dan Pengawasan serta Tindak Lanjut Pengawasan Sertifikat Produksi Pangan Industri Rumah Tangga dan Nomor P-IRT Sebagai Izin Produksi, untuk Produk Makanan Minuman Tertentu yang dapat Diproduksi oleh Industri Rumah Tangga</t>
  </si>
  <si>
    <t>Jumlah Dokumen Hasil Pengendalian dan Pengawasan serta Tindak Lanjut Pengawasan Sertifikat Produksi Pangan Industri Rumah Tangga dan Nomor P-IRT Sebagai Izin Produksi, untuk Produk Makanan Minuman Tertentu yang dapat Diproduksi oleh Industri Rumah Tangga</t>
  </si>
  <si>
    <t>Penerbitan Sertifikat Laik Higiene Sanitasi Tempat Pengelolaan Makanan (TPM) antara lain Jasa Boga, Rumah Makan/Restoran dan Depot Air Minum (DAM)</t>
  </si>
  <si>
    <t>Pengendalian dan Pengawasan serta Tindak Lanjut Pengawasan Penerbitan Sertifikat Laik Higiene Sanitasi Tempat Pengelolaan Makanan (TPM) antara lain Jasa Boga, Rumah Makan/Restoran dan Depot Air Minum (DAM)</t>
  </si>
  <si>
    <t>Jumlah Dokumen Hasil Pengendalian dan Pengawasan serta Tindak Lanjut Pengawasan Penerbitan Sertifikat Laik Higiene Sanitasi Tempat Pengelolaan Makanan (TPM) antara lain Jasa Boga, Rumah Makan/Restoran dan Depot Air Minum (DAM)</t>
  </si>
  <si>
    <t>Penerbitan Stiker Pembinaan pada Makanan Jajanan dan Sentra Makanan Jajanan</t>
  </si>
  <si>
    <t>Pengendalian dan Pengawasan serta tindak lanjut Penerbitan Stiker Pembinaan pada Makanan Jajanan dan Sentra Makanan Jajanan</t>
  </si>
  <si>
    <t>Jumlah Dokumen Hasil Pengendalian dan Pengawasan serta tindak lanjut Penerbitan Stiker Pembinaan pada Makanan Jajanan dan Sentra Makanan Jajanan</t>
  </si>
  <si>
    <t>Pemeriksaan dan Tindak Lanjut Hasil Pemeriksaan Post Market pada Produksi dan Produk Makanan Minuman Industri Rumah Tangga</t>
  </si>
  <si>
    <t>Pemeriksaan Post Market pada Produk Makanan- Minuman Industri Rumah Tangga yang Beredar dan Pengawasan serta Tindak Lanjut Pengawasan</t>
  </si>
  <si>
    <t>Jumlah Produk dan Sarana Produksi Makanan- Minuman Industri Rumah Tangga Beredar yang Dilakukan Pemeriksaan Post Market dalam rangka Tindak Lanjut Pengawasan</t>
  </si>
  <si>
    <t>Program Pemberdayaan Masyarakat Bidang Kesehatan</t>
  </si>
  <si>
    <t>Advokasi, Pemberdayaan, Kemitraan, Peningkatan Peran serta Masyarakat dan Lintas Sektor Tingkat Daerah Kabupaten/Kota</t>
  </si>
  <si>
    <t>Peningkatan Upaya Promosi Kesehatan, Advokasi, Kemitraan dan Pemberdayaan Masyarakat</t>
  </si>
  <si>
    <t>Jumlah Dokumen Promosi Kesehatan, Advokasi, Kemitraan dan Pemberdayaan Masyarakat</t>
  </si>
  <si>
    <t>Pelaksanaan Sehat dalam rangka Promotif Preventif Tingkat Daerah Kabupaten/Kota</t>
  </si>
  <si>
    <t>Penyelenggaraan Promosi Kesehatan dan Gerakan Hidup Bersih dan Sehat</t>
  </si>
  <si>
    <t>Jumlah Dokumen Hasil Penyelenggaraan Promosi Kesehatan dan Gerakan Hidup Bersih dan Sehat</t>
  </si>
  <si>
    <t>Pengembangan dan Pelaksanaan Upaya Kesehatan Bersumber Daya Masyarakat (UKBM) Tingkat Daerah Kabupaten/Kota</t>
  </si>
  <si>
    <t>Bimbingan Teknis dan Supervisi Pengembangan dan Pelaksanaan Upaya Kesehatan Bersumber Daya Masyarakat (UKBM)</t>
  </si>
  <si>
    <t>Jumlah Dokumen Hasil Bimbingan Teknis dan Supervisi Upaya Kesehatan Bersumber Daya Masyarakat (UKBM)</t>
  </si>
  <si>
    <t>Bimbingan Teknis dan Supervisi Pengembangan dan Pelaksanaan Upaya Kesehatan Bersumber Daya Masyarakat (UKBM) (Puskesmas Angkinang)</t>
  </si>
  <si>
    <t>Bimbingan Teknis dan Supervisi Pengembangan dan Pelaksanaan Upaya Kesehatan Bersumber Daya Masyarakat (UKBM) (Puskesmas Bajayau)</t>
  </si>
  <si>
    <t>Bimbingan Teknis dan Supervisi Pengembangan dan Pelaksanaan Upaya Kesehatan Bersumber Daya Masyarakat (UKBM) (Puskesmas Bamban)</t>
  </si>
  <si>
    <t>Bimbingan Teknis dan Supervisi Pengembangan dan Pelaksanaan Upaya Kesehatan Bersumber Daya Masyarakat (UKBM) (Puskesmas Baruh Jaya)</t>
  </si>
  <si>
    <t>kelompok</t>
  </si>
  <si>
    <t>Bimbingan Teknis dan Supervisi Pengembangan dan Pelaksanaan Upaya Kesehatan Bersumber Daya Masyarakat (UKBM) (Puskesmas Batang Kulur)</t>
  </si>
  <si>
    <t>Bimbingan Teknis dan Supervisi Pengembangan dan Pelaksanaan Upaya Kesehatan Bersumber Daya Masyarakat (UKBM) (Puskesmas Bayanan)</t>
  </si>
  <si>
    <t>Bimbingan Teknis dan Supervisi Pengembangan dan Pelaksanaan Upaya Kesehatan Bersumber Daya Masyarakat (UKBM) (Puskesmas Gambah)</t>
  </si>
  <si>
    <t>Bimbingan Teknis dan Supervisi Pengembangan dan Pelaksanaan Upaya Kesehatan Bersumber Daya Masyarakat (UKBM) (Puskesmas Kaliring)</t>
  </si>
  <si>
    <t>Bimbingan Teknis dan Supervisi Pengembangan dan Pelaksanaan Upaya Kesehatan Bersumber Daya Masyarakat (UKBM) (Puskesmas Kalumpang)</t>
  </si>
  <si>
    <t>Bimbingan Teknis dan Supervisi Pengembangan dan Pelaksanaan Upaya Kesehatan Bersumber Daya Masyarakat (UKBM) (Puskesmas Kandangan)</t>
  </si>
  <si>
    <t>Bimbingan Teknis dan Supervisi Pengembangan dan Pelaksanaan Upaya Kesehatan Bersumber Daya Masyarakat (UKBM) (Puskesmas Loksado)</t>
  </si>
  <si>
    <t>Bimbingan Teknis dan Supervisi Pengembangan dan Pelaksanaan Upaya Kesehatan Bersumber Daya Masyarakat (UKBM) (Puskesmas Malinau)</t>
  </si>
  <si>
    <t>Bimbingan Teknis dan Supervisi Pengembangan dan Pelaksanaan Upaya Kesehatan Bersumber Daya Masyarakat (UKBM) (Puskesmas Negara)</t>
  </si>
  <si>
    <t>Bimbingan Teknis dan Supervisi Pengembangan dan Pelaksanaan Upaya Kesehatan Bersumber Daya Masyarakat (UKBM) (Puskesmas Padang Batung)</t>
  </si>
  <si>
    <t>Bimbingan Teknis dan Supervisi Pengembangan dan Pelaksanaan Upaya Kesehatan Bersumber Daya Masyarakat (UKBM) (Puskesmas Pasungkan)</t>
  </si>
  <si>
    <t>Jumlah Kelompok Masyarakat Mendapatkan Bimbingan Teknis dan Supervisi Upaya Kesehatan Bersumber Daya Masyarakat (UKBM)</t>
  </si>
  <si>
    <t>Bimbingan Teknis dan Supervisi Pengembangan dan Pelaksanaan Upaya Kesehatan Bersumber Daya Masyarakat (UKBM) (Puskesmas Simpur)</t>
  </si>
  <si>
    <t>Bimbingan Teknis dan Supervisi Pengembangan dan Pelaksanaan Upaya Kesehatan Bersumber Daya Masyarakat (UKBM) (Puskesmas Sungai Raya)</t>
  </si>
  <si>
    <t>Bimbingan Teknis dan Supervisi Pengembangan dan Pelaksanaan Upaya Kesehatan Bersumber Daya Masyarakat (UKBM) (Puskesmas Telaga Langsat)</t>
  </si>
  <si>
    <t>Bimbingan Teknis dan Supervisi Pengembangan dan Pelaksanaan Upaya Kesehatan Bersumber Daya Masyarakat (UKBM) (Puskesmas Wasah)</t>
  </si>
  <si>
    <t>Skor perencanaan Kinerja</t>
  </si>
  <si>
    <t>Nilai</t>
  </si>
  <si>
    <t>Dinas Perumahan Rakyat, Kawasan Permukiman dan Lingkungan Hidup</t>
  </si>
  <si>
    <t>Skor pengukuran Kinerja</t>
  </si>
  <si>
    <t>Skor pelaporan Kinerja</t>
  </si>
  <si>
    <t>Skor evaluasi akuntabilitas Internal</t>
  </si>
  <si>
    <t>Skor Capaian Kinerja</t>
  </si>
  <si>
    <t>Jumlah dokumen Perencanaan dan Evaluasi Kinerja Disperakplh yang berkualitas</t>
  </si>
  <si>
    <t>Jumlah Dokumen laporan AKIP yang berkualitas</t>
  </si>
  <si>
    <t>Dokumen Perencanaan yang Memenuhi Aspek Kualitas</t>
  </si>
  <si>
    <t>Dokumen Evaluasi yang Memenuhi Aspek Kualitas</t>
  </si>
  <si>
    <t>Jumlah laporan keuangan bulanan/semesteran/triwulanan</t>
  </si>
  <si>
    <t>Orang / Bulan</t>
  </si>
  <si>
    <t>Jumlah Laporan Keuangan Akhir  Tahun SKPD dan Laporan  Hasil Koordinasi Penyusunan Laporan Keuangan Akhir  Tahun SKPD</t>
  </si>
  <si>
    <t>Laporan Keuangan yang Memenuhi Aspek Kualitas</t>
  </si>
  <si>
    <t>Persentase pemanfaatan bahan logistik kantor sesuai kebutuhan kerja</t>
  </si>
  <si>
    <t>Persentase barang cetakan dan penggandaan sesaui kebutuhan kerja</t>
  </si>
  <si>
    <t>Jumlah Paket  Komponen  Instalasi Listrik/Penerangan Bangunan  Kantor yang Disediakan</t>
  </si>
  <si>
    <t>Jumlah Paket Peralatan dan Perlengkapan Kantor yang  Disediakan</t>
  </si>
  <si>
    <t>Jumlah penyediaan bahan logistik kantor sesuai kebutuhan</t>
  </si>
  <si>
    <t>Jumlah Paket Barang Cetakan dan Penggandaan
yang  Disediakan</t>
  </si>
  <si>
    <t>Penyediaan Bahan Bacaan dan Peraturan Perundang-undangan</t>
  </si>
  <si>
    <t>Jumlah  Dokumen  Bahan  Bacaan  dan  Peraturan Perundang-Undangan yang  Disediakan</t>
  </si>
  <si>
    <t>Dokumen</t>
  </si>
  <si>
    <t>Laporan</t>
  </si>
  <si>
    <t>Persentase fasilitas komunikasi, sumber daya air dan listrik tersedia dengan baik</t>
  </si>
  <si>
    <t>Jumlah Laporan Penyediaan Jasa Komunikasi, Sumber Daya Air dan Listrik yang  Disediakan</t>
  </si>
  <si>
    <t>Jumlah Laporan Penyediaan Jasa  Pelayanan Umum Kantor yang  Disediakan</t>
  </si>
  <si>
    <t>Jumlah Sarana dan   Prasarana   Gedung   Kantor atau Bangunan Lainnya yang Dipelihara/Direhabilitasi</t>
  </si>
  <si>
    <t>Jumlah      Sarana      dan      Prasarana     Pendukung Gedung    Kantor   atau   Bangunan   Lainnya   yang
Dipelihara/Direhabilitasi</t>
  </si>
  <si>
    <t>Meningkatnya Infrastruktur Ekonomi dan Sosial Yang Berkualitas</t>
  </si>
  <si>
    <t>Program Pengembangan Perumahan</t>
  </si>
  <si>
    <t>Persentase penyediaan dan rehabilitasi rumah layak huni bagi korban bencana kabupaten</t>
  </si>
  <si>
    <t>Persentase fasilitasi penyediaan rumah layak huni bagi masyarakat terdampak relokasi program pemerintah kabupaten</t>
  </si>
  <si>
    <t>Pendataan Penyediaan dan Rehabilitasi Rumah Korban Bencana atau Relokasi Program Kabupaten/Kota</t>
  </si>
  <si>
    <t>Persentase Pendataan Penyediaan dan Rehabilitasi Rumah Korban Bencana atau Relokasi Program</t>
  </si>
  <si>
    <t>Identifikasi Perumahan di Lokasi Rawan Bencana atau Terkena Relokasi Program Kabupaten/Kota</t>
  </si>
  <si>
    <t>Jumlah Dokumen Data Rumah di Lokasi Rawan Bencana dan Lokasi yang Berpotensi Terkena Relokasi Program Kabupaten/Kota</t>
  </si>
  <si>
    <t>Pendataan Rumah Sewa Milik Masyarakat, Rumah Susun dan Rumah Khusus</t>
  </si>
  <si>
    <t>Jumlah Dokumen Data Rumah Sewa Milik Masyarakat, Rumah Susun, dan Rumah Khusus</t>
  </si>
  <si>
    <t>Penerbitan Sertifikat Kepemilikan Bangunan Gedung (SKGB)</t>
  </si>
  <si>
    <t>persentase penerbitan Sertipikat Hak Milik (SHM)/Sertipikat Hak Guna Bangunan (SHGB)/Sertipikat Hak Satuan Rumah Susun (SHRS)</t>
  </si>
  <si>
    <t>Koordinasi dan Sinkronisasi Penerbitan Sertifikat Kepemilikan Bangunan Gedung (SKGB)</t>
  </si>
  <si>
    <t>Jumlah Laporan Hasil Koordinasi dan Sinkronisasi Penerbitan Sertifikat Kepemilikan Bangunan Gedung (SKGB)</t>
  </si>
  <si>
    <t>Program Kawasan Permukiman</t>
  </si>
  <si>
    <t>Presentase Rumah layak Huni</t>
  </si>
  <si>
    <t xml:space="preserve">Presentase PSU Permukiman yang berkualitas
</t>
  </si>
  <si>
    <t>Penataan dan Peningkatan Kualitas Kawasan Permukiman Kumuh dengan Luas di Bawah 10 (sepuluh) Ha</t>
  </si>
  <si>
    <t>Persentase Penyusunan Rencana Pencegahan dan Peningkatan Kualitas Perumahan Kumuh dan Permukiman Kumuh</t>
  </si>
  <si>
    <t>Penyusunan Rencana Pencegahan dan Peningkatan Kualitas Perumahan Kumuh dan Permukiman Kumuh</t>
  </si>
  <si>
    <t>Jumlah Dokumen RP2KPKPK</t>
  </si>
  <si>
    <t>Peningkatan Kualitas Kawasan Permukiman Kumuh dengan Luas di Bawah 10 (sepuluh) Ha</t>
  </si>
  <si>
    <t>Jumlah Perbaikan Rumah Tidak Layak Huni bagi keluarga pra sejahtera</t>
  </si>
  <si>
    <t>Unit Rumah</t>
  </si>
  <si>
    <t>jumlah kawasan permukiman kumuh yang diremajakan</t>
  </si>
  <si>
    <t>Kawasan</t>
  </si>
  <si>
    <t>Perbaikan  Rumah Tidak Layak Huni</t>
  </si>
  <si>
    <t>Jumlah Rumah Tidak Layak Huni yang Diperbaiki</t>
  </si>
  <si>
    <t>Program Perumahan Dan Kawasan Permukiman Kumuh</t>
  </si>
  <si>
    <t>Pencegahan Perumahan dan Kawasan Permukiman Kumuh pada Daerah Kabupaten/Kota</t>
  </si>
  <si>
    <t xml:space="preserve">Jumlah Perbaikan Rumah Tidak Layak Huni bagi keluarga pra sejahtera
</t>
  </si>
  <si>
    <t>Perbaikan Rumah Tidak Layak Huni untuk Pencegahan terhadap Tumbuh dan Berkembangnya Permukiman Kumuh diluar Kawasan Permukiman Kumuh dengan Luas di Bawah 10 (sepuluh) Ha</t>
  </si>
  <si>
    <t>Kerja Sama Perbaikan Rumah Tidak Layak Huni Beserta PSU diluar Kawasan Permukiman Kumuh dengan Luas di Bawah 10 (sepuluh) Ha</t>
  </si>
  <si>
    <t>Jumlah Dokumen Kesepakatan Kerja Sama dalam Perbaikan   Rumah Tidak Layak Huni Beserta PSU di Luar Kawasan Permukiman Kumuh dengan Luas di Bawah 10 (Sepuluh) Ha</t>
  </si>
  <si>
    <t>Program Peningkatan Prasarana, Sarana dan Utilitas Umum (PSU)</t>
  </si>
  <si>
    <t xml:space="preserve">Presentase PSU Perumahan yang berkualitas
</t>
  </si>
  <si>
    <t>Urusan Penyelenggaraan PSU Perumahan</t>
  </si>
  <si>
    <t xml:space="preserve">Jumlah perumahan terfasilitasi kecukupan PSU dalam kondisi berfungsi baik
</t>
  </si>
  <si>
    <t>Perumahan</t>
  </si>
  <si>
    <t>Penyediaan Prasarana, Sarana, dan Utilitas Umum di Perumahan untuk Menunjang Fungsi Hunian</t>
  </si>
  <si>
    <t>Jumlah Lokasi Perumahan yang Disediakan Prasarana, Sarana, dan Utilitas Umum yang Menunjang Fungsi Hunian</t>
  </si>
  <si>
    <t>Lokasi</t>
  </si>
  <si>
    <t>Program Pengelolaan Izin Lokasi</t>
  </si>
  <si>
    <t>Jumlah Kegiatan pelayanan pemberian izin lokasi</t>
  </si>
  <si>
    <t>Kegiatan</t>
  </si>
  <si>
    <t>Pemberian Izin Lokasi Dalam 1 (satu) Daerah Kabupaten/Kota</t>
  </si>
  <si>
    <t>Koordinasi dan Sinkronisasi Pemberian Izin Lokasi Penanaman Modal dan Kemudahan Berusaha</t>
  </si>
  <si>
    <t>Program Penyelesaian Sengketa Tanah Garapan</t>
  </si>
  <si>
    <t>Persentase sengketa pertanahan perumahan yang termediasi</t>
  </si>
  <si>
    <t>Penyelesaian Sengketa Tanah Garapan dalam Daerah Kabupaten/Kota</t>
  </si>
  <si>
    <t>Inventarisasi Sengketa, Konflik, dan Perkara Pertanahan dalam 1 (satu) Daerah Kabupaten/Kota</t>
  </si>
  <si>
    <t>Jumlah jenis pelayanan inventarisasi sengketa pertanahan</t>
  </si>
  <si>
    <t>Mediasi Penyelesaian Sengketa Tanah Garapan dalam 1 (satu) Daerah Kabupaten/Kota</t>
  </si>
  <si>
    <t>Jumlah jenis pelayanan Mediasi Penyelesaian sengketa tanah garapan</t>
  </si>
  <si>
    <t>Berita Acara</t>
  </si>
  <si>
    <t>Program Redistribusi Tanah, Serta Ganti Kerugian Program Tanah Kelebihan Maksimum Dan Tanah Absentee</t>
  </si>
  <si>
    <t>Persentase tersedianya tanah objek landreform (TOL) yang siap diredistribusikan yang berasal dari tanah kelebihan maksimum dan tanah absentee</t>
  </si>
  <si>
    <t>Penetapan Subjek dan Objek Redistribusi Tanah serta Ganti Kerugian Tanah Kelebihan Maksimum dan Tanah Absentee dalam 1 (satu) Daerah Kabupaten/Kota</t>
  </si>
  <si>
    <t>Inventarisasi Subjek dan Objek Redistribusi Tanah</t>
  </si>
  <si>
    <t>Jumlah Data Inventarisasi Subyek Penerima Redistribusi Tanah dalam 1 (Satu) Kabupaten/Kota</t>
  </si>
  <si>
    <t>Program Pengelolaan Tanah Kosong</t>
  </si>
  <si>
    <t>Inventarisasi dan Pemanfaatan Tanah Kosong</t>
  </si>
  <si>
    <t xml:space="preserve">Jumlah Perumahan yang memiliki site plan yang telah di sahkan
</t>
  </si>
  <si>
    <t>Jumlah perumahan yang telah menyerahkan lahan PSU kepada pemerintah kabupaten</t>
  </si>
  <si>
    <t>Pelaksanaan Inventarisasi Tanah Kosong</t>
  </si>
  <si>
    <t>Jumlah Laporan Tanah Kosong dalam 1 (Satu) Kabupaten/Kota yang Diinventarisasi</t>
  </si>
  <si>
    <t>Meningkatnya Kualitas Lingkungan Hidup</t>
  </si>
  <si>
    <t>Program Pengendalian Pencemaran dan/atau Kerusakan Lingkungan Hidup</t>
  </si>
  <si>
    <t>Nilai kekeruhan(TSS) air sungai minting dan sungai rarahin di bawah batas ambang</t>
  </si>
  <si>
    <t>mg/L</t>
  </si>
  <si>
    <t>Nilai Batas Ambang Air Limbah perkebunan Kelapa Sawit, minyak lemak memenuhi nilai baku mutu</t>
  </si>
  <si>
    <t>Persentase industri yang lulus uji proper</t>
  </si>
  <si>
    <t>Persen</t>
  </si>
  <si>
    <t>Pencegahan Pencemaran dan/atau Kerusakan Lingkungan Hidup Kabupaten/Kota</t>
  </si>
  <si>
    <t>Jumlah Titik Lokasi Pembuangan Air Limbah Tambang Batu Bara yang memenuhi standar baku mutu</t>
  </si>
  <si>
    <t>Titik Lokasi</t>
  </si>
  <si>
    <t>Jumlah Titik Lokasi Pembuangan Air Limbah Industri Kelapa Sawit yang memenuhi standar baku mutu</t>
  </si>
  <si>
    <t xml:space="preserve">Jumlah cerobong asap pabrik dengan emisi gas memenuhi standar baku mutu </t>
  </si>
  <si>
    <t>Cerobong Asap Pabrik</t>
  </si>
  <si>
    <t>Jumlah titik lokasi aktifitas usaha dengan nilai debu PM2,5 memenuhi baku mutu udara ambien</t>
  </si>
  <si>
    <t>Koordinasi, Sinkronisasi, dan Pelaksanaan Pencegahan Pencemaran Lingkungan Hidup Dilaksanakan terhadap Media Tanah, Air, Udara, dan Laut</t>
  </si>
  <si>
    <t>Jumlah Dokumen Uji Kualitas Lingkungan Hidup Dilaksanakan Terhadap Media Tanah, Air, Udara, dan Laut</t>
  </si>
  <si>
    <t>Koordinasi, Sinkronisasi dan Pelaksanaan Pengendalian Emisi Gas Rumah Kaca, Mitigasi dan Adaptasi Perubahan Iklim</t>
  </si>
  <si>
    <t>Jumlah Dokumen Hasil Koordinasi dan Sinkronisasi Inventarisasi Gas Rumah Kaca dari Sektor Lingkungan Hidup yang  Dilaksanakan</t>
  </si>
  <si>
    <t>Pengelolaan Laboratorium ingkungan Hidup Kabupaten/Kota</t>
  </si>
  <si>
    <t>Jumlah Pengambilan Contoh Uji, Pengujian Parameter Kualitas Lingkungan dan Dokumen Mutu yang  Dilaksanakan</t>
  </si>
  <si>
    <t>Penanggulangan Pencemaran dan/atau Kerusakan Lingkungan Hidup Kabupaten/Kota</t>
  </si>
  <si>
    <t>Persentase penanggulangan pencemaran dan kerusakan lingkungan yang berhasil diselesaikan</t>
  </si>
  <si>
    <t>Pemberian Informasi Peringatan Pencemaran dan/atau Kerusakan Lingkungan Hidup pada Masyarakat</t>
  </si>
  <si>
    <t>Jumlah  Laporan  Sosialisasi  Informasi  Peringatan Pencemaran    dan/atau    Kerusakan    Lingkungan Hidup  pada  Masyarakat  di  Kabupaten/Kota  yang Dilaksanakan</t>
  </si>
  <si>
    <t>Program Pengelolaan Keanekaragaman Hayati (Kehati)</t>
  </si>
  <si>
    <t>Persentase Jumlah Kecamatan yang memiliki Rasio Kecukupan luasan RTH kecamatan ≥ 0,3</t>
  </si>
  <si>
    <t xml:space="preserve">Persentase kesepakatan kerjasama yang ditindaklanjuti
</t>
  </si>
  <si>
    <t>Persentase Luasan RTH di wilayah perkotaan</t>
  </si>
  <si>
    <t>Pengelolaan Keanekaragaman Hayati Kabupaten/Kota</t>
  </si>
  <si>
    <t xml:space="preserve">Jumlah luasan RTH yang dibangun
</t>
  </si>
  <si>
    <t>Ha</t>
  </si>
  <si>
    <t xml:space="preserve">Jumlah perjanjian kesepakatan kerja sama lingkungan hidup
</t>
  </si>
  <si>
    <t>kali</t>
  </si>
  <si>
    <t xml:space="preserve">Jumlah kegiatan event penanaman pohon
</t>
  </si>
  <si>
    <t>Kali</t>
  </si>
  <si>
    <t xml:space="preserve">Jumlah penambahan tutupan vegetasi RTH Kecamatan
</t>
  </si>
  <si>
    <t>Pengelolaan Ruang Terbuka Hijau (RTH)</t>
  </si>
  <si>
    <t>Jumlah Luas RTH yang dikelola dengan baik</t>
  </si>
  <si>
    <t>Program Pembinaan Dan Pengawasan Terhadap Izin Lingkungan Dan Izin Perlindungan Dan Pengelolaan Lingkungan Hidup (PPLH)</t>
  </si>
  <si>
    <t>Persentase Rekomendasi yang ditindaklanjuti</t>
  </si>
  <si>
    <t>Pembinaan dan Pengawasan Terhadap Usaha dan/atau Kegiatan yang Izin Lingkungan dan Izin PPLH diterbitkan oleh Pemerintah Daerah Kabupaten/Kota</t>
  </si>
  <si>
    <t>Persentase Pelanggaran LH yang ditindaklanjuti</t>
  </si>
  <si>
    <t>Pengawasan Usaha dan/atau Kegiatan yang Izin Lingkungan Hidup, Izin PPLH yang Diterbitkan oleh Pemerintah Daerah Kabupaten/Kota</t>
  </si>
  <si>
    <t>Jumlah Laporan Dari Usaha dan/atau Kegiatan yang Diawasi Izin Lingkungan, Persetujuan Lingkungan, Surat Kelayakan Operasi oleh Pemerintah Daerah Kabupaten/Kota</t>
  </si>
  <si>
    <t>Koordinasi dan Sinkronisasi Pengawasan dan Penerapan Sanksi Upaya dan Rencana PPLH</t>
  </si>
  <si>
    <t>Jumlah Dokumen Hasil Koordinasi dan Sinkronisasi Pengawasan dan Penerapan Sanksi Upaya dan Rencana PPLHD</t>
  </si>
  <si>
    <t>Program Peningkatan Pendidikan, Pelatihan dan Penyuluhan Lingkungan Hidup untuk Masyarakat</t>
  </si>
  <si>
    <t xml:space="preserve">Persentase Luasan RTH di wilayah perkotaan
</t>
  </si>
  <si>
    <t>Penyelenggaraan Pendidikan, Pelatihan, dan Penyuluhan Lingkungan Hidup untuk Lembaga Kemasyarakatan Tingkat Daerah Kabupaten/Kota</t>
  </si>
  <si>
    <t xml:space="preserve">Jumlah Kampung Iklim yang dibina
</t>
  </si>
  <si>
    <t>Desa</t>
  </si>
  <si>
    <t>Peningkatan Kapasitas dan Kompetensi Sumber Daya Manusia Bidang Lingkungan Hidup untuk Lembaga Kemayarakatan</t>
  </si>
  <si>
    <t>Jumlah Lembaga/kelompok Masyarakat/Institusi yang Terdaftar yang Meningkat Kapasitas dan Kompetensinya Terkait PPLH</t>
  </si>
  <si>
    <t>Lembaga</t>
  </si>
  <si>
    <t>Pendampingan Gerakan Peduli Lingkungan Hidup</t>
  </si>
  <si>
    <t>Jumlah Pendampingan Pembinaan Gerakan Peduli dan Berbudaya Lingkungan Hidup yang Dilaksanakan</t>
  </si>
  <si>
    <t>Program Penghargaan Lingkungan Hidup untuk Masyarakat</t>
  </si>
  <si>
    <t>Pemberian Penghargaan Lingkungan Hidup Tingkat Daerah Kabupaten/Kota</t>
  </si>
  <si>
    <t>Jumlah Sekolah Adiwiyata Kabupaten</t>
  </si>
  <si>
    <t>Sekolah</t>
  </si>
  <si>
    <t>Penilaian Kinerja Masyarakat/Lembaga Masyarakat/Dunia Usaha/Dunia Pendidikan/Filantropi dalam Perlindungan dan Pengelolaan Lingkungan Hidup</t>
  </si>
  <si>
    <t>Jumlah Masyarakat/Lembaga Masyarakat/Dunia Usaha/Dunia Pendidikan/Filantrophi yang Dinilai Kinerjanya dalam  rangka PPLH</t>
  </si>
  <si>
    <t>Entitas</t>
  </si>
  <si>
    <t>Program Penanganan Pengaduan Lingkungan Hidup</t>
  </si>
  <si>
    <t>Nilai kekeruhan(TSS) air sungai amandit sekitar tambang di bawah batas ambang</t>
  </si>
  <si>
    <t>Penyelesian Pengaduan Masyarakat di Bidang Perlindungan dan Pengelolaan Lingkungan Hidup (PPLH) Kabupaten/Kota</t>
  </si>
  <si>
    <t>Persentase koordiniasi penertiban tambang ilegal yang ditindaklanjuti</t>
  </si>
  <si>
    <t>Pengelolaan Pengaduan Masyarakat terhadap PPLH Kabupaten/Kota</t>
  </si>
  <si>
    <t>Jumlah Pengaduan Masyarakat Terhadap PPLH Kabupaten/Kota yang Ditindaklanjuti/Ditangani</t>
  </si>
  <si>
    <t>Koordinasi dan Sinkronisasi Penerapan Sanksi Administrasi, Penyelesaian Sengketa, dan/atau Penyidikan Lingkungan Hidup di Luar Pengadilan atau Melalui Pengadilan</t>
  </si>
  <si>
    <t>Jumlah Dokumen Hasil Koordinasi dan Sinkronisasi Penerapan Sanksi Administrasi, Penyelesaian Sengketa, dan/atau Penyidikan Lingkungan Hidup di Luar Pengadilan atau Melalui Pengadilan</t>
  </si>
  <si>
    <t>Program Pengelolaan Persampahan</t>
  </si>
  <si>
    <t>Persentase sampah yang terkurangi melalui program 3R
disekitar DAS(Daerah Aliran Sungai) Amandit</t>
  </si>
  <si>
    <t>Pengelolaan Sampah</t>
  </si>
  <si>
    <t xml:space="preserve">Jumlah TPS 3R yang dikelola disekitar DAS Amandit
</t>
  </si>
  <si>
    <t>Buah</t>
  </si>
  <si>
    <t>Pengurangan Sampah dengan Melakukan Pembatasan, Pendauran Ulang dan Pemanfaatan Kembali</t>
  </si>
  <si>
    <t>Jumlah Laporan Hasil Pengurangan Sampah dengan Melakukan Pembatasan, Pendauran Ulang dan Pemanfaatan Kembali</t>
  </si>
  <si>
    <t>Penanganan Sampah dengan Melakukan Pemilahan, Pengumpulan, Pengangkutan, Pengolahan, Pemrosesan Akhir Sampah di TPA/TPST/SPA Kabupaten/Kota</t>
  </si>
  <si>
    <t>Jumlah Sampah yang Dipilah, Dikumpulkan, Diangkut, Diolah,Diproses Akhir di TPA/TPST/SPA Kabupaten/Kota</t>
  </si>
  <si>
    <t>Ton</t>
  </si>
  <si>
    <t>Peningkatan Peran Serta Masyarakat dalam Pengelolaan Persampahan</t>
  </si>
  <si>
    <t>Jumlah Masyarakat, Kelompok Masyarakat atau Para Pihak Lainnya yang Terlibat Aktif dalam Kegiatan Pengelolaan Sampah Berbasis Masyarakat</t>
  </si>
  <si>
    <t>Kelompok</t>
  </si>
  <si>
    <t>Koordinasi dan Sinkronisasi Penyediaan Sarana dan Prasarana Pengelolaan Persampahan</t>
  </si>
  <si>
    <t>Jumlah Sarana dan Prasarana Penanganan Sampah untuk Kegiatan Pemilahan, Pengumpulan, Pengangkutan, Pengolahan, dan Pemrosesan Akhir</t>
  </si>
  <si>
    <t>Badan Penanggulangan Bencana Daerah</t>
  </si>
  <si>
    <t>Pemeliharaan Peralatan dan Mesin Lainnya</t>
  </si>
  <si>
    <t>Jumlah Peralatan dan Mesin Lainnya yang Dipelihara</t>
  </si>
  <si>
    <t>Meningkatnya Perlindungan Sosial dan Masyarakat</t>
  </si>
  <si>
    <t>Program Penanggulangan Bencana</t>
  </si>
  <si>
    <t>Pelayanan Informasi Rawan Bencana Kabupaten/Kota</t>
  </si>
  <si>
    <t>Sosialisasi, Komunikasi, Informasi dan Edukasi (KIE) Rawan Bencana Kabupaten/Kota (Per Jenis Bencana) (Badan Penanggulangan Bencana Daerah)</t>
  </si>
  <si>
    <t>Jumlah Orang yang Mendapatkan Sosialisasi, Komunikasi, Informasi dan Edukasi (KIE) Rawan Bencana Kabupaten/Kota (Per Jenis Bencana) Secara Tatap Muka kepada Penduduk yang Tinggal di Daerah Rawan Bencana Sesuai Jenis Ancaman yang Ada di Kawasan Tempat Tinggalnya</t>
  </si>
  <si>
    <t>Pelayanan Pencegahan dan Kesiapsiagaan Terhadap Bencana</t>
  </si>
  <si>
    <t>Jumlah SDM yang terlatih</t>
  </si>
  <si>
    <t>Persentase penyelesaian dokumen risiko bencana</t>
  </si>
  <si>
    <t>Jumlah Desa tangguh Bencana</t>
  </si>
  <si>
    <t xml:space="preserve">Persentasi Layanan Pusdalops Penanggulangan bencana </t>
  </si>
  <si>
    <t>Pelatihan Pencegahan dan Mitigasi Bencana Kabupaten/Kota</t>
  </si>
  <si>
    <t>Jumlah Warga Negara dan Aparatur yang Mengikuti Pelatihan Pencegahan dan Mitigasi Bencana</t>
  </si>
  <si>
    <t>Pengendalian Operasi dan Penyediaan Sarana Prasarana Kesiapsiagaan Terhadap Bencana Kabupaten/Kota</t>
  </si>
  <si>
    <t>Jumlah Dokumen Hasil Pengendalian Operasi dan Penyediaan Sarana Prasarana Kesiapsiagaan Terhadap Bencana Kabupaten/Kota</t>
  </si>
  <si>
    <t>Penanganan Pasca Bencana Kabupaten/Kota</t>
  </si>
  <si>
    <t>Jumlah Dokumen Penanganan Pasca Bencana Kabupaten/Kota Melalui Pengkajian Kebutuhan Pasca Bencana (JITU PASNA) Rencana Rehabilitasi dan Rekonstruksi Pasca Bencana (R3P)</t>
  </si>
  <si>
    <t>Pengembangan Kapasitas Tim Reaksi Cepat (TRC) Bencana Kabupaten/Kota</t>
  </si>
  <si>
    <t>Jumlah Personil TRC yang Dikembangkan Kapasitas Teknis dan Manajerialnya</t>
  </si>
  <si>
    <t>Gladi Kesiapsiagaan Terhadap Bencana (Badan Penanggulangan Bencana Daerah)</t>
  </si>
  <si>
    <t>Jumlah Aparatur dan Warga Negara yang Mengikuti Gladi Kesiapsiagaan</t>
  </si>
  <si>
    <t>Penyediaan Peralatan Perlindungan dan Kesiapsiagaan Terhadap Bencana</t>
  </si>
  <si>
    <t>Jumlah Peralatan Penyelamatan Diri bagi Individu Warga Negara, Keluarga, maupun Petugas</t>
  </si>
  <si>
    <t>Pengelolaan Risiko Bencana Kabupaten/Kota</t>
  </si>
  <si>
    <t>Jumlah Dokumen Analisis Risiko Bencana pada Kegiatan Pembangunan yang Mempunyai Risiko Tinggi Menimbulkan Bencana</t>
  </si>
  <si>
    <t>Penguatan Kapasitas Kawasan untuk Pencegahan dan Kesiapsiagaan</t>
  </si>
  <si>
    <t>Jumlah Kawasan yang Ditingkatkan Kapasitasnya dalam Pencegahan dan Kesiapsiagaan Bencana</t>
  </si>
  <si>
    <t>Pelayanan Penyelamatan dan Evakuasi Korban Bencana</t>
  </si>
  <si>
    <t>Persentase Kecepatan Pelayanan Tanggap Darurat  Bencana Sesuai Dengan Waktu Tanggap &lt;24 Jam</t>
  </si>
  <si>
    <t>Persentase Jumlah Korban Berhasil Dicari, Ditolong Dan Dievakuasi</t>
  </si>
  <si>
    <t>Persentase Ketersediaan Logistik Penyelamatan Dan Evakuasi Korban</t>
  </si>
  <si>
    <t>Respon Cepat Darurat Bencana Kabupaten/Kota</t>
  </si>
  <si>
    <t>SK Penetapan Status Darurat Bencana dan SKPDB yang Ditetapkan Paling Lama 1x24 Jam berdasarkan Hasil Dokumen Laporan Kaji Cepat</t>
  </si>
  <si>
    <t>Respon Cepat Bencana Non Alam Epidemi / Wabah Penyakit (Badan Penanggulangan Bencana Daerah)</t>
  </si>
  <si>
    <t>SK Penetapan Status Darurat Bencana dan SKPDB yang Ditetapkan Paling Lama 1x24 Jam berdasarkan Hasil Dokumen Laporan Investigasi KLB dan Epidemiologi Terpadu</t>
  </si>
  <si>
    <t>Pencarian, Pertolongan dan Evakuasi Korban Bencana Kabupaten/Kota</t>
  </si>
  <si>
    <t>Jumlah Korban yang Berhasil Ditemukan, Ditolong, dan Dievakuasi Per Jenis Kejadian Bencana</t>
  </si>
  <si>
    <t>Penyediaan Logistik Penyelamatan dan Evakuasi Korban Bencana Kabupaten/Kota</t>
  </si>
  <si>
    <t>Jumlah Korban Bencana yang Mendapatkan Distribusi Logistik Penyelamatan dan Evakuasi Korban Bencana</t>
  </si>
  <si>
    <t>Penataan Sistem Dasar Penanggulangan Bencana</t>
  </si>
  <si>
    <t>Jumlah Data dan Informasi Kebencanaan</t>
  </si>
  <si>
    <t>Pengelolaan  dan Pemanfaatan Sistem Informasi Kebencanaan (BPBD)</t>
  </si>
  <si>
    <t>Persentase  Pemenuhan Aspek Kualitas Dokumen AKIP</t>
  </si>
  <si>
    <t>Dinas Sosial</t>
  </si>
  <si>
    <t>Tingkat Kepuasan Pelayanan</t>
  </si>
  <si>
    <t>Jumlah Dokumen Perencanaan dan Evaluasi Kinerja Dinas Sosial yang Berkualitas</t>
  </si>
  <si>
    <t>Jumlah Dokumen Administrasi Keuangan Sesuai Standar</t>
  </si>
  <si>
    <t>Penyediaan Gaji dan Tunjangan ASN</t>
  </si>
  <si>
    <t>Koordinasi dan Penyusunan Laporan Keuangan Bulanan/Triwulanan/Semesteran SKPD</t>
  </si>
  <si>
    <t>Jumlah pelayanan administrasi umum sesuai dengan kebutuhan</t>
  </si>
  <si>
    <t>Bulan</t>
  </si>
  <si>
    <t>Penyediaan Komponen Instalasi Listrik/Penerangan Bangunan Kantor</t>
  </si>
  <si>
    <t>Penyediaan Bahan Bacaan dan Peraturan Perundang‑undangan</t>
  </si>
  <si>
    <t>Jumlah Dokumen Bahan Bacaan dan Peraturan Perundang-Undangan yang Disediakan</t>
  </si>
  <si>
    <t>Jumlah penyediaan jasa penunjang urusan pemerintahan daerah sesuai kebutuhan</t>
  </si>
  <si>
    <t>Pemeliharaan Barang Milik Daerah Penunjang Urusan Pemerintahan Daerah</t>
  </si>
  <si>
    <t>Jumlah pemeliharaan barang milik daerah penunjang urusan pemerintahan daerah sesuai kebutuhan</t>
  </si>
  <si>
    <t>Pemeliharaan/ Rehabilitasi Gedung Kantor dan Bangunan Lainnya</t>
  </si>
  <si>
    <t>Pemeliharaan/ Rehabilitasi Sarana dan Prasarana Gedung Kantor atau Bangunan Lainnya</t>
  </si>
  <si>
    <t>Memastikan bantuan pemberdayaan terhadap PMKS sesuai dengan peruntukannya</t>
  </si>
  <si>
    <t>Program Pemberdayaan Sosial</t>
  </si>
  <si>
    <t>Persentase Potensi dan Sumber Kesejahteraan Sosial (PSKS) yang memiliki keterampilan</t>
  </si>
  <si>
    <t>Pengembangan Potensi Sumber Kesejahteraan Sosial Daerah Kabupaten/Kota</t>
  </si>
  <si>
    <t>Persentase Potensi dan Sumber Kesejahteraan Sosial (PSKS) yang mengikuti pengembangan kompetensi</t>
  </si>
  <si>
    <t>Peningkatan Kemampuan Potensi Pekerja Sosial Masyarakat Kewenangan Kabupaten/Kota</t>
  </si>
  <si>
    <t>Jumlah Orang Mendapat Peningkatan Kapasitas Pekerja Sosial Masyarakat Kewenangan Kabupaten/Kota</t>
  </si>
  <si>
    <t>Peningkatan Kemampuan Potensi Tenaga Kesejahteraan Sosial Kecamatan Kewenangan Kabupaten/Kota</t>
  </si>
  <si>
    <t>Jumlah Tenaga Kesejahteraan Sosial Kecamatan Kewenangan Kabupaten/Kota yang Meningkat Kapasitasnya Kewenangan Kabupaten/Kota</t>
  </si>
  <si>
    <t>Peningkatan Kemampuan Potensi Sumber Kesejahteraan Sosial Keluarga Kewenangan Kabupaten/Kota</t>
  </si>
  <si>
    <t>Jumlah Pendamping Program Keluarga Harapan (PKH) yang memiliki kemampuan dalam menangani PMKS</t>
  </si>
  <si>
    <t>Peningkatan Kemampuan Potensi Sumber Kesejahteraan Sosial Kelembagaan Masyarakat Kewenangan Kabupaten/Kota</t>
  </si>
  <si>
    <t>Jumlah Lembaga Kesejahteraan Sosial yang Meningkat Kapasitasnya Kewenangan Kabupaten/Kota</t>
  </si>
  <si>
    <t>Peningkatan Kemampuan Sumber Daya Manusia dan Penguatan Lembaga Konsultasi Kesejahteraan Keluarga (LK3)</t>
  </si>
  <si>
    <t>Jumlah Sertifikat yang dari Hasil Peningkatan Sumber Daya Manusia dan Lembaga Konsultasi Kesejahteraan Keluarga (LK3) Kewenangan Kabupaten/Kota</t>
  </si>
  <si>
    <t>Sertifikat</t>
  </si>
  <si>
    <t>Memastikan bantuan Rehabilitasi Sosial sesuai dengan peruntukannya</t>
  </si>
  <si>
    <t>Program Rehabilitasi Sosial</t>
  </si>
  <si>
    <t>Persentase penerima bantuan sosial kepada individu dan lembaga tepat waktu, tepat jumlah dan tepat sasaran</t>
  </si>
  <si>
    <t>Persentase Anak terlantar yang mandiri</t>
  </si>
  <si>
    <t>Persentase perempuan rawan sosial ekonomi yang mandiri</t>
  </si>
  <si>
    <t>Persentase Bantuan Sosial pemberdayaan terhadap fakir Miskin tepat sasaran, waktu dan jumlah</t>
  </si>
  <si>
    <t>Rehabilitasi Sosial Dasar Penyandang Disabilitas Terlantar, Anak Terlantar, Lanjut Usia Terlantar, serta Gelandangan Pengemis di Luar Panti Sosial</t>
  </si>
  <si>
    <t>Persentase Rehabilitasi Sosial Dasar</t>
  </si>
  <si>
    <t>Penyediaan Permakanan</t>
  </si>
  <si>
    <t>Jumlah Orang yang Mendapatkan Pemenuhan Kebutuhan Permakanan Sesuai dengan Standar Gizi Minimal Kewenangan Kabupaten/Kota</t>
  </si>
  <si>
    <t>Penyediaan Alat Bantu</t>
  </si>
  <si>
    <t>Jumlah Orang yang Mendapatkan Alat Bantu dan Alat Bantu Peraga Sesuai Kebutuhan Kewenangan Kabupaten/Kota</t>
  </si>
  <si>
    <t>Pemberian Bimbingan Fisik, Mental, Spiritual, dan Sosial</t>
  </si>
  <si>
    <t>Jumlah Peserta Bimbingan Fisik, Mental, Spiritual dan Sosial Kewenangan Kabupaten/Kota</t>
  </si>
  <si>
    <t xml:space="preserve"> </t>
  </si>
  <si>
    <t>Pemberian Bimbingan Sosial kepada Keluarga Penyandang Disabilitas Terlantar, Anak Terlantar, Lanjut Usia Terlantar, serta Gelandangan Pengemis dan Masyarakat</t>
  </si>
  <si>
    <t>Jumlah Peserta Bimbingan Sosial Kepada Keluarga Penyandang Disabilitas Terlantar, Anak Terlantar,  Lanjut Usia Terlantar, serta Gelandangan Pengemis dan Masyarakat Kewenangan Kabupaten/Kota</t>
  </si>
  <si>
    <t>Pemberian Akses ke Layanan Pendidikan dan Kesehatan Dasar</t>
  </si>
  <si>
    <t>Jumlah Orang yang Mendapatkan Akses ke Layanan Pendidikan dan Kesehatan Dasar Kewenangan Kabupaten/Kota</t>
  </si>
  <si>
    <t>Pemberian Layanan Rujukan</t>
  </si>
  <si>
    <t>Jumlah Orang Mendapatkan Layanan Rujukan Kewenangan Kabupaten/Kota</t>
  </si>
  <si>
    <t>Rehabilitasi Sosial Penyandang Masalah Kesejahteraan Sosial (PMKS) Lainnya Bukan Korban HIV/AIDS dan NAPZA di Luar Panti Sosial</t>
  </si>
  <si>
    <t>Persentase Tuna Sosial  yang mendapatkan Rehabilitasi Sosial</t>
  </si>
  <si>
    <t>Pemberian Layanan Kedaruratan</t>
  </si>
  <si>
    <t>Jumlah Orang yang Mendapatkan Pelayanan Kedaruratan Kewenangan Kabupaten/Kota</t>
  </si>
  <si>
    <t xml:space="preserve">Pemberian Layanan Rujukan </t>
  </si>
  <si>
    <t>Pemberian Bimbingan Sosial kepada Keluarga Penyandang Masalah Kesejahteraan Sosial (PMKS) Lainnya Bukan Korban HIV/AIDS dan NAPZA</t>
  </si>
  <si>
    <t>Jumlah Peserta dalam Pemberian Bimbingan Sosial Kepada Keluarga Penyandang Masalah Kesejahteraan Sosial (PMKS) Lainnya Bukan Korban HIV/AIDS dan NAPZA Kewenangan Kabupaten/Kota</t>
  </si>
  <si>
    <t>Memastikan bantuan Perlindungan dan Jaminan Sosial sesuai dengan peruntukannya</t>
  </si>
  <si>
    <t>Program Perlindungan Dan Jaminan Sosial</t>
  </si>
  <si>
    <t>Persentase Fakir Miskin yang mendapat bantuan perlindungan Sosial</t>
  </si>
  <si>
    <t>Persentase Fakir Miskin yang mendapat Jaminan Sosial</t>
  </si>
  <si>
    <t>Pemeliharaan Anak‑Anak Terlantar</t>
  </si>
  <si>
    <t>Persentase Fakir Miskin yang Mendapatkan Bantuan Sosial</t>
  </si>
  <si>
    <t>Penjangkauan Anak‑Anak Terlantar</t>
  </si>
  <si>
    <t>Jumlah Anak-Anak Terlantar yang Dijangkau Kewenangan Kabupaten/Kota</t>
  </si>
  <si>
    <t>Rujukan Anak‑Anak Terlantar</t>
  </si>
  <si>
    <t>Jumlah Anak-Anak Terlantar yang Mendapat Rujukan Kewenangan Kabupaten/Kota</t>
  </si>
  <si>
    <t>Pemantauan terhadap Pelaksanaan Pemeliharaan Anak Terlantar</t>
  </si>
  <si>
    <t>Jumlah Anak Terlantar yang Terpantau dan Terpelihara Kewenangan Kabupaten/Kota</t>
  </si>
  <si>
    <t>Pengelolaan Data Fakir Miskin Cakupan Daerah Kabupaten/Kota</t>
  </si>
  <si>
    <t>Jumlah Pemutakhiran DTKS yang akurat dan tepat waktu</t>
  </si>
  <si>
    <t>Persentase Penerima PKH yang telah diverifikasi sesuai ketentuan</t>
  </si>
  <si>
    <t>Persentase Penerima BSP/BPNT yang telah diverifikasi sesuai ketentuan</t>
  </si>
  <si>
    <t>Persentase Fakir Miskin yang Mendapatkan Bantuan Sosial sesuai dengan Ketentuan</t>
  </si>
  <si>
    <t>Pendataan Fakir Miskin Cakupan Daerah Kabupaten/Kota</t>
  </si>
  <si>
    <t>Jumlah Fakir Miskin Cakupan Daerah Kabupaten/Kota yang Didata</t>
  </si>
  <si>
    <t>Jumlah Keluarga yang Mendapatkan Pengentasan Fakir Miskin Kabupaten/Kota</t>
  </si>
  <si>
    <t>Keluarga</t>
  </si>
  <si>
    <t xml:space="preserve">Fasilitasi Bantuan Sosial Kesejahteraan Keluarga  </t>
  </si>
  <si>
    <t>Jumlah Keluarga Penerima Manfaat (KPM) yang Mendapatkan Bantuan Sosial Kesejahteraan Keluarga Kewenangan Kabupaten/Kota</t>
  </si>
  <si>
    <t>Fasilitasi Bantuan Pengembangan Ekonomi Masyarakat</t>
  </si>
  <si>
    <t>Jumlah Orang Mendapatkan Bantuan Pengembangan Ekonomi Masyarakat Kewenangan Kabupaten/Kota</t>
  </si>
  <si>
    <t>Program Penanganan Bencana</t>
  </si>
  <si>
    <t>Perlindungan Sosial Korban Bencana Alam dan Sosial Kabupaten/Kota</t>
  </si>
  <si>
    <t>Pencapaian SPM bidang Sosial Penanganan Bencana</t>
  </si>
  <si>
    <t xml:space="preserve">Penyediaan Makanan </t>
  </si>
  <si>
    <t>Jumlah Orang yang Mendapatkan Permakanan 3x1 Hari dalam Masa Tanggap Darurat (Pengungsian) Kewenangan Kabupaten/Kota</t>
  </si>
  <si>
    <t xml:space="preserve">Penyediaan Sandang </t>
  </si>
  <si>
    <t>Jumlah Orang yang Mendapatkan Pakaian dan Kelengkapan Lainnya yang Tersedia pada Masa Tanggap Darurat (Pengungsian) dan Pasca Bencana Kewenangan Kabupaten/Kota</t>
  </si>
  <si>
    <t>Penyelenggaraan Pemberdayaan Masyarakat terhadap Kesiapsiagaan Bencana Kabupaten/Kota</t>
  </si>
  <si>
    <t>Persentase Taruna Siaga Bencana yang berpartisipasi aktif dalam penanggulangan bencana</t>
  </si>
  <si>
    <t>Koordinasi, Sosialisasi dan Pelaksanaan Taruna Siaga Bencana</t>
  </si>
  <si>
    <t>Jumlah Orang yang Melaksanakan Koordinasi, Sosialisasi dan Pelaksanaan Taruna Siaga Bencana Kewenangan Kabupaten/Kota</t>
  </si>
  <si>
    <t>Koordinasi, Sosialisasi dan Pelaksanaan Kampung Siaga Bencana</t>
  </si>
  <si>
    <t>Jumlah Kampung yang Melaksanakan Koordinasi, Sosialisasi dan Pelaksanaan Kampung Siaga Bencana Kewenangan Kabupaten/Kota</t>
  </si>
  <si>
    <t>Kampung</t>
  </si>
  <si>
    <t>Program Pengelolaan Taman Makam Pahlawan</t>
  </si>
  <si>
    <t>Pemeliharaan Taman Makam Pahlawan Nasional Kabupaten/Kota</t>
  </si>
  <si>
    <t>Persentase Taman Makam Pahlawan Nasional Kabupaten yang dikelola dengan baik</t>
  </si>
  <si>
    <t>Jumlah Makam yang Terpenuhi Pemeliharannya pada Taman Makam Pahlawan Kabupaten/Kota</t>
  </si>
  <si>
    <t>Makam</t>
  </si>
  <si>
    <t>Rehabilitasi Sarana dan Prasarana Taman Makam Pahlawan Nasional Kabupaten/Kota</t>
  </si>
  <si>
    <t>Jumlah Dokumen Hasil Rehabilitasi serta Pemeliharaan Sarana dan Prasarana Taman
Makam  Pahlawan Nasional Kabupaten/Kota</t>
  </si>
  <si>
    <t>Dinas Pengendalian Penduduk, Keluarga Berencana, Pemberdayaan Perempuan dan Perlindungan Anak</t>
  </si>
  <si>
    <t>Perencanaan, Penganggaran, dan Evaluasi Kinerja Perangkat Daerah</t>
  </si>
  <si>
    <t>Jumlah laporan data objek kerja</t>
  </si>
  <si>
    <t>laporan</t>
  </si>
  <si>
    <t xml:space="preserve">Jumlah laporan keuangan </t>
  </si>
  <si>
    <t>dok</t>
  </si>
  <si>
    <t>Jumlah laporan barang persediaan dan barang milik daerah</t>
  </si>
  <si>
    <t>bln</t>
  </si>
  <si>
    <t>Pengadaan Sarana dan Prasarana Gedung Kantor atau Bangunan Lainnya</t>
  </si>
  <si>
    <t>Jumlah Unit Sarana dan Prasarana Gedung Kantor atau Bangunan Lainnya yang Disediakan</t>
  </si>
  <si>
    <t>Meningkatnya Pemberdayaan Responsif Gender dan Perlindungan Terhadap Anak</t>
  </si>
  <si>
    <t>Program Pengarus Utamaan Gender Dan Pemberdayaan Perempuan</t>
  </si>
  <si>
    <t>Persentase Perangkat Daerah yang melaporkan data terpilah gender dan anak</t>
  </si>
  <si>
    <t>Pelembagaan Pengarusutamaan Gender (PUG) pada Lembaga Pemerintah Kewenangan Kabupaten/Kota</t>
  </si>
  <si>
    <t>Jumlah institusi yang menerapkan anggaran yang responsif gender</t>
  </si>
  <si>
    <t>institusi</t>
  </si>
  <si>
    <t>Koordinasi dan Sinkronisasi Pelaksanaan PUG Kewenangan Kabupaten/Kota</t>
  </si>
  <si>
    <t>Jumlah Dokumen Hasil Koordinasi dan Sinkronisasi Pelaksanaan Pengarustamaan Gender (PUG) Kewenangan Kabupaten/Kota</t>
  </si>
  <si>
    <t>Program Perlindungan Perempuan</t>
  </si>
  <si>
    <t>Persentase pengaduan perempuan korban kekerasan yang ditindaklanjuti</t>
  </si>
  <si>
    <t>Penyediaan Layanan Rujukan Lanjutan bagi Perempuan Korban Kekerasan yang Memerlukan Koordinasi Kewenangan Kabupaten/Kota</t>
  </si>
  <si>
    <t>Jumlah layanan standar</t>
  </si>
  <si>
    <t>layanan</t>
  </si>
  <si>
    <t>Penyediaan Layanan Pengaduan Masyarakat bagi Perempuan Korban Kekerasan Kewenangan Kabupaten/Kota</t>
  </si>
  <si>
    <t>Jumlah Perempuan Korban Kekerasan Tingkat Kabupaten/Kota yang Mendapatkan Layanan Pengaduan</t>
  </si>
  <si>
    <t>Koordinasi dan Sinkronisasi Pelaksanaan Penyediaan Layanan Rujukan Lanjutan bagi Perempuan Korban Kekerasan Kewenangan Kabupaten/Kota</t>
  </si>
  <si>
    <t>Jumlah Layanan Tindak Lanjut Pengaduan yang Memerlukan Koordinasi dan Sinkronisasi bagi Perempuan Korban Kekerasan Kewenangan Kabupaten/Kota</t>
  </si>
  <si>
    <t>Layanan</t>
  </si>
  <si>
    <t>Pencegahan Kekerasan terhadap Perempuan Lingkup Daerah Kabupaten/Kota</t>
  </si>
  <si>
    <t>Persentase Cakupan Layanan Rujukan Lanjutan bagi Anak yang memerlukan perlindungan khusus Secara Komprehensif</t>
  </si>
  <si>
    <t>Advokasi Kebijakan dan Pendampingan Layanan Perlindungan Perempuan Kewenangan Kabupaten/Kota</t>
  </si>
  <si>
    <t>Jumlah Perangkat Daerah yang Mendapat Advokasi dan Pendampingan Layanan Perlindungan Perempuan Kewenangan Kabupaten/Kota</t>
  </si>
  <si>
    <t>PD</t>
  </si>
  <si>
    <t>Program Peningkatan Kualitas Keluarga</t>
  </si>
  <si>
    <t>Persentase desa Peningkatan Kualitas Keluarga Daerah (PK2D)</t>
  </si>
  <si>
    <t>Peningkatan Kualitas Keluarga dalam Mewujudkan Kesetaraan Gender (KG) dan Hak Anak Tingkat Daerah Kabupaten/Kota</t>
  </si>
  <si>
    <t>Jumlah desa PK2D</t>
  </si>
  <si>
    <t>desa</t>
  </si>
  <si>
    <t>Pengembangan Kegiatan Masyarakat untuk Peningkatan Kualitas Keluarga Kewenangan Kabupaten/Kota</t>
  </si>
  <si>
    <t>Jumlah Laporan Pengembangan Kegiatan Masyarakat untuk Peningkatan Kualitas Keluarga Kewenangan Kabupaten/Kota</t>
  </si>
  <si>
    <t>Penguatan dan Pengembangan Lembaga Penyedia Layanan Peningkatan Kualitas Keluarga dalam Mewujudkan KG dan Hak Anak yang Wilayah Kerjanya dalam Daerah Kabupaten/Kota</t>
  </si>
  <si>
    <t>Jumlah Lembaga Penyedia Layanan  Peningkatan  Kualitas  Keluarga</t>
  </si>
  <si>
    <t>lembaga</t>
  </si>
  <si>
    <t>Peningkatan Kapasitas Sumber Daya Lembaga Penyedia Layanan Peningkatan Kualitas Keluarga Tingkat Daerah Kabupaten/Kota</t>
  </si>
  <si>
    <t>Jumlah sumberdaya Lembaga Penyedia Layanan Peningkatan Kualitas Keluarga yang mendapat Peningkatan Kapasitas Keluarga Kewenangan Kabupaten/Kota</t>
  </si>
  <si>
    <t>Program Pemenuhan Hak Anak (PHA)</t>
  </si>
  <si>
    <t>Persentase desa/kelurahan layak anak</t>
  </si>
  <si>
    <t>Pelembagaan PHA pada Lembaga Pemerintah, Nonpemerintah, dan Dunia Usaha Kewenangan Kabupaten/Kota</t>
  </si>
  <si>
    <t>Jumlah institusi yang melaksanakan fasilitasi pemenuhan hak anak</t>
  </si>
  <si>
    <t>Advokasi Kebijakan dan Pendampingan Pemenuhan Hak Anak pada Lembaga Pemerintah, Non Pemerintah, Media dan Dunia Usaha Kewenangan Kabupaten/Kota</t>
  </si>
  <si>
    <t>Jumlah Organisasi Pemerintah, Non Pemerintah, Media dan Dunia Usaha yang Mendapat Advokasi Kebijakan dan Pendampingan Pemenuhan Hak Anak pada Organisasi Pemerintah, Non Pemerintah, Media dan Dunia Usaha</t>
  </si>
  <si>
    <t>Organisasi</t>
  </si>
  <si>
    <t>Penguatan dan Pengembangan Lembaga Penyedia Layanan Peningkatan Kualitas Hidup Anak Kewenangan Kabupaten/Kota</t>
  </si>
  <si>
    <t>Jumlah institusi yang ber Konvensi Hak Anak</t>
  </si>
  <si>
    <t>Pengembangan Komunikasi, Informasi dan Edukasi Pemenuhan Hak Anak bagi Lembaga Penyedia Layanan Peningkatan Kualitas Hidup Anak Tingkat Daerah Kabupaten/Kota</t>
  </si>
  <si>
    <t>Jumlah Dokumen Komunikasi Informasi dan Edukasi (KIE) Pemenuhan Hak Anak bagi Lembaga Penyedia Layanan Peningkatan Kualitas Hidup Anak Kewenangan Kabupaten/Kota</t>
  </si>
  <si>
    <t>Koordinasi dan Sinkronisasi Pelaksanaan Pendampingan Peningkatan Kualitas Hidup Anak Tingkat Daerah Kabupaten/Kota</t>
  </si>
  <si>
    <t>Jumlah Dokumen Hasil Koordinasi dan Sinkronisasi Pelaksanaan Peningkatan Kualitas Hidup Anak Kewenangan Kabupaten/Kota</t>
  </si>
  <si>
    <t>Penguatan Jejaring antar Lembaga Penyedia Layanan Peningkatan Kualitas Hidup Anak Tingkat Daerah Kabupaten/Kota</t>
  </si>
  <si>
    <t>Jumlah Dokumen Hasil Penguatan Jejaring Antar Lembaga Penyedia Layanan Peningkatan Kualitas Hidup Anak Kewenangan Kabupaten/Kota</t>
  </si>
  <si>
    <t>Program Perlindungan Khusus Anak</t>
  </si>
  <si>
    <t>Persentase pengaduan anak korban kekerasan yang ditindaklanjuti</t>
  </si>
  <si>
    <t>Pencegahan Kekerasan Terhadap Anak yang Melibatkan para Pihak Lingkup Daerah Kabupaten/Kota</t>
  </si>
  <si>
    <t>Jumlah  perangkat  daerah  yang  melaksanakan  koordinasi  dan  mendapat  advokasi kebijakan dalam pencegahan kekerasan terhadap anak kewenangan kabupaten/kota</t>
  </si>
  <si>
    <t>Koordinasi dan Sinkronisasi Pencegahan Kekerasan terhadap Anak Kewenangan Kabupaten/Kota</t>
  </si>
  <si>
    <t>Jumlah Dokumen Hasil Koordinasi dan Sinkronisasi Pencegahan Kekerasan terhadap Anak Kewenangan Kabupaten/Kota</t>
  </si>
  <si>
    <t>Penyediaan Layanan bagi Anak yang Memerlukan Perlindungan Khusus yang Memerlukan Koordinasi Tingkat Daerah Kabupaten/Kota</t>
  </si>
  <si>
    <t>Penyediaan Layanan Pengaduan Masyarakat bagi Anak yang Memerlukan Perlindungan Khusus Tingkat Daerah Kabupaten/Kota</t>
  </si>
  <si>
    <t>Jumlah Anak yang Memerlukan Perlindungan Khusus Mendapatkan Layanan Pengaduan Kewenangan Kabupaten/Kota</t>
  </si>
  <si>
    <t>Koordinasi dan Sinkronisasi Pelaksanaan Pendampingan Anak yang Memerlukan Perlindungan Khusus Kewenangan Kabupaten/Kota</t>
  </si>
  <si>
    <t>Jumlah Layanan Tindak Lanjut Pengaduan yang Memerlukan Koordinasi dan Sinkronisasi bagi Anak yang Memerlukan Perlindungan Khusus Kewenangan Kabupaten/Kota</t>
  </si>
  <si>
    <t>Penguatan dan Pengembangan Lembaga Penyedia Layanan bagi Anak yang Memerlukan Perlindungan Khusus Tingkat Daerah Kabupaten/Kota</t>
  </si>
  <si>
    <t>Jumlah  lembaga  penyedia  layanan  bagi  anak  yang  melaksanakan koordinasi dan singkronisasi dalam pencegahan kekerasan terhadap anak</t>
  </si>
  <si>
    <t>PATBM</t>
  </si>
  <si>
    <t>Koordinasi dan Sinkronisasi Peningkatan Kapasitas Sumber Daya Lembaga Penyedia Layanan Anak yang Memerlukan Perlindungan Khusus Tingkat Daerah Kabupaten/Kota</t>
  </si>
  <si>
    <t>Jumlah Dokumen Hasil Koordinasi dan Sinkronisasi Peningkatan Kapasitas Sumber Daya Lembaga Penyedia Layanan Anak yang Memerlukan Perlindungan Khusus Kewenangan Kabupaten/Kota</t>
  </si>
  <si>
    <t>Program Pengendalian Penduduk</t>
  </si>
  <si>
    <t>Persentase kampung Keluarga Berkualitas yang telah dibentuk</t>
  </si>
  <si>
    <t>75,00</t>
  </si>
  <si>
    <t>14,86</t>
  </si>
  <si>
    <t>29,73</t>
  </si>
  <si>
    <t>Pemaduan dan Sinkronisasi Kebijakan Pemerintah Daerah Provinsi dengan Pemerintah Daerah Kabupaten/Kota dalam rangka Pengendalian Kuantitas Penduduk</t>
  </si>
  <si>
    <t xml:space="preserve"> Jumlah penyuluhan Keluarga Berencana</t>
  </si>
  <si>
    <t>Penguatan Kerjasama Pelaksanaan Pendidikan Kependudukan Jalur Pendidikan Formal</t>
  </si>
  <si>
    <t>Jumlah Dokumen Penguatan Kerja Sama Pelaksanaan Pendidikan Kependudukan Jalur Pendidikan Formal</t>
  </si>
  <si>
    <t>Pemetaan Perkiraan Pengendalian Penduduk Cakupan Daerah Kabupaten/Kota</t>
  </si>
  <si>
    <t>Jumlah Rumah Data Kependudukan paripurna di Kampung KB</t>
  </si>
  <si>
    <t>buah</t>
  </si>
  <si>
    <t>Membentuk Rumah Data Kependudukan di Kampung KB Untuk Memperkuat Integrasi Program KKBPK di Sektor Lain</t>
  </si>
  <si>
    <t>Jumlah Rumah Data Kependudukan di Kampung KB untuk Memperkuat Integrasi Program Bangga Kencana (Pembangunan Keluarga, Kependudukan, dan Keluarga Berencana) di Sektor Lain yang Dibentuk</t>
  </si>
  <si>
    <t>Penyediaan Data dan Informasi Keluarga</t>
  </si>
  <si>
    <t>Jumlah Data dan Informasi Keluarga yang Tersedia</t>
  </si>
  <si>
    <t>Pengolahan dan Pelaporan Data Pengendalian Lapangan dan Pelayanan KB</t>
  </si>
  <si>
    <t>Jumlah Dokumen Pengolahan dan Pelaporan Data Pengendalian Lapangan dan Pelayanan KB</t>
  </si>
  <si>
    <t>Program Pembinaan Keluarga Berencana (KB)</t>
  </si>
  <si>
    <t>Persentase kebutuhan ber-KB yang tidak terpenuhi (Unmeet Need)</t>
  </si>
  <si>
    <t>7,5</t>
  </si>
  <si>
    <t>8,16</t>
  </si>
  <si>
    <t>7,97</t>
  </si>
  <si>
    <t>Pelaksanaan Advokasi, Komunikasi, Informasi dan Edukasi (KIE) Pengendalian Penduduk dan KB sesuai Kearifan Budaya Lokal</t>
  </si>
  <si>
    <t>Jumlah KIE Metode Kontrasepsi Jangka Panjang (MKJP)</t>
  </si>
  <si>
    <t>kegiatan</t>
  </si>
  <si>
    <t>Advokasi Program KKBPK kepada Stakeholders dan Mitra Kerja</t>
  </si>
  <si>
    <t>Jumlah Organisasi yang Mendapatkan Advokasi Program Bangga Kencana (Pembangunan Keluarga, Kependudukan, dan Keluarga Berencana) kepada Stakeholders dan Mitra Kerja</t>
  </si>
  <si>
    <t>Pengelolaan Operasional dan Sarana Di Balai Penyuluhan KKBPK (DAK Non Fisik)</t>
  </si>
  <si>
    <t>Jumlah Laporan Hasil Pengelolaan Operasional dan Sarana Di Balai Penyuluhan Bangga Kencana (Pembangunan Keluarga, Kependudukan, dan Keluarga Berencana)</t>
  </si>
  <si>
    <t>Penyediaan dan Distribusi Sarana KIE Program KKBPK (DAK Non Fisik)</t>
  </si>
  <si>
    <t>Jumlah Unit Sarana Penyediaan dan Distribusi Sarana KIE Program Bangga Kencana (Pembangunan Keluarga, Kependudukan, dan Keluarga Berencana)</t>
  </si>
  <si>
    <t>Pengendalian Program KKBPK</t>
  </si>
  <si>
    <t>Jumlah Laporan Hasil Pengendalian Program KKBPK</t>
  </si>
  <si>
    <t>Pendayagunaan Tenaga Penyuluh KB/Petugas Lapangan KB (PKB/PLKB)</t>
  </si>
  <si>
    <t>Jumlah PUS yang ber KB menggunakan alat kontrasepsi</t>
  </si>
  <si>
    <t>PUS</t>
  </si>
  <si>
    <t>Penggerakanan Kader Institusi Masyarakat Pedesaan (IMP)</t>
  </si>
  <si>
    <t>Jumlah Kader Yang Mengikuti Penggerakanan Kader Institusi Masyarakat Pedesaan (IMP)</t>
  </si>
  <si>
    <t>Pengendalian dan Pendistribusian Kebutuhan Alat dan Obat Kontrasepsi serta Pelaksanaan Pelayanan KB di Daerah Kabupaten/Kota</t>
  </si>
  <si>
    <t>Jumlah klinik KB di fasilitas kesehatan yang menerima alat dan obat kontrasepsi</t>
  </si>
  <si>
    <t>faskes</t>
  </si>
  <si>
    <t>Pengendalian Pendistribusian Alat dan Obat Kontrasepsi dan Sarana Penunjang Pelayanan KB Ke Fasilitas Kesehatan Termasuk Jaringan dan Jejaringnya (DAK Non Fisik)</t>
  </si>
  <si>
    <t>Jumlah Laporan Pengendalian Pendistribusian Alat dan Obat Kontrasepsi dan Sarana Penunjang Pelayanan KB Ke Fasilitas Kesehatan Termasuk Jaringan dan Jejaringnya</t>
  </si>
  <si>
    <t>Peningkatan Kesertaan Penggunaan Metode Kontrasepsi Jangka Panjang (MKJP)</t>
  </si>
  <si>
    <t>Jumlah Orang yang Mengikuti Kesertaan Penggunaan Metode Kontrasepsi Jangka Panjang (MKJP)</t>
  </si>
  <si>
    <t>Peningkatan Kompetensi Tenaga Pelayanan Keluarga Berencana dan Kesehatan Reproduksi</t>
  </si>
  <si>
    <t>Jumlah Tenaga Pelayanan yang Mengikuti Peningkatan Kompetensi Tenaga Pelayanan Keluarga Berencana dan Kesehatan Reproduksi</t>
  </si>
  <si>
    <t>Dukungan Operasional Pelayanan KB Bergerak</t>
  </si>
  <si>
    <t>Jumlah Laporan Dukungan Operasional Pelayanan KB Bergerak</t>
  </si>
  <si>
    <t>Penyediaan Sarana Penunjang Pelayanan KB (DAK Fisik)</t>
  </si>
  <si>
    <t>Jumlah Unit Sarana Penunjang Pelayanan KB</t>
  </si>
  <si>
    <t>Pemberdayaan dan Peningkatan Peran serta Organisasi Kemasyarakatan Tingkat Daerah Kabupaten/Kota dalam Pelaksanaan Pelayanan dan Pembinaan Kesertaan Ber‑KB</t>
  </si>
  <si>
    <t xml:space="preserve">Jumlah Pasangan Usia Subur (PUS) yang ikut ber KB (mCPR) </t>
  </si>
  <si>
    <t>Penguatan Peran serta Organisasi Kemasyarakatan dan Mitra Kerja Lainnya dalam Pelaksanaan Pelayanan dan Pembinaan Kesertaan Ber‑KB</t>
  </si>
  <si>
    <t>Jumlah Organisasi yang Mendapatkan Penguatan Peran serta Organisasi Kemasyarakatan dan Mitra Kerja Lainnya dalam Pelaksanaan Pelayanan dan Pembinaan Kesertaan Ber‑KB</t>
  </si>
  <si>
    <t>Pelaksanaan dan Pengelolaan Program KKBPK di Kampung KB (DAK Non Fisik)</t>
  </si>
  <si>
    <t>Jumlah Kampung KB yang Mengikuti Pelaksanaan dan Pengelolaan Program Bangga Kencana (Pembangunan Keluarga, Kependudukan, dan Keluarga Berencana)</t>
  </si>
  <si>
    <t>Program Pemberdayaan Dan Peningkatan Keluarga Sejahtera (KS)</t>
  </si>
  <si>
    <t>Persentase kelompok ketahanan keluarga yang berhasil guna</t>
  </si>
  <si>
    <t>76,19</t>
  </si>
  <si>
    <t>66,67</t>
  </si>
  <si>
    <t>Pelaksanaan Pembangunan Keluarga melalui Pembinaan Ketahanan dan Kesejahteraan Keluarga</t>
  </si>
  <si>
    <t>Jumlah desa yang memiliki kelompok kegiatan ketahanan yang lengkap</t>
  </si>
  <si>
    <t>Orientasi/Pelatihan Teknis Pelaksana/Kader Ketahanan dan Kesejahteraan Keluarga (BKB, BKR, BKL, PPPKS, PIK‑R dan Pemberdayaan Ekonomi Keluarga/UPPKS)</t>
  </si>
  <si>
    <t>Jumlah Kader yang Mengikuti Orientasi/Pelatihan Teknis Pelaksana/Kader Ketahanan dan Kesejahteraan Keluarga (BKB, BKR, BKL, PPPKS, PIK-R dan Pemberdayaan Ekonomi Keluarga/UPPKS)</t>
  </si>
  <si>
    <t>kader</t>
  </si>
  <si>
    <t>Penyediaan Biaya Operasional bagi Pengelola dan Pelaksana (Kader) Ketahanan dan Kesejahteraan Keluarga (BKB, BKR, BKL, PPPKS, PIK-R dan Pemberdayaan Ekonomi Keluarga/UPPKS)</t>
  </si>
  <si>
    <t>Jumlah Kader Pengelola dan Pelaksana (Kader) Ketahanan dan Kesejahteraan Keluarga (BKB, BKR, BKL, PPPKS, PIK-R dan Pemberdayaan Ekonomi Keluarga/UPPKS)</t>
  </si>
  <si>
    <t>Promosi dan Sosialisasi Kelompok Kegiatan Ketahanan dan Kesejahteraan Keluarga (BKB, BKR, BKL, PPPKS, PIK‑R dan Pemberdayaan Ekonomi Keluarga/UPPKS)</t>
  </si>
  <si>
    <t>Jumlah Laporan Hasil Promosi dan Sosialisasi Kelompok Kegiatan Ketahanan dan Kesejahteraan Keluarga (BKB, BKR, BKL, PPPKS, PIK‑R dan Pemberdayaan Ekonomi Keluarga/UPPKS)</t>
  </si>
  <si>
    <t>Dinas Ketahanan Pangan</t>
  </si>
  <si>
    <t>Persentase Cadangan Pangan Masyarakat</t>
  </si>
  <si>
    <t>Skor PPH Ketersediaan</t>
  </si>
  <si>
    <t>8.04</t>
  </si>
  <si>
    <t>87,54</t>
  </si>
  <si>
    <t>Jumlah cadangan pangan masyarakat (pada lumbung)</t>
  </si>
  <si>
    <t>Kg</t>
  </si>
  <si>
    <t>Jumlah Lumbung Pangan yang Tersedia</t>
  </si>
  <si>
    <t>unit</t>
  </si>
  <si>
    <t>Jumlah Lantai Jemur yang Tersedia</t>
  </si>
  <si>
    <t>Persentase Cadangan Pangan Pemerintah Daerah</t>
  </si>
  <si>
    <t xml:space="preserve">Persentase rumah tangga pengkonsumsi pangan B2SA
</t>
  </si>
  <si>
    <t>Nilai Tukar Petani</t>
  </si>
  <si>
    <t>skor</t>
  </si>
  <si>
    <t xml:space="preserve">Jumlah laporan Pencatatan Harga   11 pangan pokok
</t>
  </si>
  <si>
    <t xml:space="preserve">Jumlah Ketersediaan (stok) 11 pangan pokok
</t>
  </si>
  <si>
    <t>Pemantauan Stok, Pasokan dan Harga Pangan</t>
  </si>
  <si>
    <t>Jumlah Kelembagaan dan Jaringan Distribusi Pangan yang Dikembangkan</t>
  </si>
  <si>
    <t>Jumlah Koordinasi, Sinkronisasi dan Pelaksanaan Distribusi Pangan Pokok dan Pangan Lainnya</t>
  </si>
  <si>
    <t xml:space="preserve">Jumlah cadangan pangan pemerintah 
</t>
  </si>
  <si>
    <t>Jumlah Cadangan Pangan Pemerintah Kabupaten/Kota</t>
  </si>
  <si>
    <t>6,5</t>
  </si>
  <si>
    <t>Jumlah Cadangan Pangan Pemerintah Kabupaten/Kota yang Terpelihara</t>
  </si>
  <si>
    <t>Jumlah Koordinasi dan Sinkronisasi Pengendalian Cadangan Pangan Kabupaten/Kota</t>
  </si>
  <si>
    <t xml:space="preserve">Jumlah rumah tangga yang mengimplementasikan KRPL 
</t>
  </si>
  <si>
    <t>RT</t>
  </si>
  <si>
    <t>Skor PPh Konsumsi</t>
  </si>
  <si>
    <t>96,38</t>
  </si>
  <si>
    <t>Target Konsumsi Pangan Per Kapita Per Tahun</t>
  </si>
  <si>
    <t>Jumlah Pemberdayaan Kelompok Masyarakat dalam Penganekaragaman Konsumsi Pangan Berbasis Sumber Daya Lokal</t>
  </si>
  <si>
    <t>Jumlah Koordinasi dan Sinkronisasi Pemantauan dan Evaluasi Konsumsi Per Kapita Per Tahun</t>
  </si>
  <si>
    <t>Persentase Daerah Rentan Rawan Pangan</t>
  </si>
  <si>
    <t>Jumlah laporan peta</t>
  </si>
  <si>
    <t>Peta dan Analisis Ketahanan dan Kerentanan Pangan yang Dimutahirkan</t>
  </si>
  <si>
    <t>Persentase pangan segar yang memenuhi persyaratan dan keamanan</t>
  </si>
  <si>
    <t xml:space="preserve">Jumlah unit produksi yang diperiksa
</t>
  </si>
  <si>
    <t>Unit Produksi</t>
  </si>
  <si>
    <t xml:space="preserve">Jumlah sampel unit penjualan
</t>
  </si>
  <si>
    <t>Pasar</t>
  </si>
  <si>
    <t>KelembagaanKeamanan Pangan Segar Daerah Kabupaten/Kota yang Dibina</t>
  </si>
  <si>
    <t>Jumlah Registrasi Keamanan Pangan Segar Asal Tumbuhan Daerah Kabupaten/Kota</t>
  </si>
  <si>
    <t>Jumlah Rekomendasi Keamanan Pangan Segar Asal Tumbuhan Daerah Kabupaten/Kota</t>
  </si>
  <si>
    <t>Jumlah Sarana dan Prasarana Pengujian Mutu dan Keamanan Pangan Segar Asal Tumbuhan Daerah Kabupaten/Kota</t>
  </si>
  <si>
    <t>Tercukupinya Ketersediaan Pangan Yang Beragam dan Aman</t>
  </si>
  <si>
    <t>Program Pengelolaan Sumber Daya Ekonomi Untuk Kedaulatan Dan Kemandirian Pangan</t>
  </si>
  <si>
    <t>Penyediaan Infrastruktur dan Seluruh Pendukung Kemandirian Pangan sesuai Kewenangan Daerah Kabupaten/Kota</t>
  </si>
  <si>
    <t>Penyediaan Infrastruktur Lumbung Pangan</t>
  </si>
  <si>
    <t>Penyediaan Infrastruktur Lantai Jemur</t>
  </si>
  <si>
    <t>Program Peningkatan Diversifikasi Dan Ketahanan Pangan Masyarakat</t>
  </si>
  <si>
    <t>Penyediaan dan Penyaluran Pangan Pokok atau Pangan Lainnya sesuai dengan Kebutuhan Daerah Kabupaten/Kota dalam rangka Stabilisasi Pasokan dan Harga Pangan</t>
  </si>
  <si>
    <t>Pengembangan Kelembagaan Usaha Pangan Masyarakat dan Toko Tani Indonesia</t>
  </si>
  <si>
    <t>Koordinasi, Sinkronisasi dan Pelaksanaan Distribusi Pangan Pokok dan Pangan Lainnya</t>
  </si>
  <si>
    <t>Pengelolaan dan Keseimbangan Cadangan Pangan Kabupaten/Kota</t>
  </si>
  <si>
    <t>Pengadaan Cadangan Pangan Pemerintah Kabupaten/Kota</t>
  </si>
  <si>
    <t>Pemeliharaan Cadangan Pangan Pemerintah Kabupaten/Kota</t>
  </si>
  <si>
    <t>Koordinasi dan Sinkronisasi Pengendalian Cadangan Pangan Kabupaten/Kota</t>
  </si>
  <si>
    <t>Pelaksanaan Pencapaian Target Konsumsi Pangan Perkapita/Tahun sesuai dengan Angka Kecukupan Gizi</t>
  </si>
  <si>
    <t>Penyusunan dan Penetapan Target Konsumsi Pangan per Kapita per Tahun</t>
  </si>
  <si>
    <t>Pemberdayaan Masyarakat dalam Penganekaragaman Konsumsi Pangan Berbasis Sumber Daya Lokal</t>
  </si>
  <si>
    <t>Koordinasi dan Sinkronisasi Pemantauan dan Evaluasi Konsumsi per Kapita per Tahun</t>
  </si>
  <si>
    <t>Program Penanganan Kerawanan Pangan</t>
  </si>
  <si>
    <t>Penyusunan Peta Kerentanan dan Ketahanan Pangan Kecamatan</t>
  </si>
  <si>
    <t>Penyusunan, Pemutakhiran dan Analisis Peta Ketahanan dan Kerentanan Pangan</t>
  </si>
  <si>
    <t>Program Pengawasan Keamanan Pangan</t>
  </si>
  <si>
    <t>Pelaksanaan Pengawasan Keamanan Pangan Segar Daerah Kabupaten/Kota</t>
  </si>
  <si>
    <t>Penguatan Kelembagaan Keamanan Pangan Segar Daerah Kabupaten/Kota</t>
  </si>
  <si>
    <t>Registrasi Keamanan Pangan Segar Asal Tumbuhan Daerah Kabupaten/Kota</t>
  </si>
  <si>
    <t>Rekomendasi Keamanan Pangan Segar Asal Tumbuhan Daerah Kabupaten/Kota</t>
  </si>
  <si>
    <t>Penyediaan Sarana dan Prasarana Pengujian Mutu dan Keamanan Pangan Segar Asal Tumbuhan Daerah Kabupaten/Kota</t>
  </si>
  <si>
    <t>Meningkatnya tata kelola administrasi perkantoran</t>
  </si>
  <si>
    <t>Dinas Pemberdayaan Masyarakat dan Desa</t>
  </si>
  <si>
    <t>Persentase Pelayanan Administrasi Umum Sesuai Kebutuhan</t>
  </si>
  <si>
    <t>Jumlah Penyediaan Jasa Penunjang Urusan Pemerintahan Daerah Sesuai Kebutuhan</t>
  </si>
  <si>
    <t>Penyediaan Jasa Pemeliharaan, Biaya Pemeliharaan, Pajak dan Perizinan Kendaraan Dinas Operasional atau Lapangan Sesuai Kebutuhan</t>
  </si>
  <si>
    <t>Terlaksananya Penyelenggaraan Penataan  Desa</t>
  </si>
  <si>
    <t>Program Penataan Desa</t>
  </si>
  <si>
    <t>Persentase desa dengan   Tata Wilayah yang sudah ditetapkan dengan peraturan</t>
  </si>
  <si>
    <t>Terpenuhinya Dokumen Kesepakatan Batas Desa</t>
  </si>
  <si>
    <t>Penyelenggaraan Penataan Desa</t>
  </si>
  <si>
    <t>Persentase desa yang telah melaksanakan kesepakatan batas desa</t>
  </si>
  <si>
    <t>Fasilitasi Tata Wilayah Desa</t>
  </si>
  <si>
    <t>Jumlah desa yang selesai penetapan batas wilayahnya</t>
  </si>
  <si>
    <t>Fasilitasi Sarana dan Prasarana Desa</t>
  </si>
  <si>
    <t>Pembangunan Kantor Desa Kaliring kecamatan Padang Batung</t>
  </si>
  <si>
    <t>Meningkatnya Kapasitas  Pengurus BUMDes</t>
  </si>
  <si>
    <t>Program Peningkatan Kerjasama Desa</t>
  </si>
  <si>
    <t>Persentase  Pengurus BUMDes yang  Mengikuti Pelatihan Manajemen Bumdes</t>
  </si>
  <si>
    <t>Meningkatnya  BUMDes yang Berkontribusi Dalam Peningkatan PADes</t>
  </si>
  <si>
    <t>Fasilitasi Kerjasama antar Desa</t>
  </si>
  <si>
    <t>Persentase BUMDes Yang Memperoleh Keuntungan/Laba untuk PADes</t>
  </si>
  <si>
    <t>Fasilitasi Kerjasama Antar Desa dengan Pihak Ketiga dalam Kabupaten / Kota</t>
  </si>
  <si>
    <t>Jumlah Dokumen Kerja Sama Antar Desa dengan Pihak Ketiga dalam Kabupaten/Kota</t>
  </si>
  <si>
    <t>Meningkatnya Kualitas Perencanaan Desa</t>
  </si>
  <si>
    <t>Program Administrasi Pemerintahan Desa</t>
  </si>
  <si>
    <t xml:space="preserve">Persentase Kesesuaian RKPDes Terhadap RPJMDes  </t>
  </si>
  <si>
    <t xml:space="preserve">Meningkatnya Kapasitas Kepala Desa Dan Perangkat Desa </t>
  </si>
  <si>
    <t>Prosentase Kepala Desa dan Perangkat Desa yang telah mengikuti Bimtek</t>
  </si>
  <si>
    <t>50%</t>
  </si>
  <si>
    <t>Pemerintahan Desa Yang Tertib Dalam Pengelolaan Administrasi dan Keuangan Desa</t>
  </si>
  <si>
    <t>Pembinaan dan Pengawasan Penyelenggaraan Administrasi Pemerintahan Desa</t>
  </si>
  <si>
    <t>Persentase Penyelenggaraan Pemerintahan Desa Yang tertib dalam  Administrasi Desa serta Tertib Pengelolaan Dana Desa</t>
  </si>
  <si>
    <t xml:space="preserve">Memastikan Masyarakat Desa usia  25 s.d 35 tahun   Mengikuti Pendidikan Formal </t>
  </si>
  <si>
    <t xml:space="preserve">Persentase  Desa  dengan RKP yang Memuat   Kegiatan Kejar Paket B  </t>
  </si>
  <si>
    <t>Fasilitasi Penyusunan Produk Hukum Desa</t>
  </si>
  <si>
    <t>Jumlah Dokumen Hasil Penyusunan Produk Hukum Desa</t>
  </si>
  <si>
    <t>Fasilitasi Penyusunan Perencanaan Pembangunan Desa</t>
  </si>
  <si>
    <t>Jumlah Dokumen Hasil Penyusunan Perencanaan Pembangunan Desa</t>
  </si>
  <si>
    <t xml:space="preserve">Penyelenggaraan Pemilihan, Pengangkatan dan Pemberhentian Kepala Desa </t>
  </si>
  <si>
    <t>Jumlah Laporan Hasil Penyelenggaraan Pemilihan, Pengangkatan dan Pemberhentian Kepala Desa</t>
  </si>
  <si>
    <t xml:space="preserve">Fasilitasi Manajemen Pemerintahan Desa </t>
  </si>
  <si>
    <t>Jumlah Dokumen Hasil Fasilitasi Manajemen Pemerintahan Desa</t>
  </si>
  <si>
    <t>Fasilitasi Evaluasi Perkembangan Desa serta Lomba Desa dan Kelurahan</t>
  </si>
  <si>
    <t>Jumlah Dokumen Hasil Evaluasi Perkembangan Desa serta Lomba Desa dan Kelurahan</t>
  </si>
  <si>
    <t>Pembinaan Peningkatan Kapasitas Anggota BPD</t>
  </si>
  <si>
    <t>Jumlah Anggota BPD yang Mengikuti Pembinaan Peningkatan Kapasitas</t>
  </si>
  <si>
    <t>Meningkatnya Desa Sehat  Sejahtera</t>
  </si>
  <si>
    <t xml:space="preserve">Program Pemberdayaan Lembaga Kemasyarakatan, Lembaga Adat dan Masyarakat Hukum Adat </t>
  </si>
  <si>
    <t>Persentase Desa Sehat Sejahtera</t>
  </si>
  <si>
    <t>Meningkatnya Desa Yang Layak Air Bersih dan  Sanitasi</t>
  </si>
  <si>
    <t>Prosentase Desa Layak Air Bersih Dan Sanitasi</t>
  </si>
  <si>
    <t xml:space="preserve">Memastikan  Kemudahan  Layanan Kesehatan Bagi Warga Desa </t>
  </si>
  <si>
    <t>Pemberdayaan Lembaga Kemasyarakatan yang Bergerak di Bidang Pemberdayaan Desa dan Lembaga Adat Tingkat Daerah Kabupaten/Kota Serta Pemberdayaan Masyarakat Hukum Adat yang masyarakat Pelakunya Hukum Adat yang sama Dalam Daerah Kabupaten/Kota</t>
  </si>
  <si>
    <t>Persentase Desa Dengan 5 Pos Layanan Kesehatan</t>
  </si>
  <si>
    <t>Meningkatkan Kader Penggerak Masyarakat  Desa Yang  Berkualitas</t>
  </si>
  <si>
    <t>Persentase Jumlah Kader Pembangunan Manusia, Kader PKK, Kader Posyandu,  dan Petugas Samping Desa  Yang Terlatih.</t>
  </si>
  <si>
    <t>Meningkatkan Kader Penggerak Masyarakat (KPM) Berkualitas</t>
  </si>
  <si>
    <t>Prosentase  Kader Pengurus RW, Pengurus RT, Pengurus LPM dan Petugas PLD yang Terlatih Menyusun Perencanaan Desa</t>
  </si>
  <si>
    <t>Peningkatan Kapasitas Kelembagaan Lembaga Kemasyarakatan Desa/Kelurahan (RT, RW, PKK, Posyandu, LPM, dan Karang Taruna) Lembaga Adat Desa/Kelurahan dan Masyarakat Hukum Adat</t>
  </si>
  <si>
    <t>Jumlah Lembaga Kemasyarakatan Desa/Kelurahan (RT, RW, PKK, Posyandu, LPM, dan Karang Taruna), Lembaga Adat Desa/Kelurahan dan Masyarakat Hukum Adat yang Ditingkatkan Kapasitasnya</t>
  </si>
  <si>
    <t>Fasilitasi Pemerintah Desa dalam Pemanfaatan Teknologi Tepat Guna</t>
  </si>
  <si>
    <t>Jumlah Laporan Hasil Fasilitasi Pemerintah Desa dalam Pemanfaatan Teknologi Tepat Guna</t>
  </si>
  <si>
    <t>Fasilitasi Tim Penggerak PKK dalam Penyelenggaraan Gerakan Pemberdayaan Masyarakat dan Kesejahteraan Keluarga</t>
  </si>
  <si>
    <t>Jumlah Dokumen Hasil Fasilitasi Tim Penggerak PKK dalam Penyelenggaraan Gerakan Pemberdayaan Masyarakat dan Kesejahteraan Keluarga</t>
  </si>
  <si>
    <t>Dinas Perhubungan</t>
  </si>
  <si>
    <t>Jumlah Dokumen Perencanaan dan Evaluasi Kinerja yang berkualitas</t>
  </si>
  <si>
    <t>Program Penyelenggaraan Lalu Lintas Dan Angkutan Jalan (LLAJ)</t>
  </si>
  <si>
    <t>Ratio Kejadiaan Kecelakaan Per 10.000 Keberangkatan Dalam 1 Tahun</t>
  </si>
  <si>
    <t>Persentase Cakupan Pengelolaan Angkutan Jalan</t>
  </si>
  <si>
    <t>Penyediaan Perlengkapan Jalan di Jalan Kabupaten/Kota</t>
  </si>
  <si>
    <t>Persentase Perlengkapan Jalan di Jalan Kabupaten yang tersedia</t>
  </si>
  <si>
    <t>Jumlah Perlengkapan Jalan di Jalan Kabupaten/Kota yang Tersedia</t>
  </si>
  <si>
    <t>Rehabilitasi dan Pemeliharaan Prasarana Jalan</t>
  </si>
  <si>
    <t>Jumlah Prasarana Jalan yang Terehabilitasi dan Terpelihara</t>
  </si>
  <si>
    <t>Penerbitan Izin Penyelenggaraan dan Pembangunan Fasilitas Parkir</t>
  </si>
  <si>
    <t>Persentasi Cakupan Izin Penyelenggaraan dan Pembangunan Fasilitas Parkir</t>
  </si>
  <si>
    <t>Fasilitasi Pemenuhan Persyaratan Perolehan Izin Penyelenggaraan dan Pembangunan Fasilitas Parkir Kewenangan Kabupaten/Kota dalam Sistem Pelayanan Perizinan Berusaha Terintegrasi secara Elektronik</t>
  </si>
  <si>
    <t>Jumlah Dokumen Pemenuhan Persyaratan Perolehan Izin Penyelenggaraan dan Terbangunnya Fasilitas Parkir Kewenangan Kabupaten/Kota dalam Sistem Pelayanan Perizinan Berusaha Terintegrasi Secara Elektronik</t>
  </si>
  <si>
    <t>Pengujian Berkala Kendaraan Bermotor</t>
  </si>
  <si>
    <t>Pesentase Jumlah Kendaraan Laik Jalan Yang Lolos Uji Emisi</t>
  </si>
  <si>
    <t>Penyediaan Sarana dan Prasarana Pengujian Berkala Kendaraan Bermotor</t>
  </si>
  <si>
    <t>Jumlah Sarana dan Prasarana Pengujian Berkala Kendaraan Bermotor yang Tersedia</t>
  </si>
  <si>
    <t>Pemeliharaan Sarana dan Prasarana Pengujian Berkala Kendaraan Bermotor</t>
  </si>
  <si>
    <t>Jumlah Sarana dan Prasarana Pengujian Berkala Kendaraan Bermotor yang Terpelihara</t>
  </si>
  <si>
    <t>Monitoring dan Evaluasi Penyelenggaraan Pengujian Berkala Kendaraan Bermotor</t>
  </si>
  <si>
    <t>Jumlah Laporan Monitoring dan Evaluasi Penyelenggaraan Pengujian Berkala Kendaraan Bermotor</t>
  </si>
  <si>
    <t>Pelaksanaan Manajemen dan Rekayasa Lalu Lintas untuk Jaringan Jalan Kabupaten/Kota</t>
  </si>
  <si>
    <t>Persentase Cakupan Manajemen dan Rekayasa Lalu Lintas sesuai Standar</t>
  </si>
  <si>
    <t>Penataan Manajemen dan Rekayasa Lalu Lintas Untuk Jaringan Jalan Kabupaten/Kota</t>
  </si>
  <si>
    <t>Jumlah Laporan Penataan Manajemen dan Rekayasa Lalu Lintas untuk Jaringan Jalan Kabupaten/Kota</t>
  </si>
  <si>
    <t>Forum Lalu Lintas dan Angkutan Jalan Kabupaten/Kota</t>
  </si>
  <si>
    <t>Jumlah Laporan Forum Lalu Lintas dan Angkutan Jalan untuk Jaringan Jalan Kabupaten/Kota</t>
  </si>
  <si>
    <t>Program Pengelolaan Pelayaran</t>
  </si>
  <si>
    <t>Persentase Cakupan Pengelolaan Angkutan Sungai dan Danau</t>
  </si>
  <si>
    <t>Pembangunan dan Penerbitan Izin Pembangunan dan Pengoperasian Pelabuhan Sungai dan Danau</t>
  </si>
  <si>
    <t>Persentase Cakupan Pembangunan Dan Penerbitan Izin Pembangunan Dan Pengoperasian Pelabuhan Sungai Dan Danau</t>
  </si>
  <si>
    <t>Pembangunan Pelabuhan Sungai dan Danau</t>
  </si>
  <si>
    <t>Jumlah Pelabuhan Sungai dan Danau yang Dibangun</t>
  </si>
  <si>
    <t>Pengoperasian dan Pemeliharaan Pelabuhan Sungai dan Danau</t>
  </si>
  <si>
    <t>Jumlah Pelabuhan Pengumpan Lokal yang Beroperasi dan Terpelihara</t>
  </si>
  <si>
    <t>Dinas Penanaman Modal dan Pelayanan Terpadu Satu Pintu</t>
  </si>
  <si>
    <t xml:space="preserve">Terpenuhinya dokumen perencanaan dan evaluasi perangkat daerah </t>
  </si>
  <si>
    <t>Terlaksananya pelayanan administrasi keuangan sesuai standar</t>
  </si>
  <si>
    <t>Terlaksananya pelayanan administrasi kepegawaian</t>
  </si>
  <si>
    <t>Administrasi Kepegawaian Perangkat Daerah</t>
  </si>
  <si>
    <t>Persentase pelayanan administrasi umum sesuai kebutuhan</t>
  </si>
  <si>
    <t>Pengadaan Pakaian Dinas Beserta Atribut kelengkapannya</t>
  </si>
  <si>
    <t>Jumlah Paket Pakaian Dinas beserta Atribut Kelengkapan</t>
  </si>
  <si>
    <t>Terlaksananya pelayanan administrasi umum</t>
  </si>
  <si>
    <t>Pengadaan Peralatan dan Mesin Lainnya</t>
  </si>
  <si>
    <t>Jumlah  Unit  Peralatan  dan  Mesin  Lainnya  yang disediakan</t>
  </si>
  <si>
    <t>Memastikan Investasi di Kab.HSS dalam keadaan Clear N Clear</t>
  </si>
  <si>
    <t>Program Promosi Penanaman Modal</t>
  </si>
  <si>
    <t>Persentase Sarana Prasarana di kawasan Investasi Siap pakai</t>
  </si>
  <si>
    <t>Persentase kawasan investasi yang memenuhi persyaratan/sesuai peruntukan</t>
  </si>
  <si>
    <t>Tersedianya Rencana tata Ruang Wilayah Kabupaten yang refresentatif</t>
  </si>
  <si>
    <t>Penyelenggaraaan Promosi Penanaman Modal yang Menjadi Kewenangan Daerah Kab/Kota</t>
  </si>
  <si>
    <t>Jumlah Peraturan Daerah</t>
  </si>
  <si>
    <t>Perda</t>
  </si>
  <si>
    <t>Jumlah Rancangan Peraturan Daerah</t>
  </si>
  <si>
    <t>Ranperda</t>
  </si>
  <si>
    <t>Pelaksanaan Kegiatan Promosi Penanaman Modal Daerah Kab/Kota</t>
  </si>
  <si>
    <t>Jumlah Dokumen Hasil Kegiatan Promosi Penanaman Modal Kabupaten/Kota</t>
  </si>
  <si>
    <t>Meningkatnya kualitas pelayanan publik terpadu berbasis elektronik</t>
  </si>
  <si>
    <t>Program Pelayanan Penanaman Modal</t>
  </si>
  <si>
    <t xml:space="preserve">Cakupan pemenuhan aspek Pelayanan Publik </t>
  </si>
  <si>
    <t>aspek</t>
  </si>
  <si>
    <t>Memastikan seluruh usaha risiko tinggi memiliki izin usaha</t>
  </si>
  <si>
    <t>Persentase usaha risiko tinggi yang berizin</t>
  </si>
  <si>
    <t>Tersedianya Layanan Konsultasi dan Pengaduan Masyarakat</t>
  </si>
  <si>
    <t>Persentase konsultasi Pengaduan yang ditindaklanjuti</t>
  </si>
  <si>
    <t>Tersedianya Tracking sistem secara online dan Offline</t>
  </si>
  <si>
    <t>Pelayanan Perizinan dan Non Perizinan secara terpadu Satu Pintu dibidang Penanaman Modal yang menjadi kewenangan Daerah Kabupaten/Kota</t>
  </si>
  <si>
    <t>Persentase Tracking Sistem pelayanan perijinan dan Non perijinan yang dapat di akses</t>
  </si>
  <si>
    <t>Tersedianya SDM yang Kompeten dan Profesional</t>
  </si>
  <si>
    <t>Persentase petugas layanan yang memiliki sertifikat pelatihan</t>
  </si>
  <si>
    <t>Tersedianya Layanan konsultasi OSS</t>
  </si>
  <si>
    <t xml:space="preserve"> Jumlah Layanan Konsultasi</t>
  </si>
  <si>
    <t>jenis layanan</t>
  </si>
  <si>
    <t>Tersedianya informasi pelayanan perizinan berusaha melalui OSS</t>
  </si>
  <si>
    <t>Jumlah Sarana informasi</t>
  </si>
  <si>
    <t>media informasi</t>
  </si>
  <si>
    <t>Tersedianya kanal pengaduan terhadap pelayanan perizinan dan non Perizinan</t>
  </si>
  <si>
    <t>Jumlah Kanal Pengaduan yang aktif</t>
  </si>
  <si>
    <t>kanal pengaduan</t>
  </si>
  <si>
    <t>Tersedianya petugas Pengaduan</t>
  </si>
  <si>
    <t>Jumlah Petugas pengaduan yang kompeten</t>
  </si>
  <si>
    <t>orang</t>
  </si>
  <si>
    <t>Tersedianya standar pelayanan penanganan pengaduan</t>
  </si>
  <si>
    <t>Waktu penyelesaian pengaduan</t>
  </si>
  <si>
    <t>hari</t>
  </si>
  <si>
    <t>Waktu penyelesaian pengaduan dengan survei</t>
  </si>
  <si>
    <t>Penyediaan Pelayanan Terpadu Perizinan dan Non Perizinan berbaisis sistem pelayanan perizinan berusaha Terintegrasi secara elektronik</t>
  </si>
  <si>
    <t>Jumlah Pelaku Usaha yang Mendapatkan Pelayanan Terpadu Perizinan dan Non Perizinan Berbasis Sistem Pelayanan Perizinan Berusaha Terintegrasi Secara Elektronik</t>
  </si>
  <si>
    <t>Pelaku Usaha</t>
  </si>
  <si>
    <t>Pemantauan Pemenuhan Komitmen Perizinan dan Non Perizinan Penanaman Modal</t>
  </si>
  <si>
    <t>Jumlah Kegiatan Usaha dari Pelaku Usaha yang Mendapat Pemantauan Pemenuhan Komitmen Perizinan Berusaha dan Non Perizinan Penanaman Modal</t>
  </si>
  <si>
    <t>Kegiatan Usaha</t>
  </si>
  <si>
    <t>Penyediaan Layanan Konsultasi dan Pengelolaan Pengaduan Masyarakat Terhadap Pelayanan Terpadu Perizinan dan Non Perizinan</t>
  </si>
  <si>
    <t>Jumlah Orang yang Memperoleh Layanan Konsultasi dan Terkelolanya Pengaduan Masyarakat Terhadap Pelayanan Terpadu Perizinan dan Non Perizinan</t>
  </si>
  <si>
    <t>Memastikan Iklim Investasi yang Kondusif</t>
  </si>
  <si>
    <t>Program Pengendalian Pelaksanaan Penanaman Modal</t>
  </si>
  <si>
    <t>Persentase pemenuhan pemberian Insentif dan kemudahan berusaha Penanaman Modal</t>
  </si>
  <si>
    <t>Persentase  Regulasi Penanaman Modal/ Investasi  yang selaras dengan UUCK</t>
  </si>
  <si>
    <t>Memastikan adanya pemberian insentif  dan kemudahan berusaha bagi Penanam Modal</t>
  </si>
  <si>
    <t>Pengendalian Pelaksanaan Penanaman Modal yang Menjadi Kewenangan Daerah Kabupaten/Kota</t>
  </si>
  <si>
    <t>Persentase PMDN yang mendapatkan insentif  Penanaman Modal</t>
  </si>
  <si>
    <t>Persentase PMDN yang mendapatkan kemudahan Penanaman Modal</t>
  </si>
  <si>
    <t>Terlaksananya pengawasan penanaman modal</t>
  </si>
  <si>
    <t>Jumlah pengawasan terhadap PMDN sesuai dengan ketentuan</t>
  </si>
  <si>
    <t>kali pengawasan</t>
  </si>
  <si>
    <t>Tersedianya petugas pendamping OSS yang kompeten</t>
  </si>
  <si>
    <t>Persentase permasalahan pelaku usaha yang difasilitasi oleh petugas pendamping</t>
  </si>
  <si>
    <t>Koordinasi dan Sinkronisasi Pemantauan Pelaksanaan Penanaman Modal</t>
  </si>
  <si>
    <t>Jumlah Kegiatan Usaha dari Pelaku Usaha yang Melakukan Koordinasi dan Sinkronisasi Pemantauan Pelaksanaan Penanaman Modal</t>
  </si>
  <si>
    <t>Koordinasi dan Sinkronisasi Pembinaan Pelaksanaan Penanaman Modal</t>
  </si>
  <si>
    <t>Jumlah Pelaku Usaha yang Mendapatkan Pembinaan Pelaksanaan Penanaman Modal</t>
  </si>
  <si>
    <t>Koordinasi dan Sinkronisasi Pengawasan Pelaksanaan Penanaman Modal</t>
  </si>
  <si>
    <t>Jumlah Kegiatan Usaha dari Pelaku Usaha yang Melakukan Koordinasi dan Sinkronisasi Pengawasan</t>
  </si>
  <si>
    <t>Memastikan seluruh pengguna layanan Perizinan dan Non Perizinan telah memenuhi kewajiban pajak</t>
  </si>
  <si>
    <t>Program Pengelolaan Data dan Sistem Informasi Penanaman Modal</t>
  </si>
  <si>
    <t>Persentase Jumlah Pengguna Layanan Perizinan dan Non Perizinan Telah memenuhi kewajiban pajak</t>
  </si>
  <si>
    <t>Terlaksananya Standar Pelayanan Yang memuat persyaratan bukti lunas pajak</t>
  </si>
  <si>
    <t>Pengelolaan Data dan Informasi Perizinan dan Non Perizinan yang Terintegrasi pada Tingkat Daerah Kabupaten/kota</t>
  </si>
  <si>
    <t>Persentase pemohon yang diberikan izin sudah terkonfirmasi wajib pajak</t>
  </si>
  <si>
    <t>Pengolahan,Penyajian dan Pemanfaatan data dan Informasi Perizinan dan Non Perizinan Berbasis sistem pelayanan Perizinan berusaha Terintegrasi secara elektronik</t>
  </si>
  <si>
    <t>Jumlah Data dan Informasi Perizinan dan Non Perizinan Berbasis Sistem Pelayanan Perizinan Berusaha Terintegrasi Secara Elektronik yang Diolah, Dikaji dan Dimanfaatkan</t>
  </si>
  <si>
    <t>Satuan Polisi Pamong Praja dan Pemadam Kebakaran</t>
  </si>
  <si>
    <t>Persentase pelayanan administrasi kepegawaian perangkat daerah sesuai kebutuhan</t>
  </si>
  <si>
    <t>Pengadaan Pakaian Dinas Beserta Atribut Kelengkapannya</t>
  </si>
  <si>
    <t>Persentase Ppengadaan barang milik daerah sesuai kebutuhan</t>
  </si>
  <si>
    <t>Pengadaan Mebel</t>
  </si>
  <si>
    <t>Jumlah Paket Mebel yang Disediakan</t>
  </si>
  <si>
    <t xml:space="preserve">Penyediaan Jasa Pelayanan Umum Kantor </t>
  </si>
  <si>
    <t>Program Peningkatan Ketenteraman Dan Ketertiban Umum</t>
  </si>
  <si>
    <t>Persentase Gangguan Trantibum Yang Dapat Diselesaikan</t>
  </si>
  <si>
    <t>Penanganan Gangguan Ketenteraman dan Ketertiban Umum dalam 1 (satu) Daerah Kabupaten/Kota</t>
  </si>
  <si>
    <t>Persentase Kawasan Ketertiban Umum yang Diobservasi</t>
  </si>
  <si>
    <t>Pencegahan Gangguan Ketenteraman dan Ketertiban Umum melalui Deteksi Dini dan Cegah Dini, Pembinaan dan Penyuluhan, Pelaksanaan Patroli, Pengamanan, dan Pengawalan</t>
  </si>
  <si>
    <t>Jumlah Kasus Gangguan Ketenteraman dan Ketertiban Umum yang Dicegah Melalui Deteksi Dini dan Cegah Dini, Pembinaan dan Penyuluhan, Pelaksanaan Patroli, Pengamanan, dan Pengawalan</t>
  </si>
  <si>
    <t>Kasus</t>
  </si>
  <si>
    <t>Peningkatan Kapasitas SDM Satuan Polisi Pamongpraja dan Satuan Perlindungan Masyarakat termasuk dalam Pelaksanaan Tugas yang Bernuansa Hak Asasi Manusia</t>
  </si>
  <si>
    <t>Jumlah SDM Satuan Polisi Pamongpraja dan Satuan Perlindungan Masyarakat yang Ditingkatkan Kapasitasanya</t>
  </si>
  <si>
    <t>Kerjasama antar Lembaga dan Kemitraan dalam Teknik Pencegahan dan Penanganan Gangguan Ketentraman dan Ketertiban Umum</t>
  </si>
  <si>
    <t>Jumlah Dokumen Hasil Pelaksanaan Kerja Sama antar Lembaga dan Kemitraan dalam Teknik Pencegahan Kejahatan</t>
  </si>
  <si>
    <t>Pengadaan dan Pemeliharaan Sarana dan Prasarana Ketentraman dan Ketertiban Umum</t>
  </si>
  <si>
    <t>Jumlah Sarana dan Prasarana Ketenteraman dan Ketertiban Umum yang Tersedia</t>
  </si>
  <si>
    <t>Penegakan Peraturan Daerah Kabupaten/Kota dan Peraturan Bupati/Wali Kota</t>
  </si>
  <si>
    <t>Cakupan Penyelesaian Penegakan Perda</t>
  </si>
  <si>
    <t>Sosialisasi Penegakan Peraturan Daerah dan Peraturan Bupati/Wali Kota</t>
  </si>
  <si>
    <t>Jumlah Laporan Hasil Pelaksanaan Sosialisasi Penegakan Perda/Perkada Kepada Masyarakat/Kelompok Masyarakat/Pelaku Usaha</t>
  </si>
  <si>
    <t>Penanganan atas Pelanggaran Peraturan Daerah dan Peraturan Bupati/Wali Kota</t>
  </si>
  <si>
    <t>Jumlah Laporan Pelaksanaan Penanganan Atas Pelanggaran Peraturan Daerah dan Peraturan Gubernur yang Dapat Ditangani Sesuai SOP</t>
  </si>
  <si>
    <t>Pembinaan Penyidik Pegawai Negeri Sipil (PPNS) Kabupaten/Kota</t>
  </si>
  <si>
    <t>Presentase penindakan pelanggaran Perda melalui penyidikan, BAP, dan persidangan tipiring</t>
  </si>
  <si>
    <t>Pengembangan Kapasitas dan Karier PPNS</t>
  </si>
  <si>
    <t>Jumlah Laporan Hasil Pelaksanaan Peningkatan Kapasitas Pejabat PPNS dalam Mendukung Penyelenggaraan Ketertiban Umum dan Ketenteraman Masyarakat serta Penegakan Perda dan Perkada</t>
  </si>
  <si>
    <t>Program Pencegahan, Penanggulangan, Penyelamatan Kebakaran Dan Penyelamatan Non Kebakaran</t>
  </si>
  <si>
    <t>Persentase pelayanan penyelamatan dan evakuasi korban bencana kebakaran</t>
  </si>
  <si>
    <t>Pencegahan, Pengendalian, Pemadaman, Penyelamatan, dan Penanganan Bahan Berbahaya dan Beracun Kebakaran dalam Daerah Kabupaten/Kota</t>
  </si>
  <si>
    <t>Persentase pemenuhan pelayanan penyelamatan dan evakuasi</t>
  </si>
  <si>
    <t>Pemadaman dan Pengendalian Kebakaran dalam Daerah Kabupaten/Kota</t>
  </si>
  <si>
    <t>Jumlah Laporan Hasil Pelaksanaan Kegiatan Kesiapsiagaan Petugas Piket dan Pemadaman Kebakaran dalam Daerah Kabupaten/Kota</t>
  </si>
  <si>
    <t>Pengadaan Sarana dan Prasarana Pencegahan, Penanggulangan Kebakaran dan Alat Pelindung Diri</t>
  </si>
  <si>
    <t>Jumlah Sarana dan Prasarana Untuk Pencegahan dan Penanggulangan Kebakaran dan Alat Pelindung Diri yang Sah dan Legal Sesuai Standar Teknis Terkait</t>
  </si>
  <si>
    <t>Pemberdayaan Masyarakat dalam Pencegahan Kebakaran</t>
  </si>
  <si>
    <t>Jumlah Kegiatan  Pemberdayaan masyarakat dalam pencegahan kebakaran</t>
  </si>
  <si>
    <t>Pemberdayaan Masyarakat dalam Pencegahan dan Penanggulangan Kebakaran melalui Sosialisasi dan Edukasi Masyarakat</t>
  </si>
  <si>
    <t>Jumlah Warga Masyarakat yang Mendapatkan Sosialisasi Edukasi Pencegahan dan Penanggulangan Kebakaran Setiap Tahunnya</t>
  </si>
  <si>
    <t>Skor Perencanaan Kinerja</t>
  </si>
  <si>
    <t>≥26</t>
  </si>
  <si>
    <t>nilai</t>
  </si>
  <si>
    <t>Dinas Pemuda, Olahraga, dan Pariwisata</t>
  </si>
  <si>
    <t>Skor Pengukuran Kinerja</t>
  </si>
  <si>
    <t>≥22</t>
  </si>
  <si>
    <t>≥12</t>
  </si>
  <si>
    <t>≥8.5</t>
  </si>
  <si>
    <t>≥13</t>
  </si>
  <si>
    <t>Jumlah dokumen perencanaan perangkat daerah yang berkualitas</t>
  </si>
  <si>
    <t>Jumlah dokumen laporan AKIP yang berkualitas</t>
  </si>
  <si>
    <t>Persentase komponen instalasi listrik berfungsi baik</t>
  </si>
  <si>
    <t>Persentase peralatan dan perlengkapan kantor sesuai dengan kebutuhan kerja</t>
  </si>
  <si>
    <t>Persentase pemanfaatan bahan logistik kantor sesuai dengan kebutuhan kerja</t>
  </si>
  <si>
    <t>Persentase barang cetak dan penggandaan sesuai dengan kebutuhan kerja</t>
  </si>
  <si>
    <t>Jumlah dokumen bahan bacaan dan peraturan perundang-undangan yang disediakan</t>
  </si>
  <si>
    <t>Persentase sarana dan prasarana gedung kantor dalam kondisi baik</t>
  </si>
  <si>
    <t>Meningkatkan kewirausahaan, kecakapan hidup dan kepemimpinan pemuda</t>
  </si>
  <si>
    <t>Program Pengembangan Kapasitas Daya Saing Kepemudaan</t>
  </si>
  <si>
    <t>Persentase pemuda yang berwirausaha</t>
  </si>
  <si>
    <t>Meningkatnya peran serta kepemudaan dalam pembangunan</t>
  </si>
  <si>
    <t>Persentase pemuda yang aktif dalam organisasi kepemudaan dan sosial</t>
  </si>
  <si>
    <t>Penyadaran, Pemberdayaan, dan Pengembangan Pemuda dan Kepemudaan terhadap Pemuda Pelopor Kabupaten/Kota, Wirausaha Muda Pemula, dan Pemuda Kader Kabupaten/Kota</t>
  </si>
  <si>
    <t>Jumlah KUPP yang memperoleh bantuan permodalan</t>
  </si>
  <si>
    <t>Jumlah Organisasi Kepemudaan yang aktif</t>
  </si>
  <si>
    <t>Pemberian Penghargaan Pemuda dan Organisasi Pemuda yang Berjasa dan/atau Berprestasi</t>
  </si>
  <si>
    <t>Jumlah Pemuda yang Berjasa dan/atau Berprestasi Penerima Penghargaan</t>
  </si>
  <si>
    <t>Peningkatan Kepemimpinan, Kepeloporan dan Kesukarelawanan Pemuda</t>
  </si>
  <si>
    <t>Jumlah Pemuda yang Ditingkatkan Kapasitasnya dalam Kepemimpinan, Kepeloporan dan Kesukarelawanan Kabupaten/Kota dari Seluruh Kecamatan</t>
  </si>
  <si>
    <t>Penyelenggaraan Seleksi dan Pelatihan Pasukan Pengibar Bendera</t>
  </si>
  <si>
    <t>Jumlah Pemuda Kader Kabupaten/Kota yang Diseleksi sebagai Pasukan Pengibar Bendera dan Diberikan Pelatihan</t>
  </si>
  <si>
    <t>Pelaksanaan Koordinasi Strategis Lintas Sektor Penyelenggaraan Pelayanan Kepemudaan melalui Implementasi Rencana Aksi Daerah/RAD Tingkat Kabupaten/Kota</t>
  </si>
  <si>
    <t>Jumlah Dokumen Hasil Koordinasi Strategis Lintas Sektor Penyelenggaraan Pelayanan Kepemudaan Melalui Implementasi Rencana Aksi Daerah/RAD Tingkat Kabupaten/Kota</t>
  </si>
  <si>
    <t>Pemberdayaan dan Pengembangan Organisasi Kepemudaan Tingkat Daerah Kabupaten/Kota</t>
  </si>
  <si>
    <t>Jumlah Organisasi Pemuda yang aktif</t>
  </si>
  <si>
    <t xml:space="preserve">Peningkatan Kapasitas Pemuda dan Organisasi Kepemudaan Kabupaten/Kota </t>
  </si>
  <si>
    <t>Jumlah Dokumen Hasil Peningkatan Kapasitas Organisasi Kepemudaan</t>
  </si>
  <si>
    <t xml:space="preserve">Meningkatnya pembinaan olahraga secara berkesinambungan </t>
  </si>
  <si>
    <t>Program Pengembangan Kapasitas Daya Saing Keolahragaan</t>
  </si>
  <si>
    <t>Persentase cabang olahraga yang memiliki binaan berdasarkan kelompok umur</t>
  </si>
  <si>
    <t>Terselenggaranya event kejuaraan di tingkat daerah</t>
  </si>
  <si>
    <t>Persentase cabang olahraga yang menyelenggarakan event / kejuaraan di tingkat daerah</t>
  </si>
  <si>
    <t>Memastikan partisipasi masyarakat dalam berolahraga</t>
  </si>
  <si>
    <t>Persentase masyarakat yang aktif berolahraga secara rutin</t>
  </si>
  <si>
    <t>Tersedianya sarana dan prasarana olahraga yang  berstandart</t>
  </si>
  <si>
    <t>Persentase sarana dan prasarana olahraga yang memenuhi standar</t>
  </si>
  <si>
    <t>Penyelenggaraan Kejuaraan Olahraga Tingkat Daerah Kabupaten/Kota</t>
  </si>
  <si>
    <t>Jumlah atlet berbakat yang dibina di kabupaten</t>
  </si>
  <si>
    <t>Penyelenggaraan Kejuaraan dan Pekan Olahraga Tingkat Kabupaten/Kota</t>
  </si>
  <si>
    <t>Jumlah Dokumen Penyelenggaraan Kejuaraan dan Pekan Olahraga Tingkat Kabupaten/Kota</t>
  </si>
  <si>
    <t>Pembinaan dan Pengembangan Olahraga Prestasi Tingkat Daerah Provinsi</t>
  </si>
  <si>
    <t>Orang</t>
  </si>
  <si>
    <t>Pembinaan dan Pengembangan Atlet Berprestasi Kabupaten/Kota</t>
  </si>
  <si>
    <t>Jumlah Atlet Berprestasi Kabupaten/Kota yang Dilakukan Pembinaan dan Pengembangan</t>
  </si>
  <si>
    <t>Pemberian Penghargaan Olahraga Kabupaten/Kota</t>
  </si>
  <si>
    <t>Jumlah Olahragawan Berprestasi Kabupaten/Kota yang Menerima Penghargaan</t>
  </si>
  <si>
    <t>Pembinaan dan Pengembangan Organisasi Olahraga</t>
  </si>
  <si>
    <t>Jumlah event / kejuaraan olahraga prestasi yang diadakan oleh induk organisasi keolahragaan</t>
  </si>
  <si>
    <t>Organisasi Olahraga</t>
  </si>
  <si>
    <t>Pengembangan Organisasi Keolahragaan</t>
  </si>
  <si>
    <t>Jumlah Dokumen Hasil Pengembangan Organisasi Keolahragaan</t>
  </si>
  <si>
    <t>Pembinaan dan Pengembangan Olahraga Rekreasi</t>
  </si>
  <si>
    <t>Jumlah kegiatan olahraga rekreasi yang bisa diikuti masyarakat secara rutin</t>
  </si>
  <si>
    <t>Event</t>
  </si>
  <si>
    <t>Jumlah venue olahraga yang berkualitas</t>
  </si>
  <si>
    <t>Venue</t>
  </si>
  <si>
    <t>Jumlah kompetesi olahraga masyarakat yg diadakan</t>
  </si>
  <si>
    <t>Jumlah sarana dan prasarana olahraga yang berstndart</t>
  </si>
  <si>
    <t>Penyelenggaraan, Pengembangan dan Pemassalan Festival dan Olahraga Rekreasi</t>
  </si>
  <si>
    <t>Jumlah Dokumen Hasil Penyelenggaraan, Pengembangan dan Pemasalan Festival dan Olahraga Rekreasi</t>
  </si>
  <si>
    <t>Penyediaan, Pengembangan dan Pemeliharaan Sarana dan Prasarana Olahraga Rekreasi</t>
  </si>
  <si>
    <t>Jumlah Penyediaan dan Pemanfaatan Sarana dan Prasarana Olahraga Rekreasi yang  Memadai</t>
  </si>
  <si>
    <t>Pengembangan Olahraga Wisata, Tantangan dan Petualangan</t>
  </si>
  <si>
    <t>Jumlah Dokumen Hasil Penyelenggaraan Olahraga Wisata, Tantangan dan Petualangan</t>
  </si>
  <si>
    <t>Pemanfaatan Olahraga Tradisional
dalam Masyarakat</t>
  </si>
  <si>
    <t>Jumlah Dokumen Hasil Penyelenggaraan Olahraga Tradisional di Masyarakat</t>
  </si>
  <si>
    <t>Program Pengembangan Kapasitas Kepramukaan</t>
  </si>
  <si>
    <t>Pembinaan dan Pengembangan Organisasi Kepramukaan</t>
  </si>
  <si>
    <t>Jumlah pemuda yang aktif dalam organisasi pemuda dan sosial</t>
  </si>
  <si>
    <t>Partisipasi dan Keikutsertaan Dalam Kegiatan Kepramukaan</t>
  </si>
  <si>
    <t>Jumlah Organisasi yang Berpartisipasi dalam Kegiatan Kepramukaan</t>
  </si>
  <si>
    <t>Meningkatnya kulitas destinasi wisata sesuai standar</t>
  </si>
  <si>
    <t xml:space="preserve">Program Peningkatan Daya Tarik Destinasi Pariwisata </t>
  </si>
  <si>
    <t>Persentase destinasi wisata yang memenuhi sapta pesona</t>
  </si>
  <si>
    <t>Pengelolaan Daya Tarik Wisata Kabupaten/Kota</t>
  </si>
  <si>
    <t>Jumlah pokdarwis yang aktif mengelola daya tarik wisata</t>
  </si>
  <si>
    <t>DTW</t>
  </si>
  <si>
    <t>Pengembangan Daya Tarik Wisata Kabupaten /Kota</t>
  </si>
  <si>
    <t>Jumlah Lokasi Daya Tarik Wisata Kabupaten/Kota Sesuai dengan Tahapan Pengembangan (Rintisan, Berkembang, Pemantapan, Revitalisasi)</t>
  </si>
  <si>
    <t xml:space="preserve">Pengelolaan Kawasan Strategis Pariwisata Kabupaten/Kota </t>
  </si>
  <si>
    <t>Jumlah DTW yang dapat diakses kendaraan R2 dan R4</t>
  </si>
  <si>
    <t>Kawasan Wisata</t>
  </si>
  <si>
    <t>Jumlah rumah makan yang memenuhi standar</t>
  </si>
  <si>
    <t xml:space="preserve">Jumlah penginapan yang memenuhi standar </t>
  </si>
  <si>
    <t>Jumlah DTW yang jumlah daya tarik wisata yang memenuhi kriteria sapta pesona</t>
  </si>
  <si>
    <t>Pengadaan/Pemeliharaan/Rehabilitasi Sarana dan Prasarana dalam Pengelolaan Kawasan Wisata Strategis Pariwisata Kabupaten/Kota</t>
  </si>
  <si>
    <t>Jumlah Sarana dan Prasarana yang Tersedia dan Terpelihara dalam Pengelolaan Kawasan Strategis Pariwisata Kabupaten/Kota</t>
  </si>
  <si>
    <t>Pengelolaan Destinasi Pariwisata Kabupaten/Kota</t>
  </si>
  <si>
    <t>Jumlah Destinasi Pariwisata Yang Didukung Untuk Memenuhi Kriteria Sapta Pesona</t>
  </si>
  <si>
    <t>Pengadaan/Pemeliharaan/Rehabiilitasi Sarana dan Prasarana dalam Pengelolaan Destinasi Pariwisata Kabupaten/Kota</t>
  </si>
  <si>
    <t>Jumlah Sarana dan Prasarana Pengelolaan Destinasi Pariwisata Kabupaten/Kota yang Tersedia dan Terpelihara</t>
  </si>
  <si>
    <t>Meningkatnya promosi dan pemasaran pariwisata melalui berbagai media dan pelaksanaan event pariwisata</t>
  </si>
  <si>
    <t>Program Pemasaran Pariwisata</t>
  </si>
  <si>
    <t>Jumlah promosi dan pemasaran pariwisata melalui medi partisipasi event berskala nasional/provinsi</t>
  </si>
  <si>
    <t>Media/Event</t>
  </si>
  <si>
    <t>Persentase event pariwisata tinfkt nasional dan tingkal provinsi</t>
  </si>
  <si>
    <t>Pemasaran Pariwisata Dalam dan Luar Negeri Daya Tarik Destinasi dan Kawasan Strategis Pariwisata Kabupaten/Kota</t>
  </si>
  <si>
    <t>Jumlah Kunjungan Wisatawan</t>
  </si>
  <si>
    <t xml:space="preserve">Jumlah media promosi pariwisata daerah yang digunakan </t>
  </si>
  <si>
    <t>Media</t>
  </si>
  <si>
    <t>Jumlah event pariwisata yang terlaksana</t>
  </si>
  <si>
    <t>Jumlah kerjasama pemasaran dan promosi pariwisata</t>
  </si>
  <si>
    <t>Penguatan Promosi Melalui Media Cetak, Elektronik, dan Media Lainnya Baik Dalam dan Luar Negeri</t>
  </si>
  <si>
    <t>Jumlah Dokumen Hasil Penguatan Promosi Melalui Media Cetak, Elektronik, dan Media Lainnya Baik Dalam dan Luar Negeri</t>
  </si>
  <si>
    <t>Fasilitasi Kegiatan Pemasaran Pariwisata Baik Dalam dan Luar Negeri Pariwisata Kabupaten/Kota</t>
  </si>
  <si>
    <t>Jumlah Laporan Kegiatan Pemasaran Pariwisata Baik Dalam dan Luar Negeri</t>
  </si>
  <si>
    <t>Meningkatnya desa wisata yang mengembangkan ekonomi kreatif</t>
  </si>
  <si>
    <t xml:space="preserve">Program Pengembangan Sumber Daya Pariwisata dan Ekonomi Kreatif </t>
  </si>
  <si>
    <t>Persentase desa wisata yang mengembangkan ekonomi kreatif</t>
  </si>
  <si>
    <t>Pelaksanaan Peningkatan Kapasitas Sumber Daya Manusia Pariwisata dan Ekonomi Kreatif Tingkat Dasar</t>
  </si>
  <si>
    <t>Jumlah pelaku ekraf didesa wisata</t>
  </si>
  <si>
    <t>Jumlah pelaku ekraf yang ditingkatkan kompetensinya</t>
  </si>
  <si>
    <t>Jumlah fasilitasi event ekonomi kreatif yang dilaksanakan</t>
  </si>
  <si>
    <t>Jumlah desa wisata baru</t>
  </si>
  <si>
    <t>Pengembangan Kompetensi SDM Pariwisata dan Ekonomi Kreatif Tingkat Dasar</t>
  </si>
  <si>
    <t>Jumlah SDM Pariwisata dan Ekonomi Kreatif Tingkat Dasar yang Dikembangkan Kompetensinya</t>
  </si>
  <si>
    <t>Fasilitasi Proses Kreasi, Produksi, Distribusi Konsumsi dan Konservasi Ekonomi Kreatif</t>
  </si>
  <si>
    <t>Jumlah Laporan Hasil Fasilitasi Proses Kreasi, Produksi, Distribusi Konsumsi, dan Konservasi Ekonomi Kreatif</t>
  </si>
  <si>
    <t>Dinas Perpustakaan dan Kearsipan</t>
  </si>
  <si>
    <t>Jumlah Dokumen AKIP Memenuhi Aspek Kualitas</t>
  </si>
  <si>
    <t>Jumlah Laporan Keuangan yang Memenuhi Aspek Kualitas</t>
  </si>
  <si>
    <t>Presentase Pelayanan administrasi sesuai standar</t>
  </si>
  <si>
    <t xml:space="preserve">Pengadaan Gedung Kantor atau Bangunan Lainnya </t>
  </si>
  <si>
    <t>Jumlah Unit Gedung Kantor atau Bangunan Lainnya yang Disediakan</t>
  </si>
  <si>
    <t>Pengadaan Sarana dan
Prasarana Pendukung Gedung Kantor atau Bangunan Lainnya</t>
  </si>
  <si>
    <t>Meningkatnya Akses dan Kualitas Pelayanan Pendidikan</t>
  </si>
  <si>
    <t>Program Pembinaan Perpustakaan</t>
  </si>
  <si>
    <t>Persentase Desa yang memiliki Perpustakaan sesuai Standar Desa</t>
  </si>
  <si>
    <t>Nilai Kegemaran Membaca</t>
  </si>
  <si>
    <t>Pengelolaan Perpustakaan Tingkat Daerah Kabupaten/Kota</t>
  </si>
  <si>
    <t>Jumlah perpustakaan desa yang tersedia</t>
  </si>
  <si>
    <t>Perpustakaan</t>
  </si>
  <si>
    <t>Pengembangan dan
Pemeliharaan Layanan Perpustakaan Elektronik</t>
  </si>
  <si>
    <t>Terlaksananya Pengembangan Layanan Perpustakaan Elektronik</t>
  </si>
  <si>
    <t>Pengembangan Perpustakaan di Tingkat Daerah Kabupaten/Kota</t>
  </si>
  <si>
    <t xml:space="preserve">Jumlah Perpustakaan yang Dikembangkan di Tingkat Daerah Kabupaten/Kota Sesuai Standar Nasional Perpustakaan di Wilayah Kabupaten/Kota Sesuai Kewenangannya </t>
  </si>
  <si>
    <t>Peningkatan Kapasitas Tenaga Perpustakaan dan Pustakawan Tingkat Daerah Kabupaten/Kota</t>
  </si>
  <si>
    <t>Jumlah  Tenaga  Perpustakaan  yang  Ditingkatkan Kapasitasnya Tingkat   Daerah Kabupaten/Kota</t>
  </si>
  <si>
    <t>Pembinaan Perpustakaan pada Satuan Pendidikan Dasar di Seluruh Wilayah Kabupaten/Kota sesuai dengan Standar Nasional Perpustakaan</t>
  </si>
  <si>
    <t>Jumlah Perpustakaan pada Satuan Pendidikan Dasar dan yang Dilakukan Pembinaan dalam Mewujudkan Standar Nasional Perpustakaan</t>
  </si>
  <si>
    <t>Pengelolaan dan Pengembangan Bahan Pustaka</t>
  </si>
  <si>
    <t>Jumlah Bahan Perpustakaan Tercetak yang Dicetak dan Diadakan</t>
  </si>
  <si>
    <t>Eksemplar</t>
  </si>
  <si>
    <t>Pembudayaan Gemar Membaca Tingkat Daerah Kabupaten/Kota</t>
  </si>
  <si>
    <t>Jumlah Masyarakat yang memanfaatkan perpustakaan</t>
  </si>
  <si>
    <t>56442 orang</t>
  </si>
  <si>
    <t>Sosialisasi Budaya Baca dan Literasi pada Satuan Pendidikan Dasar dan Pendidikan Khusus serta Masyarakat</t>
  </si>
  <si>
    <t>Jumlah Lokus Pembudayaan Kegemaran Membaca dan Literasi pada Satuan Pendidikan</t>
  </si>
  <si>
    <t>Lokus</t>
  </si>
  <si>
    <t>Pengembangan Literasi Berbasis Inklusi Sosial</t>
  </si>
  <si>
    <t>Program Pengelolaan Arsip</t>
  </si>
  <si>
    <t xml:space="preserve"> Nilai pengawasan kearsipan </t>
  </si>
  <si>
    <t>Pengelolaan Arsip Dinamis Daerah Kabupaten/Kota</t>
  </si>
  <si>
    <t>Persentase Pengelolaan Arsip Dinamis yang dilaksanakan oleh setiap Perangkat Daerah</t>
  </si>
  <si>
    <t>Pemeliharaan dan Penyusutan Arsip Dinamis</t>
  </si>
  <si>
    <t>Jumlah Naskah Dinas yang Dilakukan Pemeliharaan dan Penyusutan</t>
  </si>
  <si>
    <t>Berkas</t>
  </si>
  <si>
    <t>Penciptaan dan Penggunaan Arsip Dinamis</t>
  </si>
  <si>
    <t>Pengelolaan Arsip Statis Daerah Kabupaten/Kota</t>
  </si>
  <si>
    <t xml:space="preserve">Persentase  Arsip Statis Daerah yang terkelola </t>
  </si>
  <si>
    <t>Akuisisi, Pengolahan, Preservasi, dan Akses Arsip Statis</t>
  </si>
  <si>
    <t>Jumlah Arsip Statis yang Dilakukan Akusisi, Pengolahan,  Preservasi dan Akses Arsip Statis</t>
  </si>
  <si>
    <t>Arsip</t>
  </si>
  <si>
    <t>Pengelolaan Simpul Jaringan Informasi Kearsipan Nasional Tingkat Kabupaten/Kota</t>
  </si>
  <si>
    <t xml:space="preserve">Persentase PD yang melaksanakan Pengelolaan Simpul Jaringan Informasi Kearsipan </t>
  </si>
  <si>
    <t>Pemberdayaan Kapasitas Unit Kearsipan dan Lembaga Kearsipan Daerah Kabupaten/Kota</t>
  </si>
  <si>
    <t>Jumlah Laporan Hasil Pemberdayaan Kapasitas Unit  Kearsipan dan Lembaga Kearsipan Daerah Kabupaten/Kota</t>
  </si>
  <si>
    <t>Program Perlindungan Dan Penyelamatan Arsip</t>
  </si>
  <si>
    <t>Persentase arsip statis yang diakuisisi, diolah, dipreservasi dan diakses</t>
  </si>
  <si>
    <t>Pemusnahan Arsip Dilingkungan Pemerintah Daerah
Kabupaten/Kota yang Memiliki Retensi di Bawah 10 (sepuluh) Tahun</t>
  </si>
  <si>
    <t>Persentase PD yang melaksanakan Pemusnahan Arsip Dilingkungan Pemerintah Daerah  yang Memiliki Retensi di Bawah 10 (Sepuluh) Tahun terlaksana</t>
  </si>
  <si>
    <t>Penilaian, Penetapan dan Pelaksanaan Pemusnahan Arsip yang Memiliki Retensi di Bawah 10 (sepuluh) Tahun</t>
  </si>
  <si>
    <t>Jumlah Arsip yang Dilakukan Penilaian, Penetapan dan Pelaksanaan Pemusnahan Arsip yang Memiliki Retensi di Bawah 10 (Sepuluh) Tahun</t>
  </si>
  <si>
    <t>PROGRAM PENYEDIAAN DAN PENGEMBANGAN SARANA PERTANIAN</t>
  </si>
  <si>
    <t xml:space="preserve">Persentase penyediaan saprodi tanaman pangan yang berkualitas
</t>
  </si>
  <si>
    <t>2,7</t>
  </si>
  <si>
    <t>0,7</t>
  </si>
  <si>
    <t xml:space="preserve">Persentase penyediaan saprodi hortikultura yang berkualitas
</t>
  </si>
  <si>
    <t xml:space="preserve">Persentase penyediaan saprodi perkebunan yang berkualitas
</t>
  </si>
  <si>
    <t>Pengawasan Penggunaan Sarana Pertanian</t>
  </si>
  <si>
    <t>Persentase Luasan yang memakai bibit unggul</t>
  </si>
  <si>
    <t>Pengawasan Penggunaan Sarana Pendukung Pertanian sesuai dengan Komoditas, Teknologi dan Spesifik Lokasi</t>
  </si>
  <si>
    <t>Luas Tanam Padi</t>
  </si>
  <si>
    <t>Pendampingan Penggunaan Sarana Pendukung Pertanian</t>
  </si>
  <si>
    <t>Jumlah bibit tanaman pangan (padi)</t>
  </si>
  <si>
    <t>Jumlah bibit tanaman hortikultura (cabe)</t>
  </si>
  <si>
    <t>Jumlah bibit tanaman hortikultura (tomat)</t>
  </si>
  <si>
    <t>Jumlah bibit tanaman hortikultura (duku)</t>
  </si>
  <si>
    <t>Jumlah bibit tanaman perkebunan (kayu manis)</t>
  </si>
  <si>
    <t>Pengelolaan Sumber Daya Genetik (SDG) Hewan, Tumbuhan, dan Mikro Organisme Kewenangan Kabupaten/Kota</t>
  </si>
  <si>
    <t>Jumlah Bibit Tanaman Hortikultura dan Perkebunan Yang Berkualitas</t>
  </si>
  <si>
    <t xml:space="preserve">Penjaminan Kemurnian dan Kelestarian SDG Hewan/Tanaman
</t>
  </si>
  <si>
    <t>Tersedianya bibit tanaman kultur jaringan</t>
  </si>
  <si>
    <t>Pemanfaatan SDG Hewan/Tanaman</t>
  </si>
  <si>
    <t>Tersedianya saprodi biofarmaka sayuran dan perkebunan</t>
  </si>
  <si>
    <t>Pengendalian dan Pengawasan Penyediaan dan Peredaran Benih/Bibit Ternak, dan Hijauan Pakan Ternak dalam Daerah Kabupaten/Kota</t>
  </si>
  <si>
    <t>Persentase rasio pakan ternak dengan kebutuhan</t>
  </si>
  <si>
    <t>195.000.000</t>
  </si>
  <si>
    <t xml:space="preserve">Penjaminan Peredaran HPT, Bahan Pakan/Pakan
</t>
  </si>
  <si>
    <t>Persentase ketersediaan
pakan yang bermutu dan
memenuhi syarat</t>
  </si>
  <si>
    <t>160.000.000</t>
  </si>
  <si>
    <t>Memastikan Ketersediaan luas lahan sawah yang terairi dengan sistem irigasi teknis</t>
  </si>
  <si>
    <t>PROGRAM PENYEDIAAN DAN PENGEMBANGAN PRASARANA PERTANIAN</t>
  </si>
  <si>
    <t xml:space="preserve">Persentase luas lahan sawah yang terairi dengan sistem irigasi teknis
</t>
  </si>
  <si>
    <t>Pengembangan Prasarana Pertanian</t>
  </si>
  <si>
    <t xml:space="preserve">Jumlah Lahan Yang di lindungi
</t>
  </si>
  <si>
    <t>Penyusunan Peta Lahan Pertanian Pangan Berkelanjutan/LP2B</t>
  </si>
  <si>
    <t>Tersusunnya peta lahan pertanian pangan berkelanjutan LP2B</t>
  </si>
  <si>
    <t>Pembangunan Prasarana Pertanian</t>
  </si>
  <si>
    <t>Jumlah Prasarana Pertanian yang di Bangun</t>
  </si>
  <si>
    <t xml:space="preserve">Pembangunan, Rehabilitasi dan Pemeliharaan Jaringan Irigasi Usaha Tani
</t>
  </si>
  <si>
    <t>Jumlah Jaringan irigasi yang dibangun pada tahun n</t>
  </si>
  <si>
    <t>Pembangunan, Rehabilitasi dan Pemeliharaan Jalan Usaha Tani</t>
  </si>
  <si>
    <t>Jumlah JUT yang dibanguna pada tahun n</t>
  </si>
  <si>
    <t xml:space="preserve">Pembangunan, Rehabilitasi dan Pemeliharaan Balai Penyuluh di Kecamatan serta sarana pendukungnya
</t>
  </si>
  <si>
    <t>Jumlah BPP yang direhab pada tahun n</t>
  </si>
  <si>
    <t xml:space="preserve">Pembangunan, Rehabilitasi dan Pemeliharaan Prasarana Pertanian Lainnya
</t>
  </si>
  <si>
    <t>Jumlah Prasarana Pertanian lainnya yang dibangun pada tahun n</t>
  </si>
  <si>
    <t>Memastikan kecukupan pakan ternak sesuai standar keswan</t>
  </si>
  <si>
    <t>PROGRAM PENGENDALIAN KESEHATAN HEWAN DAN KESEHATAN MASYARAKAT VETERINER</t>
  </si>
  <si>
    <t>Persentase produksi ternak yang memenuhi standar ekspor</t>
  </si>
  <si>
    <t>Penjaminan Kesehatan Hewan, Penutupan dan Pembukaan Daerah Wabah Penyakit Hewan Menular Dalam Daerah Kabupaten/Kota</t>
  </si>
  <si>
    <t>Jumlah pelayanan Kesehatan Hewan Secara Rutin</t>
  </si>
  <si>
    <t>Pengendalian dan Penanggulangan Penyakit Hewan dan Zoonosis</t>
  </si>
  <si>
    <t>-Terlaksananya Pengobatan dan Penyuluhan Kesehatan Hewan</t>
  </si>
  <si>
    <t>Pembebasan Penyakit Hewan Menular dalam 1 (satu) Daerah Kabupaten/Kota (Dinas Pertanian)</t>
  </si>
  <si>
    <t>-Tersedianya Vaksin, Desinfektan dan Peralatan Kesehatan</t>
  </si>
  <si>
    <t>Jenis</t>
  </si>
  <si>
    <t>Pengawasan Pemasukan dan Pengeluaran Hewan dan Produk Hewan Daerah Kabupaten/Kota</t>
  </si>
  <si>
    <t>Penilaian Risiko Penyakit Hewan dan Keamanan Produk Hewan</t>
  </si>
  <si>
    <t>-Jumlah pengambilan sampel dan pemeriksaan produk pangan asal hewan</t>
  </si>
  <si>
    <t>Memastikan  kawasan pertanian terlindungi dari OPT dan Perubahan Iklim</t>
  </si>
  <si>
    <t>PROGRAM PENGENDALIAN DAN PENANGGULANGAN BENCANA PERTANIAN</t>
  </si>
  <si>
    <t xml:space="preserve">Persentase kawasan pertanian yang dapat dilindungi 
</t>
  </si>
  <si>
    <t>99,95</t>
  </si>
  <si>
    <t>Pengendalian dan Penanggulangan Bencana Pertanian Kabupaten/Kota</t>
  </si>
  <si>
    <t>Jumlah Bahan, Sarana dan Prasarana Pengendalian OPT Tanaman Pangan, Hortikultura dan Perkebunan</t>
  </si>
  <si>
    <t>Kg/Lt</t>
  </si>
  <si>
    <t>Jumlah Luas Lahan Petani yang Terdaftar di AUTP  (kumulatif)</t>
  </si>
  <si>
    <t xml:space="preserve">Pengendalian Organisme Pengganggu Tumbuhan (OPT) Tanaman Pangan, Hortikultura, dan Perkebunan
</t>
  </si>
  <si>
    <t>Jumlah Ketersediaan Bahan Obat-obatan Pengendaian OPT dan DPI Sesuai Dengan Kebutuhan</t>
  </si>
  <si>
    <t xml:space="preserve">Penanganan Dampak Perubahan Iklim (DPI) Tanaman Pangan, Hortikultura, dan Perkebunan
</t>
  </si>
  <si>
    <t>Jumlah Bantuan Premi Asuransi Padi</t>
  </si>
  <si>
    <t xml:space="preserve">Pencegahan, Penanganan Kebakaran Lahan, dan Gangguan Usaha Tanaman Pangan, Hortikultura, dan Perkebunan
</t>
  </si>
  <si>
    <t>Jumlah Patroli dan Pemadaman, Penanggulangan Bencana, Kebakaran Lahan dan Kebun</t>
  </si>
  <si>
    <t>Meningkatnya Kelembagaan Usaha Formal</t>
  </si>
  <si>
    <t>PROGRAM PERIZINAN USAHA PERTANIAN</t>
  </si>
  <si>
    <t>Persentase Kelompok Tani menjadi kelembagaan Ekonomi Petani (KEP)</t>
  </si>
  <si>
    <t>5%</t>
  </si>
  <si>
    <t>5</t>
  </si>
  <si>
    <t>0</t>
  </si>
  <si>
    <t>2,2</t>
  </si>
  <si>
    <t>Penerbitan Izin Usaha Pertanian yang Kegiatan Usahanya dalam Daerah Kabupaten/Kota</t>
  </si>
  <si>
    <t xml:space="preserve">Persentase Jumlah Pembinaan Usaha Ekonomi Pertanian </t>
  </si>
  <si>
    <t>10%</t>
  </si>
  <si>
    <t>10</t>
  </si>
  <si>
    <t>Pembinaan dan Pengawasan Penerapan Izin Usaha Pertanian</t>
  </si>
  <si>
    <t>Pembinaan Usaha Ekonomi Pertanian</t>
  </si>
  <si>
    <t>30 unit</t>
  </si>
  <si>
    <t>Meningkatnya Sumber Daya Pertanian yang berkualitas</t>
  </si>
  <si>
    <t>PROGRAM PENYULUHAN PERTANIAN</t>
  </si>
  <si>
    <t xml:space="preserve">Persentase sumber daya  pertanian yang berkualitas 
</t>
  </si>
  <si>
    <t>100</t>
  </si>
  <si>
    <t>7</t>
  </si>
  <si>
    <t>4</t>
  </si>
  <si>
    <t>Jumlah Petani Mileneal</t>
  </si>
  <si>
    <t>103 orang</t>
  </si>
  <si>
    <t>Pelaksanaan Penyuluhan Pertanian</t>
  </si>
  <si>
    <t>7%</t>
  </si>
  <si>
    <t>2</t>
  </si>
  <si>
    <t>Penyusunan RDK/RDKK</t>
  </si>
  <si>
    <t>148 desa</t>
  </si>
  <si>
    <t>11 kec</t>
  </si>
  <si>
    <t>Kec</t>
  </si>
  <si>
    <t>1 kab</t>
  </si>
  <si>
    <t>Kab</t>
  </si>
  <si>
    <t>Pengembangan Kapasitas Kelembagaan Petani di Kecamatan dan Desa</t>
  </si>
  <si>
    <t>Persentase Sumber Daya Pertanian Yang Berkualitas</t>
  </si>
  <si>
    <t>2,5</t>
  </si>
  <si>
    <t>Peningkatan Kapasitas Kelembagaan Penyuluhan Pertanian di Kecamatan dan Desa</t>
  </si>
  <si>
    <t>11 BPP</t>
  </si>
  <si>
    <t xml:space="preserve">Penyediaan dan Pemanfaatan Sarana dan Prasarana Penyuluhan Pertanian
</t>
  </si>
  <si>
    <t>Peningkatan Kapasitas Sumber Daya Penyuluh</t>
  </si>
  <si>
    <t>11 Kec</t>
  </si>
  <si>
    <t>Memastikan Perencanaan Penganggaran, dan Evaluasi Kinerja yang Berkualitas tersusun dengan baik</t>
  </si>
  <si>
    <t>PROGRAM PENUNJANG URUSAN PEMERINTAHAN DAERAH KABUPATEN/KOTA</t>
  </si>
  <si>
    <t>Terpenuhinya kualitas kinerja instansi pemerintah</t>
  </si>
  <si>
    <t>89,06 (A)</t>
  </si>
  <si>
    <t xml:space="preserve">Jumlah laporan data obyek kerja
</t>
  </si>
  <si>
    <t>100%</t>
  </si>
  <si>
    <t>12</t>
  </si>
  <si>
    <t>3</t>
  </si>
  <si>
    <t>Jumlah Dokumen Perencanaan Perangkat Daerah Yang Berkualitas</t>
  </si>
  <si>
    <t>6</t>
  </si>
  <si>
    <t>1</t>
  </si>
  <si>
    <t xml:space="preserve">Jumlah laporan keuangan
</t>
  </si>
  <si>
    <t>12 bulan</t>
  </si>
  <si>
    <t>bulan</t>
  </si>
  <si>
    <t xml:space="preserve">Jumlah laporan keuangan akhir tahun
</t>
  </si>
  <si>
    <t xml:space="preserve">Jumlah laporan keuangan bulanan/semesetran/triwulanan
</t>
  </si>
  <si>
    <t xml:space="preserve">Penyusunan Pelaporan dan Analisis Prognosis Realisasi Anggaran
</t>
  </si>
  <si>
    <t>Jumlah laporan prognosisi realisasi anggaran</t>
  </si>
  <si>
    <t>2 kali</t>
  </si>
  <si>
    <t>Jumlah Laporan Barang Persediaan dan Barang Milik Daearh</t>
  </si>
  <si>
    <t xml:space="preserve">Penyediaan Komponen Instalasi Listrik/Penerangan Bangunan Kantor
</t>
  </si>
  <si>
    <t xml:space="preserve">Penyediaan Bahan Logistik Kantor
</t>
  </si>
  <si>
    <t>Persentase Pemanfaatan bahan logistik kantor sesuai kebutuhan kerja</t>
  </si>
  <si>
    <t xml:space="preserve">Penyediaan Barang Cetakan dan Penggandaan
</t>
  </si>
  <si>
    <t>Persentase bahan bacaan dan peraturan perundang-undangan sesuai kebutuhan kerja</t>
  </si>
  <si>
    <t xml:space="preserve">Penyediaan Jasa Surat Menyurat
</t>
  </si>
  <si>
    <t>Persentase kesesuaian penyediaan jasa</t>
  </si>
  <si>
    <t>Persentase fasilitas komunikasi, sumberdaya air dan listrik tersedia dengan baik</t>
  </si>
  <si>
    <t xml:space="preserve">Penyediaan Jasa Peralatan dan Perlengkapan Kantor
</t>
  </si>
  <si>
    <t>Persentase tenaga jasa perlengkapan kantor bekerja dengan baik</t>
  </si>
  <si>
    <t xml:space="preserve">Penyediaan Jasa Pelayanan Umum Kantor
</t>
  </si>
  <si>
    <t>Persentase tenaga jasa umum kantor berkeja dengan baik</t>
  </si>
  <si>
    <t>Penyediaan Jasa Pemeliharaan, Biaya Pemeliharaan, Pajak, dan Perizinan Kendaraan Dinas Operasional atau Lapangan</t>
  </si>
  <si>
    <t>Persentase  gedung kantor dalam kondisi baik</t>
  </si>
  <si>
    <t>Dinas Pertanian</t>
  </si>
  <si>
    <t>Dinas Perdagangan</t>
  </si>
  <si>
    <t>Dokumen administrasi keuangan sesuai dengan standar</t>
  </si>
  <si>
    <t>Layanan administrasi umum sesuai dengan kebutuhan</t>
  </si>
  <si>
    <t>Pengadaan barang milik daerah penunjang urusan pemerintah daerah sesuai kebutuhan</t>
  </si>
  <si>
    <t>Jumlah Unit Peralatan dan Mesin Lainnya yang Disediakan</t>
  </si>
  <si>
    <t>Layanan jasa penunjang urusan pemerintahan daerah sesuai kebutuhan</t>
  </si>
  <si>
    <t>Program Perizinan Dan Pendaftaran Perusahaan</t>
  </si>
  <si>
    <t>Persentase komoditas barang beredar yang sesuai standar</t>
  </si>
  <si>
    <t>Pengendalian Fasilitas Penyimpanan Bahan Berbahaya dan Pengawasan Distribusi, Pengemasan dan Pelabelan Bahan Berbahaya di Tingkat Daerah Kabupaten/ Kota</t>
  </si>
  <si>
    <t>Jumlah Pengawasan perdagangan yang dilaksanakan</t>
  </si>
  <si>
    <t>Pengawasan Distribusi, Pengemasan dan Pelabelan Bahan Berbahaya Terhadap Pengguna Akhir Bahan Berbahaya (PA-B2) maupun Produsen B2 (P-B2)</t>
  </si>
  <si>
    <t>Jumlah Laporan Hasil Pengawasan Distribusi, Pengemasan dan Pelabelan Bahan Berbahaya Terhadap Distributor B2, Pengguna Akhir Bahan Berbahaya (PA-B2) maupun Produsen B2 (P-B2)</t>
  </si>
  <si>
    <t>Program Peningkatan Sarana Distribusi Perdagangan</t>
  </si>
  <si>
    <t>PAD yang diterima dari Pengelolaan Pasar</t>
  </si>
  <si>
    <t>Rupiah</t>
  </si>
  <si>
    <t>Pembangunan dan Pengelolaan Sarana Distribusi Perdagangan</t>
  </si>
  <si>
    <t xml:space="preserve">Jumlah sarana distribusi perdagangan sesuai peruntukkannya </t>
  </si>
  <si>
    <t>Penyediaan Sarana Distribusi Perdagangan</t>
  </si>
  <si>
    <t>Jumlah Sarana Distribusi Perdagangan</t>
  </si>
  <si>
    <t>Fasilitasi Pengelolaan Sarana Distribusi Perdagangan</t>
  </si>
  <si>
    <t>Jumlah Fasilitasi Pengelolaan Sarana Distribusi Perdagangan</t>
  </si>
  <si>
    <t>Pembinaan Terhadap Pengelola Sarana Distribusi Perdagangan Masyarakat di Wilayah Kerjanya</t>
  </si>
  <si>
    <t>Jumlah Pengelola Pasar yang Berkinerja Baik</t>
  </si>
  <si>
    <t>Pengelola</t>
  </si>
  <si>
    <t>Pembinaan dan Pengendalian Pengelola Sarana Distribusi Perdagangan</t>
  </si>
  <si>
    <t>Jumlah Dokumen Hasil Pembinaan dan Pengendalian kepada Pengelola Sarana Distribusi Perdagangan</t>
  </si>
  <si>
    <t>Pemberdayaan Pengelola Sarana Distribusi Perdagangan</t>
  </si>
  <si>
    <t>Program Stabilisasi Harga Barang Kebutuhan Pokok Dan Barang Penting</t>
  </si>
  <si>
    <t>Persentase Koefisien Variasi Harga antar waktu</t>
  </si>
  <si>
    <t>Pengendalian Harga, dan Stok Barang Kebutuhan Pokok dan Barang Penting di Tingkat Pasar Kabupaten/Kota</t>
  </si>
  <si>
    <t xml:space="preserve">Jumlah Objek Pantau Harga barang kebutuhan pokok dan barang penting </t>
  </si>
  <si>
    <t>Pemantauan Harga dan Stok Barang Kebutuhan Pokok dan Barang Penting pada Pasar Rakyat yang Terintegrasi dalam Sistem Informasi Perdagangan</t>
  </si>
  <si>
    <t>Jumlah Laporan Pemantauan Harga dan Stok Barang Kebutuhan Pokok dan Barang Penting pada Pasar Rakyat yang Terintegrasi dalam Sistem  Informasi Perdagangan</t>
  </si>
  <si>
    <t>Pelaksanaan Operasi Pasar Reguler dan Pasar Khusus yang Berdampak dalam 1 (satu) Kabupaten/Kota</t>
  </si>
  <si>
    <t>Jumlah Laporan Pelaksanaan Operasi Pasar Reguler dan Pasar Khusus yang Berdampak dalam 1 (Satu) Kabupaten/Kota</t>
  </si>
  <si>
    <t>Pengawasan Pupuk dan Pestisida Bersubsidi di Tingkat Daerah Kabupaten/Kota</t>
  </si>
  <si>
    <t>Persentase Penyaluran Pupuk bersubsidi dan pestisida yang tepat waktu tepat jumlah dan tepat sasaran</t>
  </si>
  <si>
    <t>Pengawasan Penyaluran dan Penggunaan Pupuk dan Pestisida Bersubsidi</t>
  </si>
  <si>
    <t>Jumlah Laporan Pengawasan Penyaluran dan Penggunaan Pupuk dan Pestisida Bersubsidi dengan Realisasi Minimal 90%</t>
  </si>
  <si>
    <t>Program Pengembangan Ekspor</t>
  </si>
  <si>
    <t xml:space="preserve">Persentase Promosi Dagang melalui Pameran </t>
  </si>
  <si>
    <t>Penyelenggaraan Promosi Dagang melalui Pameran Dagang dan Misi Dagang bagi Produk Ekspor Unggulan yang terdapat pada 1 (satu) Daerah Kabupaten/Kota</t>
  </si>
  <si>
    <t xml:space="preserve">Jumlah Promosi pengenalan produk lokal secara online </t>
  </si>
  <si>
    <t>Pameran Dagang Nasional</t>
  </si>
  <si>
    <t>Pameran Dagang Lokal</t>
  </si>
  <si>
    <t>Jumlah Pelaku Usaha yang Difasilitasi dalam Pameran Dagang Lokal</t>
  </si>
  <si>
    <t>Program Standardisasi Dan Perlindungan Konsumen</t>
  </si>
  <si>
    <t>Kontribusi PAD dari Pelaksanaan Metrologi Legal</t>
  </si>
  <si>
    <t>Pelaksanaan Metrologi Legal, Berupa Tera, Tera Ulang, dan Pengawasan</t>
  </si>
  <si>
    <t>Jumlah UTTP yang ditera / tera ulang atau ukur ulang</t>
  </si>
  <si>
    <t>UTTP</t>
  </si>
  <si>
    <t>Pelaksanaan Metrologi Legal, Berupa Tera, Tera Ulang</t>
  </si>
  <si>
    <t>Jumlah Alat Ukur, Alat Takar, Alat Timbang, dan Alat Perlengkapan Ditera Ulang</t>
  </si>
  <si>
    <t>Pengawasan/Penyuluhan Metrologi Legal</t>
  </si>
  <si>
    <t>Jumlah Pelaku Usaha di Bidang Metrologi Legal yang Dibina</t>
  </si>
  <si>
    <t>Program Penggunaan Dan Pemasaran Produk Dalam Negeri</t>
  </si>
  <si>
    <t>Kerjasama antar wilayah yang dilaksanakan</t>
  </si>
  <si>
    <t>Pelaksanaan Promosi, Pemasaran dan Peningkatan Penggunaan Produk Dalam Negeri</t>
  </si>
  <si>
    <t>Persentase Pedagang yang Menggunakan Aplikasi Berbasis Online</t>
  </si>
  <si>
    <t>Aplikasi</t>
  </si>
  <si>
    <t>Peningkatan Sistem dan Jaringan Informasi Perdagangan</t>
  </si>
  <si>
    <t>Jumlah Data dan Informasi Sistem dan Jaringan Informasi Perdagangan</t>
  </si>
  <si>
    <t>Meningkatnya akuntabilitas instansi pemerintah dan kualitas pelayanan publik</t>
  </si>
  <si>
    <t>Bagian Umum Sekretariat Daerah</t>
  </si>
  <si>
    <t>Koordinasi dan Penyusunan Laporan Capaian Kinerja dan Ikhtisar Kinerja SKPD</t>
  </si>
  <si>
    <t>Jumlah dokumen perencanaan dan evaluasi kinerja Setda yang berkualitas</t>
  </si>
  <si>
    <t>Jumlah dokumen administrasi keuangan sesuai standar</t>
  </si>
  <si>
    <t>Jumlah Laporan Keuangan Akhir Tahun SKPD  dan Laporan Hasil  Koordinasi Penyusunan Laporan Keuangan Akhir Tahun SKPD</t>
  </si>
  <si>
    <t>Koordinasi dan Penyusunan Laporan Keuangan Bulanan/Triwulanan/Semseteran SKPD</t>
  </si>
  <si>
    <t>Jumlah pelayanan administrasi kepegawaian sesuai dengan kebutuhan</t>
  </si>
  <si>
    <t>Bln</t>
  </si>
  <si>
    <t>Jumlah   Laporan   Penyediaan   Jasa   Komunikasi, Sumber  Daya Air  dan Listrik yang  Disediakan</t>
  </si>
  <si>
    <t>Jumlah Laporan Penyediaan Jasa Pelayanan Umum Kantor yang  Disediakan</t>
  </si>
  <si>
    <t>Jumlah Pemeliharaan Barang Milik Daerah sesuai kebutuhan</t>
  </si>
  <si>
    <t>Penyediaan Jasa Pemeliharaan, Biaya Pemeliharaan dan Pajak  Kendaraan Perorangan Dinas atau Kendaraan Dinas Jabatan</t>
  </si>
  <si>
    <t>Penyediaan Jasa Pemeliharaan, Biaya Pemeliharaan, Pajak, dan Perizinan  Kendaraan Dinas Operasional atau Lapangan</t>
  </si>
  <si>
    <t>Pemeliharaan /Rehabilitasi Gedung Kantor dan Bangunan Lainnya</t>
  </si>
  <si>
    <t>Pemeliharaan /Rehabilitasi Sarana dan Prasarana Gedung Kantor atau Bangunan Lainnya</t>
  </si>
  <si>
    <t>Administrasi Keuangan dan Operasional Kepala Daerah dan Wakil Kepala Daerah</t>
  </si>
  <si>
    <t>Jumlah pelayanan administrasi keuangan dan operasional kepala daerah dan wakil kepala daerah</t>
  </si>
  <si>
    <t>Penyediaan  Gaji dan Tunjangan Kepala Daerah dan Wakil Kepala Daerah</t>
  </si>
  <si>
    <t>Jumlah Orang yang Menerima Gaji dan Tunjangan Kepala Daerah dan Wakil Kepala Daerah</t>
  </si>
  <si>
    <t>Fasilitasi Kerumahtanggaan Sekretariat Daerah</t>
  </si>
  <si>
    <t>Jumlah pelayanan fasilitasi kerumahtanggaan Sekretariat Daerah</t>
  </si>
  <si>
    <t>Penyediaan Kebutuhan Rumah Tangga Kepala Daerah</t>
  </si>
  <si>
    <t>Jumlah Paket Kebutuhan Rumah Tangga Kepala Daerah yang Disediakan</t>
  </si>
  <si>
    <t>Meningkatnya kualitas pelayanan Protokol dan Komunikasi Pimpinan</t>
  </si>
  <si>
    <t>Bagian Prokopim Sekretariat Daerah</t>
  </si>
  <si>
    <t>Pelaksanaan Protokol dan Komunikasi Pimpinan</t>
  </si>
  <si>
    <t>Persentase Cakupan Pelayanan Keprotokolan dan Komunikasi Pimpinan Sesuai Standar</t>
  </si>
  <si>
    <t>Fasilitasi Keprotokolan</t>
  </si>
  <si>
    <t>Jumlah Kegiatan Keprotokolan yang difasilitasi</t>
  </si>
  <si>
    <t>Fasilitasi Komunikasi Pimpinan</t>
  </si>
  <si>
    <t>Jumlah Kegiatan Komunikasi Pimpinan yang terfasilitasi</t>
  </si>
  <si>
    <t>Pendokumentasian Tugas Pimpinan</t>
  </si>
  <si>
    <t xml:space="preserve">Jumlah kegiatan tugas pimpinan yang terdokumentasikan </t>
  </si>
  <si>
    <t xml:space="preserve">Persentase PD dengan nilai AKIP minimal BB </t>
  </si>
  <si>
    <t>Bagian Organisasi</t>
  </si>
  <si>
    <t>Persentase proposal inovasi perangkat daerah yang difasilitasi sesuai standar</t>
  </si>
  <si>
    <t>Penataan Organisasi</t>
  </si>
  <si>
    <t>Persentase organisasi yang dilakukan penataan</t>
  </si>
  <si>
    <t>Pengelolaan Kelembagaan dan Analisis Jabatan</t>
  </si>
  <si>
    <t>Jumlah Dokumen Pengelolaan Kelembagaan dan Analisis Jabatan</t>
  </si>
  <si>
    <t>Fasilitasi Pelayanan Publik dan Tata Laksana</t>
  </si>
  <si>
    <t>Jumlah Laporan Hasil Fasilitasi Pelayanan Publik dan Tata Laksana</t>
  </si>
  <si>
    <t>Peningkatan Kinerja dan Reformasi Birokrasi</t>
  </si>
  <si>
    <t>Jumlah PD yang memenuhi dokumen SAKIP sesuai standar dan memenuhi LKE PMPRB</t>
  </si>
  <si>
    <t>Monitoring, Evaluasi dan Pengendalian Kualitas Pelayanan Publik dan Tata Laksana</t>
  </si>
  <si>
    <t>Jumlah Dokumen Monitoring, Evaluasi dan Pengendalian Kualitas Pelayanan Publik dan Tata Laksana</t>
  </si>
  <si>
    <t>Koordinasi dan Penyusunan Laporan Kinerja Pemerintah Daerah</t>
  </si>
  <si>
    <t>Meningkatnya pembinaan dan pengkoordinasian dalam perumusan kebijakan dan penyelenggaraan administrasi hukum dan pemerintahan</t>
  </si>
  <si>
    <t>Program Pemerintahan dan Kesejahteraan Rakyat</t>
  </si>
  <si>
    <t>Persentase kecamatan dan kelurahan yang berkinerja baik</t>
  </si>
  <si>
    <t>Bagian Pemerintahan Sekretariat Daerah</t>
  </si>
  <si>
    <t>LPPD disampaikan tepat waktu</t>
  </si>
  <si>
    <t>LPPD sesuai standar</t>
  </si>
  <si>
    <t>Administrasi Tata Pemerintahan</t>
  </si>
  <si>
    <t>Persentase pelayanan administrasi tata pemerintahan</t>
  </si>
  <si>
    <t>Penataan Administrasi Pemerintahan</t>
  </si>
  <si>
    <t>Jumlah Dokumen Hasil Penataan Administrasi Pemerintahan</t>
  </si>
  <si>
    <t>Pengelolaan Administrasi Kewilayahan</t>
  </si>
  <si>
    <t>Jumlah Dokumen Hasil Pengelolaan Administrasi Kewilayahan</t>
  </si>
  <si>
    <t>Fasilitasi Pelaksanaan Otonomi Daerah</t>
  </si>
  <si>
    <t>Jumlah Dokumen Hasil Fasilitasi Pelaksanaan Otonomi Daerah</t>
  </si>
  <si>
    <t>Program Pemerintahan Dan Kesejahteraan Rakyat</t>
  </si>
  <si>
    <t>Persentase Produk hukum Daerah yang berkualitas dan permasalahan hukum yang diselesaikan</t>
  </si>
  <si>
    <t>Fasilitasi dan Koordinasi Hukum</t>
  </si>
  <si>
    <t>Persentase pelayanan penyusunan kebijakan daerah</t>
  </si>
  <si>
    <t>Fasilitasi Penyusunan Produk Hukum Daerah</t>
  </si>
  <si>
    <t>Pelayanan Penyusunan Produk Hukum Daerah yang Difasilitasi</t>
  </si>
  <si>
    <t>Fasilitasi Bantuan Hukum</t>
  </si>
  <si>
    <t>Persentase Bantuan Hukum yang Difaslitasi</t>
  </si>
  <si>
    <t>Pendokumentasian Produk Hukum dan Pengelolaan Informasi Hukum</t>
  </si>
  <si>
    <t>Jumlah Produk Hukum Daerah yang Didokumentasikan</t>
  </si>
  <si>
    <t>Pelaksanaan Kebijakan Kesejahteraan Rakyat</t>
  </si>
  <si>
    <t>Bagian Kesejahteraan Rakyat Sekretariat Daerah</t>
  </si>
  <si>
    <t>Fasilitasi Pengelolaan Bina Mental Spiritual</t>
  </si>
  <si>
    <t>Program Perekonomian dan Pembangunan</t>
  </si>
  <si>
    <t>Persentase policy brief dibidang perekonomian dan Pembangunan yang dimanfaatkan Bupati</t>
  </si>
  <si>
    <t>Bagian Perekonomian dan Pembangunan Sekretariat Daerah</t>
  </si>
  <si>
    <t>Pelaksanaan Kebijakan Perekonomian</t>
  </si>
  <si>
    <t>Jumlah Dokumen perekonomian yang tersedia tepat waktu</t>
  </si>
  <si>
    <t>Koordinasi, Sinkronisasi monitoring dan evaluasi</t>
  </si>
  <si>
    <t>Jumlah dokumen hasil Koordinasi, Sinkronisasi monitoring dan evaluasi BLUD</t>
  </si>
  <si>
    <t>Pengendalian dan Distribusi Perekonomian</t>
  </si>
  <si>
    <t>jUmlah laporan hasil Pengendalian dan Distribusi Perekonomian</t>
  </si>
  <si>
    <t>Perencanaan dan Pengawasan Ekonomi Mikro Kecil</t>
  </si>
  <si>
    <t>Jumlah dokumen hasil Perencanaan dan Pengawasan Ekonomi Mikro Kecil</t>
  </si>
  <si>
    <t>Pelaksanaan administrasi pembangunan</t>
  </si>
  <si>
    <t>Persentase pelayanan administrasi Pembangunan</t>
  </si>
  <si>
    <t>Fasilitasi Penyusunan Program Pembangunan</t>
  </si>
  <si>
    <t>Jumlah dokumen hasil Fasilitasi Penyusunan Program Pembangunan daerah</t>
  </si>
  <si>
    <t>Pengendalian dan Evaluasi Program Pembangunan</t>
  </si>
  <si>
    <t>jUmlah laporan hasil Pengendalian dan Evaluasi Program Pembangunan</t>
  </si>
  <si>
    <t>Pengelolaan Evaluasi dan Pelaporan Pelaksanaan Pembangunan</t>
  </si>
  <si>
    <t>Jumlah laporan hasil Pengelolaan Evaluasi dan Pelaporan Pelaksanaan Pembangunan</t>
  </si>
  <si>
    <t>Pengelolaan Pengadaan Barang  dan Jasa</t>
  </si>
  <si>
    <t>Bagian Pengelolaan Barang dan Jasa Sekretariat Daerah</t>
  </si>
  <si>
    <t>Program Penunjang Urusan Pemerintahan Daerah Kabupaten / Kota</t>
  </si>
  <si>
    <t>Badan Pengelolaan Keuangan dan Pendapatan Daerah</t>
  </si>
  <si>
    <t>Jumlah Pelayanan administrasi kepegawaian sesuai standar</t>
  </si>
  <si>
    <t>Bimbingan Teknis Implementasi Peraturan Perundang- Undangan (Badan Pengelolaan Keuangan dan Pendapatan Daerah)</t>
  </si>
  <si>
    <t>Jumlah Orang yang Mengikuti Bimbingan Teknis Implementasi Peraturan Perundang-Undangan</t>
  </si>
  <si>
    <t>Penyediaan Peralatan Rumah Tangga</t>
  </si>
  <si>
    <t>Jumlah Paket Peralatan Rumah Tangga yang Disediakan</t>
  </si>
  <si>
    <t>Persentase jasa penunjang urusan pemerintahan daerah sesuai kebutuhan</t>
  </si>
  <si>
    <t>Persentase Pemeliharaan BMD penunjang urusan pemerintah sesuai kebutuhan</t>
  </si>
  <si>
    <t>Pemeliharaan Mebel</t>
  </si>
  <si>
    <t>Jumlah Mebel yang Dipelihara</t>
  </si>
  <si>
    <t>Meningkatnya kualitas Pengelolaan keuangan dan aset daerah</t>
  </si>
  <si>
    <t>Program Pengelolaan Keuangan Daerah</t>
  </si>
  <si>
    <t>Ketepatan Waktu proses Penyusunan RAPBD</t>
  </si>
  <si>
    <t>Persentasi waktu Penyelesaian SP2D yang dinyatakan lengkap dan sah sesuai dengan ketentuan yang berlaku</t>
  </si>
  <si>
    <t xml:space="preserve">Ketepatan waktu penyusunan Laporan Keuangan Pemda  </t>
  </si>
  <si>
    <t>Koordinasi dan Penyusunan Rencana Anggaran Daerah</t>
  </si>
  <si>
    <t>Persentase Dokumen KUA dan PPAS yang tersusun</t>
  </si>
  <si>
    <t>Persentase Dokumen Anggaran SKPD yang tersusun</t>
  </si>
  <si>
    <t>Persentase Dokumen Raperbup Penjabaran APBD</t>
  </si>
  <si>
    <t>Koordinasi dan Penyusunan KUA dan PPAS</t>
  </si>
  <si>
    <t>Jumlah Dokumen KUA dan PPAS yang Disusun</t>
  </si>
  <si>
    <t>Koordinasi dan Penyusunan Perubahan KUA dan Perubahan PPAS</t>
  </si>
  <si>
    <t>Jumlah Dokumen Perubahan KUA dan PPAS yang Disusun</t>
  </si>
  <si>
    <t>Koordinasi, Penyusunan dan Verifikasi RKA-SKPD</t>
  </si>
  <si>
    <t>Jumlah RKA-SKPD yang Diverifikasi</t>
  </si>
  <si>
    <t>Koordinasi, Penyusunan dan Verifikasi Perubahan RKA-SKPD</t>
  </si>
  <si>
    <t>Jumlah Perubahan RKA-SKPD yang Diverifikasi</t>
  </si>
  <si>
    <t>Koordinasi, Penyusunan dan Verifikasi DPA-SKPD</t>
  </si>
  <si>
    <t xml:space="preserve">Jumlah DPA-SKPD yang Diverifikasi </t>
  </si>
  <si>
    <t>Koordinasi, Penyusunan dan Verifikasi Perubahan DPA-SKPD</t>
  </si>
  <si>
    <t xml:space="preserve">Jumlah Perubahan DPA-SKPD yang Diverifikasi </t>
  </si>
  <si>
    <t>Koordinasi dan Penyusunan Peraturan Daerah tentang APBD dan Peraturan Kepala Daerah tentang Penjabaran APBD</t>
  </si>
  <si>
    <t>Jumlah Peraturan Daerah tentang APBD dan Peraturan Kepala Daerah tentang Penjabaran APBD</t>
  </si>
  <si>
    <t>Koordinasi dan Penyusunan Peraturan Daerah tentang Perubahan APBD dan Peraturan Kepala Daerah tentang Penjabaran Perubahan APBD</t>
  </si>
  <si>
    <t>Jumlah Peraturan Daerah tentang Perubahan APBD dan Peraturan Kepala Daerah tentang Penjabaran Perubahan APBD</t>
  </si>
  <si>
    <t>Koordinasi dan Pengelolaan Perbendaharaan Daerah</t>
  </si>
  <si>
    <t xml:space="preserve">Persentase Pelaksanaan koordinasi dan Pengelolaan Dana Perimbangan serta Transfer lainnya </t>
  </si>
  <si>
    <t>Persentase Rekonsiliasi Data Penerimaan dan Pengeluaran Kas</t>
  </si>
  <si>
    <t>Persentase Pengelolaan Keuangan Daerah</t>
  </si>
  <si>
    <t>Penatausahaan Pembiayaan Daerah</t>
  </si>
  <si>
    <t>Jumlah Dokumen Hasil Penatausahaan Pembiayaan Daerah</t>
  </si>
  <si>
    <t>Koordinasi, Fasilitasi, Asistensi, Sinkronisasi, Supervisi, Monitoring dan Evaluasi Pengelolaan Dana Perimbangan dan Dana Transfer Lainnya</t>
  </si>
  <si>
    <t>Jumlah Dokumen Hasil Koordinasi, Fasilitasi, Asistensi, Sinkronisasi, Supervisi, Monitoring, dan Evaluasi Pengelolaan Dana Perimbangan dan Dana Transfer Lainnya</t>
  </si>
  <si>
    <t>Koordinasi Pelaksanaan Piutang dan Utang Daerah yang Timbul Akibat Pengelolaan Kas, Pelaksanaan Analisis Pembiayaan dan Penempatan Uang Daerah sebagai Optimalisasi Kas</t>
  </si>
  <si>
    <t>Jumlah Dokumen Hasil Koordinasi Pelaksanaan Piutang dan Utang Daerah yang Timbul Akibat Pengelolaan Kas, Pelaksanaan Analisis Pembiayaan dan Penempatan Uang Daerah sebagai Optimalisasi Kas</t>
  </si>
  <si>
    <t>Rekonsiliasi Data Penerimaan dan Pengeluaran Kas serta Pemungutan dan Pemotongan Atas SP2D dengan Instansi Terkait</t>
  </si>
  <si>
    <t>Jumlah Dokumen Hasil Rekonsiliasi Data Penerimaan dan Pengeluaran Kas serta Pemungutan dan Pemotongan atas SP2D dengan Instansi Terkait</t>
  </si>
  <si>
    <t>Koordinasi dan Pelaksanaan Akuntansi dan Pelaporan Keuangan Daerah</t>
  </si>
  <si>
    <t>Persentase  laporan keuangan SKPD yang dikonsolidasikan</t>
  </si>
  <si>
    <t>Persentase Laporan Perda dan Perbup Pertanggungjabawan APBD</t>
  </si>
  <si>
    <t>Persentase Laporan Puskesmas (unit JKN) dan Sekolah (unit BOS) yang dilakukan verifikasi</t>
  </si>
  <si>
    <t>Rekonsiliasi dan Verifikasi Aset, Kewajiban, Ekuitas, Pendapatan, Belanja, Pembiayaan, Pendapatan-LO dan Beban</t>
  </si>
  <si>
    <t>Jumlah Dokumen Hasil Rekonsiliasi dan Verifikasi  Aset, Kewajiban, Ekuitas, Pendapatan, Belanja, Pembiayaan, Pendapatan-LO, dan Beban</t>
  </si>
  <si>
    <t>Koordinasi Penyusunan Laporan Pertanggungjawaban Pelaksanaan APBD Bulanan, Triwulanan dan Semesteran</t>
  </si>
  <si>
    <t>Jumlah Laporan Pertanggungjawaban Pelaksanaan APBD Bulanan, Triwulanan dan Semesteran</t>
  </si>
  <si>
    <t>Koordinasi dan Penyusunan Rancangan Peraturan Daerah tentang Pertanggungjawaban Pelaksanaan APBD Provinsi dan Rancangan Peraturan Kepala Daerah tentang Penjabaran Pertanggungjawaban Pelaksanaan APBD Kabupaten/Kota</t>
  </si>
  <si>
    <t>Jumlah Rancangan Peraturan Daerah tentang Pertanggungjawaban Pelaksanaan APBD Kabupaten/Kota dan Rancangan Peraturan Kepala Daerah tentang Penjabaran Pertanggungjawaban Pelaksanaan APBD Kabupaten/Kota</t>
  </si>
  <si>
    <t>Konsolidasi Laporan Keuangan SKPD, BLUD dan Laporan Keuangan Pemerintah Daerah</t>
  </si>
  <si>
    <t>Jumlah Laporan Keuangan SKPD, BLUD dan Laporan Keuangan Pemerintah Daerah yang Terkonsolidasi</t>
  </si>
  <si>
    <t>Penunjang Urusan Kewenangan Pengelolaan Keuangan Daerah</t>
  </si>
  <si>
    <t>Persentase Pengelolaan Keuangan Daerah yang Sesuai Ketentuan</t>
  </si>
  <si>
    <t>Analisis Perencanaan dan Penyaluran Bantuan Keuangan</t>
  </si>
  <si>
    <t>Jumlah Laporan Hasil Analisis Perencanaan dan Penyaluran Bantuan Keuangan</t>
  </si>
  <si>
    <t>Pengelolaan Dana Darurat dan Mendesak</t>
  </si>
  <si>
    <t>Jumlah Laporan Hasil Pengelolaan Dana Darurat dan Mendesak</t>
  </si>
  <si>
    <t>Pengelolaan Dana Bagi Hasil Kabupaten/Kota</t>
  </si>
  <si>
    <t>Jumlah Laporan Hasil Pengelolaan Dana bagi Hasil Kabupaten/Kota</t>
  </si>
  <si>
    <t>Pengelolaan Data dan Implementasi Sistem Informasi Pemerintah Daerah Lingkup Keuangan Daerah</t>
  </si>
  <si>
    <t>Persentase pengelolaan data dan implementasi SIPD lingkup keuangan daerah</t>
  </si>
  <si>
    <t>Pembinaan Sistem Informasi Pemerintah Daerah Bidang Keuangan Daerah Pemerintah Kabupaten/Kota (Badan Pengelolaan Keuangan dan Pendapatan Daerah)</t>
  </si>
  <si>
    <t>Jumlah Orang yang Mengikuti Pembinaan Sistem Informasi Pemerintah Daerah Bidang Keuangan Daerah Pemerintah Kabupaten/Kota</t>
  </si>
  <si>
    <t>Program Pengelolaan Barang Milik Daerah</t>
  </si>
  <si>
    <t>Persentase Pengelolaan Barang Milik Daerah sesuai standar dan Ketentuan</t>
  </si>
  <si>
    <t>Pengelolaan Barang Milik Daerah</t>
  </si>
  <si>
    <t>Dokumen SSH dan RKBMD yang tepat waktu dan sesuai standar</t>
  </si>
  <si>
    <t>Persentase Penatausahaan dan Pelaporan Barang Milik Daerah</t>
  </si>
  <si>
    <t>Persentase pelaksanaan Pemanfaatan, Pemindahtanganan dan Pengamanan Barang Milik Daerah sesuai standar</t>
  </si>
  <si>
    <t>Penyusunan Standar Harga</t>
  </si>
  <si>
    <t>Jumlah Standar Harga yang Disusun</t>
  </si>
  <si>
    <t>Penyusunan Perencanaan Kebutuhan Barang Milik Daerah</t>
  </si>
  <si>
    <t>Jumlah Rencana Kebutuhan Barang Milik Daerah</t>
  </si>
  <si>
    <t>Penatausahaan Barang Milik Daerah</t>
  </si>
  <si>
    <t>Jumlah Laporan Penatausahaan Barang Milik Daerah</t>
  </si>
  <si>
    <t>Pengamanan Barang Milik Daerah</t>
  </si>
  <si>
    <t>Jumlah Laporan Hasil Pengamanan Barang Milik Daerah</t>
  </si>
  <si>
    <t>Optimalisasi Penggunaan, Pemanfaatan, Pemindahtanganan, Pemusnahan, dan Penghapusan Barang Milik Daerah</t>
  </si>
  <si>
    <t>Jumlah Dokumen Hasil Optimalisasi Penggunaan, Pemanfaatan, Pemindahtanganan, Pemusnahan, dan Penghapusan Barang Milik Daerah</t>
  </si>
  <si>
    <t>Rekonsiliasi dalam rangka Penyusunan Laporan Barang Milik Daerah</t>
  </si>
  <si>
    <t>Jumlah Laporan Hasil Rekonsiliasi dalam rangka Penyusunan Laporan Barang Milik Daerah</t>
  </si>
  <si>
    <t>Pembinaan Pengelolaan Barang Milik Daerah Pemerintah Kabupaten/Kota</t>
  </si>
  <si>
    <t>Jumlah Orang yang Mengikuti Pembinaan Pengelolaan Barang Milik Daerah Pemerintah Kabupaten/Kota</t>
  </si>
  <si>
    <t>Program Pengelolaan Pendapatan Daerah</t>
  </si>
  <si>
    <t xml:space="preserve">Persentase Capaian Pendapatan Asli Daerah </t>
  </si>
  <si>
    <t>Persentasi jenis Pajak Daerah yang menerapkan elektronifikasi transaksi pendapatan daerah</t>
  </si>
  <si>
    <t>Persentase konfirmasi status WP daerah yg telah tertagih</t>
  </si>
  <si>
    <t>Pengelolaan Pendapatan daerah</t>
  </si>
  <si>
    <t>Persentase peningkatan potensi PAD</t>
  </si>
  <si>
    <t>Persentase WP  yang update, akurat dan informatif guna menunjang peningkatan PAD</t>
  </si>
  <si>
    <t>Persentase Pelayanan dan Penetapan Wajib Pajak Daerah yang sesuai</t>
  </si>
  <si>
    <t>Persentase pelaksanaan penyuluhan dan penyebarluasan kebijakan pajak</t>
  </si>
  <si>
    <t>Persentase pelaksanaan penagihan pajak</t>
  </si>
  <si>
    <t>Persentase  pelaksanaan pemeriksaan dan pengawasan pajak</t>
  </si>
  <si>
    <t>Perencanaan pengelolaan pajak daerah</t>
  </si>
  <si>
    <t>Jumlah Dokumen Rencana Pengelolaan Pajak Daerah</t>
  </si>
  <si>
    <t>Penyuluhan dan Penyebarluasan
Kebijakan Pajak Daerah</t>
  </si>
  <si>
    <t>Jumlah Laporan Pelaksanaan Penyuluhan dan Penyebarluasan Kebijakan Pajak Daerah</t>
  </si>
  <si>
    <t>Penyediaan Sarana dan Prasarana Pengelolaan Pajak Daerah (Badan Pengelolaan Keuangan dan Pendapatan Daerah)</t>
  </si>
  <si>
    <t>Jumlah Sarana dan Prasarana Pengelolaan Pajak Daerah</t>
  </si>
  <si>
    <t xml:space="preserve">Pendataan dan Pendaftaran
Objek Pajak Daerah </t>
  </si>
  <si>
    <t>Jumlah Laporan Hasil Pendataan dan Pendaftaran Objek Pajak Daerah, Subjek Pajak dan Wajib Pajak Daerah</t>
  </si>
  <si>
    <t>Pengolahan, Pemeliharaan, dan Pelaporan Basis Data Pajak Daerah (Badan Pengelolaan Keuangan dan Pendapatan Daerah)</t>
  </si>
  <si>
    <t>Jumlah Laporan Hasil Pengolahan, Pemeliharaan, dan Pelaporan Basis Data Pajak Daerah</t>
  </si>
  <si>
    <t>Penetapan Wajib Pajak Daerah</t>
  </si>
  <si>
    <t>Jumlah Dokumen Ketetapan Pajak Daerah</t>
  </si>
  <si>
    <t>Pelayanan dan Konsultasi Pajak Daerah</t>
  </si>
  <si>
    <t>Jumlah Layanan dan Konsultasi Pajak Daerah</t>
  </si>
  <si>
    <t>Penagihan Pajak Daerah</t>
  </si>
  <si>
    <t>Jumlah Dokumen Hasil Pelaksanaan  Penagihan Pajak Daerah</t>
  </si>
  <si>
    <t>Pengendalian, Pemeriksaan dan Pengawasan Pajak Daerah</t>
  </si>
  <si>
    <t>Jumlah Dokumen Hasil Pemeriksaan serta Pengendalian dan Pengawasan Pajak Daerah</t>
  </si>
  <si>
    <t>Meningkatnya aspek kualitas dokumen AKIP dan pelayanan publik</t>
  </si>
  <si>
    <t>Skor perencaanan kinerja</t>
  </si>
  <si>
    <t>Badan Kepegawaian dan Pengembangan Sumber Daya Manusia</t>
  </si>
  <si>
    <t>Skor pelaporan kinerja</t>
  </si>
  <si>
    <t>Skor capaian kinerja</t>
  </si>
  <si>
    <t>Penyediaan Komponen Listrik / Penerangan Bangunan Kantor</t>
  </si>
  <si>
    <t>Jumlah Paket Barang  Cetakan dan Penggandaan yang  Disediakan</t>
  </si>
  <si>
    <t>Penyediaan Bahan Bacaan dan Peraturan Perundang-Undangan</t>
  </si>
  <si>
    <t>Jumlah pengadaan sarana dan prasarana gedung kantor atau bangunan lainnya sesuai kebutuhan</t>
  </si>
  <si>
    <t>Penyediaan Jasa Pemeliharaan, Biaya Pemeliharaan, dan Pajak Kendaraan Perorangan Dinas atau Kendaraan Dinas Jabatan</t>
  </si>
  <si>
    <t>Jumlah  Sarana dan Prasarana Gedung Kantor atau Bangunan Lainnya yang Dipelihara/ Direhabilitasi</t>
  </si>
  <si>
    <t>Meningkatnya pengelolaan kepegawaian daerah</t>
  </si>
  <si>
    <t>PROGRAM KEPEGAWAIAN DAERAH</t>
  </si>
  <si>
    <t>Presentase ASN yang menduduki jabatan sesuai dengan kompetensinya</t>
  </si>
  <si>
    <t xml:space="preserve">Persentase CASN yang diangkat menjadi ASN sesuai  formasi jabatan dan unit kerja yang dilamar </t>
  </si>
  <si>
    <t>Persentase pengisian JPT melalui seleksi terbuka</t>
  </si>
  <si>
    <t>Terlaksannya pengadaan, pemberhentian dan informasi kepegawaian ASN</t>
  </si>
  <si>
    <t>Pengadaan, Pemberhentian dan Informasi Kepegawaian ASN</t>
  </si>
  <si>
    <t>Jumlah formasi ASN yang disusun untuk pengadaan CASN</t>
  </si>
  <si>
    <t>formasi</t>
  </si>
  <si>
    <t>Jumlah kegiatan fasilitasi korpri yang dilaksanakan</t>
  </si>
  <si>
    <t>Jumlah data kepegawaian berbasis teknologi yang dikelola</t>
  </si>
  <si>
    <t>data</t>
  </si>
  <si>
    <t>Penyusunan Rencana Kebutuhan, Jenis dan Jumlah Jabatan untuk Pelaksanaan Pengadaan ASN</t>
  </si>
  <si>
    <t>Jumlah Dokumen Hasil Penyusunan Rencana Kebutuhan, Jenis dan Jumlah Jabatan untuk Pelaksanaan Pengadaan ASN</t>
  </si>
  <si>
    <t>Fasilitasi Lembaga Profesi ASN</t>
  </si>
  <si>
    <t>Jumlah Lembaga Profesi ASN yang  Difasilitasi</t>
  </si>
  <si>
    <t>Pengelolaan Sistem Informasi Kepegawaian</t>
  </si>
  <si>
    <t>Jumlah Dokumen Hasil Pengelolaan Sistem Informasi Kepegawaian</t>
  </si>
  <si>
    <t>Terselenggaranya mutasi dan promosi ASN</t>
  </si>
  <si>
    <t>Mutasi dan Promosi ASN</t>
  </si>
  <si>
    <t>Jumlah JPT yang akan diisi melalui seleksi terbuka</t>
  </si>
  <si>
    <t>jabatan</t>
  </si>
  <si>
    <t>Pengelolaan Kenaikan Pangkat ASN</t>
  </si>
  <si>
    <t>Jumlah Pengelolaan Kenaikan Pangkat  ASN</t>
  </si>
  <si>
    <t>Pengelolaan Promosi ASN</t>
  </si>
  <si>
    <t>Jumlah Dokumen Hasil Pengelolaan Promosi ASN</t>
  </si>
  <si>
    <t>Program Kepegawaian Daerah</t>
  </si>
  <si>
    <t>Presentase regulasi pelaksanaan Merit Sistem yang telah ditetapkan sesuai ketentuan yang berlaku</t>
  </si>
  <si>
    <t>Persentase pengisian JPT dan Jabatan Administrator dari hasil assesment</t>
  </si>
  <si>
    <t>Persentase ASN yang nilai SKP-nya berkriteria baik</t>
  </si>
  <si>
    <t>Persentase SKP yang mendukung kinerja organisasi</t>
  </si>
  <si>
    <t>Persentase ASN yang tidak melakukan pelanggaran disiplin tingkat sedang dan berat</t>
  </si>
  <si>
    <t>Meningkatnya kompetensi ASN</t>
  </si>
  <si>
    <t>Pengembangan Kompetensi ASN</t>
  </si>
  <si>
    <t>Jumlah pejabat administrasi yang mengikuti Assesment</t>
  </si>
  <si>
    <t>org</t>
  </si>
  <si>
    <t>Peningkatan Kapasitas Kinerja ASN</t>
  </si>
  <si>
    <t>Jumlah ASN yang  Meningkat  Kapasitasnya</t>
  </si>
  <si>
    <t>Pengelolaan Pendidikan Lanjutan ASN</t>
  </si>
  <si>
    <t>Jumlah ASN yang Mendapatkan Pendidikan Lanjutan</t>
  </si>
  <si>
    <t>Terlaksananya penilaian dan evaluasi kinerja aparatur</t>
  </si>
  <si>
    <t>Penilaian dan Evaluasi Kinerja Aparatur</t>
  </si>
  <si>
    <t>Jumlah kinerja ASN yang dinilai dan dievaluasi</t>
  </si>
  <si>
    <t>Jumlah ASN yang mengikuti sosialisasi pembinaan disiplin</t>
  </si>
  <si>
    <t>Penyusunan Kebijakan dan Evaluasi Kinerja Aparatur</t>
  </si>
  <si>
    <t>Jumlah Dokumen Hasil Penyusunan Kebijakan Penilaian dan Evaluasi Kinerja Aparatur</t>
  </si>
  <si>
    <t>Pengelolaan Pemberian Penghargaan Bagi Pegawai</t>
  </si>
  <si>
    <t>Jumlah ASN yang  Diberikan Penghargaan</t>
  </si>
  <si>
    <t>Pembinaan Disiplin ASN</t>
  </si>
  <si>
    <t>Jumlah ASN yang Mendapatkan Pembinaan Kedisiplinan</t>
  </si>
  <si>
    <t>Meningkatnya kompetensi sumber daya manusia ASN sesuai dengan jabatannya masing-masing</t>
  </si>
  <si>
    <t>PROGRAM PENGEMBANGAN SUMBER DAYA MANUSIA</t>
  </si>
  <si>
    <t>Persentase Sumber Daya Aparatur yang memiliki Sertifikat Pelatihan Kompetensi Teknis dan Kompetensi Fungsional</t>
  </si>
  <si>
    <t>Persentase Sumber Daya Aparatur yang memiliki Sertifikat Pelatihan Kompetensi Manajerial</t>
  </si>
  <si>
    <t>Pengembangan Kompetensi Teknis</t>
  </si>
  <si>
    <t>Jumlah kerjasama dengan Lembaga yang terakreditasi untuk pelaksanaan pelatihan kompetensi Teknis dan Fungsional</t>
  </si>
  <si>
    <t>Penyelenggaraan Pengembangan Kompetensi Teknis Umum, Inti, dan Pilihan Bagi Jabatan Administrasi Penyelenggara Urusan Pemerintahan Konkuren, Perangkat Daerah Penunjang, dan Urusan Pemerintahan Umum</t>
  </si>
  <si>
    <t>Jumlah     ASN    yang     Mengikuti    Pengembangan Kompetensi</t>
  </si>
  <si>
    <t>Terlaksananya pengembangan kompetensi manajerial dan fungsional ASN</t>
  </si>
  <si>
    <t>Sertifikasi, Kelembagaan, Pengembangan Kompetensi Manajerial dan Fungsional</t>
  </si>
  <si>
    <t>Jumlah kerjasama dengan Lembaga yang terakreditasi untuk pelaksanaan pelatihan kompetensi manajerial</t>
  </si>
  <si>
    <t>Penyusunan Kebijakan Teknis dan Rencana Sertifikasi Kompetensi, Pengelolaan Kelembagaan, Tenaga Pengembang Kompetensi, Sumber Belajar, Kerjasama, Pengembangan Kompetensi Pimpinan Daerah, Jabatan Pimpinan Tinggi, Kepemimpinan dan Prajabatan, Serta jabatan Fungsional</t>
  </si>
  <si>
    <t>Jumlah Kebijakan Teknis dan Rencana Sertifikasi Kompetensi, Pengelolaan Kelembagaan, Tenaga Pengembang Kompetensi, Sumber Belajar, Kerja Sama, Pengembangan Kompetensi  Pimpinan Daerah, Jabatan Pimpinan Tinggi, Kepemimpinan dan Prajabatan,Serta Jabatan   Fungsional yang  Disusun</t>
  </si>
  <si>
    <t>Penyelenggaraan Pengembangan Kompetensi Bagi Pimpinan   Daerah,   Jabatan   Pimpinan   Tinggi, Jabatan Fungsional, Kepemimpinan, dan Prajabatan</t>
  </si>
  <si>
    <t>Jumlah         Laporan         Hasil         Penyelenggaraan Pengembangan       Kompetensi       bagi       Pimpinan Daerah,     Jabatan     Pimpinan     Tinggi,     Jabatan Fungsional,  Kepemimpinan,  dan Prajabatan</t>
  </si>
  <si>
    <t>Inspektorat Daerah</t>
  </si>
  <si>
    <t>Jumlah dokumen Perencanaan dan Evaluasi Kinerja Inspektorat Daerah yang berkualitas</t>
  </si>
  <si>
    <t>Jumlah dokumen administrasi keuangan sesuai dengan standar</t>
  </si>
  <si>
    <t>Pemenuhan Layanan administrasi kepegawaian sesuai kebutuhan</t>
  </si>
  <si>
    <t xml:space="preserve">Pengadaan Pakaian Dinas Beserta Atribut Kelengkapannya </t>
  </si>
  <si>
    <t>Pendidikan dan Pelatihan Pegawai Berdasarkan Tugas dan Fungsi</t>
  </si>
  <si>
    <t>Jumlah Pegawai Berdasarkan Tugas dan Fungsi yang Mengikuti Pendidikan dan Pelatihan</t>
  </si>
  <si>
    <t>Bimbingan Teknis Implementasi Peraturan Perundang- Undangan</t>
  </si>
  <si>
    <t>Pemenuhan Layanan administrasi umum sesuai kebutuhan</t>
  </si>
  <si>
    <t xml:space="preserve">Penyediaan Barang Cetakan dan Penggandaan </t>
  </si>
  <si>
    <t>Jumlah Pemenuhan peralatan dan perlengkapan kantor sesuai kebutuhan</t>
  </si>
  <si>
    <t>Pemenuhan pemeliharaan sarana prasarana peralatan dan gedung kantor</t>
  </si>
  <si>
    <t>Program Penyelenggaraan Pengawasan</t>
  </si>
  <si>
    <t>Persentase Penurunan temuan bersifat keuangan hasil pemeriksaan inspektorat Kab. HSS</t>
  </si>
  <si>
    <t>Persentase penurunan temuan pihak eksternal yang menimbulkan kerugian keuangan negara/daerah</t>
  </si>
  <si>
    <t>Persentase penyelesaian rekomendasi hasil pemeriksaan inspektorat dalam periode tertentu</t>
  </si>
  <si>
    <t>Persentase penyelesaian rekomendasi hasil pemeriksaan pihak eksternal dalam periode tertentu</t>
  </si>
  <si>
    <t>Penyelenggaraan Pengawasan Internal</t>
  </si>
  <si>
    <t xml:space="preserve"> Persentase Program Kerja Pengawasan Tahunan (PKPT) yang diselesaikan</t>
  </si>
  <si>
    <t>Pengawasan Kinerja Pemerintah Daerah</t>
  </si>
  <si>
    <t>Jumlah Laporan Hasil Pengawasan Kinerja Pemerintah Daerah</t>
  </si>
  <si>
    <t>Pengawasan Keuangan Pemerintah Daerah</t>
  </si>
  <si>
    <t>Jumlah Laporan Hasil Pengawasan Keuangan Pemerintah Daerah</t>
  </si>
  <si>
    <t>Reviu Laporan Kinerja</t>
  </si>
  <si>
    <t>Jumlah Laporan Hasil Reviu Laporan Kinerja</t>
  </si>
  <si>
    <t>Reviu Laporan Keuangan</t>
  </si>
  <si>
    <t>Jumlah Laporan Hasil Reviu Laporan Keuangan</t>
  </si>
  <si>
    <t>Pengawasan Desa</t>
  </si>
  <si>
    <t>Jumlah Laporan Hasil Pengawasan Desa</t>
  </si>
  <si>
    <t>Monitoring dan Evaluasi Tindak Lanjut Hasil Pemeriksaan BPK RI dan Tindak Lanjut Hasil Pemeriksaan APIP</t>
  </si>
  <si>
    <t>Jumlah Laporan Hasil Monitoring dan Evaluasi Tindak Lanjut Hasil Pemeriksaan BPK RI dan Tindak Lanjut Hasil Pemeriksaan APIP</t>
  </si>
  <si>
    <t>Penyelenggaraan Pengawasan dengan Tujuan Tertentu</t>
  </si>
  <si>
    <t>Persentase Penyelenggaraan Pengawasan Dengan tujuan Tertentu</t>
  </si>
  <si>
    <t>Penanganan Penyelesaian Kerugian Negara/Daerah</t>
  </si>
  <si>
    <t>Jumlah Laporan Penyelesaian Kerugian Negara/Daerah yang Ditangani</t>
  </si>
  <si>
    <t>Pengawasan Dengan Tujuan Tertentu</t>
  </si>
  <si>
    <t>Jumlah Laporan Hasil Pengawasan Dengan Tujuan Tertentu</t>
  </si>
  <si>
    <t>Program Perumusan Kebijakan, Pendampingan Dan Asistensi</t>
  </si>
  <si>
    <t>Persentase Pengaduan Masyarakat, Permintaaan Asistensi dan Pendampingan yang ditindaklanjuti dan diselesaikan</t>
  </si>
  <si>
    <t>Pendampingan dan Asistensi</t>
  </si>
  <si>
    <t xml:space="preserve"> Persentase Pengaduan Masyarakat yang ditindaklanjuti dan diselesaikan</t>
  </si>
  <si>
    <t>Pendampingan dan Asistensi Urusan Pemerintahan Daerah</t>
  </si>
  <si>
    <t>Jumlah Perangkat Daerah yang Dilakukan Pendampingan dan Asistensi Urusan Pemerintahan Daerah</t>
  </si>
  <si>
    <t>Pendampingan, Asistensi, Verifikasi, dan Penilaian Reformasi Birokrasi</t>
  </si>
  <si>
    <t>Jumlah Perangkat Daerah yang Dilakukan Pendampingan, Asistensi, Verifikasi, dan Penilaian Reformasi Birokrasi</t>
  </si>
  <si>
    <t>Koordinasi, Monitoring dan Evaluasi serta Verifikasi Pencegahan dan Pemberantasan Korupsi</t>
  </si>
  <si>
    <t>Jumlah Kegiatan Koordinasi, Monitoring dan Evaluasi serta Verifikasi Pencegahan dan Pemberantasan Korupsi</t>
  </si>
  <si>
    <t>Pendampingan, Asistensi dan Verifikasi Penegakan Integritas</t>
  </si>
  <si>
    <t>Jumlah Perangkat Daerah yang Dilakukan Pendampingan, Asistensi dan Verifikasi Penegakan Integritas</t>
  </si>
  <si>
    <t>EVALUASI TERHADAP HASIL RENCANA KERJA PEMERINTAH DAERAH</t>
  </si>
  <si>
    <t>KABUPATEN HULU SUNGAI SELATAN</t>
  </si>
  <si>
    <t>TRIWULAN IV TAHUN 2022</t>
  </si>
  <si>
    <t>Kepala Bappelitbangda</t>
  </si>
  <si>
    <t>M. ARLIYAN SYAHRIAL, M.Pd</t>
  </si>
  <si>
    <t>NIP. 19700423 199303 1 006</t>
  </si>
  <si>
    <t>Kandangan,        Januari 2023</t>
  </si>
  <si>
    <t>Meningkatnya Aspek Kualitas Dokumen AKIP dan Pelayanan Publik</t>
  </si>
  <si>
    <t>Badan Perencanan Pembangunan, Penelitian dan Pengembangan Daerah</t>
  </si>
  <si>
    <t>tersedianya dokumen Perencanaan dan Evaluasi Kinerja   Bappelitbangda yang berkualitas</t>
  </si>
  <si>
    <t>Persentase dokumen Perencanaan dan Evaluasi Kinerja   Bappelitbangda yang berkualitas</t>
  </si>
  <si>
    <t>Terlaksananya  adminstrasi keuangan sesuai standar</t>
  </si>
  <si>
    <t>persentase dokumen administrasi Keuangan sesuai standar</t>
  </si>
  <si>
    <t>Terlaksananya  administrasi umum dan sumber daya manusia sesuai standar</t>
  </si>
  <si>
    <t>Jumlah Dokumen Administrasi Umum Sesuai Standar</t>
  </si>
  <si>
    <t>Tingkat Pelayanan Administrasi Umum Sesuai Standar</t>
  </si>
  <si>
    <t>Jumlah dokumen  adminstrasi SDM sesuai standar</t>
  </si>
  <si>
    <t>Tingkat  Pelayanan  Adminstrasi Umum sesuai Standar</t>
  </si>
  <si>
    <t>Jumlah Paket  Mebel yang  Disediakan</t>
  </si>
  <si>
    <t>Terpenuhinya kualitas pelaksanaan perencanaan Pembangunan Daerah</t>
  </si>
  <si>
    <t>Program Perencanaan, Pengendalian dan Evaluasi Pembangunan Daerah</t>
  </si>
  <si>
    <t>Persentase pengendalian program pembangunan daerah</t>
  </si>
  <si>
    <t>Persentase Pelaksanaan Program Pembangunan yang sesuai dengan Target Perencanaan</t>
  </si>
  <si>
    <t>Terlaksananya Ketepatan dan Keakuratan Perencanaan</t>
  </si>
  <si>
    <t>Penyusunan Perencanaan dan Pendanaan</t>
  </si>
  <si>
    <t>Tingkat Keselarasan Renja PD terhadap RKPD</t>
  </si>
  <si>
    <t>Analisis Kondisi Daerah, Permasalahan, dan Isu Strategis Pembangunan Daerah</t>
  </si>
  <si>
    <t>Jumlah Dokumen Rancangan Awal RPJMD/RKPD (Sesuai Kebutuhan Jika RPJMD Maka Rancangan Teknokratik)</t>
  </si>
  <si>
    <t>Koordinasi Penelaahan Dokumen Perencanaan Pembangunan Daerah dengan Dokumen Kebijakannya lainnya</t>
  </si>
  <si>
    <t>Jumlah Telaahan Dokumen Perencanaan Pembangunan Daerah</t>
  </si>
  <si>
    <t>Pelaksanaan Konsultasi Publik</t>
  </si>
  <si>
    <t>Jumlah Berita Acara Konsultasi Publik</t>
  </si>
  <si>
    <t>Koordinasi Pelaksanaan Forum SKPD/Lintas SKPD</t>
  </si>
  <si>
    <t>Jumlah Berita Acara Forum Perangkat Daerah/Lintas Perangkat Daerah</t>
  </si>
  <si>
    <t>Pelaksanaan Musrenbang Kabupaten/Kota</t>
  </si>
  <si>
    <t>Jumlah Berita Acara Musrenbang Kabupaten/Kota</t>
  </si>
  <si>
    <t>Penyiapan Bahan Koordinasi Musrenbang Kecamatan</t>
  </si>
  <si>
    <t>Jumlah Usulan yang Terverifikasi oleh Kecamatan</t>
  </si>
  <si>
    <t>Usulan</t>
  </si>
  <si>
    <t>Koordinasi Penyusunan dan Penetapan Dokumen Perencanaan Pembangunan Daerah Kabupaten/Kota</t>
  </si>
  <si>
    <t>Jumlah Dokumen Perencanaan Pembangunan Daerah Kabupaten/Kota yang Ditetapkan (RPJPD/RPJMD/RKPD)</t>
  </si>
  <si>
    <t>Analisis Data dan Informasi Pemerintahan Daerah Bidang Perencanaan Pembangunan Daerah</t>
  </si>
  <si>
    <t>Kesesuaian capaian target Renja PD terhadap RKPD</t>
  </si>
  <si>
    <t>Analisis Data dan Informasi Perencanaan Pembangunan Daerah</t>
  </si>
  <si>
    <t>Jumlah Masukan Analisis Data untuk Penyusunan Kebijakan Perencanaan Pembangunan Daerah (Semua Perencanaan Pembangunan Daerah)</t>
  </si>
  <si>
    <t>Masukan</t>
  </si>
  <si>
    <t>Pembinaan dan Pemanfaatan Data dan Informasi Perencanaan Pembangunan SKPD</t>
  </si>
  <si>
    <t>Jumlah Orang yang Dibina dalam Pemanfaatan Data dan Informasi</t>
  </si>
  <si>
    <t>Pengendalian, Evaluasi dan Pelaporan Bidang Perencanaan Pembangunan Daerah</t>
  </si>
  <si>
    <t>Koordinasi, Pengendalian Perencanaan dan Pelaksanaan Pembangunan Daerah di Kabupaten/Kota</t>
  </si>
  <si>
    <t>Jumlah Laporan Hasil Pengendalian Perencanaan dan Pelaksanaan Pembangunan</t>
  </si>
  <si>
    <t>Program Koordinasi dan Sinkronisasi Perencanaan Pembangunan Daerah</t>
  </si>
  <si>
    <t>Koordinasi Perencanaan Bidang Pemerintahan dan Pembangunan Manusia</t>
  </si>
  <si>
    <t>Jumlah Rekomendasi Sektoral Bidang Pemerintahan dan Pembangunan Manusia</t>
  </si>
  <si>
    <t>Rekomendasi</t>
  </si>
  <si>
    <t>Koordinasi Pelaksanaan Sinergitas dan Harmonisasi Perencanaan Pembangunan Daerah Bidang Pemerintahan</t>
  </si>
  <si>
    <t>Jumlah Laporan Hasil Sinkronisasi Renstra/Renja dengan RKPD/RPJMD pada Bidang Pemerintahan</t>
  </si>
  <si>
    <t>Koordinasi Pelaksanaan Sinergitas dan Harmonisasi Perencanaan Pembangunan Daerah Bidang Pembangunan Manusia</t>
  </si>
  <si>
    <t>Jumlah Laporan Hasil Sinkronisasi Renstra/Renja dengan RKPD/RPJMD pada Bidang Pembangunan Manusia</t>
  </si>
  <si>
    <t>Pelaksanaan Monitoring dan Evaluasi Penyusunan Dokumen Perencanaan Pembangunan Perangkat Daerah Bidang Pemerintahan</t>
  </si>
  <si>
    <t>Jumlah Perangkat Daerah yang Mendapatkan Monitoring dan Evaluasi dalam Penyusunan Renstra/Renja Bidang Pemerintahan</t>
  </si>
  <si>
    <t>Koordinasi Penyusunan Dokumen Perencanaan Pembangunan Daerah Bidang Pembangunan Manusia (RPJPD, RPJMD dan RKPD)</t>
  </si>
  <si>
    <t>Jumlah Dokumen Perencanaan Pembangunan Daerah Bidang Pembangunan Manusia yang Dikoordinir Penyusunannya (RPJPD, RPJMD dan RKPD)</t>
  </si>
  <si>
    <t>Pelaksanaan Monitoring dan Evaluasi Penyusunan Dokumen Perencanaan Pembangunan Perangkat daerah Bidang Pembangunan Manusia</t>
  </si>
  <si>
    <t>Jumlah Perangkat Daerah yang Mendapatkan Monitoring dan Evaluasi dalam Penyusunan Renstra/Renja Bidang Pembangunan Manusia</t>
  </si>
  <si>
    <t>Koordinasi Perencanaan Bidang Perekonomian dan SDA (Sumber Daya Alam)</t>
  </si>
  <si>
    <t>Jumlah Rekomendasi Sektoral Bidang Perekonomian dan SDA (Sumber Daya Alam)</t>
  </si>
  <si>
    <t>Koordinasi Pelaksanaan Sinergitas dan Harmonisasi Perencanaan Pembangunan Daerah Bidang Perekonomian</t>
  </si>
  <si>
    <t>Jumlah Laporan Hasil Sinkronisasi Renstra/Renja dengan RKPD/RPJMD pada Bidang Perekonomian</t>
  </si>
  <si>
    <t>Koordinasi Pelaksanaan Sinergitas dan Harmonisasi Perencanaan Pembangunan Daerah Bidang SDA</t>
  </si>
  <si>
    <t>Jumlah Laporan Hasil Sinkronisasi Renstra/Renja dengan RKPD/RPJMD pada Bidang SDA</t>
  </si>
  <si>
    <t>Pelaksanaan Monitoring dan Evaluasi Penyusunan Dokumen Perencanaan Pembangunan Perangkat Daerah Bidang Perekonomian</t>
  </si>
  <si>
    <t>Jumlah Perangkat Daerah yang Mendapatkan Monitoring dan Evaluasi dalam Penyusunan Renstra/Renja Bidang Perekonomian</t>
  </si>
  <si>
    <t>Koordinasi Perencanaan Bidang Infrastruktur dan Kewilayahan</t>
  </si>
  <si>
    <t>Jumlah Rekomendasi Sektoral Bidang Infrastruktur dan Kewilayahan</t>
  </si>
  <si>
    <t>Koordinasi Pelaksanaan Sinergitas dan Harmonisasi Perencanaan Pembangunan Daerah Bidang Infrastruktur</t>
  </si>
  <si>
    <t>Jumlah Laporan Hasil Sinkronisasi Renstra/Renja dengan RKPD/RPJMD pada Bidang Infrastruktur</t>
  </si>
  <si>
    <t>Koordinasi Pelaksanaan Sinergitas dan Harmonisasi Perencanaan Pembangunan Daerah Bidang Kewilayahan</t>
  </si>
  <si>
    <t>Jumlah Laporan Hasil Sinkronisasi Renstra/Renja dengan RKPD/RPJMD pada Bidang Kewilayahan</t>
  </si>
  <si>
    <t>Koordinasi Penyusunan Dokumen Perencanaan Pembangunan Daerah Bidang Kewilayahan (RPJPD, RPJMD, dan RKPD)</t>
  </si>
  <si>
    <t>Jumlah Dokumen Perencanaan Pembangunan Daerah Bidang Kewilayahan yang Dikoordinir Penyusunannya (RPJPD, RPJMD dan RKPD)</t>
  </si>
  <si>
    <t>Pelaksanaan Monitoring dan Evaluasi Penyusunan Dokumen Perencanaan Pembangunan Perangkat Daerah Bidang Kewilayahan</t>
  </si>
  <si>
    <t>Meningkatnya Kualitas   Penelitian dan  Pengembangan Daerah</t>
  </si>
  <si>
    <t>Program Penelitian dan Pengembangan Daerah</t>
  </si>
  <si>
    <t>Indeks Inovasi Daerah</t>
  </si>
  <si>
    <t>Indeks</t>
  </si>
  <si>
    <t>Penelitian dan Pengembangan Bidang Penyelenggaraan Pemerintahan dan Pengkajian Peraturan</t>
  </si>
  <si>
    <t>Tersedianya Kajian  Penelitian dan Pengembangan</t>
  </si>
  <si>
    <t>Pengelolaan Data Kelitbangan dan Peraturan</t>
  </si>
  <si>
    <t>Jumlah Data Kelitbangan dan Peraturan yang Terkelola dengan Baik</t>
  </si>
  <si>
    <t>Pengembangan Inovasi dan Teknologi</t>
  </si>
  <si>
    <t>Dokumen Hasil Penelitian</t>
  </si>
  <si>
    <t>Diseminasi Jenis, Prosedur dan Metode Penyelenggaraan Pemerintahan Daerah Yang Bersifat Inovatif</t>
  </si>
  <si>
    <t>Jumlah Laporan Hasil Pelaksanaan Diseminasi Jenis, Prosedur dan Metode Penyelenggaraan Pemerintahan Daerah yang  Bersifat Inovatif</t>
  </si>
  <si>
    <t>Fasilitasi Hak Kekayaan Intelektual</t>
  </si>
  <si>
    <t>Jumlah Laporan Pelaksanaan Fasilitasi Hak Kekayaan Intelektual</t>
  </si>
  <si>
    <t>Badan Kesatuan Bangsa dan Politik</t>
  </si>
  <si>
    <t>Jumlah Gedung Kantor dan Bangunan Lainnya
yang  Dipelihara/Direhabilitasi</t>
  </si>
  <si>
    <t>Program Penguatan Ideologi Pancasila dan Karakter Kebangsaan</t>
  </si>
  <si>
    <t>Cakupan kecamatan yang menyelenggarakan penguatan ideologi pancasila dan karakter kebangsaan</t>
  </si>
  <si>
    <t>Perumusan Kebijakan Teknis dan Pemantapan Pelaksanaan Bidang Ideologi Pancasila dan Karakter Kebangsaan</t>
  </si>
  <si>
    <t>Penyusunan Program Kerja di Bidang Ideologi Wawasan Kebangsaan, Bela Negara, Karakter Bangsa, Pembauran Kebangsaan, Bhinneka Tunggal Ika, dan Sejarah Kebangsaan</t>
  </si>
  <si>
    <t>Jumlah Dokumen Program Kerja di Bidang Ideologi Wawasan Kebangsaan, Bela Negara, Karakter Bangsa, Pembauran Kebangsaan, Bineka Tunggal Ika dan Sejarah Kebangsaan yang Disusun</t>
  </si>
  <si>
    <t>Pelaksanaan Monitoring Evaluasi dan Pelaporan di Bidang Ideologi Wawasan Kebangsaan, Bela Negara, Karakter Bangsa, Pembauran Kebangsaan, Bhinneka Tunggal Ika, dan Sejarah Kebangsaan</t>
  </si>
  <si>
    <t>Jumlah Laporan Hasil Monitoring Evaluasi dan Pelaporan di Bidang Ideologi Wawasan Kebangsaan, Bela Negara, Karakter Bangsa, Pembauran Kebangsaan, Bineka Tunggal Ika dan Sejarah Kebangsaan</t>
  </si>
  <si>
    <t>Program Peningkatan Peran Partai Politik dan Lembaga Pendidikan Melalui Pendidikan Politik dan Pengembangan Etika Serta Budaya Politik</t>
  </si>
  <si>
    <t>Cakupan Partai Politik Yang Menyelenggarakan Pendidikan Politik</t>
  </si>
  <si>
    <t>Perumusan Kebijakan Teknis dan Pemantapan Pelaksanaan Bidang Pendidikan Politik, Etika Budaya Politik, Peningkatan Demokrasi, Fasilitasi Kelembagaan Pemerintahan, Perwakilan dan Partai Politik, Pemilihan Umum/Pemilihan Umum Kepala Daerah, serta Pemantauan Situasi Politik</t>
  </si>
  <si>
    <t>Penyusunan Program Kerja di Bidang Pendidikan Politik, Etika Budaya Politik, Peningkatan Demokrasi, Fasilitasi Kelembagaan Pemerintahan, Perwakilan dan Partai Politik, Pemilihan Umum/Pemilihan Umum Kepala Daerah, serta Pemantauan Situasi Politik di Daerah</t>
  </si>
  <si>
    <t>Jumlah Dokumen Program Kerja di Bidang Pendidikan Politik, Etika Budaya Politik, Peningkatan Demokrasi, Fasilitasi Kelembagaan Pemerintahan, Perwakilan dan Partai Politik, Pemilihan Umum/Pemilihan Umum Kepala Daerah, serta Pemantauan Situasi Politik di Daerah yang Disusun</t>
  </si>
  <si>
    <t>Pelaksanaan Monitoring Evaluasi dan Pelaporan di Bidang Pendidikan Politik, Etika Budaya Politik, Peningkatan Demokrasi, Fasilitasi Kelembagaan Pemerintahan, Perwakilan dan Partai Politik, Pemilihan Umum/Pemilihan Umum Kepala Daerah, serta Pemantauan Situasi Politik di Daerah</t>
  </si>
  <si>
    <t>Jumlah Laporan Hasil Monitoring, Evaluasi dan Pelaporan di Bidang Pendidikan Politik, Etika Budaya Politik, Peningkatan Demokrasi, Fasilitasi Kelembagaan Pemerintahan, Perwakilan dan Partai Politik, Pemilihan Umum/Pemilihan Umum Kepala Daerah, serta Pemantauan Situasi Politik di Daerah</t>
  </si>
  <si>
    <t>Program Pemberdayaan dan Pengawasan Organisasi Kemasyarakatan</t>
  </si>
  <si>
    <t>Ormas dan/atau LSM yang ada diwilayah Kab. HSS dapat terlayani dan terdaftar di Kemendagri/Kemenkumham</t>
  </si>
  <si>
    <t>Perumusan Kebijakan Teknis dan Pemantapan Pelaksanaan Bidang Pemberdayaan dan Pengawasan Organisasi Kemasyarakatan</t>
  </si>
  <si>
    <t>Jumlah Ormas yang Terdaftar</t>
  </si>
  <si>
    <t>Penyusunan Program Kerja di Bidang Pendaftaran Ormas, Pemberdayaan Ormas, Evaluasi dan Mediasi Sengketa Ormas, Pengawasan Ormas, dan Ormas Asing di Daerah</t>
  </si>
  <si>
    <t>Jumlah Dokumen Program Kerja di Bidang Pendaftaran Ormas, Pemberdayaan Ormas, Evaluasi dan Mediasi Sengketa Ormas, Pengawasan Ormas dan Ormas Asing di Daerah yang Disusun</t>
  </si>
  <si>
    <t>Program Pembinaan dan Pengembangan Ketahanan Ekonomi, Sosial, dan Budaya</t>
  </si>
  <si>
    <t>Persentase Kelembagaan/Organisasi Masyarakat Yang Berperan Aktif</t>
  </si>
  <si>
    <t>Perumusan Kebijakan Teknis dan Pemantapan Pelaksanaan Bidang Ketahanan Ekonomi, Sosial dan Budaya</t>
  </si>
  <si>
    <t>Jumlah Kelembagaan Organisasi Masyarakat Yang Dibina</t>
  </si>
  <si>
    <t>lembaga organisasi</t>
  </si>
  <si>
    <t>Pelaksanaan Koordinasi di Bidang Ketahanan Ekonomi, Sosial, Budaya, dan Fasilitasi Pencegahan Penyalahgunaan Narkotika, Fasilitasi Kerukunan Umat Beragama dan Penghayat Kepercayaan di Daerah</t>
  </si>
  <si>
    <t>Jumlah Orang yang Mengikuti Koordinasi di Bidang Ketahanan Ekonomi, Sosial, Budaya dan Fasilitasi Pencegahan Penyalagunaan Narkotika, Fasilitasi Kerukunan Umat Beragama dan Penghayat Kepercayaan di Daerah</t>
  </si>
  <si>
    <t>Penyusunan Program Kerja di Bidang Ketahanan Ekonomi, Sosial, Budaya, dan Fasilitasi Pencegahan Penyalahgunaan Narkotika, Fasilitasi Kerukunan Umat Beragama dan Penghayat Kepercayaan di Daerah</t>
  </si>
  <si>
    <t>Jumlah Dokumen Program Kerja di Bidang Ketahanan Ekonomi,  Sosial, Budaya dan Fasilitasi Pencegahan Penyalagunaan Narkotika, Fasilitasi Kerukunan Umat Beragama dan Penghayat Kepercayaan di Daerah yang Disusun</t>
  </si>
  <si>
    <t>Program Peningkatan Kewaspadaan Nasional dan Peningkatan Kualitas dan Fasilitasi Penanganan Konflik Sosial</t>
  </si>
  <si>
    <t>Cakupan kelembagaan organisasi yang menyelenggarakan kewaspadaan terhadap potensi konflik</t>
  </si>
  <si>
    <t>Perumusan Kebijakan Teknis dan Pelaksanaan Pemantapan Kewaspadaan Nasional dan Penanganan Konflik Sosial</t>
  </si>
  <si>
    <t>Pelaksanaan Koordinasi di Bidang Kewaspadaan Dini, Kerjasama Intelijen, Pemantauan Orang Asing, Tenaga Kerja Asing dan Lembaga Asing, Kewaspadaan Perbatasan Antar Negara, Fasilitasi Kelembagaan Bidang Kewaspadaan, serta Penanganan Konflik di Daerah</t>
  </si>
  <si>
    <t>Jumlah Orang yang Mengikuti Koordinasi di Bidang Kewaspadaan Dini, Kerja Sama Intelijen, Pemantauan Orang Asing, Tenaga Kerja Asing dan Lembaga Asing, Kewaspadaan Perbatasan antar Negara, Fasilitasi Kelembagaan Bidang Kewaspadaan, serta Penanganan Konflik di Daerah</t>
  </si>
  <si>
    <t>Pelaksanaan Monitoring, Evaluasi dan Pelaporan di Bidang Kewaspadaan Dini, Kerjasama Intelijen, Pemantauan Orang Asing, Tenaga Kerja Asing dan Lembaga Asing, Kewaspadaan Perbatasan Antar Negara, Fasilitasi Kelembagaan Bidang Kewaspadaan, serta Penanganan Konflik di Daerah</t>
  </si>
  <si>
    <t>Jumlah Laporan Hasil Monitoring, Evaluasi dan Pelaporan di Bidang Kewaspadaan Dini, Kerja Sama Intelijen, Pemantauan Orang Asing, Tenaga Kerja Asing dan Lembaga Asing, Kewaspadaan Perbatasan antar Negara, Fasilitasi Kelembagaan Bidang Kewaspadaan, serta Penanganan Konflik di Daerah</t>
  </si>
  <si>
    <t>Memastikan Layanan Administrasi,  Kesejahteraan dan Rumah Tangga DPRD optimal dan sesuai ketentuan</t>
  </si>
  <si>
    <t>Persentase Layanan Administrasi dan Kesejahteraan dan Rumah Tangga DPRD sesuai ketentuan yang Berlaku</t>
  </si>
  <si>
    <t>Sekretariat Dewan Perwakilan Rakyat Daerah</t>
  </si>
  <si>
    <t>Memastikan Perencanaan, Pengukuran, Pelaporan, Evaluasi akuntabilitas Kinerja dan Target Kinerja tercapai berkualitas</t>
  </si>
  <si>
    <t>Skor Nilai AKIP</t>
  </si>
  <si>
    <t>Memastikan Perencanaan program  anggaran, pengelolaan anggaran, pembukuan dan pengawasan pertanggungjawaban dan Verifikasi  perhitungan anggaran, serta melaksanakan monitoring, evaluasi dan pelaporan berkualitas baik</t>
  </si>
  <si>
    <t>Persentase Dokumen Perencanaan dan Evaluasi  Perangkat Daerah yang berkualitas</t>
  </si>
  <si>
    <t>Persentase Dokumen Administrasi Keuangan Perangkat Daerah yang  Kredible</t>
  </si>
  <si>
    <t>Memastikan Pelayanan Administrasi  Umum Kantor Bermanfaat, Pelayanan Penunjang tersedia dengan Baik dan  Barang Milik Daerah terpelihara dengan Baik dan Layak fungsi</t>
  </si>
  <si>
    <t>Persentase Terselenggaranya  Administrasi  Umum , penyediaan  Peralatan dan Perlengkapan Kantor sesuai kebutuhan</t>
  </si>
  <si>
    <t xml:space="preserve">Pengadaan Barang Milik Daerah Penunjang Urusan Pemerintah Daerah
</t>
  </si>
  <si>
    <t>Memastikan Pimpinan dan Anggota DPRD dalam Kondisi Sehat dan Sejahtera</t>
  </si>
  <si>
    <t>Layanan Keuangan dan Kesejahteraan DPRD</t>
  </si>
  <si>
    <t>Persentase Layanan Keuangan dan Kesejahteraan DPRD  sesuai Ketentuan</t>
  </si>
  <si>
    <t>Penyelenggaraan Administrasi Keuangan DPRD</t>
  </si>
  <si>
    <t>Jumlah Anggota DPRD yang Menerima Hak Keuangan DPRD</t>
  </si>
  <si>
    <t>Penyediaan Pakaian Dinas dan Atribut DPRD</t>
  </si>
  <si>
    <t>Jumlah Paket Pakaian Dinas dan Atribut DPRD yang Disediakan</t>
  </si>
  <si>
    <t>Pelaksanaan Medical Check Up DPRD</t>
  </si>
  <si>
    <t>Jumlah Orang yang Mengikuti Medical Check Up DPRD</t>
  </si>
  <si>
    <t xml:space="preserve"> Memastikan Pelayanan  Administrasi Keanggotaan  DPRD Bermanfaat dan Kebutuhan Rumah Tangga sesuai Kebutuhan</t>
  </si>
  <si>
    <t>Layanan Administrasi DPRD</t>
  </si>
  <si>
    <t>Persentase Terlaksananya  Administrasi Keanggotaan DPRD dan Terpenuhinya Rumah Tangga DPRD sesuai Kebutuhan</t>
  </si>
  <si>
    <t>Penyelenggaraan Administrasi Keanggotaan DPRD</t>
  </si>
  <si>
    <t>Jumlah Dokumen Hasil Penyelenggaraan Administrasi Keanggotaan DPRD</t>
  </si>
  <si>
    <t>Fasilitasi Fraksi DPRD</t>
  </si>
  <si>
    <t>Jumlah Laporan Hasil Fasilitasi Fraksi DPRD</t>
  </si>
  <si>
    <t>Fasilitasi Rapat Koordinasi dan Konsultasi DPRD</t>
  </si>
  <si>
    <t>Jumlah Laporan Hasil Fasilitasi Rapat Koordinasi dan Konsultasi DPRD</t>
  </si>
  <si>
    <t>Penyediaan Kebutuhan Rumah Tangga DPRD</t>
  </si>
  <si>
    <t>Jumlah Paket Kebutuhan Rumah Tangga DPRD yang Disediakan</t>
  </si>
  <si>
    <t>Program Dukungan Pelaksanaan Tugas Dan Fungsi DPRD</t>
  </si>
  <si>
    <t>Persentase pelayanan fasilitasi tugas, fungsi, dan wewenang DPRD sesuai standar</t>
  </si>
  <si>
    <t>Memastikan  Terlaksananya Rapat  Pembahasan Rancangan Peraturan Daerah dan Peraturan DPRD sesuai  Target yang ditetapkan</t>
  </si>
  <si>
    <t>Pembentukan Peraturan Daerah dan Peraturan DPRD</t>
  </si>
  <si>
    <t>Persentase  Rapat  Pembahasan Rancangan Peraturan Daerah dan Peraturan DPRD sesuai  Target</t>
  </si>
  <si>
    <t>Penyusunan dan Pembahasan Program Pembentukan Peraturan Daerah</t>
  </si>
  <si>
    <t>Jumlah Dokumen Hasil Penyusunan dan Pembahasan Program Pembentukan Peraturan Daerah</t>
  </si>
  <si>
    <t>Pembahasan Rancangan Peraturan Daerah</t>
  </si>
  <si>
    <t>Jumlah Dokumen Hasil Pembahasan Rancangan Peraturan Daerah</t>
  </si>
  <si>
    <t>Penyelenggaraan Kajian Perundang-Undangan</t>
  </si>
  <si>
    <t>Jumlah Dokumen Kajian Perundang-Undangan</t>
  </si>
  <si>
    <t>Fasilitasi Penyusunan Penjelasan/Keterangan dan/atau Naskah Akademik</t>
  </si>
  <si>
    <t>Jumlah Dokumen Hasil Penyusunan Penjelasan atau Keterangan dan/atau Naskah Akademik yang Difasilitasi</t>
  </si>
  <si>
    <t>Memastikan  Terlaksananya Rapat   Pembahasan  Kebijakan Anggaran  sesuai Jadwal yang ditetapkan</t>
  </si>
  <si>
    <t>Pembahasan Kebijakan Anggaran</t>
  </si>
  <si>
    <t>Persentase  Rapat Pembahasan  Kebijakan Anggaran  sesuai Jadwal</t>
  </si>
  <si>
    <t>Pembahasan KUA dan PPAS</t>
  </si>
  <si>
    <t>Jumlah Dokumen Hasil Pembahasan KUA dan PPAS</t>
  </si>
  <si>
    <t>Pembahasan Perubahan KUA dan Perubahan PPAS</t>
  </si>
  <si>
    <t>Jumlah Dokumen Hasil Pembahasan Perubahan KUA dan Perubahan PPAS</t>
  </si>
  <si>
    <t>Pembahasan APBD</t>
  </si>
  <si>
    <t>Jumlah Dokumen Hasil Pembahasan APBD</t>
  </si>
  <si>
    <t>Pembahasan APBD Perubahan</t>
  </si>
  <si>
    <t>Jumlah Dokumen Hasil Pembahasan APBD Perubahan</t>
  </si>
  <si>
    <t>Pembahasan Laporan Semester</t>
  </si>
  <si>
    <t>Jumlah Dokumen Hasil Pembahasan Laporan Realisasi Pelaksanaan APBD Per Semester</t>
  </si>
  <si>
    <t>Pembahasan Pertanggungjawaban APBD</t>
  </si>
  <si>
    <t>Jumlah Dokumen Hasil Pembahasan Pertanggungjawaban APBD</t>
  </si>
  <si>
    <t xml:space="preserve"> Memastikan  Rapat Pengawasan Penyelenggaraan Pemerintahan  sesuai  Bidang dan  ketentuan yang berlaku</t>
  </si>
  <si>
    <t>Pengawasan Penyelenggaraan Pemerintahan</t>
  </si>
  <si>
    <t>Persentase  Rapat Pengawasan Penyelenggaraan Pemerintahan</t>
  </si>
  <si>
    <t>Pengawasan Urusan Pemerintahan bidang Pemerintahan dan Hukum</t>
  </si>
  <si>
    <t>Jumlah Laporan Hasil Pengawasan Urusan Pemerintahan bidang Pemerintahan dan Hukum</t>
  </si>
  <si>
    <t>Pengawasan Urusan Pemerintahan Bidang Infrastruktur</t>
  </si>
  <si>
    <t>Jumlah Laporan Hasil Pengawasan Urusan Pemerintahan Bidang Infrastruktur</t>
  </si>
  <si>
    <t>Pengawasan Urusan Pemerintahan Bidang Kesejahteraan Rakyat</t>
  </si>
  <si>
    <t>Jumlah Laporan Hasil Pengawasan Urusan Pemerintahan Bidang Kesejahteraan Rakyat</t>
  </si>
  <si>
    <t>Pengawasan Urusan Pemerintahan Bidang Perekonomian</t>
  </si>
  <si>
    <t>Jumlah Laporan Hasil Pengawasan Urusan Pemerintahan Bidang Perekonomian</t>
  </si>
  <si>
    <t>Pengawasan Urusan Pemerintahan Bidang Sumber Daya Alam</t>
  </si>
  <si>
    <t>Jumlah Laporan Hasil Pengawasan Urusan Pemerintahan Bidang Sumber Daya Alam</t>
  </si>
  <si>
    <t>Pengawasan Tindak Lanjut Hasil Pemeriksaan Laporan Keuangan oleh Badan Pemeriksa Keuangan</t>
  </si>
  <si>
    <t>Jumlah Dokumen Hasil Pengawasan Tindak Lanjut Hasil Pemeriksaan Laporan Keuangan oleh Badan Pemeriksa Keuangan</t>
  </si>
  <si>
    <t>Pengawasan Penggunaan Anggaran</t>
  </si>
  <si>
    <t>Jumlah Dokumen Hasil Pengawasan Penggunaan Anggaran</t>
  </si>
  <si>
    <t>Pembahasan Laporan Keterangan Pertanggungjawaban Kepala Daerah</t>
  </si>
  <si>
    <t>Jumlah Rekomendasi Hasil Pembahasan Laporan Keterangan Pertanggungjawaban Kepala Daerah</t>
  </si>
  <si>
    <t>Memastikan Kapasitas Anggota DPRD lebih meningkat  dalam pelakasanaan Tugas dan Fungsinya dan Penyebarluasan Informasi  DPRD terlaksana sesuai kebutuhan</t>
  </si>
  <si>
    <t>Peningkatan Kapasitas DPRD</t>
  </si>
  <si>
    <t>Persentase Anggota DPRD yang mengikuti BIMTEK dan Pertemuan dengan Tenaga Ahli/Kelompok Pakar sesuai Kebutuhan dan Persentase Kegiatan DPRD yang dipublikasi kan</t>
  </si>
  <si>
    <t>Pendalaman Tugas DPRD</t>
  </si>
  <si>
    <t>Jumlah Dokumen Hasil Pendalaman Tugas DPRD</t>
  </si>
  <si>
    <t>Publikasi dan Dokumentasi Dewan</t>
  </si>
  <si>
    <t>Jumlah Dokumen Penyebarluasan Produk Hukum Daerah, Publikasi dan Dokumentasi Dewan</t>
  </si>
  <si>
    <t>Penyediaan Kelompok Pakar dan Tim Ahli</t>
  </si>
  <si>
    <t>Jumlah Orang dalam Kelompok Pakar dan Tim Ahli</t>
  </si>
  <si>
    <t>Penyelenggaraan Hubungan Masyarakat</t>
  </si>
  <si>
    <t>Jumlah Dokumen Hasil Penyelenggaraan Hubungan Masyarakat</t>
  </si>
  <si>
    <t>Penyusunan Program Kerja DPRD</t>
  </si>
  <si>
    <t>Jumlah Dokumen Rencana Kerja DPRD</t>
  </si>
  <si>
    <t xml:space="preserve"> Memastikan Penyerapan Aspirasi Masyarakat optimal dan   Pokok-Pokok Pikiran DPRD  terinput di sistem </t>
  </si>
  <si>
    <t>Penyerapan dan Penghimpunan Aspirasi Masyarakat</t>
  </si>
  <si>
    <t xml:space="preserve">Persentase fasilitasi Penyerapan Aspirasi Masyakat sesuai Ketentuan </t>
  </si>
  <si>
    <t>Kunjungan Kerja dalam Daerah</t>
  </si>
  <si>
    <t>Jumlah Laporan Hasil Kunjungan Kerja DPRD</t>
  </si>
  <si>
    <t xml:space="preserve">Penyusunan Pokok-Pokok Pikiran DPRD
</t>
  </si>
  <si>
    <t>Jumlah Dokumen Pokok-Pokok Pikiran DPRD yang Disusun</t>
  </si>
  <si>
    <t>`</t>
  </si>
  <si>
    <t>Pelaksanaan Reses</t>
  </si>
  <si>
    <t>Jumlah Dokumen Hasil Pelaksanaan Reses</t>
  </si>
  <si>
    <t xml:space="preserve">Memastikan Pembahasan Kerjasama Daerah sesuai Permintaan </t>
  </si>
  <si>
    <t>Pembahasan Kerja Sama Daerah</t>
  </si>
  <si>
    <t>Persentase Rapat Pembahasan Kerjasama Daerah sesuai Permintaan</t>
  </si>
  <si>
    <t>Fasilitasi, Verifikasi, dan Koordinasi Persetujuan Kerjasama Daerah</t>
  </si>
  <si>
    <t>Jumlah Dokumen Rekomendasi Hasil Fasilitasi, Verifikasi, dan Koordinasi Persetujuan Kerja Sama Daerah</t>
  </si>
  <si>
    <t xml:space="preserve"> Memastikan Fasilitasi Tugas Alat Kelengkapan DPRD terpenuhi sesuai ketentuan  </t>
  </si>
  <si>
    <t>Fasilitasi Tugas DPRD</t>
  </si>
  <si>
    <t>Persentase Fasilitasi  Tugas  alat kelengkapan DPRD sesuai Fungsinya</t>
  </si>
  <si>
    <t>Koordinasi dan Konsultasi Pelaksanaan Tugas DPRD</t>
  </si>
  <si>
    <t>Jumlah Dokumen Hasil Koordinasi dan Konsultasi Pelaksanaan Tugas DPRD</t>
  </si>
  <si>
    <t xml:space="preserve">Penyusunan Laporan Kinerja DPRD
</t>
  </si>
  <si>
    <t>Jumlah Laporan Fraksi, Alat Kelengkapan dan Kinerja DPRD yang Disusun</t>
  </si>
  <si>
    <t xml:space="preserve">Fasilitasi Pelaksanaan Tugas Badan Musyawarah
</t>
  </si>
  <si>
    <t xml:space="preserve">Jumlah Dokumen Hasil Fasilitasi Pelaksanaan Tugas Badan Musyawarah
</t>
  </si>
  <si>
    <t>Fasilitasi Tugas Pimpinan DPRD</t>
  </si>
  <si>
    <t>Jumlah Dokumen Hasil Fasilitasi Tugas Pimpinan DPRD</t>
  </si>
  <si>
    <t>Jumlah Dokumen Hasil Fasilitasi Pengelolaan Bina Mental Spiritual</t>
  </si>
  <si>
    <t>Jumlah Dokumen Hasil Kebijakan, Evaluasi, dan Capaian Kinerja Terkait Kesejahteraan Sosial yang Meliputi Urusan Sosial, Transmigrasi, Kesehatan, Pemberdayaan Perempuan dan Perlindungan Anak, Administrasi Kependudukan Dan Pencatatan Sipil, Pemberdayaan Masyarakat dan Desa, Pengendalian Penduduk dan KB</t>
  </si>
  <si>
    <t>Jumlah Dokumen Hasil Kebijakan, Evaluasi, dan Capaian Kinerja Terkait Kesejahteraan Masyarakat yang Meliputi Urusan Kepemudaan dan Olahraga, Pariwisata, Pendidikan, Kebudayaan, Perpustakaan, Kearsipan, Trantibum Linmas</t>
  </si>
  <si>
    <t>Jumlah Dokumen Hasil Pengelolaan Pengadaan Barang dan Jasa</t>
  </si>
  <si>
    <t>Jumlah Dokumen Hasil Layanan Pengadaan Secara Elektronik</t>
  </si>
  <si>
    <t>Jumlah Orang yang Mengikuti Pembinaan dan Advokasi Pengadaan Barang dan Jasa</t>
  </si>
  <si>
    <t>Pengelolaan Layanan Pengadaan Secara Elektronik</t>
  </si>
  <si>
    <t>Pembinaan dan Advokasi Pengadaan Barang dan Jasa</t>
  </si>
  <si>
    <t>Pelaksanaan Kebijakan,  Evaluasi, dan Capaian Kinerja Terkait Kesejahteraan Sosial</t>
  </si>
  <si>
    <t>Pelaksanaan Kebijakan, Evaluasi, dan Capaian Kinerja Terkait Kesejahteraan Masyarakat</t>
  </si>
  <si>
    <t>Dinas Tenaga Kerja, Koperasi, Usaha Kecil Menengah dan Perindustrian</t>
  </si>
  <si>
    <t>Jumlah dokumen perencanaan Perangkat Daerah yang berkualitas</t>
  </si>
  <si>
    <t>Jumlah laporan Gaji dan Tunjangan ASN</t>
  </si>
  <si>
    <t>Jumlah laporan keuangan bulanan/semesteran/triwulan</t>
  </si>
  <si>
    <t>Jumlah penyediaan bahan bacaan dan peraturan perundang-undangan sesuai kebutuhan</t>
  </si>
  <si>
    <t>82.167.276</t>
  </si>
  <si>
    <t xml:space="preserve">Pengadaan Barang Milik Daerah Penunjang Urusan Pemerintah Daerah </t>
  </si>
  <si>
    <t>21.554.865</t>
  </si>
  <si>
    <t>Persentase fasilitasi komunikasi, sumber daya air dan listrik tersedia dengan baik</t>
  </si>
  <si>
    <t>Program Pelatihan Kerja Dan Produktivitas Tenaga Kerja</t>
  </si>
  <si>
    <t>Persentase Tenaga kerja bersertifikat kompetensi</t>
  </si>
  <si>
    <t>Pelaksanaan Pelatihan berdasarkan Unit Kompetensi</t>
  </si>
  <si>
    <t xml:space="preserve"> Jumlah Tenaga Kerja yang mendapat pelatihan</t>
  </si>
  <si>
    <t>Proses Pelaksanaan Pendidikan dan Pelatihan Keterampilan bagi Pencari Kerja berdasarkan Klaster Kompetensi</t>
  </si>
  <si>
    <t>Jumlah Pencari Kerja Yang Dilatih berdasarkan klaster kompetensi</t>
  </si>
  <si>
    <t>Koordinasi Lintas Lembaga dan Kerja Sama dengan Sektor Swasta untuk Penyediaan Instruktur serta Sarana dan Prasarana Lembaga Pelatihan Kerja</t>
  </si>
  <si>
    <t>Jumlah Pencari kerja  yang di ikutkan dalam pelatihan kerja</t>
  </si>
  <si>
    <t>orang/peserta magang</t>
  </si>
  <si>
    <t>Menurunnya Tingkat Pengangguran Terbuka</t>
  </si>
  <si>
    <t>Program Penempatan Tenaga Kerja</t>
  </si>
  <si>
    <t>Rasio lowongan (posisi) kerja per X ribu angkatan kerja</t>
  </si>
  <si>
    <t>2,01</t>
  </si>
  <si>
    <t>Pelayanan Antarkerja di Daerah Kabupaten/Kota</t>
  </si>
  <si>
    <t>Jumlah tenaga kerja yang ditempatkan</t>
  </si>
  <si>
    <t xml:space="preserve">Penyediaan Sumber Daya Pelayanan antar Kerja </t>
  </si>
  <si>
    <t>Jumlah penempatan calon peserta seleksi</t>
  </si>
  <si>
    <t>Program Hubungan Industrial</t>
  </si>
  <si>
    <t>Persentase perselisihan pengusaha-pekerja yang diselesaikan</t>
  </si>
  <si>
    <t>Pencegahan dan Penyelesaian Perselisihan Hubungan Industrial, Mogok Kerja dan Penutupan Perusahaan di Daerah Kabupaten/Kota</t>
  </si>
  <si>
    <t>Persentase Kasus yang diselesaikan melalui perjanjian bersama (PB)</t>
  </si>
  <si>
    <t>Penyelesaian Perselisihan Hubungan Industrial, Mogok Kerja, dan Penutupan Perusahaan yang Berakibat/Berdampak pada Kepentingan di 1 (satu) Daerah Kabupaten/Kota</t>
  </si>
  <si>
    <t>Jumlah Kasus yang diselesaikan</t>
  </si>
  <si>
    <t>Program Pendidikan dan Latihan Perkoperasian</t>
  </si>
  <si>
    <t>Persentase tingkat penyelesaian laporan tahunan</t>
  </si>
  <si>
    <t>Pendidikan dan Latihan Perkoperasian bagi Koperasi yang Wilayah Keanggotaan dalam Daerah Kabupaten/Kota</t>
  </si>
  <si>
    <t>Persentase tingkat keaktifan pengurus dan pengawas</t>
  </si>
  <si>
    <t>Koperasi</t>
  </si>
  <si>
    <t>Peningkatan Pemahaman dan Pengetahuan Perkoperasian serta Kapasitas dan Kompetensi SDM Koperasi</t>
  </si>
  <si>
    <t>Jumlah Koperasi yang dibina</t>
  </si>
  <si>
    <t>Program Pengembangan UMKM</t>
  </si>
  <si>
    <t>Persentase SDM Usaha Kecil Menengah Yang Memiliki Ijin Usaha</t>
  </si>
  <si>
    <t>Pengembangan Usaha Mikro dengan Orientasi Peningkatan Skala Usaha menjadi Usaha Kecil</t>
  </si>
  <si>
    <t>Jumlah Wirausaha yang mengikuti Pelatihan</t>
  </si>
  <si>
    <t>UMKM</t>
  </si>
  <si>
    <t>Fasilitasi Usaha Mikro Menjadi Usaha Kecil dalam Pengembangan Produksi dan Pengolahan, Pemasaran, SDM, serta Desain dan Teknologi</t>
  </si>
  <si>
    <t>Jumlah Wirausaha yang Terlatih</t>
  </si>
  <si>
    <t>Unit Usaha</t>
  </si>
  <si>
    <t>Program Perencanaan Dan Pembangunan Industri</t>
  </si>
  <si>
    <t>Persentasi produk 
industri Yang Bersertifikasi Mutu</t>
  </si>
  <si>
    <t>Penyusunan dan Evaluasi Rencana Pembangunan Industri Kabupaten/Kota</t>
  </si>
  <si>
    <t xml:space="preserve"> Jumlah industri pengolahan yang dilatih</t>
  </si>
  <si>
    <t>Koordinasi, Sinkronisasi, dan Pelaksanaan Pembangunan Sumber Daya Industri</t>
  </si>
  <si>
    <t>Jumlah peserta pelatihan kerajinan bambu/kayu</t>
  </si>
  <si>
    <t>Koordinasi, Sinkronisasi, dan Pelaksanaan Pembangunan Sarana dan Prasarana Industri</t>
  </si>
  <si>
    <t>Jumlah fasilitasi P-IRT dan Produk Halal IKM Pangan</t>
  </si>
  <si>
    <t>Koordinasi, Sinkronisasi, dan Pelaksanaan Pemberdayaan Industri dan Peran Serta Masyarakat</t>
  </si>
  <si>
    <t>Jumlah Pameran yang diikuti</t>
  </si>
  <si>
    <t>Pameran</t>
  </si>
  <si>
    <t>Program Pengendalian Izin Usaha Industri Kabupaten/Kota</t>
  </si>
  <si>
    <t>Persentase Produk Industri Yang Bersertifikasi Mutu</t>
  </si>
  <si>
    <t>Penerbitan Izin Usaha Industri (IUI), Izin Perluasan Usaha Industri (IPUI), Izin Usaha Kawasan Industri (IUKI) dan Izin Perluasan Kawasan Industri (IPKI) Kewenangan Kabupaten/Kota</t>
  </si>
  <si>
    <t>Rasio industri pengolahan pangan yg mengikuti sertifikasi P-IRT / Jumlah industri pengolahan pangan x 100</t>
  </si>
  <si>
    <t>IKM</t>
  </si>
  <si>
    <t>Fasilitasi Pemenuhan Komitmen Perolehan IUI, IPUI, IUKI dan IPKI Kewenangan Kabupaten/Kota dalam Sistem Informasi Industri Nasional (SIINas) yang Terintegrasi dengan Sistem Pelayanan Perizinan Berusaha Terintegrasi secara Elektronik</t>
  </si>
  <si>
    <t>Jumlah  industri pengolahan yang dilatih</t>
  </si>
  <si>
    <t>Program Pengelolaan Sistem Informasi Industri Nasional</t>
  </si>
  <si>
    <t>Persentase pengelolaan Informasi Industri kecil menengah yang teradministrasi dengan baik</t>
  </si>
  <si>
    <t>Penyediaan Informasi Industri untuk Informasi Industri untuk IUI, IPUI, IUKI dan IPKI Kewenangan Kabupaten/Kota</t>
  </si>
  <si>
    <t>Jumlah Informasi Industri Kecil Menengah yang terdokumentasi dengan baik</t>
  </si>
  <si>
    <t>Data</t>
  </si>
  <si>
    <t>Fasilitasi Pengumpulan, Pengolahan dan Analisis Data Industri, Data Kawasan Industri serta Data Lain Lingkup Kabupaten/Kota melalui Sistem Informasi Industri Nasional (SIINas)</t>
  </si>
  <si>
    <t>Jumlah Peserta Sosialisasi yang mengikuti</t>
  </si>
  <si>
    <t>Diseminasi, Publikasi Data Informasi dan Analisa Industri Kabupaten/Kota melalui SIINas</t>
  </si>
  <si>
    <t>Jumlah Publikasi Data Informasi dan Analisis Industri</t>
  </si>
  <si>
    <t>Pemantauan dan Evaluasi Kepatuhan Perusahaan Industri dan Perusahaan Kawasan Industri Lingkup Kabupaten/Kota dalam Penyampaian Data ke SIINas</t>
  </si>
  <si>
    <t>Jumlah Pemantauan dan Evaluasi Industri Kecil Menengah</t>
  </si>
  <si>
    <t>Dinas Pekerjaan Umum dan Tata Ruang</t>
  </si>
  <si>
    <t>Jumlah dokumen Perencanaan dan Evaluasi Kinerja Dinas PUTR yang berkualitas</t>
  </si>
  <si>
    <t>Penyediaan Komponen Instalasi Listrik/Penerangan Bangunan kantor</t>
  </si>
  <si>
    <t>Program Pengelolaan Sumber Daya Air (SDA)</t>
  </si>
  <si>
    <t>Persentase Luas Sawah Beririgasi</t>
  </si>
  <si>
    <t>68,25</t>
  </si>
  <si>
    <t>Pengelolaan SDA dan Bangunan Pengaman Pantai pada Wilayah Sungai (WS) dalam 1 (satu) Daerah Kabupaten/Kota</t>
  </si>
  <si>
    <t>panjang sungai, bantaran, dan tanggul sungai yang yang direhab/dipelihara</t>
  </si>
  <si>
    <t>M</t>
  </si>
  <si>
    <t>Pembangunan Bangunan Perkuatan Tebing</t>
  </si>
  <si>
    <t>Panjang Bangunan Perkuatan Tebing yang Dibangun</t>
  </si>
  <si>
    <t>KM</t>
  </si>
  <si>
    <t>Normalisasi/ Restorasi Sungai</t>
  </si>
  <si>
    <t>Panjang Sungai yang Dinormalisasi/Direstorasi</t>
  </si>
  <si>
    <t>Pembinaan dan Pemberdayaan Kelembagaan Pengelolaan SDA Kewenangan Kabupaten/Kota</t>
  </si>
  <si>
    <t>Jumlah Peserta yang Mengikuti Pembinaan dan Pemberdayaan Kelembagaan Pengelolaan SDA Kewenangan Kabupaten/Kota</t>
  </si>
  <si>
    <t>Operasi dan Pemeliharaan Sungai</t>
  </si>
  <si>
    <t>Panjang Sungai yang Dioperasikan dan Dipelihara</t>
  </si>
  <si>
    <t>Pengembangan dan Pengelolaan Sistem Irigasi Primer dan Sekunder pada Daerah Irigasi yang Luasnya dibawah 1000 Ha dalam 1 (satu) Daerah Kabupaten/Kota</t>
  </si>
  <si>
    <t>Luas hektar sawah yang terairi</t>
  </si>
  <si>
    <t>Penyusunan Rencana Teknis dan Dokumen Lingkungan Hidup untuk Konstruksi Irigasi dan Rawa</t>
  </si>
  <si>
    <t>Jumlah Rencana Teknis dan Dokumen Lingkungan Hidup untuk Konstruksi Irigasi dan Rawa yang Tersusun</t>
  </si>
  <si>
    <t>Pembangunan Jaringan Irigasi Permukaan</t>
  </si>
  <si>
    <t>Panjang Jaringan Irigasi Permukaan yang Dibangun</t>
  </si>
  <si>
    <t>Pembangunan Bendung Irigasi</t>
  </si>
  <si>
    <t>Jumlah Bendung Irigasi yang Dibangun</t>
  </si>
  <si>
    <t>Bendung</t>
  </si>
  <si>
    <t>Rehabilitasi Jaringan Irigasi Permukaan</t>
  </si>
  <si>
    <t>Panjang Jaringan Irigasi Permukaan yang Direhabilitasi</t>
  </si>
  <si>
    <t>Operasi dan Pemeliharaan Jaringan Irigasi Permukaan</t>
  </si>
  <si>
    <t>Panjang Jaringan Irigasi Permukaan yang Dioperasikan dan Dipelihara</t>
  </si>
  <si>
    <t>Operasional Unit Pengelola Irigasi</t>
  </si>
  <si>
    <t>Jumlah Unit Pengelola Irigasi yang Beroperasi</t>
  </si>
  <si>
    <t>Rehabilitasi Bendung Irigasi</t>
  </si>
  <si>
    <t>Jumlah Bendung Irigasi yang Direhabilitasi</t>
  </si>
  <si>
    <t>Program Pengelolaan Dan Pengembangan Sistem Penyediaan Air Minum</t>
  </si>
  <si>
    <t>Persentase Rumah Tangga yang mendapatkan akses air minum melalui SPAM</t>
  </si>
  <si>
    <t>Pengelolaan dan Pengembangan Sistem Penyediaan Air Minum (SPAM) di Daerah Kabupaten/Kota</t>
  </si>
  <si>
    <t>Jumlah rumah tangga/KK yang mendapatkan akses air bersih melalui SPAM</t>
  </si>
  <si>
    <t>KK</t>
  </si>
  <si>
    <t>Pembangunan SPAM Jaringan Perpipaan di Kawasan Perdesaan (DAU &amp; DAK)</t>
  </si>
  <si>
    <t>Jumlah Sambungan Rumah Yang Terlayani Melalui Kegiatan Padat Karya/Spam Berbasis Masyarakat</t>
  </si>
  <si>
    <t>SR</t>
  </si>
  <si>
    <t>Operasi dan Pemeliharaan SPAM di Kawasan Perdesaan</t>
  </si>
  <si>
    <t>Jumlah Unit SPAM Berbasis Masyarakat yang mendapatkan operasi dan pemeliharaan</t>
  </si>
  <si>
    <t>Program Pengelolaan Dan Pengembangan Sistem Air Limbah</t>
  </si>
  <si>
    <t>Persentase Rumah Tangga yang memiliki akses pengolahan air limbah domestik (SPALD) Dasar</t>
  </si>
  <si>
    <t>Pengelolaan dan Pengembangan Sistem Air Limbah Domestik dalam Daerah Kabupaten/Kota</t>
  </si>
  <si>
    <t>Jumlah rumah tangga/KK yang memiliki akses pengolahan air limbah domestik berupa cubluk dan tangki septik</t>
  </si>
  <si>
    <t>Operasi dan Pemeliharaan Sistem Pengelolaan Air Limbah Domestik</t>
  </si>
  <si>
    <t>Jumlah Unit Sistem Pengelolaan Air Limbah Domestik yang Diperasikan dan Dipelihara</t>
  </si>
  <si>
    <t>Pembangunan/Penyediaan Sistem Pengelolaan Air Limbah Terpusat Skala Permukiman (DAU &amp; DAK)</t>
  </si>
  <si>
    <t>Jumlah Rumah Tangga yang Tersambung dengan Sistem Pengelolaan Air Limbah Terpusat Skala Permukiman</t>
  </si>
  <si>
    <t>Rumah Tangga</t>
  </si>
  <si>
    <t>Program Pengelolaan Dan Pengembangan Sistem Drainase</t>
  </si>
  <si>
    <t>Persentase Jaringan Drainase Perkotaan Yang Bersih Dan Bebas Genangan</t>
  </si>
  <si>
    <t>Pengelolaan dan pengembangan Sistem Drainase yang Terhubung Langsung dengan Sungai dalam Daerah Kabupaten/Kota</t>
  </si>
  <si>
    <t>Panjang Saluran Drainase Kota Yang Berfungsi Baik</t>
  </si>
  <si>
    <t>Pembangunan Sistem Drainase
Perkotaan</t>
  </si>
  <si>
    <t>Panjang Saluran Drainase Perkotaan Yang Dibangun</t>
  </si>
  <si>
    <t>Rehabilitasi Saluran Drainase Perkotaan</t>
  </si>
  <si>
    <t>Panjang Saluran Drainase Perkotaan Yang Dilakukan Rehabilitasi</t>
  </si>
  <si>
    <t>Operasi dan Pemeliharaan Sistem Drainase</t>
  </si>
  <si>
    <t>Panjang Saluran Drainase yang Dioperasikan dan Dipelihara</t>
  </si>
  <si>
    <t>Rehabilitasi Saluran Drainase Lingkungan</t>
  </si>
  <si>
    <t>Panjang Saluran Drainase Lingkungan Yang Dilakukan Rehabilitasi</t>
  </si>
  <si>
    <t>Program Penataan Bangunan Gedung</t>
  </si>
  <si>
    <t>Persentase Kecukupan Sarana Dan Prasarana Publik</t>
  </si>
  <si>
    <t>Penyelenggaraan Bangunan Gedung di Wilayah Daerah Kabupaten/Kota, Pemberian Izin Mendirikan Bangunan (IMB) dan Sertifikat Laik Fungsi Bangunan Gedung</t>
  </si>
  <si>
    <t>Jumlah Bangunan Pelayanan Publik Yang Terbangun (Buah)</t>
  </si>
  <si>
    <t>Penyelenggaraan Penerbitan Ijin Mendirikan Bangunan (IMB), Sertifikat Laik Fungsi (SLF), peran Tenaga Ahli Bangunan Gedung (TABG), Pendataan  Bangunan  Gedung, serta Implementasi SIMBG</t>
  </si>
  <si>
    <t>Jumlah Penyelenggaraan Penerbitan Ijin Mendirikan Bangunan (IMB), Sertifikat Laik Fungsi (SLF), peran Tenaga Ahli Bangunan Gedung (TABG), Pendataan  Bangunan  Gedung, serta Implementasi SIMBG</t>
  </si>
  <si>
    <t>Perencanaan, Pembangunan, Pengawasan, dan Pemanfaatan Bangunan Gedung Daerah Kabupaten/Kota (DAU &amp; DAK)</t>
  </si>
  <si>
    <t>Jumlah Dokumen Perencanaan, Pembangunan, Pengawasan dan Pemanfaatan Bangunan Gedung Daerah Kabupaten/Kota</t>
  </si>
  <si>
    <t>Program Penyelenggaraan Jalan</t>
  </si>
  <si>
    <t>Persentase kondisi mantap jalan kabupaten</t>
  </si>
  <si>
    <t>Penyelenggaraan Jalan Kabupaten/Kota</t>
  </si>
  <si>
    <t>Jumlah Panjang Jalan  kabupaten dalam kondisi Mantap</t>
  </si>
  <si>
    <t>Pembangunan Jalan</t>
  </si>
  <si>
    <t xml:space="preserve">Panjang Jalan Yang Dibangun </t>
  </si>
  <si>
    <t>Pelebaran Jalan Menuju Standar</t>
  </si>
  <si>
    <t>Panjang Jalan yang Dilakukan Pelebaran Menuju Standar</t>
  </si>
  <si>
    <t>Rekonstruksi Jalan (DAU &amp; DAK)</t>
  </si>
  <si>
    <t>Panjang Jalan yang Dilakukan Rekonstruksi Jalan</t>
  </si>
  <si>
    <t>Rehabilitasi Jalan (DAU &amp; DAK)</t>
  </si>
  <si>
    <t>Panjang Jalan yang direhabilitasi</t>
  </si>
  <si>
    <t>Pemeliharaan Berkala Jalan</t>
  </si>
  <si>
    <t>Panjang Jalan yang Dilakukan Pemeliharaan Secara Berkala</t>
  </si>
  <si>
    <t>Pemeliharaan Rutin Jalan</t>
  </si>
  <si>
    <t>Panjang Jalan yang diperbaiki dengan pemeliharaan rutin</t>
  </si>
  <si>
    <t>Pembangunan Jembatan (DAU &amp; DAK)</t>
  </si>
  <si>
    <t>Panjang Jembatan yang Dibangun</t>
  </si>
  <si>
    <t>Penggantian Jembatan</t>
  </si>
  <si>
    <t>Panjang Jembatan yang Dilakukan Penggantian</t>
  </si>
  <si>
    <t>Pemeliharaan Rutin Jembatan</t>
  </si>
  <si>
    <t>Panjang Jembatan yang Dilakukan Pemeliharaan Secara Rutin</t>
  </si>
  <si>
    <t>Penyusunan Rencana, Kebijakan,dan Strategi Pengembangan Jaringan Jalan Serta Perencanaan Teknis Penyelenggaraan Jalan dan Jembatan</t>
  </si>
  <si>
    <t>Jumlah Dokumen Hasil Pelaksanaan Advis dan Layanan Teknis, Kajian Kebijakan, Bantuan Teknis, Bimbingan Teknis, Pengelolaan Pengendalian</t>
  </si>
  <si>
    <t>Program Pengembangan Jasa Konstruksi</t>
  </si>
  <si>
    <t>Persentase Tenaga Terampil Konstruksi Yang Bersertifikat</t>
  </si>
  <si>
    <t>Penyelenggaraan Pelatihan Tenaga Terampil Konstruksi</t>
  </si>
  <si>
    <t xml:space="preserve">Jumlah tenaga terampil bersertifikat </t>
  </si>
  <si>
    <t>Penyiapan Training Need Assessment (TNA) Pelatihan Tenaga Terampil Konstruksi</t>
  </si>
  <si>
    <t>Jumlah Dokumen Perencanaan Pelatihan Tenaga Kerja Konstruksi Kualifikasi Jabatan Ahli</t>
  </si>
  <si>
    <t>Penyiapan Instuktur/Asesor/Penyelenggara Pelatihan</t>
  </si>
  <si>
    <t>Jumlah Instruktur/Asesor/Pelaksana Pelatihan Tenaga Kerja Konstruksi Kualifikasi Jabatan Operator dan Teknisi atau Analis yang Disiapkan</t>
  </si>
  <si>
    <t>Penyiapan SOP Penyelenggaraan Pelatihan Tenaga Terampil Konstruksi</t>
  </si>
  <si>
    <t>Jumlah Dokumen SOP Penyelenggaraan Pelatihan Tenaga Konstruksi Kualifikasi Jabatan Operator, Teknisi atau Analis</t>
  </si>
  <si>
    <t>Pelaksanaan Pelatihan Tenaga Terampil Konstruksi</t>
  </si>
  <si>
    <t>Jumlah Pelaksanaan Pelatihan Tenaga Terampil Konstruksi</t>
  </si>
  <si>
    <t>Fasilitasi Sertifikasi Tenaga Terampil Konstruksi</t>
  </si>
  <si>
    <t>Jumlah Tenaga Kerja Konstruksi Kualifikasi Jabatan Operator dan Teknisi atau Analis yang Tersertifikasi</t>
  </si>
  <si>
    <t>Pemantauan dan Evaluasi Kegiatan Pelatihan Tenaga Terampil Konstruksi</t>
  </si>
  <si>
    <t>Jumlah Dokumen Hasil Pemantauan dan Evaluasi Kegiatan Pelatihan Tenaga Terampil Konstruksi</t>
  </si>
  <si>
    <t>Penyelenggaraan Sistem Informasi Jasa Konstruksi Cakupan Daerah Kabupaten/Kota</t>
  </si>
  <si>
    <t>Pengelolaan Operasional Layanan Informasi Jasa Konstruksi</t>
  </si>
  <si>
    <t>Jumlah Laporan Penyelenggaraan Dukungan Manajemen Sistem Informasi Jasa Konstruksi</t>
  </si>
  <si>
    <t>Penyediaan Perangkat Pendukung Layanan Informasi Jasa Konstruksi</t>
  </si>
  <si>
    <t>Jumlah Data dan Informasi yang Dihasilkan dari Perangkat Pendukung Layanan Informasi Jasa Konstruksi</t>
  </si>
  <si>
    <t>Penyelenggaraan Pelatihan untuk Peningkatan Kapasitas Administrator SIPJAKI</t>
  </si>
  <si>
    <t>Jumlah Orang yang Mengikuti Penyelenggaraan Pelatihan untuk Peningkatan Kapasitas Administrator SIPJAKI</t>
  </si>
  <si>
    <t>Penyusunan Data dan Informasi Tenaga Kerja dan Badan Usaha</t>
  </si>
  <si>
    <t>Jumlah Data dan Informasi Tenaga Kerja dan Badan Usaha</t>
  </si>
  <si>
    <t>Penyusunan Data dan Informasi Ketersediaan/Penggunaan Material dan Peralatan</t>
  </si>
  <si>
    <t>Jumlah Data dan Informasi Ketersediaan/Penggunaan Material dan Peralatan</t>
  </si>
  <si>
    <t>Penyusunan Data dan Informasi Profil Pekerjaan Konstruksi</t>
  </si>
  <si>
    <t>Jumlah Data dan Informasi Profil Pekerjaan Konstruksi</t>
  </si>
  <si>
    <t>Penyusunan Data dan Informasi Tertib Penyelenggaraan Pekerjaan Konstruksi</t>
  </si>
  <si>
    <t>Jumlah Data dan Informasi Tertib Penyelenggaraan Pekerjaan Konstruksi</t>
  </si>
  <si>
    <t>Penyusunan Data dan Informasi Kecelakaan Kerja Proyek Konstruksi</t>
  </si>
  <si>
    <t>Jumlah Data dan Informasi Kecelakaan Kerja Proyek Konstruksi</t>
  </si>
  <si>
    <t>Penyusunan Data dan Informasi Kegagalan Bangunan/Konstruksi</t>
  </si>
  <si>
    <t>Jumlah Data dan Informasi Kegagalan Bangunan/Konstruksi</t>
  </si>
  <si>
    <t>Penerbitan Izin Usaha Jasa Konstruksi Nasional (Non Kecil dan Kecil)</t>
  </si>
  <si>
    <t>Penyusunan Peraturan di Daerah dan SOP terkait Penyelenggaraan IUJK Nasional di Kabupaten/Kota</t>
  </si>
  <si>
    <t>Jumlah Peraturan di Daerah Terkait Perizinan Berusaha Berbasis Risiko Subsektor Jasa Konstruksi</t>
  </si>
  <si>
    <t>Program        Penyelenggaraan        Penataan Ruang</t>
  </si>
  <si>
    <t>Persentase kesesuaian pemanfaatan ruang dengan tata ruang wilayah</t>
  </si>
  <si>
    <t>Penetapan Rencana Tata Ruang Wilayah (RTRW) dan Rencana Rinci Tata Ruang (RRTR) Kabupaten/ Kota</t>
  </si>
  <si>
    <t>Jumlah Dokumen RTR/RDTR Kabupaten yang dilakukan Sinkronisasi</t>
  </si>
  <si>
    <t>Pelaksanaan Persetujuan Substansi, Evaluasi, Konsultasi Evaluasi Penetapan RTRW Kabupaten/ Kota</t>
  </si>
  <si>
    <t>Jumlah Dokumen Persetujuan Substansi, Evaluasi, Konsultasi Evaluasi Penetapan RTRW Kabupaten/ Kota</t>
  </si>
  <si>
    <t>Koordinasi dan Sinkronisasi Perencanaan tata Ruang Daerah Kabupaten/ Kota</t>
  </si>
  <si>
    <t>Jumlah RTR Kawasan Strategis &amp; RDTR Kabupaten</t>
  </si>
  <si>
    <t>Koordinasi dan Sinkronisasi Penyusunan RTRW Kabupaten/ Kota</t>
  </si>
  <si>
    <t>Jumlah Dokumen Koordinasi dan Sinkronisasi Penyusunan RTRW Kabupaten/ Kota</t>
  </si>
  <si>
    <t>Jumlah RTRW Kabupaten yang disusun</t>
  </si>
  <si>
    <t>Koordinasi dan Sinkronisasi Pengendalian Pemanfaatan Ruang Daerah Kabupaten/ Kota</t>
  </si>
  <si>
    <t>Jumlah Dokumen Pengendalian dan Pemanfaatan Ruang Kabupaten</t>
  </si>
  <si>
    <t>Koordinasi Pelaksanaan Penataan Ruang</t>
  </si>
  <si>
    <t>Jumlah Dokumen Koordinasi Pelaksanaan Penataan Ruang</t>
  </si>
  <si>
    <t>Dinas Perikanan</t>
  </si>
  <si>
    <t xml:space="preserve">Penyedian Bahan Bacaan dan Peraturan Perundang - undangan </t>
  </si>
  <si>
    <t>Penyediaan Jasa Penunjang  Urusan  Pemerintah Daerah</t>
  </si>
  <si>
    <t>Penyediaan Jasa Peralatan dan Perlengkapan Kantor</t>
  </si>
  <si>
    <t>Jumlah Laporan Penyediaan Jasa Peralatan dan Perlengkapan Kantor yang  Disediakan</t>
  </si>
  <si>
    <t>Program Pengelolaaan Perikanan Tangkap</t>
  </si>
  <si>
    <t xml:space="preserve">Persentase KUB memiliki alat tangkap yang ramah lingkungan </t>
  </si>
  <si>
    <t>Pengelolaan, Penangkapan Ikan di Wlayah Sungai, Danau, Waduk, Rawa dan Genangan Air Lainnya yang dapat Diusahakan dalam 1 (satu) Daerah Kabupaten / Kota</t>
  </si>
  <si>
    <t>Jumlah Sarana dan Prasarana Usaha perikanan tangkap</t>
  </si>
  <si>
    <t>Penyediaan Prasarana Usaha Perikanan Tangkap</t>
  </si>
  <si>
    <t>Jumlah Prasarana Usaha Perikanan Tangkap yang Tersedia</t>
  </si>
  <si>
    <t>Pemberdayaan Nelayan Kecil dalam Daerah Kabupaten / Kota</t>
  </si>
  <si>
    <t>Persentase Nelayan Yang Mendapatkan Pendampingan</t>
  </si>
  <si>
    <t>Pengembangan Kapasitas Nelayan Kecil</t>
  </si>
  <si>
    <t>Jumlah Nelayan Kecil yang Meningkat Kapasitasnya</t>
  </si>
  <si>
    <t>Program Pengelolaan Perikanan Budidaya</t>
  </si>
  <si>
    <t>Persentase Luasan Budidaya yang Diintervensi</t>
  </si>
  <si>
    <t>Persentase Benih Ikan Unggul yang Disediakan</t>
  </si>
  <si>
    <t>Persentase Pengujian dan Pemeriksaan Kesehatan Ikan dan Lingkungan yang Dilaksanakan</t>
  </si>
  <si>
    <t>Persentase Pembudidaya yang memiliki kompetensi</t>
  </si>
  <si>
    <t>Pemberdayaan Pembudi Daya Ikan Kecil</t>
  </si>
  <si>
    <t>Jumlah Pembudidaya Ikan yang memiliki kompetensi</t>
  </si>
  <si>
    <t>Pengembangan Kapasitas Pembudi Daya Ikan Kecil</t>
  </si>
  <si>
    <t>Jumlah Pembudi Daya Ikan Kecil yang Mengikuti Pengembangan Kapasitas</t>
  </si>
  <si>
    <t>Pengelolaan Pembudidaya Ikan</t>
  </si>
  <si>
    <t xml:space="preserve">Jumlah Luasan Budidaya yang diintervensi </t>
  </si>
  <si>
    <t>Jumlah Benih Ikan Unggul</t>
  </si>
  <si>
    <t>ekor</t>
  </si>
  <si>
    <t>Jumlah Pengujian dan Pemeriksaan Kesehatan Ikan dan Lingkungan yang dilaksanakan (Sampel)</t>
  </si>
  <si>
    <t>Sampel</t>
  </si>
  <si>
    <t>Penyediaan Prasarana Pembudidaya Ikan dalam 1 (Satu) Daerah Kabupaten / Kota</t>
  </si>
  <si>
    <t>Jumlah Luasan Budidaya Ikan dalam 1 (Satu) Daerah Kabupaten/Kota</t>
  </si>
  <si>
    <t>Penjaminan Ketersediaan Sarana Pembudidayaan Ikan dalam 1 (satu) Daerah Kabupaten/Kota</t>
  </si>
  <si>
    <t xml:space="preserve">Jumlah Bibit Ikan Unggul </t>
  </si>
  <si>
    <t>Ekor</t>
  </si>
  <si>
    <t>Pengelolaan Kesehatan Ikan dan Lingkungan Budidaya dalam 1 (Satu) Daerah Kabupaten / Kota</t>
  </si>
  <si>
    <t>Jumlah Pengujian Kesehatan Ikan dan Lingkungan yang Teruji Melalui Pengelolaan Kesehatan Ikan</t>
  </si>
  <si>
    <t>sampel</t>
  </si>
  <si>
    <t>Program Pengawasan Sumberdaya Kelautan dan Perikanan</t>
  </si>
  <si>
    <t xml:space="preserve">Persentase  penurunan kasus pelanggaran illegal fishing </t>
  </si>
  <si>
    <t>Pengawasan Sumberdaya Perikanan di Wiilayah Sungai,Danau,Waduk,Rawa dan Genangan Air Lainnya yang dapat Diusahakan dalam 1  ( satu ) Daerah Kabupaten / Kota</t>
  </si>
  <si>
    <t>Jumlah Area Penangkapan yang di awasi</t>
  </si>
  <si>
    <t>Area</t>
  </si>
  <si>
    <t>Jumlah pengawasan yang dilaksanakan</t>
  </si>
  <si>
    <t xml:space="preserve">Terlaksananya Pengawasan Sumber Daya Perikanan </t>
  </si>
  <si>
    <t>Jumlah Pengawasan yang dilaksanakan</t>
  </si>
  <si>
    <t>area</t>
  </si>
  <si>
    <t>Pengawasan    Usaha    Perikanan    Tangkap    di Wilayah Sungai, Danau, Waduk, Rawa, dan Genangan Air Lainnya yang Dapat Diusahakan dalam Kabupaten/Kota</t>
  </si>
  <si>
    <t>Jumlah Penyediaan penanganan kasus pelanggaran ilegal fisihng</t>
  </si>
  <si>
    <t>Program Pengolahan dan Pemasaran Hasil Perikanan</t>
  </si>
  <si>
    <t>Persentase produk olahan hasil perikanan kualitas ekspor</t>
  </si>
  <si>
    <t>Penerbitan Tanda Daftar Usaha Pengolahan Hasil Perikanan Bagi Usaha Skala Mikro dan Kecil</t>
  </si>
  <si>
    <t>Jumlah unit pengolah ikan (UPI) yang memenuhi standar pengolahan ikan</t>
  </si>
  <si>
    <t>Penyediaan Data dan Informasi Usaha Pemasaran dan Pengolahan Hasil Perikanan dalam 1 (Satu) Daerah Kabupaten / Kota</t>
  </si>
  <si>
    <t>Jumlah Data dan Informasi Usaha Pemasaran dan Pengolahan Hasil Perikanan berdasarkan Skala Usaha dan Risiko</t>
  </si>
  <si>
    <t>Penyediaan dan Penyaluran Bahan Baku Industri Pengolahan Ikan dalam 1 ( Satu ) Daerah Kabupaten / Kota</t>
  </si>
  <si>
    <t xml:space="preserve">Jumlah Pengumpulan  Data dan Informasi Usaha Pemasaran dan Pengolahan Hasil Perikanan </t>
  </si>
  <si>
    <t>Kg/Perkapita/Thn</t>
  </si>
  <si>
    <t>Peningkatan Ketersediaan Ikan untuk Konsumsi dan Usaha Pengolahan dalam 1 (Satu) Daerah Kabupaten / Kota</t>
  </si>
  <si>
    <t>Jumlah   Peningkatan    Ketersediaan   Ikan   untuk
Konsumsi  dan  Usaha  Pengolahan  Dalam  1  (Satu) Daerah Kabupaten/Kota</t>
  </si>
  <si>
    <t xml:space="preserve">Pemberian Fasilitas bagi Pelaku Usaha Perikanan Skala Mikro dan Kecil dalam 1 (Satu) Daerah Kabupaten / Kota </t>
  </si>
  <si>
    <t>Jumlah   Pelaku   Usaha   Perikanan   Skala   Mikro
dan  Kecil dalam  1 (Satu)  Daerah  Kabupaten  yang  Terfasilitasi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</si>
</sst>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Rp&quot;* #,##0_-;\-&quot;Rp&quot;* #,##0_-;_-&quot;Rp&quot;* &quot;-&quot;_-;_-@_-"/>
    <numFmt numFmtId="41" formatCode="_-* #,##0_-;\-* #,##0_-;_-* &quot;-&quot;_-;_-@_-"/>
    <numFmt numFmtId="164" formatCode="_(* #,##0_);_(* \(#,##0\);_(* &quot;-&quot;_);_(@_)"/>
    <numFmt numFmtId="165" formatCode="_(* #,##0.00_);_(* \(#,##0.00\);_(* &quot;-&quot;??_);_(@_)"/>
    <numFmt numFmtId="166" formatCode="_(* #,##0_);_(* \(#,##0\);_(* &quot;-&quot;??_);_(@_)"/>
    <numFmt numFmtId="167" formatCode="0.0"/>
    <numFmt numFmtId="168" formatCode="0.000"/>
    <numFmt numFmtId="169" formatCode="_(* #,##0.00_);_(* \(#,##0.00\);_(* &quot;-&quot;??.00_);_(@_)"/>
    <numFmt numFmtId="170" formatCode="_(* #,##0.000_);_(* \(#,##0.000\);_(* &quot;-&quot;_);_(@_)"/>
    <numFmt numFmtId="171" formatCode="#,##0;[Red]#,##0"/>
    <numFmt numFmtId="172" formatCode="#,##0.0"/>
    <numFmt numFmtId="173" formatCode="_-* #,##0.00_-;\-* #,##0.00_-;_-* &quot;-&quot;_-;_-@_-"/>
    <numFmt numFmtId="174" formatCode="_(* #,##0.00_);_(* \(#,##0.00\);_(* &quot;-&quot;_);_(@_)"/>
    <numFmt numFmtId="175" formatCode="#,##0.000"/>
  </numFmts>
  <fonts count="63">
    <font>
      <sz val="11"/>
      <color theme="1"/>
      <name val="Calibri"/>
      <family val="2"/>
      <scheme val="minor"/>
    </font>
    <font>
      <sz val="11"/>
      <color theme="1"/>
      <name val="Calibri"/>
      <family val="2"/>
      <scheme val="minor"/>
    </font>
    <font>
      <b/>
      <sz val="18"/>
      <color theme="1"/>
      <name val="Arial"/>
      <family val="2"/>
    </font>
    <font>
      <sz val="11"/>
      <color theme="1"/>
      <name val="Arial"/>
      <family val="2"/>
    </font>
    <font>
      <b/>
      <sz val="14"/>
      <color theme="1"/>
      <name val="Arial"/>
      <family val="2"/>
    </font>
    <font>
      <b/>
      <sz val="12"/>
      <color theme="1"/>
      <name val="Arial"/>
      <family val="2"/>
    </font>
    <font>
      <b/>
      <i/>
      <sz val="12"/>
      <color theme="1"/>
      <name val="Arial"/>
      <family val="2"/>
    </font>
    <font>
      <sz val="12"/>
      <color theme="1"/>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b/>
      <sz val="12"/>
      <color indexed="81"/>
      <name val="Tahoma"/>
      <family val="2"/>
    </font>
    <font>
      <b/>
      <u/>
      <sz val="12"/>
      <color theme="1"/>
      <name val="Arial"/>
      <family val="2"/>
    </font>
    <font>
      <sz val="12"/>
      <color indexed="81"/>
      <name val="Tahoma"/>
      <family val="2"/>
    </font>
    <font>
      <b/>
      <sz val="11"/>
      <color theme="1"/>
      <name val="Arial"/>
      <family val="2"/>
    </font>
    <font>
      <b/>
      <sz val="9"/>
      <color indexed="81"/>
      <name val="Tahoma"/>
      <family val="2"/>
    </font>
    <font>
      <sz val="12"/>
      <name val="Arial"/>
      <family val="2"/>
    </font>
    <font>
      <b/>
      <sz val="11"/>
      <color theme="1"/>
      <name val="Calibri"/>
      <family val="2"/>
      <scheme val="minor"/>
    </font>
    <font>
      <b/>
      <sz val="12"/>
      <color theme="1"/>
      <name val="Calibri"/>
      <family val="2"/>
    </font>
    <font>
      <sz val="11"/>
      <name val="Calibri"/>
      <family val="2"/>
    </font>
    <font>
      <sz val="12"/>
      <color rgb="FF000000"/>
      <name val="Arial"/>
      <family val="2"/>
    </font>
    <font>
      <b/>
      <sz val="12"/>
      <name val="Arial"/>
      <family val="2"/>
    </font>
    <font>
      <sz val="11"/>
      <color theme="0"/>
      <name val="Arial"/>
      <family val="2"/>
    </font>
    <font>
      <sz val="12"/>
      <color theme="0"/>
      <name val="Arial"/>
      <family val="2"/>
    </font>
    <font>
      <b/>
      <sz val="12"/>
      <color rgb="FFFF0000"/>
      <name val="Arial"/>
      <family val="2"/>
    </font>
    <font>
      <sz val="9"/>
      <color indexed="81"/>
      <name val="Tahoma"/>
      <family val="2"/>
    </font>
    <font>
      <sz val="14"/>
      <color indexed="81"/>
      <name val="Tahoma"/>
      <family val="2"/>
    </font>
    <font>
      <b/>
      <sz val="12"/>
      <color rgb="FF000000"/>
      <name val="Arial"/>
      <family val="2"/>
    </font>
    <font>
      <sz val="12"/>
      <color rgb="FFFF0000"/>
      <name val="Arial"/>
      <family val="2"/>
    </font>
    <font>
      <b/>
      <sz val="10"/>
      <color theme="1"/>
      <name val="Arial"/>
      <family val="2"/>
    </font>
    <font>
      <b/>
      <sz val="14"/>
      <color indexed="81"/>
      <name val="Tahoma"/>
      <family val="2"/>
    </font>
    <font>
      <i/>
      <sz val="11"/>
      <color theme="1"/>
      <name val="Calibri Light"/>
      <family val="2"/>
      <scheme val="major"/>
    </font>
    <font>
      <b/>
      <sz val="11"/>
      <color theme="1"/>
      <name val="Calibri Light"/>
      <family val="2"/>
      <scheme val="major"/>
    </font>
    <font>
      <sz val="11"/>
      <color theme="1"/>
      <name val="Calibri Light"/>
      <family val="2"/>
      <scheme val="major"/>
    </font>
    <font>
      <b/>
      <i/>
      <sz val="11"/>
      <color theme="1"/>
      <name val="Calibri Light"/>
      <family val="2"/>
      <scheme val="major"/>
    </font>
    <font>
      <sz val="13"/>
      <color theme="1"/>
      <name val="Bookman Old Style"/>
      <family val="1"/>
    </font>
    <font>
      <sz val="12"/>
      <color theme="1"/>
      <name val="Bookman Old Style"/>
      <family val="1"/>
    </font>
    <font>
      <b/>
      <sz val="11"/>
      <color indexed="81"/>
      <name val="Tahoma"/>
      <family val="2"/>
    </font>
    <font>
      <b/>
      <sz val="12"/>
      <color theme="1"/>
      <name val="Calibri"/>
      <family val="2"/>
      <scheme val="minor"/>
    </font>
    <font>
      <sz val="10"/>
      <name val="Arial"/>
      <family val="2"/>
    </font>
    <font>
      <sz val="11"/>
      <color theme="1"/>
      <name val="Calibri"/>
      <family val="2"/>
      <charset val="1"/>
      <scheme val="minor"/>
    </font>
    <font>
      <b/>
      <sz val="14"/>
      <color theme="1"/>
      <name val="Cambria"/>
      <family val="1"/>
    </font>
    <font>
      <sz val="16"/>
      <color rgb="FFFF0000"/>
      <name val="Calibri"/>
      <family val="2"/>
      <scheme val="minor"/>
    </font>
    <font>
      <sz val="12"/>
      <color rgb="FF7030A0"/>
      <name val="Arial"/>
      <family val="2"/>
    </font>
    <font>
      <b/>
      <sz val="11"/>
      <name val="Arial"/>
      <family val="2"/>
    </font>
    <font>
      <sz val="11"/>
      <name val="Arial"/>
      <family val="2"/>
    </font>
    <font>
      <sz val="16"/>
      <color indexed="81"/>
      <name val="Tahoma"/>
      <family val="2"/>
    </font>
    <font>
      <sz val="12"/>
      <name val="Tahoma"/>
      <family val="2"/>
    </font>
    <font>
      <b/>
      <sz val="12"/>
      <color theme="1"/>
      <name val="Arial"/>
      <charset val="134"/>
    </font>
    <font>
      <sz val="11"/>
      <color theme="1"/>
      <name val="Arial"/>
      <charset val="134"/>
    </font>
    <font>
      <sz val="12"/>
      <color theme="1"/>
      <name val="Arial"/>
      <charset val="134"/>
    </font>
    <font>
      <b/>
      <sz val="11"/>
      <color theme="1"/>
      <name val="Arial"/>
      <charset val="134"/>
    </font>
    <font>
      <sz val="12"/>
      <name val="Arial"/>
      <charset val="134"/>
    </font>
    <font>
      <b/>
      <sz val="12"/>
      <color rgb="FF000000"/>
      <name val="Arial"/>
      <charset val="134"/>
    </font>
    <font>
      <sz val="12"/>
      <color rgb="FF000000"/>
      <name val="Arial"/>
      <charset val="134"/>
    </font>
    <font>
      <b/>
      <sz val="12"/>
      <name val="Tahoma"/>
      <charset val="134"/>
    </font>
    <font>
      <sz val="11"/>
      <color indexed="8"/>
      <name val="Calibri"/>
      <family val="2"/>
    </font>
    <font>
      <sz val="12"/>
      <color indexed="8"/>
      <name val="Arial"/>
      <family val="2"/>
    </font>
    <font>
      <b/>
      <sz val="12"/>
      <name val="Calibri"/>
      <family val="2"/>
    </font>
    <font>
      <b/>
      <strike/>
      <sz val="12"/>
      <color theme="1"/>
      <name val="Arial"/>
      <family val="2"/>
    </font>
    <font>
      <b/>
      <sz val="9"/>
      <color indexed="81"/>
      <name val="Tahoma"/>
      <charset val="1"/>
    </font>
    <font>
      <sz val="9"/>
      <color indexed="81"/>
      <name val="Tahoma"/>
      <charset val="1"/>
    </font>
  </fonts>
  <fills count="9">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rgb="FF00B050"/>
        <bgColor indexed="64"/>
      </patternFill>
    </fill>
    <fill>
      <patternFill patternType="solid">
        <fgColor theme="0"/>
        <bgColor indexed="64"/>
      </patternFill>
    </fill>
    <fill>
      <patternFill patternType="solid">
        <fgColor theme="9"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s>
  <cellStyleXfs count="22">
    <xf numFmtId="0" fontId="0" fillId="0" borderId="0"/>
    <xf numFmtId="165" fontId="1"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2" fontId="1" fillId="0" borderId="0" applyFont="0" applyFill="0" applyBorder="0" applyAlignment="0" applyProtection="0"/>
    <xf numFmtId="0" fontId="40" fillId="0" borderId="0"/>
    <xf numFmtId="41" fontId="41" fillId="0" borderId="0" applyFont="0" applyFill="0" applyBorder="0" applyAlignment="0" applyProtection="0"/>
    <xf numFmtId="164" fontId="40" fillId="0" borderId="0" applyFont="0" applyFill="0" applyBorder="0" applyAlignment="0" applyProtection="0"/>
    <xf numFmtId="165" fontId="41" fillId="0" borderId="0" applyFont="0" applyFill="0" applyBorder="0" applyAlignment="0" applyProtection="0"/>
    <xf numFmtId="0" fontId="1" fillId="0" borderId="0"/>
    <xf numFmtId="0" fontId="41" fillId="0" borderId="0"/>
    <xf numFmtId="0" fontId="41" fillId="0" borderId="0"/>
    <xf numFmtId="0" fontId="41" fillId="0" borderId="0"/>
    <xf numFmtId="0" fontId="41" fillId="0" borderId="0"/>
    <xf numFmtId="165" fontId="57" fillId="0" borderId="0" applyFont="0" applyFill="0" applyBorder="0" applyAlignment="0" applyProtection="0"/>
    <xf numFmtId="0" fontId="40" fillId="0" borderId="0">
      <protection locked="0"/>
    </xf>
    <xf numFmtId="9" fontId="57" fillId="0" borderId="0" applyFont="0" applyFill="0" applyBorder="0" applyAlignment="0" applyProtection="0"/>
  </cellStyleXfs>
  <cellXfs count="1215">
    <xf numFmtId="0" fontId="0" fillId="0" borderId="0" xfId="0"/>
    <xf numFmtId="0" fontId="3" fillId="0" borderId="0" xfId="0" applyFont="1"/>
    <xf numFmtId="0" fontId="3" fillId="0" borderId="0" xfId="0" applyFont="1" applyAlignment="1">
      <alignment horizontal="center"/>
    </xf>
    <xf numFmtId="0" fontId="5" fillId="2" borderId="15" xfId="0" applyFont="1" applyFill="1" applyBorder="1" applyAlignment="1">
      <alignment vertical="top" wrapText="1"/>
    </xf>
    <xf numFmtId="0" fontId="5" fillId="3" borderId="2" xfId="0" applyFont="1" applyFill="1" applyBorder="1" applyAlignment="1">
      <alignment horizontal="center"/>
    </xf>
    <xf numFmtId="0" fontId="3" fillId="3" borderId="0" xfId="0" applyFont="1" applyFill="1"/>
    <xf numFmtId="0" fontId="5" fillId="3" borderId="2" xfId="0" applyFont="1" applyFill="1" applyBorder="1" applyAlignment="1">
      <alignment horizontal="center" vertical="top" wrapText="1"/>
    </xf>
    <xf numFmtId="0" fontId="3" fillId="3" borderId="11" xfId="0" applyFont="1" applyFill="1" applyBorder="1"/>
    <xf numFmtId="0" fontId="5" fillId="3" borderId="2" xfId="0" applyFont="1" applyFill="1" applyBorder="1" applyAlignment="1">
      <alignment horizontal="center" vertical="center"/>
    </xf>
    <xf numFmtId="0" fontId="7" fillId="0" borderId="6" xfId="0" applyFont="1" applyBorder="1"/>
    <xf numFmtId="0" fontId="7" fillId="0" borderId="6" xfId="0" applyFont="1" applyBorder="1" applyAlignment="1">
      <alignment horizontal="center"/>
    </xf>
    <xf numFmtId="0" fontId="3" fillId="0" borderId="11" xfId="0" applyFont="1" applyBorder="1"/>
    <xf numFmtId="0" fontId="7" fillId="0" borderId="11" xfId="0" applyFont="1" applyBorder="1"/>
    <xf numFmtId="0" fontId="7" fillId="0" borderId="11" xfId="0" applyFont="1" applyBorder="1" applyAlignment="1">
      <alignment horizontal="center"/>
    </xf>
    <xf numFmtId="0" fontId="7" fillId="0" borderId="15" xfId="0" applyFont="1" applyBorder="1"/>
    <xf numFmtId="0" fontId="7" fillId="0" borderId="15" xfId="0" applyFont="1" applyBorder="1" applyAlignment="1">
      <alignment horizontal="center"/>
    </xf>
    <xf numFmtId="0" fontId="5" fillId="0" borderId="11" xfId="0" applyFont="1" applyBorder="1" applyAlignment="1">
      <alignment horizontal="center" vertical="top"/>
    </xf>
    <xf numFmtId="0" fontId="5" fillId="0" borderId="11" xfId="0" applyFont="1" applyBorder="1" applyAlignment="1">
      <alignment horizontal="left" vertical="top" wrapText="1"/>
    </xf>
    <xf numFmtId="0" fontId="5" fillId="0" borderId="15" xfId="0" applyFont="1" applyBorder="1" applyAlignment="1">
      <alignment horizontal="left" vertical="top" wrapText="1"/>
    </xf>
    <xf numFmtId="0" fontId="5" fillId="0" borderId="2" xfId="0" applyFont="1" applyBorder="1" applyAlignment="1">
      <alignment horizontal="left" vertical="top" wrapText="1"/>
    </xf>
    <xf numFmtId="0" fontId="7" fillId="0" borderId="2" xfId="0" applyFont="1" applyBorder="1" applyAlignment="1">
      <alignment horizontal="center" vertical="top" wrapText="1"/>
    </xf>
    <xf numFmtId="9" fontId="7" fillId="0" borderId="2" xfId="0" applyNumberFormat="1" applyFont="1" applyBorder="1" applyAlignment="1">
      <alignment horizontal="center" vertical="top"/>
    </xf>
    <xf numFmtId="166" fontId="7" fillId="0" borderId="2" xfId="1" applyNumberFormat="1" applyFont="1" applyFill="1" applyBorder="1" applyAlignment="1">
      <alignment vertical="top"/>
    </xf>
    <xf numFmtId="166" fontId="7" fillId="0" borderId="2" xfId="1" quotePrefix="1" applyNumberFormat="1" applyFont="1" applyFill="1" applyBorder="1" applyAlignment="1">
      <alignment vertical="top"/>
    </xf>
    <xf numFmtId="0" fontId="5" fillId="0" borderId="11" xfId="0" applyFont="1" applyBorder="1" applyAlignment="1">
      <alignment horizontal="center" vertical="top" wrapText="1"/>
    </xf>
    <xf numFmtId="166" fontId="7" fillId="0" borderId="0" xfId="1" quotePrefix="1" applyNumberFormat="1" applyFont="1" applyFill="1" applyBorder="1" applyAlignment="1">
      <alignment vertical="top"/>
    </xf>
    <xf numFmtId="0" fontId="7" fillId="0" borderId="15" xfId="0" applyFont="1" applyBorder="1" applyAlignment="1">
      <alignment horizontal="left" vertical="top" wrapText="1"/>
    </xf>
    <xf numFmtId="9" fontId="7" fillId="0" borderId="15" xfId="0" applyNumberFormat="1" applyFont="1" applyBorder="1" applyAlignment="1">
      <alignment horizontal="center" vertical="top"/>
    </xf>
    <xf numFmtId="166" fontId="7" fillId="0" borderId="15" xfId="1" quotePrefix="1" applyNumberFormat="1" applyFont="1" applyFill="1" applyBorder="1" applyAlignment="1">
      <alignment vertical="top"/>
    </xf>
    <xf numFmtId="0" fontId="7" fillId="0" borderId="2" xfId="0" applyFont="1" applyBorder="1" applyAlignment="1">
      <alignment horizontal="left" vertical="top" wrapText="1"/>
    </xf>
    <xf numFmtId="0" fontId="7" fillId="0" borderId="11" xfId="0" applyFont="1" applyBorder="1" applyAlignment="1">
      <alignment horizontal="center" vertical="top" wrapText="1"/>
    </xf>
    <xf numFmtId="0" fontId="7" fillId="4" borderId="2" xfId="0" applyFont="1" applyFill="1" applyBorder="1" applyAlignment="1">
      <alignment horizontal="left"/>
    </xf>
    <xf numFmtId="0" fontId="3" fillId="0" borderId="15" xfId="0" applyFont="1" applyBorder="1"/>
    <xf numFmtId="0" fontId="7" fillId="0" borderId="0" xfId="0" applyFont="1"/>
    <xf numFmtId="0" fontId="7" fillId="0" borderId="0" xfId="0" applyFont="1" applyAlignment="1">
      <alignment horizontal="center"/>
    </xf>
    <xf numFmtId="0" fontId="7" fillId="0" borderId="2" xfId="0" applyFont="1" applyBorder="1" applyAlignment="1">
      <alignment horizontal="center" vertical="top"/>
    </xf>
    <xf numFmtId="0" fontId="9" fillId="5" borderId="16" xfId="3" applyFont="1" applyFill="1" applyBorder="1" applyAlignment="1">
      <alignment horizontal="center" vertical="center" wrapText="1"/>
    </xf>
    <xf numFmtId="0" fontId="9" fillId="0" borderId="16" xfId="3" applyFont="1" applyBorder="1" applyAlignment="1">
      <alignment horizontal="center" vertical="center" wrapText="1"/>
    </xf>
    <xf numFmtId="0" fontId="11" fillId="0" borderId="16" xfId="3" applyFont="1" applyBorder="1" applyAlignment="1">
      <alignment horizontal="center" vertical="center" wrapText="1"/>
    </xf>
    <xf numFmtId="0" fontId="5" fillId="0" borderId="0" xfId="0" applyFont="1"/>
    <xf numFmtId="164" fontId="7" fillId="0" borderId="2" xfId="0" applyNumberFormat="1" applyFont="1" applyBorder="1" applyAlignment="1">
      <alignment vertical="top"/>
    </xf>
    <xf numFmtId="166" fontId="5" fillId="0" borderId="15" xfId="1" quotePrefix="1" applyNumberFormat="1" applyFont="1" applyFill="1" applyBorder="1" applyAlignment="1">
      <alignment vertical="top"/>
    </xf>
    <xf numFmtId="166" fontId="5" fillId="0" borderId="2" xfId="1" quotePrefix="1" applyNumberFormat="1" applyFont="1" applyFill="1" applyBorder="1" applyAlignment="1">
      <alignment vertical="top"/>
    </xf>
    <xf numFmtId="1" fontId="7" fillId="0" borderId="15" xfId="0" applyNumberFormat="1" applyFont="1" applyBorder="1" applyAlignment="1">
      <alignment horizontal="center" vertical="top" wrapText="1"/>
    </xf>
    <xf numFmtId="1" fontId="7" fillId="0" borderId="2" xfId="0" applyNumberFormat="1" applyFont="1" applyBorder="1" applyAlignment="1">
      <alignment horizontal="center" vertical="top" wrapText="1"/>
    </xf>
    <xf numFmtId="0" fontId="5" fillId="0" borderId="2" xfId="0" applyFont="1" applyBorder="1" applyAlignment="1">
      <alignment horizontal="center" vertical="top" wrapText="1"/>
    </xf>
    <xf numFmtId="9" fontId="5" fillId="0" borderId="2" xfId="0" applyNumberFormat="1" applyFont="1" applyBorder="1" applyAlignment="1">
      <alignment horizontal="center" vertical="top"/>
    </xf>
    <xf numFmtId="9" fontId="7" fillId="0" borderId="2" xfId="0" applyNumberFormat="1" applyFont="1" applyBorder="1" applyAlignment="1">
      <alignment horizontal="center" vertical="top" wrapText="1"/>
    </xf>
    <xf numFmtId="0" fontId="5" fillId="0" borderId="6" xfId="0" applyFont="1" applyBorder="1" applyAlignment="1">
      <alignment horizontal="center" vertical="top"/>
    </xf>
    <xf numFmtId="0" fontId="5" fillId="0" borderId="6" xfId="0" applyFont="1" applyBorder="1" applyAlignment="1">
      <alignment horizontal="left" vertical="top" wrapText="1"/>
    </xf>
    <xf numFmtId="164" fontId="7" fillId="0" borderId="2" xfId="2" applyFont="1" applyFill="1" applyBorder="1" applyAlignment="1">
      <alignment vertical="top"/>
    </xf>
    <xf numFmtId="166" fontId="7" fillId="0" borderId="2" xfId="0" applyNumberFormat="1" applyFont="1" applyBorder="1" applyAlignment="1">
      <alignment vertical="top"/>
    </xf>
    <xf numFmtId="166" fontId="5" fillId="0" borderId="6" xfId="1" quotePrefix="1" applyNumberFormat="1" applyFont="1" applyFill="1" applyBorder="1" applyAlignment="1">
      <alignment vertical="top"/>
    </xf>
    <xf numFmtId="2" fontId="7" fillId="0" borderId="2" xfId="0" applyNumberFormat="1" applyFont="1" applyBorder="1" applyAlignment="1">
      <alignment horizontal="center" vertical="top"/>
    </xf>
    <xf numFmtId="1" fontId="7" fillId="0" borderId="2" xfId="0" applyNumberFormat="1" applyFont="1" applyBorder="1" applyAlignment="1">
      <alignment horizontal="center" vertical="top"/>
    </xf>
    <xf numFmtId="1" fontId="5" fillId="0" borderId="2" xfId="0" applyNumberFormat="1" applyFont="1" applyBorder="1" applyAlignment="1">
      <alignment horizontal="center" vertical="top"/>
    </xf>
    <xf numFmtId="164" fontId="5" fillId="0" borderId="6" xfId="0" applyNumberFormat="1" applyFont="1" applyBorder="1" applyAlignment="1">
      <alignment vertical="top"/>
    </xf>
    <xf numFmtId="2" fontId="5" fillId="0" borderId="2" xfId="0" applyNumberFormat="1" applyFont="1" applyBorder="1" applyAlignment="1">
      <alignment horizontal="center" vertical="top"/>
    </xf>
    <xf numFmtId="0" fontId="5" fillId="0" borderId="2" xfId="0" applyFont="1" applyBorder="1" applyAlignment="1">
      <alignment horizontal="center" vertical="top"/>
    </xf>
    <xf numFmtId="164" fontId="5" fillId="0" borderId="2" xfId="0" applyNumberFormat="1" applyFont="1" applyBorder="1" applyAlignment="1">
      <alignment vertical="top"/>
    </xf>
    <xf numFmtId="2" fontId="5" fillId="0" borderId="6" xfId="0" applyNumberFormat="1" applyFont="1" applyBorder="1" applyAlignment="1">
      <alignment horizontal="center" vertical="top"/>
    </xf>
    <xf numFmtId="0" fontId="7" fillId="0" borderId="6" xfId="0" applyFont="1" applyBorder="1" applyAlignment="1">
      <alignment horizontal="left" vertical="top" wrapText="1"/>
    </xf>
    <xf numFmtId="166" fontId="7" fillId="0" borderId="6" xfId="1" quotePrefix="1" applyNumberFormat="1" applyFont="1" applyFill="1" applyBorder="1" applyAlignment="1">
      <alignment vertical="top"/>
    </xf>
    <xf numFmtId="0" fontId="3" fillId="3" borderId="15" xfId="0" applyFont="1" applyFill="1" applyBorder="1"/>
    <xf numFmtId="2" fontId="7" fillId="4" borderId="14" xfId="0" applyNumberFormat="1" applyFont="1" applyFill="1" applyBorder="1" applyAlignment="1">
      <alignment horizontal="right"/>
    </xf>
    <xf numFmtId="0" fontId="7" fillId="4" borderId="14" xfId="0" applyFont="1" applyFill="1" applyBorder="1"/>
    <xf numFmtId="0" fontId="7" fillId="4" borderId="13" xfId="0" applyFont="1" applyFill="1" applyBorder="1" applyAlignment="1">
      <alignment horizontal="center"/>
    </xf>
    <xf numFmtId="2" fontId="7" fillId="4" borderId="13" xfId="0" applyNumberFormat="1" applyFont="1" applyFill="1" applyBorder="1" applyAlignment="1">
      <alignment horizontal="right"/>
    </xf>
    <xf numFmtId="0" fontId="7" fillId="4" borderId="13" xfId="0" applyFont="1" applyFill="1" applyBorder="1"/>
    <xf numFmtId="0" fontId="7" fillId="4" borderId="13" xfId="0" applyFont="1" applyFill="1" applyBorder="1" applyAlignment="1">
      <alignment horizontal="left"/>
    </xf>
    <xf numFmtId="0" fontId="7" fillId="4" borderId="12" xfId="0" applyFont="1" applyFill="1" applyBorder="1" applyAlignment="1">
      <alignment horizontal="center"/>
    </xf>
    <xf numFmtId="2" fontId="7" fillId="4" borderId="2" xfId="0" applyNumberFormat="1" applyFont="1" applyFill="1" applyBorder="1" applyAlignment="1">
      <alignment horizontal="center" vertical="center"/>
    </xf>
    <xf numFmtId="0" fontId="7" fillId="0" borderId="11" xfId="0" applyFont="1" applyBorder="1" applyAlignment="1">
      <alignment horizontal="center" vertical="top"/>
    </xf>
    <xf numFmtId="0" fontId="7" fillId="0" borderId="11" xfId="0" applyFont="1" applyBorder="1" applyAlignment="1">
      <alignment horizontal="left" vertical="top" wrapText="1"/>
    </xf>
    <xf numFmtId="1" fontId="5" fillId="0" borderId="15" xfId="0" applyNumberFormat="1" applyFont="1" applyBorder="1" applyAlignment="1">
      <alignment horizontal="center" vertical="top" wrapText="1"/>
    </xf>
    <xf numFmtId="9" fontId="5" fillId="0" borderId="15" xfId="0" applyNumberFormat="1" applyFont="1" applyBorder="1" applyAlignment="1">
      <alignment horizontal="center" vertical="top"/>
    </xf>
    <xf numFmtId="9" fontId="5" fillId="0" borderId="2" xfId="0" applyNumberFormat="1" applyFont="1" applyBorder="1" applyAlignment="1">
      <alignment horizontal="center" vertical="top" wrapText="1"/>
    </xf>
    <xf numFmtId="0" fontId="15" fillId="0" borderId="11" xfId="0" applyFont="1" applyBorder="1"/>
    <xf numFmtId="0" fontId="15" fillId="0" borderId="0" xfId="0" applyFont="1"/>
    <xf numFmtId="166" fontId="5" fillId="0" borderId="0" xfId="1" quotePrefix="1" applyNumberFormat="1" applyFont="1" applyFill="1" applyBorder="1" applyAlignment="1">
      <alignment vertical="top"/>
    </xf>
    <xf numFmtId="164" fontId="7" fillId="0" borderId="6" xfId="0" applyNumberFormat="1" applyFont="1" applyBorder="1" applyAlignment="1">
      <alignment vertical="top"/>
    </xf>
    <xf numFmtId="164" fontId="7" fillId="0" borderId="15" xfId="2" applyFont="1" applyFill="1" applyBorder="1" applyAlignment="1">
      <alignment vertical="top"/>
    </xf>
    <xf numFmtId="166" fontId="7" fillId="0" borderId="15" xfId="1" applyNumberFormat="1" applyFont="1" applyFill="1" applyBorder="1" applyAlignment="1">
      <alignment vertical="top"/>
    </xf>
    <xf numFmtId="1" fontId="7" fillId="0" borderId="15" xfId="0" applyNumberFormat="1" applyFont="1" applyBorder="1" applyAlignment="1">
      <alignment horizontal="center" vertical="top"/>
    </xf>
    <xf numFmtId="0" fontId="7" fillId="0" borderId="15" xfId="0" applyFont="1" applyBorder="1" applyAlignment="1">
      <alignment horizontal="center" vertical="top"/>
    </xf>
    <xf numFmtId="164" fontId="7" fillId="0" borderId="15" xfId="0" applyNumberFormat="1" applyFont="1" applyBorder="1" applyAlignment="1">
      <alignment vertical="top"/>
    </xf>
    <xf numFmtId="2" fontId="7" fillId="0" borderId="15" xfId="0" applyNumberFormat="1" applyFont="1" applyBorder="1" applyAlignment="1">
      <alignment horizontal="center" vertical="top"/>
    </xf>
    <xf numFmtId="3" fontId="7" fillId="0" borderId="15" xfId="0" applyNumberFormat="1" applyFont="1" applyBorder="1" applyAlignment="1">
      <alignment horizontal="center" vertical="top" wrapText="1"/>
    </xf>
    <xf numFmtId="0" fontId="5" fillId="0" borderId="7" xfId="0" applyFont="1" applyBorder="1" applyAlignment="1">
      <alignment horizontal="left" vertical="top" wrapText="1"/>
    </xf>
    <xf numFmtId="9" fontId="7" fillId="0" borderId="12" xfId="0" applyNumberFormat="1" applyFont="1" applyBorder="1" applyAlignment="1">
      <alignment horizontal="center" vertical="top"/>
    </xf>
    <xf numFmtId="0" fontId="5" fillId="0" borderId="14" xfId="0" applyFont="1" applyBorder="1" applyAlignment="1">
      <alignment horizontal="left" vertical="top" wrapText="1"/>
    </xf>
    <xf numFmtId="0" fontId="7" fillId="0" borderId="14" xfId="0" applyFont="1" applyBorder="1" applyAlignment="1">
      <alignment horizontal="center" vertical="top" wrapText="1"/>
    </xf>
    <xf numFmtId="0" fontId="5" fillId="0" borderId="14" xfId="0" applyFont="1" applyBorder="1" applyAlignment="1">
      <alignment horizontal="center" vertical="top" wrapText="1"/>
    </xf>
    <xf numFmtId="2" fontId="7" fillId="0" borderId="14" xfId="0" applyNumberFormat="1" applyFont="1" applyBorder="1" applyAlignment="1">
      <alignment horizontal="center" vertical="top"/>
    </xf>
    <xf numFmtId="164" fontId="5" fillId="0" borderId="15" xfId="0" applyNumberFormat="1" applyFont="1" applyBorder="1" applyAlignment="1">
      <alignment vertical="top"/>
    </xf>
    <xf numFmtId="164" fontId="7" fillId="0" borderId="11" xfId="2" applyFont="1" applyFill="1" applyBorder="1" applyAlignment="1">
      <alignment vertical="top"/>
    </xf>
    <xf numFmtId="166" fontId="7" fillId="0" borderId="11" xfId="1" applyNumberFormat="1" applyFont="1" applyFill="1" applyBorder="1" applyAlignment="1">
      <alignment vertical="top"/>
    </xf>
    <xf numFmtId="166" fontId="5" fillId="0" borderId="11" xfId="1" quotePrefix="1" applyNumberFormat="1" applyFont="1" applyFill="1" applyBorder="1" applyAlignment="1">
      <alignment vertical="top"/>
    </xf>
    <xf numFmtId="164" fontId="7" fillId="0" borderId="11" xfId="0" applyNumberFormat="1" applyFont="1" applyBorder="1" applyAlignment="1">
      <alignment vertical="top"/>
    </xf>
    <xf numFmtId="0" fontId="5" fillId="0" borderId="12" xfId="0" applyFont="1" applyBorder="1" applyAlignment="1">
      <alignment horizontal="center" vertical="top"/>
    </xf>
    <xf numFmtId="2" fontId="5" fillId="0" borderId="14" xfId="0" applyNumberFormat="1" applyFont="1" applyBorder="1" applyAlignment="1">
      <alignment horizontal="center" vertical="top"/>
    </xf>
    <xf numFmtId="2" fontId="7" fillId="0" borderId="11" xfId="0" applyNumberFormat="1" applyFont="1" applyBorder="1" applyAlignment="1">
      <alignment horizontal="center" vertical="top"/>
    </xf>
    <xf numFmtId="1" fontId="7" fillId="0" borderId="2" xfId="2" applyNumberFormat="1" applyFont="1" applyFill="1" applyBorder="1" applyAlignment="1">
      <alignment horizontal="center" vertical="top"/>
    </xf>
    <xf numFmtId="1" fontId="5" fillId="0" borderId="2" xfId="2" applyNumberFormat="1" applyFont="1" applyFill="1" applyBorder="1" applyAlignment="1">
      <alignment horizontal="center" vertical="top"/>
    </xf>
    <xf numFmtId="3" fontId="7" fillId="0" borderId="2" xfId="0" applyNumberFormat="1" applyFont="1" applyBorder="1" applyAlignment="1">
      <alignment horizontal="center" vertical="top" wrapText="1"/>
    </xf>
    <xf numFmtId="3" fontId="7" fillId="0" borderId="2" xfId="2" applyNumberFormat="1" applyFont="1" applyFill="1" applyBorder="1" applyAlignment="1">
      <alignment horizontal="center" vertical="top" wrapText="1"/>
    </xf>
    <xf numFmtId="3" fontId="7" fillId="0" borderId="2" xfId="0" applyNumberFormat="1" applyFont="1" applyBorder="1" applyAlignment="1">
      <alignment horizontal="center" vertical="top"/>
    </xf>
    <xf numFmtId="2" fontId="5" fillId="0" borderId="2" xfId="0" applyNumberFormat="1" applyFont="1" applyBorder="1" applyAlignment="1">
      <alignment horizontal="center" vertical="top" wrapText="1"/>
    </xf>
    <xf numFmtId="1" fontId="5" fillId="0" borderId="2" xfId="0" applyNumberFormat="1" applyFont="1" applyBorder="1" applyAlignment="1">
      <alignment horizontal="center" vertical="top" wrapText="1"/>
    </xf>
    <xf numFmtId="0" fontId="5" fillId="3" borderId="12" xfId="0" applyFont="1" applyFill="1" applyBorder="1" applyAlignment="1">
      <alignment horizontal="center" vertical="top" wrapText="1"/>
    </xf>
    <xf numFmtId="0" fontId="5" fillId="3" borderId="9" xfId="0" applyFont="1" applyFill="1" applyBorder="1" applyAlignment="1">
      <alignment horizontal="center" vertical="center"/>
    </xf>
    <xf numFmtId="2" fontId="5" fillId="0" borderId="14" xfId="0" applyNumberFormat="1" applyFont="1" applyBorder="1" applyAlignment="1">
      <alignment horizontal="center" vertical="top" wrapText="1"/>
    </xf>
    <xf numFmtId="0" fontId="5" fillId="6" borderId="2" xfId="0" applyFont="1" applyFill="1" applyBorder="1" applyAlignment="1">
      <alignment horizontal="left" vertical="top" wrapText="1"/>
    </xf>
    <xf numFmtId="0" fontId="7" fillId="6" borderId="2" xfId="0" applyFont="1" applyFill="1" applyBorder="1" applyAlignment="1">
      <alignment horizontal="left" vertical="top" wrapText="1"/>
    </xf>
    <xf numFmtId="0" fontId="7" fillId="6" borderId="15" xfId="0" applyFont="1" applyFill="1" applyBorder="1" applyAlignment="1">
      <alignment horizontal="left" vertical="top" wrapText="1"/>
    </xf>
    <xf numFmtId="0" fontId="5" fillId="6" borderId="15" xfId="0" applyFont="1" applyFill="1" applyBorder="1" applyAlignment="1">
      <alignment horizontal="left" vertical="top" wrapText="1"/>
    </xf>
    <xf numFmtId="0" fontId="7" fillId="6" borderId="11" xfId="0" applyFont="1" applyFill="1" applyBorder="1" applyAlignment="1">
      <alignment horizontal="left" vertical="top" wrapText="1"/>
    </xf>
    <xf numFmtId="0" fontId="17" fillId="6" borderId="2" xfId="0" applyFont="1" applyFill="1" applyBorder="1" applyAlignment="1">
      <alignment vertical="top" wrapText="1"/>
    </xf>
    <xf numFmtId="0" fontId="7" fillId="0" borderId="15" xfId="0" applyFont="1" applyBorder="1" applyAlignment="1">
      <alignment horizontal="center" vertical="top" wrapText="1"/>
    </xf>
    <xf numFmtId="1" fontId="5" fillId="0" borderId="6" xfId="0" applyNumberFormat="1" applyFont="1" applyBorder="1" applyAlignment="1">
      <alignment horizontal="center" vertical="top" wrapText="1"/>
    </xf>
    <xf numFmtId="166" fontId="0" fillId="0" borderId="17" xfId="1" applyNumberFormat="1" applyFont="1" applyFill="1" applyBorder="1" applyAlignment="1">
      <alignment horizontal="center" vertical="center"/>
    </xf>
    <xf numFmtId="1" fontId="5" fillId="0" borderId="14" xfId="0" applyNumberFormat="1" applyFont="1" applyBorder="1" applyAlignment="1">
      <alignment horizontal="center" vertical="top" wrapText="1"/>
    </xf>
    <xf numFmtId="166" fontId="7" fillId="0" borderId="11" xfId="1" quotePrefix="1" applyNumberFormat="1" applyFont="1" applyFill="1" applyBorder="1" applyAlignment="1">
      <alignment vertical="top"/>
    </xf>
    <xf numFmtId="166" fontId="0" fillId="0" borderId="17" xfId="1" applyNumberFormat="1" applyFont="1" applyFill="1" applyBorder="1" applyAlignment="1">
      <alignment horizontal="center" vertical="top"/>
    </xf>
    <xf numFmtId="0" fontId="13" fillId="0" borderId="0" xfId="0" applyFont="1" applyAlignment="1">
      <alignment horizontal="center"/>
    </xf>
    <xf numFmtId="0" fontId="7" fillId="0" borderId="0" xfId="0" applyFont="1" applyAlignment="1">
      <alignment horizontal="center" vertical="top"/>
    </xf>
    <xf numFmtId="0" fontId="7" fillId="0" borderId="6" xfId="0" applyFont="1" applyBorder="1" applyAlignment="1">
      <alignment horizontal="center" vertical="top" wrapText="1"/>
    </xf>
    <xf numFmtId="167" fontId="7" fillId="0" borderId="2" xfId="0" applyNumberFormat="1" applyFont="1" applyBorder="1" applyAlignment="1">
      <alignment horizontal="center" vertical="top"/>
    </xf>
    <xf numFmtId="2" fontId="5" fillId="0" borderId="2" xfId="2" applyNumberFormat="1" applyFont="1" applyFill="1" applyBorder="1" applyAlignment="1">
      <alignment horizontal="center" vertical="top"/>
    </xf>
    <xf numFmtId="166" fontId="5" fillId="0" borderId="15" xfId="6" quotePrefix="1" applyNumberFormat="1" applyFont="1" applyFill="1" applyBorder="1" applyAlignment="1">
      <alignment vertical="top"/>
    </xf>
    <xf numFmtId="166" fontId="5" fillId="0" borderId="15" xfId="8" quotePrefix="1" applyNumberFormat="1" applyFont="1" applyFill="1" applyBorder="1" applyAlignment="1">
      <alignment vertical="top"/>
    </xf>
    <xf numFmtId="0" fontId="5" fillId="0" borderId="18" xfId="0" applyFont="1" applyBorder="1" applyAlignment="1">
      <alignment horizontal="center" vertical="top"/>
    </xf>
    <xf numFmtId="0" fontId="5" fillId="0" borderId="16" xfId="0" applyFont="1" applyBorder="1" applyAlignment="1">
      <alignment horizontal="left" vertical="top" wrapText="1"/>
    </xf>
    <xf numFmtId="0" fontId="5" fillId="0" borderId="18" xfId="0" applyFont="1" applyBorder="1" applyAlignment="1">
      <alignment horizontal="left" vertical="top" wrapText="1"/>
    </xf>
    <xf numFmtId="1" fontId="19" fillId="0" borderId="16" xfId="0" applyNumberFormat="1" applyFont="1" applyBorder="1" applyAlignment="1">
      <alignment horizontal="center" vertical="top" wrapText="1"/>
    </xf>
    <xf numFmtId="9" fontId="5" fillId="0" borderId="16" xfId="0" applyNumberFormat="1" applyFont="1" applyBorder="1" applyAlignment="1">
      <alignment horizontal="center" vertical="top"/>
    </xf>
    <xf numFmtId="166" fontId="5" fillId="0" borderId="18" xfId="0" applyNumberFormat="1" applyFont="1" applyBorder="1" applyAlignment="1">
      <alignment vertical="top"/>
    </xf>
    <xf numFmtId="0" fontId="5" fillId="0" borderId="16" xfId="0" applyFont="1" applyBorder="1" applyAlignment="1">
      <alignment horizontal="center" vertical="top" wrapText="1"/>
    </xf>
    <xf numFmtId="1" fontId="5" fillId="0" borderId="18" xfId="0" applyNumberFormat="1" applyFont="1" applyBorder="1" applyAlignment="1">
      <alignment horizontal="center" vertical="top"/>
    </xf>
    <xf numFmtId="0" fontId="5" fillId="0" borderId="16" xfId="0" applyFont="1" applyBorder="1" applyAlignment="1">
      <alignment horizontal="center" vertical="top"/>
    </xf>
    <xf numFmtId="3" fontId="5" fillId="0" borderId="18" xfId="0" applyNumberFormat="1" applyFont="1" applyBorder="1" applyAlignment="1">
      <alignment vertical="top"/>
    </xf>
    <xf numFmtId="165" fontId="5" fillId="0" borderId="18" xfId="0" applyNumberFormat="1" applyFont="1" applyBorder="1" applyAlignment="1">
      <alignment horizontal="center" vertical="top"/>
    </xf>
    <xf numFmtId="1" fontId="7" fillId="0" borderId="16" xfId="0" applyNumberFormat="1" applyFont="1" applyBorder="1" applyAlignment="1">
      <alignment horizontal="center" vertical="top"/>
    </xf>
    <xf numFmtId="0" fontId="7" fillId="0" borderId="16" xfId="0" applyFont="1" applyBorder="1" applyAlignment="1">
      <alignment horizontal="center" vertical="top"/>
    </xf>
    <xf numFmtId="0" fontId="5" fillId="0" borderId="19" xfId="0" applyFont="1" applyBorder="1" applyAlignment="1">
      <alignment horizontal="center" vertical="top" wrapText="1"/>
    </xf>
    <xf numFmtId="166" fontId="5" fillId="0" borderId="0" xfId="0" applyNumberFormat="1" applyFont="1" applyAlignment="1">
      <alignment vertical="top"/>
    </xf>
    <xf numFmtId="1" fontId="5" fillId="0" borderId="16" xfId="0" applyNumberFormat="1" applyFont="1" applyBorder="1" applyAlignment="1">
      <alignment horizontal="center" vertical="top" wrapText="1"/>
    </xf>
    <xf numFmtId="0" fontId="5" fillId="0" borderId="19" xfId="0" applyFont="1" applyBorder="1" applyAlignment="1">
      <alignment horizontal="left" vertical="top" wrapText="1"/>
    </xf>
    <xf numFmtId="2" fontId="5" fillId="0" borderId="16" xfId="0" applyNumberFormat="1" applyFont="1" applyBorder="1" applyAlignment="1">
      <alignment horizontal="center" vertical="top"/>
    </xf>
    <xf numFmtId="167" fontId="7" fillId="0" borderId="16" xfId="0" applyNumberFormat="1" applyFont="1" applyBorder="1" applyAlignment="1">
      <alignment horizontal="center" vertical="top"/>
    </xf>
    <xf numFmtId="0" fontId="15" fillId="0" borderId="19" xfId="0" applyFont="1" applyBorder="1"/>
    <xf numFmtId="0" fontId="5" fillId="0" borderId="19" xfId="0" applyFont="1" applyBorder="1" applyAlignment="1">
      <alignment horizontal="center" vertical="top"/>
    </xf>
    <xf numFmtId="0" fontId="5" fillId="0" borderId="20" xfId="0" applyFont="1" applyBorder="1" applyAlignment="1">
      <alignment horizontal="left" vertical="top" wrapText="1"/>
    </xf>
    <xf numFmtId="0" fontId="7" fillId="0" borderId="20" xfId="0" applyFont="1" applyBorder="1" applyAlignment="1">
      <alignment horizontal="left" vertical="top" wrapText="1"/>
    </xf>
    <xf numFmtId="0" fontId="7" fillId="0" borderId="16" xfId="0" applyFont="1" applyBorder="1" applyAlignment="1">
      <alignment horizontal="left" vertical="top" wrapText="1"/>
    </xf>
    <xf numFmtId="1" fontId="7" fillId="0" borderId="16" xfId="0" applyNumberFormat="1" applyFont="1" applyBorder="1" applyAlignment="1">
      <alignment horizontal="center" vertical="top" wrapText="1"/>
    </xf>
    <xf numFmtId="9" fontId="7" fillId="0" borderId="16" xfId="0" applyNumberFormat="1" applyFont="1" applyBorder="1" applyAlignment="1">
      <alignment horizontal="center" vertical="top"/>
    </xf>
    <xf numFmtId="166" fontId="7" fillId="0" borderId="16" xfId="0" applyNumberFormat="1" applyFont="1" applyBorder="1" applyAlignment="1">
      <alignment vertical="top"/>
    </xf>
    <xf numFmtId="0" fontId="7" fillId="0" borderId="16" xfId="0" applyFont="1" applyBorder="1" applyAlignment="1">
      <alignment horizontal="center" vertical="top" wrapText="1"/>
    </xf>
    <xf numFmtId="3" fontId="7" fillId="0" borderId="16" xfId="0" applyNumberFormat="1" applyFont="1" applyBorder="1" applyAlignment="1">
      <alignment vertical="top"/>
    </xf>
    <xf numFmtId="166" fontId="7" fillId="0" borderId="16" xfId="0" applyNumberFormat="1" applyFont="1" applyBorder="1" applyAlignment="1">
      <alignment horizontal="center" vertical="top"/>
    </xf>
    <xf numFmtId="165" fontId="7" fillId="0" borderId="16" xfId="0" applyNumberFormat="1" applyFont="1" applyBorder="1" applyAlignment="1">
      <alignment horizontal="center" vertical="top"/>
    </xf>
    <xf numFmtId="0" fontId="3" fillId="0" borderId="19" xfId="0" applyFont="1" applyBorder="1"/>
    <xf numFmtId="166" fontId="7" fillId="0" borderId="0" xfId="0" applyNumberFormat="1" applyFont="1" applyAlignment="1">
      <alignment vertical="top"/>
    </xf>
    <xf numFmtId="2" fontId="7" fillId="0" borderId="16" xfId="0" applyNumberFormat="1" applyFont="1" applyBorder="1" applyAlignment="1">
      <alignment horizontal="center" vertical="top"/>
    </xf>
    <xf numFmtId="0" fontId="5" fillId="0" borderId="18" xfId="0" applyFont="1" applyBorder="1" applyAlignment="1">
      <alignment horizontal="center" vertical="top" wrapText="1"/>
    </xf>
    <xf numFmtId="1" fontId="5" fillId="0" borderId="20" xfId="0" applyNumberFormat="1" applyFont="1" applyBorder="1" applyAlignment="1">
      <alignment horizontal="center" vertical="top" wrapText="1"/>
    </xf>
    <xf numFmtId="9" fontId="5" fillId="0" borderId="20" xfId="0" applyNumberFormat="1" applyFont="1" applyBorder="1" applyAlignment="1">
      <alignment horizontal="center" vertical="top"/>
    </xf>
    <xf numFmtId="2" fontId="5" fillId="0" borderId="18" xfId="0" applyNumberFormat="1" applyFont="1" applyBorder="1" applyAlignment="1">
      <alignment horizontal="center" vertical="top"/>
    </xf>
    <xf numFmtId="1" fontId="5" fillId="0" borderId="16" xfId="0" applyNumberFormat="1" applyFont="1" applyBorder="1" applyAlignment="1">
      <alignment horizontal="center" vertical="top"/>
    </xf>
    <xf numFmtId="0" fontId="5" fillId="0" borderId="20" xfId="0" applyFont="1" applyBorder="1" applyAlignment="1">
      <alignment horizontal="center" vertical="top" wrapText="1"/>
    </xf>
    <xf numFmtId="166" fontId="5" fillId="0" borderId="16" xfId="0" applyNumberFormat="1" applyFont="1" applyBorder="1" applyAlignment="1">
      <alignment vertical="top"/>
    </xf>
    <xf numFmtId="169" fontId="5" fillId="0" borderId="16" xfId="0" applyNumberFormat="1" applyFont="1" applyBorder="1" applyAlignment="1">
      <alignment vertical="top"/>
    </xf>
    <xf numFmtId="2" fontId="5" fillId="0" borderId="20" xfId="0" applyNumberFormat="1" applyFont="1" applyBorder="1" applyAlignment="1">
      <alignment horizontal="center" vertical="top" wrapText="1"/>
    </xf>
    <xf numFmtId="167" fontId="5" fillId="0" borderId="20" xfId="0" applyNumberFormat="1" applyFont="1" applyBorder="1" applyAlignment="1">
      <alignment horizontal="center" vertical="top" wrapText="1"/>
    </xf>
    <xf numFmtId="166" fontId="7" fillId="0" borderId="20" xfId="0" applyNumberFormat="1" applyFont="1" applyBorder="1" applyAlignment="1">
      <alignment vertical="top"/>
    </xf>
    <xf numFmtId="165" fontId="5" fillId="0" borderId="16" xfId="0" applyNumberFormat="1" applyFont="1" applyBorder="1" applyAlignment="1">
      <alignment vertical="top"/>
    </xf>
    <xf numFmtId="0" fontId="7" fillId="0" borderId="16" xfId="0" applyFont="1" applyBorder="1" applyAlignment="1">
      <alignment vertical="top" wrapText="1"/>
    </xf>
    <xf numFmtId="3" fontId="7" fillId="0" borderId="18" xfId="0" applyNumberFormat="1" applyFont="1" applyBorder="1" applyAlignment="1">
      <alignment vertical="top"/>
    </xf>
    <xf numFmtId="2" fontId="7" fillId="0" borderId="18" xfId="0" applyNumberFormat="1" applyFont="1" applyBorder="1" applyAlignment="1">
      <alignment horizontal="center" vertical="top"/>
    </xf>
    <xf numFmtId="0" fontId="7" fillId="0" borderId="18" xfId="0" applyFont="1" applyBorder="1" applyAlignment="1">
      <alignment horizontal="center" vertical="top"/>
    </xf>
    <xf numFmtId="3" fontId="5" fillId="0" borderId="16" xfId="0" applyNumberFormat="1" applyFont="1" applyBorder="1" applyAlignment="1">
      <alignment vertical="top"/>
    </xf>
    <xf numFmtId="9" fontId="7" fillId="0" borderId="16" xfId="0" applyNumberFormat="1" applyFont="1" applyBorder="1" applyAlignment="1">
      <alignment horizontal="center" vertical="top" wrapText="1"/>
    </xf>
    <xf numFmtId="166" fontId="21" fillId="0" borderId="16" xfId="0" applyNumberFormat="1" applyFont="1" applyBorder="1" applyAlignment="1">
      <alignment vertical="top"/>
    </xf>
    <xf numFmtId="2" fontId="5" fillId="0" borderId="16" xfId="0" applyNumberFormat="1" applyFont="1" applyBorder="1" applyAlignment="1">
      <alignment horizontal="center" vertical="top" wrapText="1"/>
    </xf>
    <xf numFmtId="164" fontId="5" fillId="0" borderId="19" xfId="0" applyNumberFormat="1" applyFont="1" applyBorder="1" applyAlignment="1">
      <alignment vertical="top"/>
    </xf>
    <xf numFmtId="165" fontId="5" fillId="0" borderId="19" xfId="0" applyNumberFormat="1" applyFont="1" applyBorder="1" applyAlignment="1">
      <alignment vertical="top"/>
    </xf>
    <xf numFmtId="166" fontId="5" fillId="0" borderId="19" xfId="0" applyNumberFormat="1" applyFont="1" applyBorder="1" applyAlignment="1">
      <alignment vertical="top"/>
    </xf>
    <xf numFmtId="3" fontId="5" fillId="0" borderId="19" xfId="0" applyNumberFormat="1" applyFont="1" applyBorder="1" applyAlignment="1">
      <alignment vertical="top"/>
    </xf>
    <xf numFmtId="2" fontId="5" fillId="0" borderId="19" xfId="0" applyNumberFormat="1" applyFont="1" applyBorder="1" applyAlignment="1">
      <alignment horizontal="center" vertical="top"/>
    </xf>
    <xf numFmtId="1" fontId="5" fillId="0" borderId="18" xfId="0" applyNumberFormat="1" applyFont="1" applyBorder="1" applyAlignment="1">
      <alignment horizontal="center" vertical="top" wrapText="1"/>
    </xf>
    <xf numFmtId="9" fontId="5" fillId="0" borderId="18" xfId="0" applyNumberFormat="1" applyFont="1" applyBorder="1" applyAlignment="1">
      <alignment horizontal="center" vertical="top"/>
    </xf>
    <xf numFmtId="2" fontId="5" fillId="0" borderId="18" xfId="0" applyNumberFormat="1" applyFont="1" applyBorder="1" applyAlignment="1">
      <alignment horizontal="center" vertical="top" wrapText="1"/>
    </xf>
    <xf numFmtId="167" fontId="5" fillId="0" borderId="18" xfId="0" applyNumberFormat="1" applyFont="1" applyBorder="1" applyAlignment="1">
      <alignment horizontal="center" vertical="top" wrapText="1"/>
    </xf>
    <xf numFmtId="165" fontId="5" fillId="0" borderId="16" xfId="0" applyNumberFormat="1" applyFont="1" applyBorder="1" applyAlignment="1">
      <alignment horizontal="center" vertical="top"/>
    </xf>
    <xf numFmtId="164" fontId="7" fillId="0" borderId="16" xfId="0" applyNumberFormat="1" applyFont="1" applyBorder="1" applyAlignment="1">
      <alignment vertical="top"/>
    </xf>
    <xf numFmtId="2" fontId="7" fillId="0" borderId="16" xfId="0" applyNumberFormat="1" applyFont="1" applyBorder="1" applyAlignment="1">
      <alignment horizontal="center" vertical="top" wrapText="1"/>
    </xf>
    <xf numFmtId="164" fontId="7" fillId="0" borderId="18" xfId="0" applyNumberFormat="1" applyFont="1" applyBorder="1" applyAlignment="1">
      <alignment vertical="top"/>
    </xf>
    <xf numFmtId="166" fontId="7" fillId="0" borderId="18" xfId="0" applyNumberFormat="1" applyFont="1" applyBorder="1" applyAlignment="1">
      <alignment vertical="top"/>
    </xf>
    <xf numFmtId="9" fontId="5" fillId="0" borderId="16" xfId="0" applyNumberFormat="1" applyFont="1" applyBorder="1" applyAlignment="1">
      <alignment horizontal="center" vertical="top" wrapText="1"/>
    </xf>
    <xf numFmtId="166" fontId="5" fillId="0" borderId="20" xfId="0" applyNumberFormat="1" applyFont="1" applyBorder="1" applyAlignment="1">
      <alignment vertical="top"/>
    </xf>
    <xf numFmtId="0" fontId="5" fillId="0" borderId="2" xfId="5" applyFont="1" applyBorder="1" applyAlignment="1">
      <alignment horizontal="center" vertical="top" wrapText="1"/>
    </xf>
    <xf numFmtId="2" fontId="5" fillId="0" borderId="2" xfId="5" applyNumberFormat="1" applyFont="1" applyBorder="1" applyAlignment="1">
      <alignment horizontal="center" vertical="top" wrapText="1"/>
    </xf>
    <xf numFmtId="0" fontId="5" fillId="0" borderId="2" xfId="7" applyFont="1" applyBorder="1" applyAlignment="1">
      <alignment horizontal="center" vertical="top" wrapText="1"/>
    </xf>
    <xf numFmtId="2" fontId="5" fillId="0" borderId="2" xfId="7" applyNumberFormat="1" applyFont="1" applyBorder="1" applyAlignment="1">
      <alignment horizontal="center" vertical="top" wrapText="1"/>
    </xf>
    <xf numFmtId="3" fontId="7" fillId="0" borderId="16" xfId="0" applyNumberFormat="1" applyFont="1" applyBorder="1" applyAlignment="1">
      <alignment horizontal="center" vertical="top" wrapText="1"/>
    </xf>
    <xf numFmtId="3" fontId="7" fillId="0" borderId="16" xfId="0" applyNumberFormat="1" applyFont="1" applyBorder="1" applyAlignment="1">
      <alignment horizontal="center" vertical="top"/>
    </xf>
    <xf numFmtId="166" fontId="7" fillId="0" borderId="16" xfId="0" quotePrefix="1" applyNumberFormat="1" applyFont="1" applyBorder="1" applyAlignment="1">
      <alignment vertical="top"/>
    </xf>
    <xf numFmtId="1" fontId="21" fillId="0" borderId="16" xfId="0" applyNumberFormat="1" applyFont="1" applyBorder="1" applyAlignment="1">
      <alignment horizontal="center" vertical="top"/>
    </xf>
    <xf numFmtId="166" fontId="21" fillId="0" borderId="21" xfId="0" applyNumberFormat="1" applyFont="1" applyBorder="1" applyAlignment="1">
      <alignment vertical="top"/>
    </xf>
    <xf numFmtId="0" fontId="21" fillId="0" borderId="21" xfId="0" applyFont="1" applyBorder="1" applyAlignment="1">
      <alignment horizontal="center" vertical="top"/>
    </xf>
    <xf numFmtId="3" fontId="21" fillId="0" borderId="21" xfId="0" applyNumberFormat="1" applyFont="1" applyBorder="1" applyAlignment="1">
      <alignment horizontal="center" vertical="top"/>
    </xf>
    <xf numFmtId="3" fontId="21" fillId="0" borderId="16" xfId="0" applyNumberFormat="1" applyFont="1" applyBorder="1" applyAlignment="1">
      <alignment horizontal="center" vertical="top"/>
    </xf>
    <xf numFmtId="1" fontId="21" fillId="0" borderId="22" xfId="0" applyNumberFormat="1" applyFont="1" applyBorder="1" applyAlignment="1">
      <alignment horizontal="center" vertical="top"/>
    </xf>
    <xf numFmtId="166" fontId="21" fillId="0" borderId="22" xfId="0" applyNumberFormat="1" applyFont="1" applyBorder="1" applyAlignment="1">
      <alignment horizontal="right" vertical="top"/>
    </xf>
    <xf numFmtId="0" fontId="21" fillId="0" borderId="22" xfId="0" applyFont="1" applyBorder="1" applyAlignment="1">
      <alignment horizontal="center" vertical="top"/>
    </xf>
    <xf numFmtId="3" fontId="21" fillId="0" borderId="22" xfId="0" applyNumberFormat="1" applyFont="1" applyBorder="1" applyAlignment="1">
      <alignment horizontal="center" vertical="top"/>
    </xf>
    <xf numFmtId="164" fontId="3" fillId="0" borderId="0" xfId="0" applyNumberFormat="1" applyFont="1" applyAlignment="1">
      <alignment horizontal="center" vertical="top"/>
    </xf>
    <xf numFmtId="166" fontId="21" fillId="0" borderId="21" xfId="0" applyNumberFormat="1" applyFont="1" applyBorder="1" applyAlignment="1">
      <alignment horizontal="right" vertical="top"/>
    </xf>
    <xf numFmtId="1" fontId="21" fillId="0" borderId="21" xfId="0" applyNumberFormat="1" applyFont="1" applyBorder="1" applyAlignment="1">
      <alignment horizontal="center" vertical="top"/>
    </xf>
    <xf numFmtId="0" fontId="7" fillId="0" borderId="18" xfId="0" applyFont="1" applyBorder="1" applyAlignment="1">
      <alignment horizontal="left" vertical="top" wrapText="1"/>
    </xf>
    <xf numFmtId="1" fontId="7" fillId="0" borderId="18" xfId="0" applyNumberFormat="1" applyFont="1" applyBorder="1" applyAlignment="1">
      <alignment horizontal="center" vertical="top" wrapText="1"/>
    </xf>
    <xf numFmtId="0" fontId="7" fillId="0" borderId="18" xfId="0" applyFont="1" applyBorder="1" applyAlignment="1">
      <alignment horizontal="center" vertical="top" wrapText="1"/>
    </xf>
    <xf numFmtId="1" fontId="7" fillId="0" borderId="18" xfId="0" applyNumberFormat="1" applyFont="1" applyBorder="1" applyAlignment="1">
      <alignment horizontal="center" vertical="top"/>
    </xf>
    <xf numFmtId="9" fontId="7" fillId="0" borderId="18" xfId="0" applyNumberFormat="1" applyFont="1" applyBorder="1" applyAlignment="1">
      <alignment horizontal="center" vertical="top"/>
    </xf>
    <xf numFmtId="0" fontId="7" fillId="0" borderId="19" xfId="0" applyFont="1" applyBorder="1" applyAlignment="1">
      <alignment horizontal="left" vertical="top" wrapText="1"/>
    </xf>
    <xf numFmtId="1" fontId="7" fillId="0" borderId="19" xfId="0" applyNumberFormat="1" applyFont="1" applyBorder="1" applyAlignment="1">
      <alignment horizontal="center" vertical="top" wrapText="1"/>
    </xf>
    <xf numFmtId="164" fontId="7" fillId="0" borderId="19" xfId="0" applyNumberFormat="1" applyFont="1" applyBorder="1" applyAlignment="1">
      <alignment vertical="top"/>
    </xf>
    <xf numFmtId="0" fontId="7" fillId="0" borderId="19" xfId="0" applyFont="1" applyBorder="1" applyAlignment="1">
      <alignment horizontal="center" vertical="top" wrapText="1"/>
    </xf>
    <xf numFmtId="166" fontId="7" fillId="0" borderId="19" xfId="0" applyNumberFormat="1" applyFont="1" applyBorder="1" applyAlignment="1">
      <alignment vertical="top"/>
    </xf>
    <xf numFmtId="1" fontId="7" fillId="0" borderId="19" xfId="0" applyNumberFormat="1" applyFont="1" applyBorder="1" applyAlignment="1">
      <alignment horizontal="center" vertical="top"/>
    </xf>
    <xf numFmtId="0" fontId="7" fillId="0" borderId="19" xfId="0" applyFont="1" applyBorder="1" applyAlignment="1">
      <alignment horizontal="center" vertical="top"/>
    </xf>
    <xf numFmtId="3" fontId="7" fillId="0" borderId="19" xfId="0" applyNumberFormat="1" applyFont="1" applyBorder="1" applyAlignment="1">
      <alignment vertical="top"/>
    </xf>
    <xf numFmtId="2" fontId="7" fillId="0" borderId="19" xfId="0" applyNumberFormat="1" applyFont="1" applyBorder="1" applyAlignment="1">
      <alignment horizontal="center" vertical="top"/>
    </xf>
    <xf numFmtId="164" fontId="5" fillId="0" borderId="16" xfId="0" applyNumberFormat="1" applyFont="1" applyBorder="1" applyAlignment="1">
      <alignment horizontal="right" vertical="top"/>
    </xf>
    <xf numFmtId="166" fontId="5" fillId="0" borderId="16" xfId="0" applyNumberFormat="1" applyFont="1" applyBorder="1" applyAlignment="1">
      <alignment horizontal="center" vertical="top" wrapText="1"/>
    </xf>
    <xf numFmtId="164" fontId="5" fillId="0" borderId="16" xfId="0" applyNumberFormat="1" applyFont="1" applyBorder="1" applyAlignment="1">
      <alignment vertical="top"/>
    </xf>
    <xf numFmtId="166" fontId="7" fillId="0" borderId="2" xfId="1" quotePrefix="1" applyNumberFormat="1" applyFont="1" applyFill="1" applyBorder="1" applyAlignment="1">
      <alignment horizontal="right" vertical="top"/>
    </xf>
    <xf numFmtId="166" fontId="7" fillId="0" borderId="15" xfId="1" quotePrefix="1" applyNumberFormat="1" applyFont="1" applyFill="1" applyBorder="1" applyAlignment="1">
      <alignment horizontal="right" vertical="top"/>
    </xf>
    <xf numFmtId="2" fontId="5" fillId="0" borderId="15" xfId="0" applyNumberFormat="1" applyFont="1" applyBorder="1" applyAlignment="1">
      <alignment horizontal="center" vertical="top"/>
    </xf>
    <xf numFmtId="0" fontId="5" fillId="0" borderId="15" xfId="0" applyFont="1" applyBorder="1" applyAlignment="1">
      <alignment horizontal="center" vertical="top"/>
    </xf>
    <xf numFmtId="2" fontId="5" fillId="0" borderId="11" xfId="0" applyNumberFormat="1" applyFont="1" applyBorder="1" applyAlignment="1">
      <alignment horizontal="center" vertical="top"/>
    </xf>
    <xf numFmtId="0" fontId="7" fillId="0" borderId="2" xfId="2" applyNumberFormat="1" applyFont="1" applyFill="1" applyBorder="1" applyAlignment="1">
      <alignment horizontal="center" vertical="top"/>
    </xf>
    <xf numFmtId="164" fontId="7" fillId="0" borderId="2" xfId="2" applyFont="1" applyFill="1" applyBorder="1" applyAlignment="1">
      <alignment horizontal="center" vertical="top"/>
    </xf>
    <xf numFmtId="1" fontId="5" fillId="0" borderId="15" xfId="0" applyNumberFormat="1" applyFont="1" applyBorder="1" applyAlignment="1">
      <alignment horizontal="center" vertical="top"/>
    </xf>
    <xf numFmtId="165" fontId="5" fillId="0" borderId="15" xfId="1" quotePrefix="1" applyFont="1" applyFill="1" applyBorder="1" applyAlignment="1">
      <alignment vertical="top"/>
    </xf>
    <xf numFmtId="9" fontId="5" fillId="0" borderId="2" xfId="4" applyFont="1" applyFill="1" applyBorder="1" applyAlignment="1">
      <alignment horizontal="center" vertical="top" wrapText="1"/>
    </xf>
    <xf numFmtId="9" fontId="5" fillId="0" borderId="2" xfId="4" applyFont="1" applyFill="1" applyBorder="1" applyAlignment="1">
      <alignment horizontal="center" vertical="top"/>
    </xf>
    <xf numFmtId="2" fontId="7" fillId="0" borderId="6" xfId="0" applyNumberFormat="1" applyFont="1" applyBorder="1" applyAlignment="1">
      <alignment horizontal="center" vertical="top"/>
    </xf>
    <xf numFmtId="0" fontId="5" fillId="0" borderId="2" xfId="2" applyNumberFormat="1" applyFont="1" applyFill="1" applyBorder="1" applyAlignment="1">
      <alignment horizontal="center" vertical="top"/>
    </xf>
    <xf numFmtId="165" fontId="5" fillId="0" borderId="2" xfId="1" applyFont="1" applyFill="1" applyBorder="1" applyAlignment="1">
      <alignment horizontal="center" vertical="top" wrapText="1"/>
    </xf>
    <xf numFmtId="165" fontId="5" fillId="0" borderId="11" xfId="1" quotePrefix="1" applyFont="1" applyFill="1" applyBorder="1" applyAlignment="1">
      <alignment vertical="top"/>
    </xf>
    <xf numFmtId="0" fontId="5" fillId="0" borderId="2" xfId="4" applyNumberFormat="1" applyFont="1" applyFill="1" applyBorder="1" applyAlignment="1">
      <alignment horizontal="center" vertical="top"/>
    </xf>
    <xf numFmtId="0" fontId="7" fillId="0" borderId="6" xfId="0" applyFont="1" applyBorder="1" applyAlignment="1">
      <alignment horizontal="center" vertical="top"/>
    </xf>
    <xf numFmtId="2" fontId="5" fillId="0" borderId="2" xfId="2" applyNumberFormat="1" applyFont="1" applyFill="1" applyBorder="1" applyAlignment="1">
      <alignment horizontal="center" vertical="top" wrapText="1"/>
    </xf>
    <xf numFmtId="2" fontId="5" fillId="0" borderId="2" xfId="4" applyNumberFormat="1" applyFont="1" applyFill="1" applyBorder="1" applyAlignment="1">
      <alignment horizontal="center" vertical="top"/>
    </xf>
    <xf numFmtId="2" fontId="5" fillId="0" borderId="3" xfId="4" applyNumberFormat="1" applyFont="1" applyFill="1" applyBorder="1" applyAlignment="1">
      <alignment horizontal="center" vertical="top" wrapText="1"/>
    </xf>
    <xf numFmtId="4" fontId="5" fillId="0" borderId="2" xfId="2" applyNumberFormat="1" applyFont="1" applyFill="1" applyBorder="1" applyAlignment="1">
      <alignment horizontal="center" vertical="top"/>
    </xf>
    <xf numFmtId="2" fontId="5" fillId="0" borderId="2" xfId="4" applyNumberFormat="1" applyFont="1" applyFill="1" applyBorder="1" applyAlignment="1">
      <alignment horizontal="center" vertical="top" wrapText="1"/>
    </xf>
    <xf numFmtId="1" fontId="5" fillId="0" borderId="3" xfId="4" applyNumberFormat="1" applyFont="1" applyFill="1" applyBorder="1" applyAlignment="1">
      <alignment horizontal="center" vertical="top" wrapText="1"/>
    </xf>
    <xf numFmtId="1" fontId="5" fillId="0" borderId="2" xfId="4" applyNumberFormat="1" applyFont="1" applyFill="1" applyBorder="1" applyAlignment="1">
      <alignment horizontal="center" vertical="top"/>
    </xf>
    <xf numFmtId="1" fontId="5" fillId="0" borderId="2" xfId="4" applyNumberFormat="1" applyFont="1" applyFill="1" applyBorder="1" applyAlignment="1">
      <alignment horizontal="center" vertical="top" wrapText="1"/>
    </xf>
    <xf numFmtId="165" fontId="5" fillId="0" borderId="2" xfId="1" quotePrefix="1" applyFont="1" applyFill="1" applyBorder="1" applyAlignment="1">
      <alignment vertical="top"/>
    </xf>
    <xf numFmtId="165" fontId="7" fillId="0" borderId="2" xfId="1" applyFont="1" applyFill="1" applyBorder="1" applyAlignment="1">
      <alignment horizontal="center" vertical="top" wrapText="1"/>
    </xf>
    <xf numFmtId="4" fontId="7" fillId="0" borderId="2" xfId="2" applyNumberFormat="1" applyFont="1" applyFill="1" applyBorder="1" applyAlignment="1">
      <alignment horizontal="center" vertical="top"/>
    </xf>
    <xf numFmtId="0" fontId="5" fillId="0" borderId="2" xfId="4" applyNumberFormat="1" applyFont="1" applyFill="1" applyBorder="1" applyAlignment="1">
      <alignment horizontal="center" vertical="top" wrapText="1"/>
    </xf>
    <xf numFmtId="0" fontId="22" fillId="0" borderId="2" xfId="4" applyNumberFormat="1" applyFont="1" applyFill="1" applyBorder="1" applyAlignment="1">
      <alignment horizontal="center" vertical="top" wrapText="1"/>
    </xf>
    <xf numFmtId="3" fontId="5" fillId="0" borderId="2" xfId="0" applyNumberFormat="1" applyFont="1" applyBorder="1" applyAlignment="1">
      <alignment horizontal="center" vertical="top" wrapText="1"/>
    </xf>
    <xf numFmtId="2" fontId="7" fillId="0" borderId="2" xfId="2" applyNumberFormat="1" applyFont="1" applyFill="1" applyBorder="1" applyAlignment="1">
      <alignment horizontal="center" vertical="top"/>
    </xf>
    <xf numFmtId="170" fontId="7" fillId="0" borderId="2" xfId="2" applyNumberFormat="1" applyFont="1" applyFill="1" applyBorder="1" applyAlignment="1">
      <alignment horizontal="center" vertical="top"/>
    </xf>
    <xf numFmtId="166" fontId="22" fillId="0" borderId="6" xfId="1" quotePrefix="1" applyNumberFormat="1" applyFont="1" applyFill="1" applyBorder="1" applyAlignment="1">
      <alignment vertical="top"/>
    </xf>
    <xf numFmtId="165" fontId="5" fillId="0" borderId="6" xfId="1" quotePrefix="1" applyFont="1" applyFill="1" applyBorder="1" applyAlignment="1">
      <alignment vertical="top"/>
    </xf>
    <xf numFmtId="166" fontId="17" fillId="0" borderId="6" xfId="1" quotePrefix="1" applyNumberFormat="1" applyFont="1" applyFill="1" applyBorder="1" applyAlignment="1">
      <alignment vertical="top"/>
    </xf>
    <xf numFmtId="166" fontId="17" fillId="0" borderId="2" xfId="1" quotePrefix="1" applyNumberFormat="1" applyFont="1" applyFill="1" applyBorder="1" applyAlignment="1">
      <alignment vertical="top"/>
    </xf>
    <xf numFmtId="3" fontId="7" fillId="0" borderId="2" xfId="2" applyNumberFormat="1" applyFont="1" applyFill="1" applyBorder="1" applyAlignment="1">
      <alignment horizontal="center" vertical="top"/>
    </xf>
    <xf numFmtId="9" fontId="7" fillId="0" borderId="15" xfId="0" applyNumberFormat="1" applyFont="1" applyBorder="1" applyAlignment="1">
      <alignment horizontal="center" vertical="top" wrapText="1"/>
    </xf>
    <xf numFmtId="164" fontId="5" fillId="0" borderId="11" xfId="0" applyNumberFormat="1" applyFont="1" applyBorder="1" applyAlignment="1">
      <alignment vertical="top"/>
    </xf>
    <xf numFmtId="9" fontId="7" fillId="0" borderId="6" xfId="0" applyNumberFormat="1" applyFont="1" applyBorder="1" applyAlignment="1">
      <alignment horizontal="center" vertical="top"/>
    </xf>
    <xf numFmtId="2" fontId="5" fillId="0" borderId="15" xfId="0" applyNumberFormat="1" applyFont="1" applyBorder="1" applyAlignment="1">
      <alignment horizontal="center" vertical="top" wrapText="1"/>
    </xf>
    <xf numFmtId="2" fontId="22" fillId="0" borderId="15" xfId="0" applyNumberFormat="1" applyFont="1" applyBorder="1" applyAlignment="1">
      <alignment horizontal="center" vertical="top" wrapText="1"/>
    </xf>
    <xf numFmtId="166" fontId="15" fillId="0" borderId="2" xfId="0" applyNumberFormat="1" applyFont="1" applyBorder="1" applyAlignment="1">
      <alignment vertical="top"/>
    </xf>
    <xf numFmtId="0" fontId="5" fillId="0" borderId="6" xfId="0" applyFont="1" applyBorder="1" applyAlignment="1">
      <alignment vertical="top" wrapText="1"/>
    </xf>
    <xf numFmtId="1" fontId="7" fillId="0" borderId="11" xfId="0" applyNumberFormat="1" applyFont="1" applyBorder="1" applyAlignment="1">
      <alignment horizontal="center" vertical="top"/>
    </xf>
    <xf numFmtId="167" fontId="5" fillId="0" borderId="2" xfId="0" applyNumberFormat="1" applyFont="1" applyBorder="1" applyAlignment="1">
      <alignment horizontal="center" vertical="top" wrapText="1"/>
    </xf>
    <xf numFmtId="2" fontId="5" fillId="0" borderId="3" xfId="0" applyNumberFormat="1" applyFont="1" applyBorder="1" applyAlignment="1">
      <alignment horizontal="center" vertical="top" wrapText="1"/>
    </xf>
    <xf numFmtId="4" fontId="7" fillId="0" borderId="2" xfId="0" applyNumberFormat="1" applyFont="1" applyBorder="1" applyAlignment="1">
      <alignment horizontal="center" vertical="top" wrapText="1"/>
    </xf>
    <xf numFmtId="168" fontId="7" fillId="0" borderId="2" xfId="0" applyNumberFormat="1" applyFont="1" applyBorder="1" applyAlignment="1">
      <alignment horizontal="center" vertical="top" wrapText="1"/>
    </xf>
    <xf numFmtId="168" fontId="7" fillId="0" borderId="2" xfId="0" applyNumberFormat="1" applyFont="1" applyBorder="1" applyAlignment="1">
      <alignment horizontal="center" vertical="top"/>
    </xf>
    <xf numFmtId="0" fontId="23" fillId="0" borderId="0" xfId="0" applyFont="1"/>
    <xf numFmtId="166" fontId="24" fillId="0" borderId="0" xfId="1" quotePrefix="1" applyNumberFormat="1" applyFont="1" applyFill="1" applyBorder="1" applyAlignment="1">
      <alignment vertical="top"/>
    </xf>
    <xf numFmtId="166" fontId="3" fillId="0" borderId="0" xfId="0" applyNumberFormat="1" applyFont="1"/>
    <xf numFmtId="0" fontId="17" fillId="0" borderId="2" xfId="0" quotePrefix="1" applyFont="1" applyBorder="1" applyAlignment="1">
      <alignment horizontal="center" vertical="top" wrapText="1"/>
    </xf>
    <xf numFmtId="2" fontId="22" fillId="0" borderId="2" xfId="0" applyNumberFormat="1" applyFont="1" applyBorder="1" applyAlignment="1">
      <alignment horizontal="center" vertical="top" wrapText="1"/>
    </xf>
    <xf numFmtId="4" fontId="5" fillId="0" borderId="2" xfId="0" applyNumberFormat="1" applyFont="1" applyBorder="1" applyAlignment="1">
      <alignment horizontal="center" vertical="top"/>
    </xf>
    <xf numFmtId="4" fontId="5" fillId="0" borderId="2" xfId="0" applyNumberFormat="1" applyFont="1" applyBorder="1" applyAlignment="1">
      <alignment horizontal="center" vertical="top" wrapText="1"/>
    </xf>
    <xf numFmtId="4" fontId="22" fillId="0" borderId="2" xfId="0" applyNumberFormat="1" applyFont="1" applyBorder="1" applyAlignment="1">
      <alignment horizontal="center" vertical="top" wrapText="1"/>
    </xf>
    <xf numFmtId="3" fontId="17" fillId="0" borderId="2" xfId="0" applyNumberFormat="1" applyFont="1" applyBorder="1" applyAlignment="1">
      <alignment horizontal="center" vertical="top" wrapText="1"/>
    </xf>
    <xf numFmtId="4" fontId="7" fillId="0" borderId="2" xfId="0" applyNumberFormat="1" applyFont="1" applyBorder="1" applyAlignment="1">
      <alignment horizontal="center" vertical="top"/>
    </xf>
    <xf numFmtId="4" fontId="17" fillId="0" borderId="2" xfId="0" applyNumberFormat="1" applyFont="1" applyBorder="1" applyAlignment="1">
      <alignment horizontal="center" vertical="top" wrapText="1"/>
    </xf>
    <xf numFmtId="1" fontId="17" fillId="0" borderId="2" xfId="0" applyNumberFormat="1" applyFont="1" applyBorder="1" applyAlignment="1">
      <alignment horizontal="center" vertical="top" wrapText="1"/>
    </xf>
    <xf numFmtId="0" fontId="17" fillId="0" borderId="2" xfId="0" applyFont="1" applyBorder="1" applyAlignment="1">
      <alignment horizontal="center" vertical="top"/>
    </xf>
    <xf numFmtId="0" fontId="17" fillId="0" borderId="2" xfId="0" applyFont="1" applyBorder="1" applyAlignment="1">
      <alignment horizontal="center" vertical="top" wrapText="1"/>
    </xf>
    <xf numFmtId="0" fontId="5" fillId="0" borderId="7" xfId="0" applyFont="1" applyBorder="1" applyAlignment="1">
      <alignment horizontal="center" vertical="top"/>
    </xf>
    <xf numFmtId="166" fontId="5" fillId="0" borderId="0" xfId="6" quotePrefix="1" applyNumberFormat="1" applyFont="1" applyFill="1" applyBorder="1" applyAlignment="1">
      <alignment vertical="top"/>
    </xf>
    <xf numFmtId="166" fontId="7" fillId="0" borderId="2" xfId="6" quotePrefix="1" applyNumberFormat="1" applyFont="1" applyFill="1" applyBorder="1" applyAlignment="1">
      <alignment vertical="top"/>
    </xf>
    <xf numFmtId="166" fontId="7" fillId="0" borderId="0" xfId="6" quotePrefix="1" applyNumberFormat="1" applyFont="1" applyFill="1" applyBorder="1" applyAlignment="1">
      <alignment vertical="top"/>
    </xf>
    <xf numFmtId="166" fontId="7" fillId="0" borderId="15" xfId="6" quotePrefix="1" applyNumberFormat="1" applyFont="1" applyFill="1" applyBorder="1" applyAlignment="1">
      <alignment vertical="top"/>
    </xf>
    <xf numFmtId="166" fontId="7" fillId="0" borderId="6" xfId="6" quotePrefix="1" applyNumberFormat="1" applyFont="1" applyFill="1" applyBorder="1" applyAlignment="1">
      <alignment vertical="top"/>
    </xf>
    <xf numFmtId="166" fontId="5" fillId="0" borderId="11" xfId="6" quotePrefix="1" applyNumberFormat="1" applyFont="1" applyFill="1" applyBorder="1" applyAlignment="1">
      <alignment vertical="top"/>
    </xf>
    <xf numFmtId="0" fontId="5" fillId="0" borderId="6" xfId="3" applyFont="1" applyBorder="1" applyAlignment="1">
      <alignment horizontal="center" vertical="top"/>
    </xf>
    <xf numFmtId="0" fontId="5" fillId="0" borderId="11" xfId="3" applyFont="1" applyBorder="1" applyAlignment="1">
      <alignment horizontal="left" vertical="top" wrapText="1"/>
    </xf>
    <xf numFmtId="0" fontId="5" fillId="0" borderId="6" xfId="3" applyFont="1" applyBorder="1" applyAlignment="1">
      <alignment horizontal="left" vertical="top" wrapText="1"/>
    </xf>
    <xf numFmtId="0" fontId="5" fillId="0" borderId="2" xfId="3" applyFont="1" applyBorder="1" applyAlignment="1">
      <alignment horizontal="left" vertical="top" wrapText="1"/>
    </xf>
    <xf numFmtId="0" fontId="5" fillId="0" borderId="2" xfId="3" applyFont="1" applyBorder="1" applyAlignment="1">
      <alignment horizontal="center" vertical="top" wrapText="1"/>
    </xf>
    <xf numFmtId="9" fontId="5" fillId="0" borderId="2" xfId="3" applyNumberFormat="1" applyFont="1" applyBorder="1" applyAlignment="1">
      <alignment horizontal="center" vertical="top"/>
    </xf>
    <xf numFmtId="166" fontId="5" fillId="0" borderId="6" xfId="6" quotePrefix="1" applyNumberFormat="1" applyFont="1" applyFill="1" applyBorder="1" applyAlignment="1">
      <alignment vertical="top"/>
    </xf>
    <xf numFmtId="171" fontId="5" fillId="0" borderId="6" xfId="6" quotePrefix="1" applyNumberFormat="1" applyFont="1" applyFill="1" applyBorder="1" applyAlignment="1">
      <alignment vertical="top"/>
    </xf>
    <xf numFmtId="1" fontId="5" fillId="0" borderId="2" xfId="3" applyNumberFormat="1" applyFont="1" applyBorder="1" applyAlignment="1">
      <alignment horizontal="center" vertical="top"/>
    </xf>
    <xf numFmtId="0" fontId="5" fillId="0" borderId="2" xfId="3" applyFont="1" applyBorder="1" applyAlignment="1">
      <alignment horizontal="center" vertical="top"/>
    </xf>
    <xf numFmtId="164" fontId="5" fillId="0" borderId="6" xfId="3" applyNumberFormat="1" applyFont="1" applyBorder="1" applyAlignment="1">
      <alignment vertical="top"/>
    </xf>
    <xf numFmtId="2" fontId="5" fillId="0" borderId="6" xfId="3" applyNumberFormat="1" applyFont="1" applyBorder="1" applyAlignment="1">
      <alignment horizontal="center" vertical="top"/>
    </xf>
    <xf numFmtId="2" fontId="5" fillId="0" borderId="2" xfId="3" applyNumberFormat="1" applyFont="1" applyBorder="1" applyAlignment="1">
      <alignment horizontal="center" vertical="top"/>
    </xf>
    <xf numFmtId="0" fontId="5" fillId="0" borderId="6" xfId="3" applyFont="1" applyBorder="1" applyAlignment="1">
      <alignment horizontal="center" vertical="top" wrapText="1"/>
    </xf>
    <xf numFmtId="0" fontId="15" fillId="0" borderId="0" xfId="3" applyFont="1"/>
    <xf numFmtId="166" fontId="5" fillId="0" borderId="2" xfId="6" quotePrefix="1" applyNumberFormat="1" applyFont="1" applyFill="1" applyBorder="1" applyAlignment="1">
      <alignment vertical="top"/>
    </xf>
    <xf numFmtId="164" fontId="5" fillId="0" borderId="2" xfId="3" applyNumberFormat="1" applyFont="1" applyBorder="1" applyAlignment="1">
      <alignment vertical="top"/>
    </xf>
    <xf numFmtId="0" fontId="15" fillId="0" borderId="11" xfId="3" applyFont="1" applyBorder="1"/>
    <xf numFmtId="0" fontId="5" fillId="0" borderId="11" xfId="3" applyFont="1" applyBorder="1" applyAlignment="1">
      <alignment horizontal="center" vertical="top"/>
    </xf>
    <xf numFmtId="0" fontId="7" fillId="0" borderId="15" xfId="3" applyFont="1" applyBorder="1" applyAlignment="1">
      <alignment horizontal="left" vertical="top" wrapText="1"/>
    </xf>
    <xf numFmtId="0" fontId="7" fillId="0" borderId="2" xfId="3" applyFont="1" applyBorder="1" applyAlignment="1">
      <alignment horizontal="left" vertical="top" wrapText="1"/>
    </xf>
    <xf numFmtId="0" fontId="7" fillId="0" borderId="2" xfId="3" applyFont="1" applyBorder="1" applyAlignment="1">
      <alignment horizontal="center" vertical="top" wrapText="1"/>
    </xf>
    <xf numFmtId="9" fontId="7" fillId="0" borderId="2" xfId="3" applyNumberFormat="1" applyFont="1" applyBorder="1" applyAlignment="1">
      <alignment horizontal="center" vertical="top"/>
    </xf>
    <xf numFmtId="1" fontId="7" fillId="0" borderId="2" xfId="3" applyNumberFormat="1" applyFont="1" applyBorder="1" applyAlignment="1">
      <alignment horizontal="center" vertical="top"/>
    </xf>
    <xf numFmtId="0" fontId="7" fillId="0" borderId="2" xfId="3" applyFont="1" applyBorder="1" applyAlignment="1">
      <alignment horizontal="center" vertical="top"/>
    </xf>
    <xf numFmtId="164" fontId="7" fillId="0" borderId="2" xfId="3" applyNumberFormat="1" applyFont="1" applyBorder="1" applyAlignment="1">
      <alignment vertical="top"/>
    </xf>
    <xf numFmtId="2" fontId="7" fillId="0" borderId="2" xfId="3" applyNumberFormat="1" applyFont="1" applyBorder="1" applyAlignment="1">
      <alignment horizontal="center" vertical="top"/>
    </xf>
    <xf numFmtId="0" fontId="3" fillId="0" borderId="11" xfId="3" applyFont="1" applyBorder="1"/>
    <xf numFmtId="0" fontId="3" fillId="0" borderId="0" xfId="3" applyFont="1"/>
    <xf numFmtId="0" fontId="5" fillId="0" borderId="15" xfId="3" applyFont="1" applyBorder="1" applyAlignment="1">
      <alignment horizontal="left" vertical="top" wrapText="1"/>
    </xf>
    <xf numFmtId="1" fontId="5" fillId="0" borderId="15" xfId="3" applyNumberFormat="1" applyFont="1" applyBorder="1" applyAlignment="1">
      <alignment horizontal="center" vertical="top" wrapText="1"/>
    </xf>
    <xf numFmtId="9" fontId="5" fillId="0" borderId="15" xfId="3" applyNumberFormat="1" applyFont="1" applyBorder="1" applyAlignment="1">
      <alignment horizontal="center" vertical="top"/>
    </xf>
    <xf numFmtId="0" fontId="5" fillId="0" borderId="11" xfId="3" applyFont="1" applyBorder="1" applyAlignment="1">
      <alignment horizontal="center" vertical="top" wrapText="1"/>
    </xf>
    <xf numFmtId="1" fontId="7" fillId="0" borderId="15" xfId="3" applyNumberFormat="1" applyFont="1" applyBorder="1" applyAlignment="1">
      <alignment horizontal="center" vertical="top" wrapText="1"/>
    </xf>
    <xf numFmtId="9" fontId="7" fillId="0" borderId="15" xfId="3" applyNumberFormat="1" applyFont="1" applyBorder="1" applyAlignment="1">
      <alignment horizontal="center" vertical="top"/>
    </xf>
    <xf numFmtId="1" fontId="7" fillId="0" borderId="2" xfId="3" quotePrefix="1" applyNumberFormat="1" applyFont="1" applyBorder="1" applyAlignment="1">
      <alignment horizontal="center" vertical="top" wrapText="1"/>
    </xf>
    <xf numFmtId="0" fontId="5" fillId="0" borderId="2" xfId="3" quotePrefix="1" applyFont="1" applyBorder="1" applyAlignment="1">
      <alignment horizontal="center" vertical="top" wrapText="1"/>
    </xf>
    <xf numFmtId="1" fontId="5" fillId="0" borderId="6" xfId="3" applyNumberFormat="1" applyFont="1" applyBorder="1" applyAlignment="1">
      <alignment horizontal="center" vertical="top"/>
    </xf>
    <xf numFmtId="0" fontId="7" fillId="0" borderId="6" xfId="3" applyFont="1" applyBorder="1" applyAlignment="1">
      <alignment horizontal="left" vertical="top" wrapText="1"/>
    </xf>
    <xf numFmtId="0" fontId="7" fillId="0" borderId="6" xfId="3" applyFont="1" applyBorder="1" applyAlignment="1">
      <alignment horizontal="center" vertical="top" wrapText="1"/>
    </xf>
    <xf numFmtId="9" fontId="7" fillId="0" borderId="6" xfId="3" applyNumberFormat="1" applyFont="1" applyBorder="1" applyAlignment="1">
      <alignment horizontal="center" vertical="top"/>
    </xf>
    <xf numFmtId="0" fontId="5" fillId="0" borderId="15" xfId="3" applyFont="1" applyBorder="1" applyAlignment="1">
      <alignment horizontal="center" vertical="top" wrapText="1"/>
    </xf>
    <xf numFmtId="164" fontId="5" fillId="0" borderId="11" xfId="3" applyNumberFormat="1" applyFont="1" applyBorder="1" applyAlignment="1">
      <alignment vertical="top"/>
    </xf>
    <xf numFmtId="2" fontId="5" fillId="0" borderId="11" xfId="3" applyNumberFormat="1" applyFont="1" applyBorder="1" applyAlignment="1">
      <alignment horizontal="center" vertical="top"/>
    </xf>
    <xf numFmtId="164" fontId="5" fillId="0" borderId="15" xfId="3" applyNumberFormat="1" applyFont="1" applyBorder="1" applyAlignment="1">
      <alignment vertical="top"/>
    </xf>
    <xf numFmtId="2" fontId="5" fillId="0" borderId="15" xfId="3" applyNumberFormat="1" applyFont="1" applyBorder="1" applyAlignment="1">
      <alignment horizontal="center" vertical="top"/>
    </xf>
    <xf numFmtId="0" fontId="5" fillId="0" borderId="15" xfId="3" applyFont="1" applyBorder="1" applyAlignment="1">
      <alignment horizontal="center" vertical="top"/>
    </xf>
    <xf numFmtId="9" fontId="7" fillId="0" borderId="2" xfId="3" applyNumberFormat="1" applyFont="1" applyBorder="1" applyAlignment="1">
      <alignment horizontal="center" vertical="top" wrapText="1"/>
    </xf>
    <xf numFmtId="0" fontId="7" fillId="0" borderId="11" xfId="3" applyFont="1" applyBorder="1" applyAlignment="1">
      <alignment horizontal="left" vertical="top" wrapText="1"/>
    </xf>
    <xf numFmtId="0" fontId="5" fillId="0" borderId="2" xfId="0" applyFont="1" applyBorder="1" applyAlignment="1">
      <alignment vertical="top" wrapText="1"/>
    </xf>
    <xf numFmtId="164" fontId="5" fillId="0" borderId="0" xfId="2" applyFont="1" applyFill="1" applyAlignment="1">
      <alignment vertical="top"/>
    </xf>
    <xf numFmtId="0" fontId="17" fillId="0" borderId="2" xfId="0" applyFont="1" applyBorder="1" applyAlignment="1">
      <alignment vertical="top" wrapText="1"/>
    </xf>
    <xf numFmtId="166" fontId="7" fillId="0" borderId="6" xfId="1" applyNumberFormat="1" applyFont="1" applyFill="1" applyBorder="1" applyAlignment="1">
      <alignment vertical="top" wrapText="1"/>
    </xf>
    <xf numFmtId="166" fontId="7" fillId="0" borderId="2" xfId="1" applyNumberFormat="1" applyFont="1" applyFill="1" applyBorder="1" applyAlignment="1">
      <alignment horizontal="right" vertical="top"/>
    </xf>
    <xf numFmtId="0" fontId="7" fillId="0" borderId="2" xfId="2" quotePrefix="1" applyNumberFormat="1" applyFont="1" applyFill="1" applyBorder="1" applyAlignment="1">
      <alignment horizontal="center" vertical="top"/>
    </xf>
    <xf numFmtId="1" fontId="7" fillId="0" borderId="2" xfId="2" applyNumberFormat="1" applyFont="1" applyFill="1" applyBorder="1" applyAlignment="1">
      <alignment horizontal="center" vertical="top" wrapText="1"/>
    </xf>
    <xf numFmtId="164" fontId="5" fillId="0" borderId="0" xfId="2" applyFont="1" applyFill="1" applyAlignment="1">
      <alignment vertical="top" wrapText="1"/>
    </xf>
    <xf numFmtId="0" fontId="7" fillId="0" borderId="2" xfId="0" applyFont="1" applyBorder="1" applyAlignment="1">
      <alignment vertical="top" wrapText="1"/>
    </xf>
    <xf numFmtId="0" fontId="7" fillId="0" borderId="2" xfId="2" applyNumberFormat="1" applyFont="1" applyFill="1" applyBorder="1" applyAlignment="1">
      <alignment horizontal="center" vertical="top" wrapText="1"/>
    </xf>
    <xf numFmtId="166" fontId="5" fillId="0" borderId="2" xfId="1" applyNumberFormat="1" applyFont="1" applyFill="1" applyBorder="1" applyAlignment="1">
      <alignment vertical="top"/>
    </xf>
    <xf numFmtId="164" fontId="5" fillId="0" borderId="15" xfId="2" applyFont="1" applyFill="1" applyBorder="1" applyAlignment="1">
      <alignment vertical="top"/>
    </xf>
    <xf numFmtId="164" fontId="7" fillId="0" borderId="6" xfId="2" applyFont="1" applyFill="1" applyBorder="1" applyAlignment="1">
      <alignment vertical="top"/>
    </xf>
    <xf numFmtId="166" fontId="7" fillId="0" borderId="6" xfId="1" applyNumberFormat="1" applyFont="1" applyFill="1" applyBorder="1" applyAlignment="1">
      <alignment vertical="top"/>
    </xf>
    <xf numFmtId="164" fontId="5" fillId="0" borderId="6" xfId="0" applyNumberFormat="1" applyFont="1" applyBorder="1" applyAlignment="1">
      <alignment horizontal="center" vertical="top"/>
    </xf>
    <xf numFmtId="164" fontId="5" fillId="0" borderId="11" xfId="0" applyNumberFormat="1" applyFont="1" applyBorder="1" applyAlignment="1">
      <alignment horizontal="center" vertical="top"/>
    </xf>
    <xf numFmtId="164" fontId="7" fillId="0" borderId="2" xfId="0" applyNumberFormat="1" applyFont="1" applyBorder="1" applyAlignment="1">
      <alignment horizontal="center" vertical="top"/>
    </xf>
    <xf numFmtId="3" fontId="5" fillId="0" borderId="0" xfId="0" applyNumberFormat="1" applyFont="1" applyAlignment="1">
      <alignment horizontal="right" vertical="top" wrapText="1"/>
    </xf>
    <xf numFmtId="164" fontId="5" fillId="0" borderId="2" xfId="0" applyNumberFormat="1" applyFont="1" applyBorder="1" applyAlignment="1">
      <alignment horizontal="center" vertical="top"/>
    </xf>
    <xf numFmtId="166" fontId="7" fillId="0" borderId="2" xfId="1" applyNumberFormat="1" applyFont="1" applyFill="1" applyBorder="1" applyAlignment="1">
      <alignment horizontal="right" vertical="top" wrapText="1"/>
    </xf>
    <xf numFmtId="166" fontId="17" fillId="0" borderId="0" xfId="3" applyNumberFormat="1" applyFont="1" applyAlignment="1">
      <alignment vertical="top"/>
    </xf>
    <xf numFmtId="2" fontId="25" fillId="0" borderId="2" xfId="0" applyNumberFormat="1" applyFont="1" applyBorder="1" applyAlignment="1">
      <alignment horizontal="center" vertical="top" wrapText="1"/>
    </xf>
    <xf numFmtId="164" fontId="5" fillId="0" borderId="15" xfId="0" applyNumberFormat="1" applyFont="1" applyBorder="1" applyAlignment="1">
      <alignment horizontal="center" vertical="top"/>
    </xf>
    <xf numFmtId="0" fontId="7" fillId="0" borderId="14" xfId="0" applyFont="1" applyBorder="1" applyAlignment="1">
      <alignment vertical="top" wrapText="1"/>
    </xf>
    <xf numFmtId="1" fontId="7" fillId="0" borderId="2" xfId="0" quotePrefix="1" applyNumberFormat="1" applyFont="1" applyBorder="1" applyAlignment="1">
      <alignment horizontal="center" vertical="top" wrapText="1"/>
    </xf>
    <xf numFmtId="3" fontId="5" fillId="0" borderId="0" xfId="0" applyNumberFormat="1" applyFont="1" applyAlignment="1">
      <alignment vertical="top" wrapText="1"/>
    </xf>
    <xf numFmtId="0" fontId="7" fillId="0" borderId="2" xfId="0" quotePrefix="1" applyFont="1" applyBorder="1" applyAlignment="1">
      <alignment horizontal="center" vertical="top" wrapText="1"/>
    </xf>
    <xf numFmtId="164" fontId="7" fillId="0" borderId="6" xfId="0" applyNumberFormat="1" applyFont="1" applyBorder="1" applyAlignment="1">
      <alignment horizontal="center" vertical="top"/>
    </xf>
    <xf numFmtId="0" fontId="5" fillId="0" borderId="15" xfId="0" applyFont="1" applyBorder="1" applyAlignment="1">
      <alignment horizontal="center" vertical="top" wrapText="1"/>
    </xf>
    <xf numFmtId="10" fontId="5" fillId="0" borderId="2" xfId="4" quotePrefix="1" applyNumberFormat="1" applyFont="1" applyFill="1" applyBorder="1" applyAlignment="1">
      <alignment vertical="top"/>
    </xf>
    <xf numFmtId="0" fontId="5" fillId="0" borderId="3" xfId="0" applyFont="1" applyBorder="1" applyAlignment="1">
      <alignment horizontal="center" vertical="top"/>
    </xf>
    <xf numFmtId="0" fontId="28" fillId="0" borderId="6" xfId="0" applyFont="1" applyBorder="1" applyAlignment="1">
      <alignment vertical="top" wrapText="1"/>
    </xf>
    <xf numFmtId="3" fontId="5" fillId="0" borderId="2" xfId="0" applyNumberFormat="1" applyFont="1" applyBorder="1" applyAlignment="1">
      <alignment horizontal="center" vertical="top"/>
    </xf>
    <xf numFmtId="0" fontId="28" fillId="0" borderId="11" xfId="0" applyFont="1" applyBorder="1" applyAlignment="1">
      <alignment vertical="top" wrapText="1"/>
    </xf>
    <xf numFmtId="3" fontId="5" fillId="0" borderId="15" xfId="0" applyNumberFormat="1" applyFont="1" applyBorder="1" applyAlignment="1">
      <alignment horizontal="center" vertical="top"/>
    </xf>
    <xf numFmtId="0" fontId="5" fillId="0" borderId="9" xfId="0" applyFont="1" applyBorder="1" applyAlignment="1">
      <alignment horizontal="center" vertical="top"/>
    </xf>
    <xf numFmtId="0" fontId="28" fillId="0" borderId="15" xfId="0" applyFont="1" applyBorder="1" applyAlignment="1">
      <alignment vertical="top" wrapText="1"/>
    </xf>
    <xf numFmtId="0" fontId="5" fillId="0" borderId="0" xfId="0" applyFont="1" applyAlignment="1">
      <alignment horizontal="center" vertical="top" wrapText="1"/>
    </xf>
    <xf numFmtId="0" fontId="28" fillId="0" borderId="2" xfId="0" applyFont="1" applyBorder="1" applyAlignment="1">
      <alignment horizontal="left" vertical="top" wrapText="1"/>
    </xf>
    <xf numFmtId="0" fontId="5" fillId="0" borderId="6" xfId="0" applyFont="1" applyBorder="1" applyAlignment="1">
      <alignment horizontal="center" vertical="top" wrapText="1"/>
    </xf>
    <xf numFmtId="9" fontId="5" fillId="0" borderId="6" xfId="0" applyNumberFormat="1" applyFont="1" applyBorder="1" applyAlignment="1">
      <alignment horizontal="center" vertical="top" wrapText="1"/>
    </xf>
    <xf numFmtId="0" fontId="21" fillId="0" borderId="0" xfId="0" applyFont="1" applyAlignment="1">
      <alignment horizontal="left" vertical="top" wrapText="1"/>
    </xf>
    <xf numFmtId="0" fontId="7" fillId="0" borderId="7" xfId="0" applyFont="1" applyBorder="1"/>
    <xf numFmtId="1" fontId="22" fillId="0" borderId="2" xfId="0" applyNumberFormat="1" applyFont="1" applyBorder="1" applyAlignment="1">
      <alignment horizontal="center" vertical="top"/>
    </xf>
    <xf numFmtId="0" fontId="25" fillId="0" borderId="2" xfId="0" applyFont="1" applyBorder="1" applyAlignment="1">
      <alignment horizontal="center" vertical="top"/>
    </xf>
    <xf numFmtId="164" fontId="25" fillId="0" borderId="2" xfId="0" applyNumberFormat="1" applyFont="1" applyBorder="1" applyAlignment="1">
      <alignment vertical="top"/>
    </xf>
    <xf numFmtId="2" fontId="25" fillId="0" borderId="2" xfId="0" applyNumberFormat="1" applyFont="1" applyBorder="1" applyAlignment="1">
      <alignment horizontal="center" vertical="top"/>
    </xf>
    <xf numFmtId="3" fontId="25" fillId="0" borderId="2" xfId="0" applyNumberFormat="1" applyFont="1" applyBorder="1" applyAlignment="1">
      <alignment horizontal="center" vertical="top"/>
    </xf>
    <xf numFmtId="1" fontId="17" fillId="0" borderId="2" xfId="0" applyNumberFormat="1" applyFont="1" applyBorder="1" applyAlignment="1">
      <alignment horizontal="center" vertical="top"/>
    </xf>
    <xf numFmtId="164" fontId="17" fillId="0" borderId="2" xfId="0" applyNumberFormat="1" applyFont="1" applyBorder="1" applyAlignment="1">
      <alignment vertical="top"/>
    </xf>
    <xf numFmtId="2" fontId="17" fillId="0" borderId="2" xfId="0" applyNumberFormat="1" applyFont="1" applyBorder="1" applyAlignment="1">
      <alignment horizontal="center" vertical="top"/>
    </xf>
    <xf numFmtId="2" fontId="29" fillId="0" borderId="2" xfId="0" applyNumberFormat="1" applyFont="1" applyBorder="1" applyAlignment="1">
      <alignment horizontal="center" vertical="top"/>
    </xf>
    <xf numFmtId="0" fontId="22" fillId="0" borderId="2" xfId="0" applyFont="1" applyBorder="1" applyAlignment="1">
      <alignment horizontal="center" vertical="top"/>
    </xf>
    <xf numFmtId="164" fontId="22" fillId="0" borderId="2" xfId="0" applyNumberFormat="1" applyFont="1" applyBorder="1" applyAlignment="1">
      <alignment vertical="top"/>
    </xf>
    <xf numFmtId="2" fontId="22" fillId="0" borderId="2" xfId="0" applyNumberFormat="1" applyFont="1" applyBorder="1" applyAlignment="1">
      <alignment horizontal="center" vertical="top"/>
    </xf>
    <xf numFmtId="10" fontId="5" fillId="0" borderId="2" xfId="4" applyNumberFormat="1" applyFont="1" applyFill="1" applyBorder="1" applyAlignment="1">
      <alignment horizontal="center" vertical="top" wrapText="1"/>
    </xf>
    <xf numFmtId="2" fontId="5" fillId="0" borderId="11" xfId="0" applyNumberFormat="1" applyFont="1" applyBorder="1" applyAlignment="1">
      <alignment horizontal="left" vertical="top" wrapText="1"/>
    </xf>
    <xf numFmtId="4" fontId="5" fillId="0" borderId="6" xfId="0" applyNumberFormat="1" applyFont="1" applyBorder="1" applyAlignment="1">
      <alignment horizontal="center" vertical="top"/>
    </xf>
    <xf numFmtId="9" fontId="7" fillId="0" borderId="6" xfId="0" applyNumberFormat="1" applyFont="1" applyBorder="1" applyAlignment="1">
      <alignment horizontal="center" vertical="top" wrapText="1"/>
    </xf>
    <xf numFmtId="3" fontId="5" fillId="0" borderId="2" xfId="2" applyNumberFormat="1" applyFont="1" applyFill="1" applyBorder="1" applyAlignment="1">
      <alignment horizontal="center" vertical="top"/>
    </xf>
    <xf numFmtId="0" fontId="5" fillId="0" borderId="2" xfId="0" applyFont="1" applyBorder="1" applyAlignment="1">
      <alignment vertical="center" wrapText="1"/>
    </xf>
    <xf numFmtId="0" fontId="5" fillId="0" borderId="11" xfId="0" applyFont="1" applyBorder="1"/>
    <xf numFmtId="9" fontId="5" fillId="0" borderId="15" xfId="0" applyNumberFormat="1" applyFont="1" applyBorder="1" applyAlignment="1">
      <alignment horizontal="center" vertical="top" wrapText="1"/>
    </xf>
    <xf numFmtId="0" fontId="5" fillId="0" borderId="5" xfId="0" applyFont="1" applyBorder="1" applyAlignment="1">
      <alignment horizontal="left" vertical="top" wrapText="1"/>
    </xf>
    <xf numFmtId="9" fontId="5" fillId="0" borderId="3" xfId="0" applyNumberFormat="1" applyFont="1" applyBorder="1" applyAlignment="1">
      <alignment horizontal="center" vertical="top" wrapText="1"/>
    </xf>
    <xf numFmtId="2" fontId="5" fillId="0" borderId="6" xfId="0" applyNumberFormat="1" applyFont="1" applyBorder="1" applyAlignment="1">
      <alignment horizontal="center" vertical="top" wrapText="1"/>
    </xf>
    <xf numFmtId="4" fontId="5" fillId="0" borderId="15" xfId="0" applyNumberFormat="1" applyFont="1" applyBorder="1" applyAlignment="1">
      <alignment horizontal="center" vertical="top"/>
    </xf>
    <xf numFmtId="4" fontId="13" fillId="0" borderId="2" xfId="0" applyNumberFormat="1" applyFont="1" applyBorder="1" applyAlignment="1">
      <alignment horizontal="center" vertical="top"/>
    </xf>
    <xf numFmtId="166" fontId="7" fillId="0" borderId="2" xfId="1" quotePrefix="1" applyNumberFormat="1" applyFont="1" applyFill="1" applyBorder="1" applyAlignment="1">
      <alignment horizontal="center" vertical="top"/>
    </xf>
    <xf numFmtId="1" fontId="7" fillId="0" borderId="6" xfId="0" applyNumberFormat="1" applyFont="1" applyBorder="1" applyAlignment="1">
      <alignment horizontal="center" vertical="top"/>
    </xf>
    <xf numFmtId="3" fontId="5" fillId="0" borderId="15" xfId="0" applyNumberFormat="1" applyFont="1" applyBorder="1" applyAlignment="1">
      <alignment horizontal="center" vertical="top" wrapText="1"/>
    </xf>
    <xf numFmtId="166" fontId="5" fillId="0" borderId="6" xfId="1" applyNumberFormat="1" applyFont="1" applyFill="1" applyBorder="1" applyAlignment="1">
      <alignment vertical="top"/>
    </xf>
    <xf numFmtId="166" fontId="5" fillId="0" borderId="15" xfId="1" applyNumberFormat="1" applyFont="1" applyFill="1" applyBorder="1" applyAlignment="1">
      <alignment vertical="top"/>
    </xf>
    <xf numFmtId="164" fontId="5" fillId="0" borderId="11" xfId="2" applyFont="1" applyFill="1" applyBorder="1" applyAlignment="1">
      <alignment vertical="top"/>
    </xf>
    <xf numFmtId="166" fontId="5" fillId="0" borderId="11" xfId="1" applyNumberFormat="1" applyFont="1" applyFill="1" applyBorder="1" applyAlignment="1">
      <alignment vertical="top"/>
    </xf>
    <xf numFmtId="4" fontId="7" fillId="0" borderId="2" xfId="1" applyNumberFormat="1" applyFont="1" applyFill="1" applyBorder="1" applyAlignment="1">
      <alignment horizontal="center" vertical="top" wrapText="1"/>
    </xf>
    <xf numFmtId="3" fontId="7" fillId="0" borderId="2" xfId="1" applyNumberFormat="1" applyFont="1" applyFill="1" applyBorder="1" applyAlignment="1">
      <alignment horizontal="center" vertical="top" wrapText="1"/>
    </xf>
    <xf numFmtId="4" fontId="5" fillId="0" borderId="15" xfId="0" applyNumberFormat="1" applyFont="1" applyBorder="1" applyAlignment="1">
      <alignment horizontal="center" vertical="top" wrapText="1"/>
    </xf>
    <xf numFmtId="0" fontId="17" fillId="0" borderId="15" xfId="0" applyFont="1" applyBorder="1" applyAlignment="1">
      <alignment horizontal="left" vertical="top" wrapText="1"/>
    </xf>
    <xf numFmtId="172" fontId="7" fillId="0" borderId="2" xfId="0" applyNumberFormat="1" applyFont="1" applyBorder="1" applyAlignment="1">
      <alignment horizontal="center" vertical="top"/>
    </xf>
    <xf numFmtId="2" fontId="5" fillId="0" borderId="15" xfId="1" applyNumberFormat="1" applyFont="1" applyFill="1" applyBorder="1" applyAlignment="1">
      <alignment horizontal="center" vertical="top"/>
    </xf>
    <xf numFmtId="2" fontId="5" fillId="0" borderId="15" xfId="1" applyNumberFormat="1" applyFont="1" applyFill="1" applyBorder="1" applyAlignment="1">
      <alignment horizontal="center" vertical="top" wrapText="1"/>
    </xf>
    <xf numFmtId="0" fontId="17" fillId="0" borderId="2" xfId="0" applyFont="1" applyBorder="1" applyAlignment="1">
      <alignment horizontal="left" vertical="top" wrapText="1"/>
    </xf>
    <xf numFmtId="164" fontId="3" fillId="0" borderId="0" xfId="0" applyNumberFormat="1" applyFont="1"/>
    <xf numFmtId="164" fontId="15" fillId="0" borderId="0" xfId="0" applyNumberFormat="1" applyFont="1"/>
    <xf numFmtId="3" fontId="0" fillId="0" borderId="0" xfId="0" applyNumberFormat="1" applyAlignment="1">
      <alignment vertical="top"/>
    </xf>
    <xf numFmtId="3" fontId="0" fillId="0" borderId="2" xfId="0" applyNumberFormat="1" applyBorder="1" applyAlignment="1">
      <alignment vertical="top"/>
    </xf>
    <xf numFmtId="0" fontId="28" fillId="0" borderId="15" xfId="0" applyFont="1" applyBorder="1" applyAlignment="1">
      <alignment horizontal="left" vertical="center" wrapText="1"/>
    </xf>
    <xf numFmtId="0" fontId="21" fillId="0" borderId="2" xfId="0" applyFont="1" applyBorder="1" applyAlignment="1">
      <alignment horizontal="left" vertical="top" wrapText="1"/>
    </xf>
    <xf numFmtId="173" fontId="5" fillId="0" borderId="2" xfId="0" applyNumberFormat="1" applyFont="1" applyBorder="1" applyAlignment="1">
      <alignment horizontal="center" vertical="top"/>
    </xf>
    <xf numFmtId="0" fontId="5" fillId="0" borderId="10" xfId="0" applyFont="1" applyBorder="1" applyAlignment="1">
      <alignment horizontal="left" vertical="top" wrapText="1"/>
    </xf>
    <xf numFmtId="1" fontId="5" fillId="0" borderId="6" xfId="0" applyNumberFormat="1" applyFont="1" applyBorder="1" applyAlignment="1">
      <alignment horizontal="center" vertical="top"/>
    </xf>
    <xf numFmtId="166" fontId="18" fillId="0" borderId="0" xfId="0" applyNumberFormat="1" applyFont="1" applyAlignment="1">
      <alignment vertical="top"/>
    </xf>
    <xf numFmtId="1" fontId="5" fillId="0" borderId="15" xfId="0" quotePrefix="1" applyNumberFormat="1" applyFont="1" applyBorder="1" applyAlignment="1">
      <alignment horizontal="center" vertical="top"/>
    </xf>
    <xf numFmtId="9" fontId="5" fillId="0" borderId="6" xfId="0" applyNumberFormat="1" applyFont="1" applyBorder="1" applyAlignment="1">
      <alignment horizontal="center" vertical="top"/>
    </xf>
    <xf numFmtId="0" fontId="30" fillId="0" borderId="15" xfId="0" applyFont="1" applyBorder="1" applyAlignment="1">
      <alignment horizontal="left" vertical="top" wrapText="1"/>
    </xf>
    <xf numFmtId="0" fontId="5" fillId="0" borderId="0" xfId="0" applyFont="1" applyAlignment="1">
      <alignment horizontal="left" vertical="top" wrapText="1"/>
    </xf>
    <xf numFmtId="9" fontId="5" fillId="0" borderId="11" xfId="0" applyNumberFormat="1" applyFont="1" applyBorder="1" applyAlignment="1">
      <alignment horizontal="center" vertical="top" wrapText="1"/>
    </xf>
    <xf numFmtId="2" fontId="5" fillId="0" borderId="11" xfId="0" applyNumberFormat="1" applyFont="1" applyBorder="1" applyAlignment="1">
      <alignment horizontal="center" vertical="top" wrapText="1"/>
    </xf>
    <xf numFmtId="0" fontId="17" fillId="0" borderId="16" xfId="0" applyFont="1" applyBorder="1" applyAlignment="1">
      <alignment horizontal="left" vertical="center" wrapText="1"/>
    </xf>
    <xf numFmtId="3" fontId="0" fillId="0" borderId="0" xfId="0" applyNumberFormat="1"/>
    <xf numFmtId="0" fontId="17" fillId="0" borderId="16" xfId="0" applyFont="1" applyBorder="1" applyAlignment="1">
      <alignment horizontal="left" vertical="top" wrapText="1"/>
    </xf>
    <xf numFmtId="1" fontId="5" fillId="0" borderId="2" xfId="0" applyNumberFormat="1" applyFont="1" applyBorder="1" applyAlignment="1">
      <alignment vertical="top"/>
    </xf>
    <xf numFmtId="41" fontId="7" fillId="0" borderId="2" xfId="0" applyNumberFormat="1" applyFont="1" applyBorder="1" applyAlignment="1">
      <alignment vertical="top"/>
    </xf>
    <xf numFmtId="0" fontId="3" fillId="0" borderId="8" xfId="0" applyFont="1" applyBorder="1"/>
    <xf numFmtId="167" fontId="7" fillId="0" borderId="15" xfId="0" applyNumberFormat="1" applyFont="1" applyBorder="1" applyAlignment="1">
      <alignment horizontal="center" vertical="top"/>
    </xf>
    <xf numFmtId="3" fontId="5" fillId="0" borderId="15" xfId="0" applyNumberFormat="1" applyFont="1" applyBorder="1" applyAlignment="1">
      <alignment vertical="top"/>
    </xf>
    <xf numFmtId="164" fontId="5" fillId="0" borderId="2" xfId="2" applyFont="1" applyFill="1" applyBorder="1" applyAlignment="1">
      <alignment vertical="top"/>
    </xf>
    <xf numFmtId="41" fontId="7" fillId="0" borderId="6" xfId="0" applyNumberFormat="1" applyFont="1" applyBorder="1" applyAlignment="1">
      <alignment vertical="top"/>
    </xf>
    <xf numFmtId="0" fontId="5" fillId="0" borderId="15" xfId="0" applyFont="1" applyBorder="1"/>
    <xf numFmtId="0" fontId="22" fillId="0" borderId="2" xfId="0" applyFont="1" applyBorder="1" applyAlignment="1">
      <alignment vertical="top" wrapText="1"/>
    </xf>
    <xf numFmtId="1" fontId="7" fillId="0" borderId="6" xfId="0" applyNumberFormat="1" applyFont="1" applyBorder="1" applyAlignment="1">
      <alignment horizontal="center" vertical="top" wrapText="1"/>
    </xf>
    <xf numFmtId="1" fontId="7" fillId="0" borderId="6" xfId="0" applyNumberFormat="1" applyFont="1" applyBorder="1" applyAlignment="1">
      <alignment vertical="top"/>
    </xf>
    <xf numFmtId="0" fontId="22" fillId="0" borderId="15" xfId="0" applyFont="1" applyBorder="1" applyAlignment="1">
      <alignment horizontal="left" vertical="top" wrapText="1"/>
    </xf>
    <xf numFmtId="3" fontId="5" fillId="0" borderId="2" xfId="0" applyNumberFormat="1" applyFont="1" applyBorder="1" applyAlignment="1">
      <alignment vertical="top"/>
    </xf>
    <xf numFmtId="0" fontId="22" fillId="0" borderId="6" xfId="0" applyFont="1" applyBorder="1" applyAlignment="1">
      <alignment vertical="top" wrapText="1"/>
    </xf>
    <xf numFmtId="3" fontId="7" fillId="0" borderId="2" xfId="0" applyNumberFormat="1" applyFont="1" applyBorder="1" applyAlignment="1">
      <alignment vertical="top"/>
    </xf>
    <xf numFmtId="166" fontId="5" fillId="0" borderId="2" xfId="1" applyNumberFormat="1" applyFont="1" applyFill="1" applyBorder="1" applyAlignment="1">
      <alignment vertical="top" wrapText="1"/>
    </xf>
    <xf numFmtId="0" fontId="21" fillId="0" borderId="2" xfId="0" applyFont="1" applyBorder="1" applyAlignment="1">
      <alignment horizontal="left" vertical="top" wrapText="1" readingOrder="1"/>
    </xf>
    <xf numFmtId="1" fontId="5" fillId="0" borderId="11" xfId="0" applyNumberFormat="1" applyFont="1" applyBorder="1" applyAlignment="1">
      <alignment horizontal="center" vertical="top" wrapText="1"/>
    </xf>
    <xf numFmtId="3" fontId="7" fillId="0" borderId="2" xfId="0" quotePrefix="1" applyNumberFormat="1" applyFont="1" applyBorder="1" applyAlignment="1">
      <alignment horizontal="center" vertical="top" wrapText="1"/>
    </xf>
    <xf numFmtId="0" fontId="21" fillId="0" borderId="15" xfId="0" applyFont="1" applyBorder="1" applyAlignment="1">
      <alignment horizontal="left" vertical="top" wrapText="1" readingOrder="1"/>
    </xf>
    <xf numFmtId="3" fontId="7" fillId="0" borderId="15" xfId="0" quotePrefix="1" applyNumberFormat="1" applyFont="1" applyBorder="1" applyAlignment="1">
      <alignment horizontal="center" vertical="top" wrapText="1"/>
    </xf>
    <xf numFmtId="1" fontId="5" fillId="0" borderId="15" xfId="0" quotePrefix="1" applyNumberFormat="1" applyFont="1" applyBorder="1" applyAlignment="1">
      <alignment horizontal="center" vertical="top" wrapText="1"/>
    </xf>
    <xf numFmtId="0" fontId="21" fillId="0" borderId="2" xfId="0" applyFont="1" applyBorder="1" applyAlignment="1">
      <alignment vertical="top" wrapText="1" readingOrder="1"/>
    </xf>
    <xf numFmtId="0" fontId="5" fillId="0" borderId="15" xfId="0" applyFont="1" applyBorder="1" applyAlignment="1">
      <alignment vertical="top" wrapText="1"/>
    </xf>
    <xf numFmtId="166" fontId="7" fillId="0" borderId="2" xfId="1" applyNumberFormat="1" applyFont="1" applyFill="1" applyBorder="1" applyAlignment="1">
      <alignment vertical="center" wrapText="1"/>
    </xf>
    <xf numFmtId="166" fontId="5" fillId="0" borderId="2" xfId="1" quotePrefix="1" applyNumberFormat="1" applyFont="1" applyFill="1" applyBorder="1" applyAlignment="1">
      <alignment vertical="center" wrapText="1"/>
    </xf>
    <xf numFmtId="166" fontId="7" fillId="0" borderId="2" xfId="1" quotePrefix="1" applyNumberFormat="1" applyFont="1" applyFill="1" applyBorder="1" applyAlignment="1">
      <alignment vertical="center" wrapText="1"/>
    </xf>
    <xf numFmtId="0" fontId="17" fillId="0" borderId="2" xfId="0" applyFont="1" applyBorder="1" applyAlignment="1">
      <alignment vertical="center" wrapText="1"/>
    </xf>
    <xf numFmtId="1" fontId="7" fillId="0" borderId="2" xfId="2" applyNumberFormat="1" applyFont="1" applyFill="1" applyBorder="1" applyAlignment="1">
      <alignment horizontal="center" vertical="center" wrapText="1"/>
    </xf>
    <xf numFmtId="164" fontId="7" fillId="0" borderId="2" xfId="2" applyFont="1" applyFill="1" applyBorder="1" applyAlignment="1">
      <alignment vertical="center" wrapText="1"/>
    </xf>
    <xf numFmtId="166" fontId="7" fillId="0" borderId="15" xfId="1" applyNumberFormat="1"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41" fontId="5" fillId="0" borderId="2" xfId="0" applyNumberFormat="1" applyFont="1" applyBorder="1" applyAlignment="1">
      <alignment vertical="center" wrapText="1"/>
    </xf>
    <xf numFmtId="1" fontId="5" fillId="0" borderId="2" xfId="0" applyNumberFormat="1" applyFont="1" applyBorder="1" applyAlignment="1">
      <alignment horizontal="center" vertical="center" wrapText="1"/>
    </xf>
    <xf numFmtId="1" fontId="5" fillId="0" borderId="14"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4" fontId="5" fillId="0" borderId="2" xfId="0" applyNumberFormat="1" applyFont="1" applyBorder="1" applyAlignment="1">
      <alignment vertical="center" wrapText="1"/>
    </xf>
    <xf numFmtId="0" fontId="32" fillId="0" borderId="0" xfId="0" applyFont="1"/>
    <xf numFmtId="0" fontId="5" fillId="0" borderId="2" xfId="3" applyFont="1" applyBorder="1" applyAlignment="1">
      <alignment horizontal="left" vertical="center" wrapText="1"/>
    </xf>
    <xf numFmtId="0" fontId="33" fillId="0" borderId="0" xfId="0" applyFont="1"/>
    <xf numFmtId="0" fontId="7" fillId="0" borderId="2" xfId="3"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9" fontId="7" fillId="0" borderId="2" xfId="0" applyNumberFormat="1" applyFont="1" applyBorder="1" applyAlignment="1">
      <alignment horizontal="center" vertical="center" wrapText="1"/>
    </xf>
    <xf numFmtId="166" fontId="7" fillId="0" borderId="2" xfId="3" applyNumberFormat="1" applyFont="1" applyBorder="1" applyAlignment="1">
      <alignment vertical="center" wrapText="1"/>
    </xf>
    <xf numFmtId="41" fontId="7" fillId="0" borderId="0" xfId="0" applyNumberFormat="1" applyFont="1" applyAlignment="1">
      <alignment vertical="center" wrapText="1"/>
    </xf>
    <xf numFmtId="41" fontId="7" fillId="0" borderId="12" xfId="0" applyNumberFormat="1" applyFont="1" applyBorder="1" applyAlignment="1">
      <alignment vertical="center" wrapText="1"/>
    </xf>
    <xf numFmtId="41" fontId="7" fillId="0" borderId="2" xfId="0" applyNumberFormat="1" applyFont="1" applyBorder="1" applyAlignment="1">
      <alignment vertical="center" wrapText="1"/>
    </xf>
    <xf numFmtId="1" fontId="7" fillId="0" borderId="14"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164" fontId="7" fillId="0" borderId="2" xfId="0" applyNumberFormat="1" applyFont="1" applyBorder="1" applyAlignment="1">
      <alignment vertical="center" wrapText="1"/>
    </xf>
    <xf numFmtId="1"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top" wrapText="1"/>
    </xf>
    <xf numFmtId="0" fontId="5" fillId="0" borderId="11" xfId="0" applyFont="1" applyBorder="1" applyAlignment="1">
      <alignment vertical="center" textRotation="255"/>
    </xf>
    <xf numFmtId="0" fontId="34" fillId="0" borderId="0" xfId="0" applyFont="1"/>
    <xf numFmtId="1" fontId="5" fillId="0" borderId="15" xfId="0" applyNumberFormat="1" applyFont="1" applyBorder="1" applyAlignment="1">
      <alignment horizontal="center" vertical="center" wrapText="1"/>
    </xf>
    <xf numFmtId="9" fontId="5" fillId="0" borderId="15" xfId="0" applyNumberFormat="1" applyFont="1" applyBorder="1" applyAlignment="1">
      <alignment horizontal="center" vertical="center" wrapText="1"/>
    </xf>
    <xf numFmtId="0" fontId="7" fillId="0" borderId="15" xfId="0" applyFont="1" applyBorder="1" applyAlignment="1">
      <alignment horizontal="left" vertical="center" wrapText="1"/>
    </xf>
    <xf numFmtId="1" fontId="7" fillId="0" borderId="15" xfId="0" applyNumberFormat="1" applyFont="1" applyBorder="1" applyAlignment="1">
      <alignment horizontal="center" vertical="center" wrapText="1"/>
    </xf>
    <xf numFmtId="9" fontId="7" fillId="0" borderId="15" xfId="0" applyNumberFormat="1" applyFont="1" applyBorder="1" applyAlignment="1">
      <alignment horizontal="center" vertical="center" wrapText="1"/>
    </xf>
    <xf numFmtId="166" fontId="7" fillId="0" borderId="2" xfId="3" applyNumberFormat="1" applyFont="1" applyBorder="1" applyAlignment="1">
      <alignment vertical="center"/>
    </xf>
    <xf numFmtId="0" fontId="28" fillId="0" borderId="2" xfId="0" applyFont="1" applyBorder="1" applyAlignment="1">
      <alignment horizontal="left" vertical="center" wrapText="1"/>
    </xf>
    <xf numFmtId="1" fontId="5" fillId="0" borderId="2" xfId="0" applyNumberFormat="1" applyFont="1" applyBorder="1" applyAlignment="1">
      <alignment vertical="center" wrapText="1"/>
    </xf>
    <xf numFmtId="1" fontId="7" fillId="0" borderId="2" xfId="0" applyNumberFormat="1" applyFont="1" applyBorder="1" applyAlignment="1">
      <alignment vertical="center" wrapText="1"/>
    </xf>
    <xf numFmtId="41" fontId="5" fillId="0" borderId="12" xfId="0" applyNumberFormat="1" applyFont="1" applyBorder="1" applyAlignment="1">
      <alignment vertical="center" wrapText="1"/>
    </xf>
    <xf numFmtId="0" fontId="21" fillId="0" borderId="2" xfId="0" applyFont="1" applyBorder="1" applyAlignment="1">
      <alignment horizontal="left" vertical="center" wrapText="1"/>
    </xf>
    <xf numFmtId="0" fontId="35" fillId="0" borderId="0" xfId="0" applyFont="1"/>
    <xf numFmtId="41" fontId="5" fillId="0" borderId="3" xfId="0" applyNumberFormat="1" applyFont="1" applyBorder="1" applyAlignment="1">
      <alignment vertical="center" wrapText="1"/>
    </xf>
    <xf numFmtId="0" fontId="17" fillId="0" borderId="6" xfId="0" applyFont="1" applyBorder="1" applyAlignment="1">
      <alignment vertical="center" wrapText="1"/>
    </xf>
    <xf numFmtId="0" fontId="7" fillId="0" borderId="2" xfId="3" applyFont="1" applyBorder="1" applyAlignment="1">
      <alignment vertical="center" wrapText="1"/>
    </xf>
    <xf numFmtId="41" fontId="7" fillId="0" borderId="2" xfId="0" applyNumberFormat="1" applyFont="1" applyBorder="1" applyAlignment="1">
      <alignment horizontal="center" vertical="center" wrapText="1"/>
    </xf>
    <xf numFmtId="164" fontId="7" fillId="0" borderId="6" xfId="0" applyNumberFormat="1" applyFont="1" applyBorder="1" applyAlignment="1">
      <alignment vertical="center" wrapText="1"/>
    </xf>
    <xf numFmtId="2" fontId="7"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2" fontId="7" fillId="0" borderId="6" xfId="0" applyNumberFormat="1" applyFont="1" applyBorder="1" applyAlignment="1">
      <alignment horizontal="center" vertical="top" wrapText="1"/>
    </xf>
    <xf numFmtId="41" fontId="7" fillId="0" borderId="15" xfId="0" applyNumberFormat="1" applyFont="1" applyBorder="1" applyAlignment="1">
      <alignment vertical="center" wrapText="1"/>
    </xf>
    <xf numFmtId="0" fontId="7" fillId="0" borderId="15" xfId="0" applyFont="1" applyBorder="1" applyAlignment="1">
      <alignment horizontal="center" vertical="center" wrapText="1"/>
    </xf>
    <xf numFmtId="41" fontId="7" fillId="0" borderId="15" xfId="0" applyNumberFormat="1" applyFont="1" applyBorder="1" applyAlignment="1">
      <alignment horizontal="center" vertical="center" wrapText="1"/>
    </xf>
    <xf numFmtId="41" fontId="5" fillId="0" borderId="2" xfId="0" applyNumberFormat="1" applyFont="1" applyBorder="1" applyAlignment="1">
      <alignment horizontal="center" vertical="center" wrapText="1"/>
    </xf>
    <xf numFmtId="0" fontId="22" fillId="0" borderId="6" xfId="0" applyFont="1" applyBorder="1" applyAlignment="1">
      <alignment vertical="center" wrapText="1"/>
    </xf>
    <xf numFmtId="0" fontId="7" fillId="0" borderId="2" xfId="0" applyFont="1" applyBorder="1" applyAlignment="1">
      <alignment vertical="center" wrapText="1"/>
    </xf>
    <xf numFmtId="166" fontId="5" fillId="0" borderId="2" xfId="0" applyNumberFormat="1" applyFont="1" applyBorder="1" applyAlignment="1">
      <alignment vertical="center" wrapText="1"/>
    </xf>
    <xf numFmtId="166" fontId="5" fillId="0" borderId="12" xfId="0" applyNumberFormat="1" applyFont="1" applyBorder="1" applyAlignment="1">
      <alignment vertical="center" wrapText="1"/>
    </xf>
    <xf numFmtId="166" fontId="7" fillId="0" borderId="12" xfId="1" quotePrefix="1" applyNumberFormat="1" applyFont="1" applyFill="1" applyBorder="1" applyAlignment="1">
      <alignment vertical="center" wrapText="1"/>
    </xf>
    <xf numFmtId="166" fontId="36" fillId="0" borderId="2" xfId="1" applyNumberFormat="1" applyFont="1" applyFill="1" applyBorder="1" applyAlignment="1">
      <alignment horizontal="center" vertical="top" wrapText="1"/>
    </xf>
    <xf numFmtId="166" fontId="5" fillId="0" borderId="2" xfId="1" quotePrefix="1" applyNumberFormat="1" applyFont="1" applyFill="1" applyBorder="1" applyAlignment="1">
      <alignment horizontal="center" vertical="top"/>
    </xf>
    <xf numFmtId="164" fontId="37" fillId="0" borderId="2" xfId="2" applyFont="1" applyFill="1" applyBorder="1" applyAlignment="1">
      <alignment horizontal="center" vertical="top" wrapText="1"/>
    </xf>
    <xf numFmtId="164" fontId="36" fillId="0" borderId="2" xfId="2" applyFont="1" applyFill="1" applyBorder="1" applyAlignment="1">
      <alignment horizontal="center" vertical="top" wrapText="1"/>
    </xf>
    <xf numFmtId="166" fontId="37" fillId="0" borderId="2" xfId="1" applyNumberFormat="1" applyFont="1" applyFill="1" applyBorder="1" applyAlignment="1">
      <alignment horizontal="center" vertical="top" wrapText="1"/>
    </xf>
    <xf numFmtId="164" fontId="36" fillId="0" borderId="2" xfId="2" applyFont="1" applyFill="1" applyBorder="1" applyAlignment="1">
      <alignment horizontal="left" vertical="top" wrapText="1"/>
    </xf>
    <xf numFmtId="164" fontId="5" fillId="0" borderId="6" xfId="2" applyFont="1" applyFill="1" applyBorder="1" applyAlignment="1">
      <alignment vertical="top"/>
    </xf>
    <xf numFmtId="2" fontId="5" fillId="0" borderId="2" xfId="1" applyNumberFormat="1" applyFont="1" applyFill="1" applyBorder="1" applyAlignment="1">
      <alignment horizontal="center" vertical="top" wrapText="1"/>
    </xf>
    <xf numFmtId="164" fontId="5" fillId="0" borderId="2" xfId="2" applyFont="1" applyFill="1" applyBorder="1" applyAlignment="1">
      <alignment horizontal="center" vertical="top"/>
    </xf>
    <xf numFmtId="166" fontId="5" fillId="0" borderId="2" xfId="1" quotePrefix="1" applyNumberFormat="1" applyFont="1" applyFill="1" applyBorder="1" applyAlignment="1">
      <alignment vertical="top" wrapText="1"/>
    </xf>
    <xf numFmtId="166" fontId="7" fillId="0" borderId="2" xfId="1" quotePrefix="1" applyNumberFormat="1" applyFont="1" applyFill="1" applyBorder="1" applyAlignment="1">
      <alignment vertical="top" wrapText="1"/>
    </xf>
    <xf numFmtId="174" fontId="5" fillId="0" borderId="2" xfId="2" applyNumberFormat="1" applyFont="1" applyFill="1" applyBorder="1" applyAlignment="1">
      <alignment horizontal="center" vertical="top"/>
    </xf>
    <xf numFmtId="0" fontId="5" fillId="0" borderId="2" xfId="0" applyFont="1" applyBorder="1" applyAlignment="1">
      <alignment vertical="top"/>
    </xf>
    <xf numFmtId="0" fontId="19" fillId="0" borderId="2" xfId="0" applyFont="1" applyBorder="1" applyAlignment="1">
      <alignment horizontal="center" vertical="top" wrapText="1"/>
    </xf>
    <xf numFmtId="172" fontId="5" fillId="0" borderId="2" xfId="0" quotePrefix="1" applyNumberFormat="1" applyFont="1" applyBorder="1" applyAlignment="1">
      <alignment horizontal="center" vertical="top" wrapText="1"/>
    </xf>
    <xf numFmtId="4" fontId="5" fillId="0" borderId="2" xfId="0" quotePrefix="1" applyNumberFormat="1" applyFont="1" applyBorder="1" applyAlignment="1">
      <alignment horizontal="center" vertical="top" wrapText="1"/>
    </xf>
    <xf numFmtId="0" fontId="5" fillId="0" borderId="2" xfId="0" quotePrefix="1" applyFont="1" applyBorder="1" applyAlignment="1">
      <alignment horizontal="center" vertical="top" wrapText="1"/>
    </xf>
    <xf numFmtId="3" fontId="5" fillId="0" borderId="2" xfId="0" quotePrefix="1" applyNumberFormat="1" applyFont="1" applyBorder="1" applyAlignment="1">
      <alignment horizontal="center" vertical="top" wrapText="1"/>
    </xf>
    <xf numFmtId="1" fontId="5" fillId="0" borderId="2" xfId="2" applyNumberFormat="1" applyFont="1" applyFill="1" applyBorder="1" applyAlignment="1">
      <alignment horizontal="center" vertical="top" wrapText="1"/>
    </xf>
    <xf numFmtId="1" fontId="7" fillId="0" borderId="2" xfId="2" quotePrefix="1" applyNumberFormat="1" applyFont="1" applyFill="1" applyBorder="1" applyAlignment="1">
      <alignment horizontal="center" vertical="top"/>
    </xf>
    <xf numFmtId="164" fontId="5" fillId="0" borderId="2" xfId="0" applyNumberFormat="1" applyFont="1" applyBorder="1" applyAlignment="1">
      <alignment vertical="top" wrapText="1"/>
    </xf>
    <xf numFmtId="0" fontId="5" fillId="0" borderId="0" xfId="0" applyFont="1" applyAlignment="1">
      <alignment vertical="top" wrapText="1"/>
    </xf>
    <xf numFmtId="0" fontId="7" fillId="0" borderId="0" xfId="0" applyFont="1" applyAlignment="1">
      <alignment horizontal="left" vertical="top" wrapText="1"/>
    </xf>
    <xf numFmtId="2" fontId="28" fillId="0" borderId="2" xfId="0" applyNumberFormat="1" applyFont="1" applyBorder="1" applyAlignment="1">
      <alignment horizontal="center" vertical="top"/>
    </xf>
    <xf numFmtId="2" fontId="28" fillId="0" borderId="0" xfId="0" applyNumberFormat="1" applyFont="1" applyAlignment="1">
      <alignment horizontal="center" vertical="top"/>
    </xf>
    <xf numFmtId="0" fontId="5" fillId="0" borderId="2" xfId="10" applyFont="1" applyBorder="1" applyAlignment="1">
      <alignment vertical="top" wrapText="1"/>
    </xf>
    <xf numFmtId="164" fontId="7" fillId="0" borderId="12" xfId="2" applyFont="1" applyFill="1" applyBorder="1" applyAlignment="1">
      <alignment horizontal="right" vertical="top"/>
    </xf>
    <xf numFmtId="0" fontId="22" fillId="0" borderId="2" xfId="0" applyFont="1" applyBorder="1" applyAlignment="1">
      <alignment horizontal="left" vertical="top" wrapText="1"/>
    </xf>
    <xf numFmtId="49" fontId="22" fillId="0" borderId="2" xfId="0" quotePrefix="1" applyNumberFormat="1" applyFont="1" applyBorder="1" applyAlignment="1">
      <alignment horizontal="right" vertical="top" wrapText="1"/>
    </xf>
    <xf numFmtId="0" fontId="22" fillId="0" borderId="2" xfId="0" applyFont="1" applyBorder="1" applyAlignment="1">
      <alignment horizontal="right" vertical="top" wrapText="1"/>
    </xf>
    <xf numFmtId="3" fontId="22" fillId="0" borderId="2" xfId="0" applyNumberFormat="1" applyFont="1" applyBorder="1" applyAlignment="1">
      <alignment horizontal="right" vertical="top" wrapText="1"/>
    </xf>
    <xf numFmtId="3" fontId="22" fillId="0" borderId="12" xfId="0" quotePrefix="1" applyNumberFormat="1" applyFont="1" applyBorder="1" applyAlignment="1">
      <alignment horizontal="right" vertical="top" wrapText="1"/>
    </xf>
    <xf numFmtId="0" fontId="7" fillId="0" borderId="12" xfId="0" applyFont="1" applyBorder="1" applyAlignment="1">
      <alignment horizontal="center" vertical="top" wrapText="1"/>
    </xf>
    <xf numFmtId="1" fontId="7" fillId="0" borderId="12" xfId="0" applyNumberFormat="1" applyFont="1" applyBorder="1" applyAlignment="1">
      <alignment horizontal="center" vertical="top"/>
    </xf>
    <xf numFmtId="2" fontId="7" fillId="0" borderId="12" xfId="0" applyNumberFormat="1" applyFont="1" applyBorder="1" applyAlignment="1">
      <alignment horizontal="center" vertical="top"/>
    </xf>
    <xf numFmtId="164" fontId="17" fillId="0" borderId="0" xfId="0" applyNumberFormat="1" applyFont="1"/>
    <xf numFmtId="166" fontId="17" fillId="0" borderId="0" xfId="1" quotePrefix="1" applyNumberFormat="1" applyFont="1" applyFill="1" applyBorder="1" applyAlignment="1">
      <alignment vertical="top"/>
    </xf>
    <xf numFmtId="0" fontId="17" fillId="0" borderId="2" xfId="0" applyFont="1" applyBorder="1" applyAlignment="1">
      <alignment horizontal="right" vertical="top" wrapText="1"/>
    </xf>
    <xf numFmtId="3" fontId="17" fillId="0" borderId="2" xfId="0" applyNumberFormat="1" applyFont="1" applyBorder="1" applyAlignment="1">
      <alignment horizontal="right" vertical="top" wrapText="1"/>
    </xf>
    <xf numFmtId="0" fontId="17" fillId="0" borderId="12" xfId="0" applyFont="1" applyBorder="1" applyAlignment="1">
      <alignment horizontal="right" vertical="top" wrapText="1"/>
    </xf>
    <xf numFmtId="1" fontId="7" fillId="0" borderId="2" xfId="0" applyNumberFormat="1" applyFont="1" applyBorder="1" applyAlignment="1">
      <alignment vertical="top"/>
    </xf>
    <xf numFmtId="1" fontId="7" fillId="0" borderId="12" xfId="0" applyNumberFormat="1" applyFont="1" applyBorder="1" applyAlignment="1">
      <alignment horizontal="right" vertical="top"/>
    </xf>
    <xf numFmtId="2" fontId="7" fillId="0" borderId="12" xfId="0" applyNumberFormat="1" applyFont="1" applyBorder="1" applyAlignment="1">
      <alignment horizontal="center" vertical="top" wrapText="1"/>
    </xf>
    <xf numFmtId="0" fontId="5" fillId="0" borderId="12" xfId="0" applyFont="1" applyBorder="1" applyAlignment="1">
      <alignment horizontal="center" vertical="top" wrapText="1"/>
    </xf>
    <xf numFmtId="4" fontId="22" fillId="0" borderId="2" xfId="0" applyNumberFormat="1" applyFont="1" applyBorder="1" applyAlignment="1">
      <alignment horizontal="right" vertical="top" wrapText="1"/>
    </xf>
    <xf numFmtId="172" fontId="22" fillId="0" borderId="2" xfId="0" applyNumberFormat="1" applyFont="1" applyBorder="1" applyAlignment="1">
      <alignment horizontal="right" vertical="top" wrapText="1"/>
    </xf>
    <xf numFmtId="172" fontId="22" fillId="0" borderId="12" xfId="0" applyNumberFormat="1" applyFont="1" applyBorder="1" applyAlignment="1">
      <alignment horizontal="right" vertical="top" wrapText="1"/>
    </xf>
    <xf numFmtId="0" fontId="17" fillId="0" borderId="12" xfId="0" applyFont="1" applyBorder="1" applyAlignment="1">
      <alignment horizontal="center" vertical="top" wrapText="1"/>
    </xf>
    <xf numFmtId="1" fontId="17" fillId="0" borderId="12" xfId="0" applyNumberFormat="1" applyFont="1" applyBorder="1" applyAlignment="1">
      <alignment horizontal="center" vertical="top" wrapText="1"/>
    </xf>
    <xf numFmtId="1" fontId="17" fillId="0" borderId="12" xfId="0" applyNumberFormat="1" applyFont="1" applyBorder="1" applyAlignment="1">
      <alignment horizontal="center" vertical="top"/>
    </xf>
    <xf numFmtId="1" fontId="17" fillId="0" borderId="2" xfId="0" applyNumberFormat="1" applyFont="1" applyBorder="1" applyAlignment="1">
      <alignment vertical="top"/>
    </xf>
    <xf numFmtId="2" fontId="17" fillId="0" borderId="12" xfId="0" applyNumberFormat="1" applyFont="1" applyBorder="1" applyAlignment="1">
      <alignment horizontal="center" vertical="top"/>
    </xf>
    <xf numFmtId="1" fontId="17" fillId="0" borderId="12" xfId="0" applyNumberFormat="1" applyFont="1" applyBorder="1" applyAlignment="1">
      <alignment horizontal="right" vertical="top"/>
    </xf>
    <xf numFmtId="0" fontId="17" fillId="0" borderId="11" xfId="0" applyFont="1" applyBorder="1"/>
    <xf numFmtId="0" fontId="17" fillId="0" borderId="0" xfId="0" applyFont="1"/>
    <xf numFmtId="172" fontId="17" fillId="0" borderId="2" xfId="0" applyNumberFormat="1" applyFont="1" applyBorder="1" applyAlignment="1">
      <alignment horizontal="right" vertical="top" wrapText="1"/>
    </xf>
    <xf numFmtId="172" fontId="17" fillId="0" borderId="12" xfId="0" applyNumberFormat="1" applyFont="1" applyBorder="1" applyAlignment="1">
      <alignment horizontal="right" vertical="top" wrapText="1"/>
    </xf>
    <xf numFmtId="3" fontId="17" fillId="0" borderId="2" xfId="0" applyNumberFormat="1" applyFont="1" applyBorder="1" applyAlignment="1">
      <alignment horizontal="left" vertical="top" wrapText="1"/>
    </xf>
    <xf numFmtId="4" fontId="17" fillId="0" borderId="2" xfId="0" applyNumberFormat="1" applyFont="1" applyBorder="1" applyAlignment="1">
      <alignment horizontal="right" vertical="top" wrapText="1"/>
    </xf>
    <xf numFmtId="3" fontId="17" fillId="0" borderId="12" xfId="0" applyNumberFormat="1" applyFont="1" applyBorder="1" applyAlignment="1">
      <alignment horizontal="right" vertical="top" wrapText="1"/>
    </xf>
    <xf numFmtId="3" fontId="22" fillId="0" borderId="2" xfId="0" applyNumberFormat="1" applyFont="1" applyBorder="1" applyAlignment="1">
      <alignment vertical="top" wrapText="1"/>
    </xf>
    <xf numFmtId="4" fontId="17" fillId="0" borderId="12" xfId="0" applyNumberFormat="1" applyFont="1" applyBorder="1" applyAlignment="1">
      <alignment horizontal="right" vertical="top" wrapText="1"/>
    </xf>
    <xf numFmtId="4" fontId="17" fillId="0" borderId="12" xfId="0" applyNumberFormat="1" applyFont="1" applyBorder="1" applyAlignment="1">
      <alignment horizontal="center" vertical="top" wrapText="1"/>
    </xf>
    <xf numFmtId="0" fontId="22" fillId="0" borderId="12" xfId="0" applyFont="1" applyBorder="1" applyAlignment="1">
      <alignment horizontal="center" vertical="top" wrapText="1"/>
    </xf>
    <xf numFmtId="166" fontId="22" fillId="0" borderId="2" xfId="1" quotePrefix="1" applyNumberFormat="1" applyFont="1" applyFill="1" applyBorder="1" applyAlignment="1">
      <alignment vertical="top"/>
    </xf>
    <xf numFmtId="3" fontId="22" fillId="0" borderId="2" xfId="0" applyNumberFormat="1" applyFont="1" applyBorder="1" applyAlignment="1">
      <alignment horizontal="left" vertical="top" wrapText="1"/>
    </xf>
    <xf numFmtId="3" fontId="22" fillId="0" borderId="12" xfId="0" applyNumberFormat="1" applyFont="1" applyBorder="1" applyAlignment="1">
      <alignment horizontal="right" vertical="top" wrapText="1"/>
    </xf>
    <xf numFmtId="1" fontId="22" fillId="0" borderId="12" xfId="0" applyNumberFormat="1" applyFont="1" applyBorder="1" applyAlignment="1">
      <alignment horizontal="center" vertical="top" wrapText="1"/>
    </xf>
    <xf numFmtId="1" fontId="22" fillId="0" borderId="12" xfId="0" applyNumberFormat="1" applyFont="1" applyBorder="1" applyAlignment="1">
      <alignment horizontal="center" vertical="top"/>
    </xf>
    <xf numFmtId="2" fontId="22" fillId="0" borderId="12" xfId="0" applyNumberFormat="1" applyFont="1" applyBorder="1" applyAlignment="1">
      <alignment horizontal="center" vertical="top"/>
    </xf>
    <xf numFmtId="1" fontId="22" fillId="0" borderId="12" xfId="0" applyNumberFormat="1" applyFont="1" applyBorder="1" applyAlignment="1">
      <alignment horizontal="right" vertical="top"/>
    </xf>
    <xf numFmtId="3" fontId="22" fillId="0" borderId="2" xfId="7" applyNumberFormat="1" applyFont="1" applyBorder="1" applyAlignment="1">
      <alignment horizontal="left" vertical="top" wrapText="1"/>
    </xf>
    <xf numFmtId="4" fontId="22" fillId="0" borderId="12" xfId="0" applyNumberFormat="1" applyFont="1" applyBorder="1" applyAlignment="1">
      <alignment horizontal="right" vertical="top" wrapText="1"/>
    </xf>
    <xf numFmtId="164" fontId="22" fillId="0" borderId="12" xfId="2" quotePrefix="1" applyFont="1" applyFill="1" applyBorder="1" applyAlignment="1">
      <alignment horizontal="center" vertical="top"/>
    </xf>
    <xf numFmtId="0" fontId="17" fillId="0" borderId="12" xfId="2" applyNumberFormat="1" applyFont="1" applyFill="1" applyBorder="1" applyAlignment="1">
      <alignment horizontal="center" vertical="top"/>
    </xf>
    <xf numFmtId="0" fontId="22" fillId="0" borderId="12" xfId="0" quotePrefix="1" applyFont="1" applyBorder="1" applyAlignment="1">
      <alignment horizontal="center" vertical="top" wrapText="1"/>
    </xf>
    <xf numFmtId="0" fontId="22" fillId="0" borderId="12" xfId="2" applyNumberFormat="1" applyFont="1" applyFill="1" applyBorder="1" applyAlignment="1">
      <alignment horizontal="center" vertical="top"/>
    </xf>
    <xf numFmtId="2" fontId="22" fillId="0" borderId="12" xfId="0" applyNumberFormat="1" applyFont="1" applyBorder="1" applyAlignment="1">
      <alignment horizontal="center" vertical="top" wrapText="1"/>
    </xf>
    <xf numFmtId="3" fontId="17" fillId="0" borderId="2" xfId="7" applyNumberFormat="1" applyFont="1" applyBorder="1" applyAlignment="1">
      <alignment horizontal="left" vertical="top" wrapText="1"/>
    </xf>
    <xf numFmtId="3" fontId="22" fillId="0" borderId="12" xfId="0" applyNumberFormat="1" applyFont="1" applyBorder="1" applyAlignment="1">
      <alignment horizontal="center" vertical="top" wrapText="1"/>
    </xf>
    <xf numFmtId="164" fontId="22" fillId="0" borderId="12" xfId="2" applyFont="1" applyFill="1" applyBorder="1" applyAlignment="1">
      <alignment horizontal="center" vertical="top"/>
    </xf>
    <xf numFmtId="164" fontId="22" fillId="0" borderId="12" xfId="2" applyFont="1" applyFill="1" applyBorder="1" applyAlignment="1">
      <alignment horizontal="right" vertical="top"/>
    </xf>
    <xf numFmtId="3" fontId="17" fillId="0" borderId="2" xfId="0" quotePrefix="1" applyNumberFormat="1" applyFont="1" applyBorder="1" applyAlignment="1">
      <alignment horizontal="left" vertical="top" wrapText="1"/>
    </xf>
    <xf numFmtId="3" fontId="22" fillId="0" borderId="2" xfId="7" applyNumberFormat="1" applyFont="1" applyBorder="1" applyAlignment="1">
      <alignment vertical="top" wrapText="1"/>
    </xf>
    <xf numFmtId="166" fontId="22" fillId="0" borderId="2" xfId="1" quotePrefix="1" applyNumberFormat="1" applyFont="1" applyFill="1" applyBorder="1" applyAlignment="1" applyProtection="1">
      <alignment vertical="top"/>
    </xf>
    <xf numFmtId="164" fontId="22" fillId="0" borderId="12" xfId="2" applyFont="1" applyFill="1" applyBorder="1" applyAlignment="1" applyProtection="1">
      <alignment horizontal="center" vertical="top"/>
    </xf>
    <xf numFmtId="164" fontId="22" fillId="0" borderId="12" xfId="2" applyFont="1" applyFill="1" applyBorder="1" applyAlignment="1" applyProtection="1">
      <alignment horizontal="right" vertical="top"/>
    </xf>
    <xf numFmtId="3" fontId="17" fillId="0" borderId="0" xfId="1" quotePrefix="1" applyNumberFormat="1" applyFont="1" applyFill="1" applyBorder="1" applyAlignment="1" applyProtection="1">
      <alignment vertical="top"/>
    </xf>
    <xf numFmtId="3" fontId="17" fillId="0" borderId="0" xfId="0" applyNumberFormat="1" applyFont="1"/>
    <xf numFmtId="3" fontId="17" fillId="0" borderId="2" xfId="0" applyNumberFormat="1" applyFont="1" applyBorder="1" applyAlignment="1">
      <alignment vertical="top" wrapText="1"/>
    </xf>
    <xf numFmtId="164" fontId="17" fillId="0" borderId="12" xfId="2" applyFont="1" applyFill="1" applyBorder="1" applyAlignment="1" applyProtection="1">
      <alignment horizontal="center" vertical="top"/>
    </xf>
    <xf numFmtId="164" fontId="17" fillId="0" borderId="12" xfId="2" applyFont="1" applyFill="1" applyBorder="1" applyAlignment="1" applyProtection="1">
      <alignment horizontal="right" vertical="top"/>
    </xf>
    <xf numFmtId="3" fontId="17" fillId="0" borderId="12" xfId="0" applyNumberFormat="1" applyFont="1" applyBorder="1" applyAlignment="1">
      <alignment horizontal="center" vertical="top" wrapText="1"/>
    </xf>
    <xf numFmtId="166" fontId="17" fillId="0" borderId="2" xfId="1" quotePrefix="1" applyNumberFormat="1" applyFont="1" applyFill="1" applyBorder="1" applyAlignment="1" applyProtection="1">
      <alignment vertical="top"/>
    </xf>
    <xf numFmtId="3" fontId="17" fillId="0" borderId="0" xfId="0" applyNumberFormat="1" applyFont="1" applyAlignment="1">
      <alignment wrapText="1"/>
    </xf>
    <xf numFmtId="49" fontId="22" fillId="0" borderId="2" xfId="0" applyNumberFormat="1" applyFont="1" applyBorder="1" applyAlignment="1">
      <alignment horizontal="right" vertical="top" wrapText="1"/>
    </xf>
    <xf numFmtId="49" fontId="22" fillId="0" borderId="12" xfId="0" applyNumberFormat="1" applyFont="1" applyBorder="1" applyAlignment="1">
      <alignment horizontal="right" vertical="top" wrapText="1"/>
    </xf>
    <xf numFmtId="164" fontId="17" fillId="0" borderId="12" xfId="2" applyFont="1" applyFill="1" applyBorder="1" applyAlignment="1">
      <alignment horizontal="center" vertical="top"/>
    </xf>
    <xf numFmtId="49" fontId="17" fillId="0" borderId="0" xfId="0" applyNumberFormat="1" applyFont="1"/>
    <xf numFmtId="166" fontId="17" fillId="0" borderId="0" xfId="0" applyNumberFormat="1" applyFont="1" applyAlignment="1">
      <alignment vertical="center"/>
    </xf>
    <xf numFmtId="1" fontId="22" fillId="0" borderId="12" xfId="2" applyNumberFormat="1" applyFont="1" applyFill="1" applyBorder="1" applyAlignment="1">
      <alignment horizontal="center" vertical="top"/>
    </xf>
    <xf numFmtId="49" fontId="17" fillId="0" borderId="2" xfId="0" applyNumberFormat="1" applyFont="1" applyBorder="1" applyAlignment="1">
      <alignment horizontal="right" vertical="top" wrapText="1"/>
    </xf>
    <xf numFmtId="49" fontId="17" fillId="0" borderId="12" xfId="0" applyNumberFormat="1" applyFont="1" applyBorder="1" applyAlignment="1">
      <alignment horizontal="right" vertical="top" wrapText="1"/>
    </xf>
    <xf numFmtId="49" fontId="17" fillId="0" borderId="12" xfId="0" applyNumberFormat="1" applyFont="1" applyBorder="1" applyAlignment="1">
      <alignment horizontal="center" vertical="top" wrapText="1"/>
    </xf>
    <xf numFmtId="3" fontId="22" fillId="0" borderId="12" xfId="0" applyNumberFormat="1" applyFont="1" applyBorder="1" applyAlignment="1">
      <alignment horizontal="center" vertical="top"/>
    </xf>
    <xf numFmtId="49" fontId="17" fillId="0" borderId="2" xfId="0" quotePrefix="1" applyNumberFormat="1" applyFont="1" applyBorder="1" applyAlignment="1">
      <alignment horizontal="right" vertical="top" wrapText="1"/>
    </xf>
    <xf numFmtId="49" fontId="17" fillId="0" borderId="12" xfId="0" quotePrefix="1" applyNumberFormat="1" applyFont="1" applyBorder="1" applyAlignment="1">
      <alignment horizontal="right" vertical="top" wrapText="1"/>
    </xf>
    <xf numFmtId="166" fontId="17" fillId="0" borderId="0" xfId="0" applyNumberFormat="1" applyFont="1"/>
    <xf numFmtId="0" fontId="22" fillId="0" borderId="12" xfId="0" applyFont="1" applyBorder="1" applyAlignment="1">
      <alignment horizontal="right" vertical="top" wrapText="1"/>
    </xf>
    <xf numFmtId="9" fontId="17" fillId="0" borderId="16" xfId="0" applyNumberFormat="1" applyFont="1" applyBorder="1" applyAlignment="1">
      <alignment horizontal="left" vertical="top" wrapText="1"/>
    </xf>
    <xf numFmtId="49" fontId="22" fillId="0" borderId="12" xfId="2" applyNumberFormat="1" applyFont="1" applyFill="1" applyBorder="1" applyAlignment="1">
      <alignment horizontal="center" vertical="top"/>
    </xf>
    <xf numFmtId="174" fontId="22" fillId="0" borderId="12" xfId="2" quotePrefix="1" applyNumberFormat="1" applyFont="1" applyFill="1" applyBorder="1" applyAlignment="1">
      <alignment horizontal="center" vertical="top"/>
    </xf>
    <xf numFmtId="164" fontId="17" fillId="0" borderId="12" xfId="2" quotePrefix="1" applyFont="1" applyFill="1" applyBorder="1" applyAlignment="1">
      <alignment horizontal="center" vertical="top"/>
    </xf>
    <xf numFmtId="164" fontId="17" fillId="0" borderId="12" xfId="2" applyFont="1" applyFill="1" applyBorder="1" applyAlignment="1">
      <alignment horizontal="right" vertical="top"/>
    </xf>
    <xf numFmtId="164" fontId="17" fillId="0" borderId="12" xfId="2" applyFont="1" applyFill="1" applyBorder="1" applyAlignment="1">
      <alignment horizontal="center" vertical="top" wrapText="1"/>
    </xf>
    <xf numFmtId="166" fontId="5" fillId="0" borderId="2" xfId="1" quotePrefix="1" applyNumberFormat="1" applyFont="1" applyFill="1" applyBorder="1" applyAlignment="1">
      <alignment horizontal="center" vertical="center"/>
    </xf>
    <xf numFmtId="164" fontId="7" fillId="0" borderId="2" xfId="2" applyFont="1" applyFill="1" applyBorder="1" applyAlignment="1">
      <alignment horizontal="center" vertical="center"/>
    </xf>
    <xf numFmtId="166" fontId="7" fillId="0" borderId="2" xfId="1" quotePrefix="1" applyNumberFormat="1" applyFont="1" applyFill="1" applyBorder="1" applyAlignment="1">
      <alignment horizontal="center" vertical="center"/>
    </xf>
    <xf numFmtId="164" fontId="7" fillId="0" borderId="15" xfId="2" applyFont="1" applyFill="1" applyBorder="1" applyAlignment="1">
      <alignment horizontal="center" vertical="center"/>
    </xf>
    <xf numFmtId="166" fontId="7" fillId="0" borderId="15" xfId="1" quotePrefix="1" applyNumberFormat="1" applyFont="1" applyFill="1" applyBorder="1" applyAlignment="1">
      <alignment horizontal="center" vertical="center"/>
    </xf>
    <xf numFmtId="164" fontId="7" fillId="0" borderId="2" xfId="2" quotePrefix="1" applyFont="1" applyFill="1" applyBorder="1" applyAlignment="1">
      <alignment horizontal="center" vertical="center"/>
    </xf>
    <xf numFmtId="166" fontId="17" fillId="0" borderId="2" xfId="1" quotePrefix="1" applyNumberFormat="1" applyFont="1" applyFill="1" applyBorder="1" applyAlignment="1">
      <alignment vertical="center"/>
    </xf>
    <xf numFmtId="166" fontId="7" fillId="0" borderId="2" xfId="1" applyNumberFormat="1" applyFont="1" applyFill="1" applyBorder="1" applyAlignment="1">
      <alignment horizontal="center" vertical="center"/>
    </xf>
    <xf numFmtId="1" fontId="7" fillId="0" borderId="2" xfId="2" applyNumberFormat="1" applyFont="1" applyFill="1" applyBorder="1" applyAlignment="1">
      <alignment horizontal="center" vertical="center"/>
    </xf>
    <xf numFmtId="166" fontId="5" fillId="0" borderId="6" xfId="1" quotePrefix="1" applyNumberFormat="1" applyFont="1" applyFill="1" applyBorder="1" applyAlignment="1">
      <alignment horizontal="center" vertical="center"/>
    </xf>
    <xf numFmtId="3" fontId="5" fillId="0" borderId="2" xfId="2" applyNumberFormat="1" applyFont="1" applyFill="1" applyBorder="1" applyAlignment="1">
      <alignment horizontal="center" vertical="center" wrapText="1"/>
    </xf>
    <xf numFmtId="3" fontId="7" fillId="0" borderId="2" xfId="2" applyNumberFormat="1" applyFont="1" applyFill="1" applyBorder="1" applyAlignment="1">
      <alignment horizontal="center" vertical="center"/>
    </xf>
    <xf numFmtId="1" fontId="5" fillId="0" borderId="2" xfId="2" applyNumberFormat="1" applyFont="1" applyFill="1" applyBorder="1" applyAlignment="1">
      <alignment horizontal="center" vertical="center"/>
    </xf>
    <xf numFmtId="166" fontId="5" fillId="0" borderId="15" xfId="1" quotePrefix="1" applyNumberFormat="1" applyFont="1" applyFill="1" applyBorder="1" applyAlignment="1">
      <alignment horizontal="center" vertical="center"/>
    </xf>
    <xf numFmtId="0" fontId="5" fillId="0" borderId="6" xfId="0" applyFont="1" applyBorder="1" applyAlignment="1">
      <alignment horizontal="center" vertical="center"/>
    </xf>
    <xf numFmtId="9" fontId="5" fillId="0" borderId="2" xfId="0" applyNumberFormat="1" applyFont="1" applyBorder="1" applyAlignment="1">
      <alignment horizontal="center" vertical="center"/>
    </xf>
    <xf numFmtId="0" fontId="22" fillId="0" borderId="2" xfId="0" applyFont="1" applyBorder="1" applyAlignment="1">
      <alignment horizontal="center" vertical="center" wrapText="1"/>
    </xf>
    <xf numFmtId="1" fontId="5" fillId="0" borderId="2" xfId="0" applyNumberFormat="1" applyFont="1" applyBorder="1" applyAlignment="1">
      <alignment horizontal="center" vertical="center"/>
    </xf>
    <xf numFmtId="0" fontId="5" fillId="0" borderId="2" xfId="0" applyFont="1" applyBorder="1" applyAlignment="1">
      <alignment horizontal="center" vertical="center"/>
    </xf>
    <xf numFmtId="164" fontId="5" fillId="0" borderId="6" xfId="0" applyNumberFormat="1" applyFont="1" applyBorder="1" applyAlignment="1">
      <alignment horizontal="center" vertical="center"/>
    </xf>
    <xf numFmtId="2" fontId="5" fillId="0" borderId="6" xfId="0" applyNumberFormat="1" applyFont="1" applyBorder="1" applyAlignment="1">
      <alignment horizontal="center" vertical="center"/>
    </xf>
    <xf numFmtId="0" fontId="42" fillId="0" borderId="6" xfId="0" applyFont="1" applyBorder="1" applyAlignment="1">
      <alignment horizontal="center" vertical="top"/>
    </xf>
    <xf numFmtId="3" fontId="42" fillId="0" borderId="2" xfId="0" applyNumberFormat="1" applyFont="1" applyBorder="1" applyAlignment="1">
      <alignment horizontal="center" vertical="top"/>
    </xf>
    <xf numFmtId="0" fontId="5" fillId="0" borderId="11" xfId="0" applyFont="1" applyBorder="1" applyAlignment="1">
      <alignment horizontal="center" vertical="center" wrapText="1"/>
    </xf>
    <xf numFmtId="9"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22" fillId="0" borderId="15" xfId="0" applyFont="1" applyBorder="1" applyAlignment="1">
      <alignment horizontal="center" vertical="center" wrapText="1"/>
    </xf>
    <xf numFmtId="0" fontId="5" fillId="0" borderId="15" xfId="0" applyFont="1" applyBorder="1" applyAlignment="1">
      <alignment horizontal="center" vertical="center"/>
    </xf>
    <xf numFmtId="164" fontId="5" fillId="0" borderId="2" xfId="0" applyNumberFormat="1" applyFont="1" applyBorder="1" applyAlignment="1">
      <alignment horizontal="center" vertical="center"/>
    </xf>
    <xf numFmtId="2" fontId="5" fillId="0" borderId="2" xfId="0" applyNumberFormat="1" applyFont="1" applyBorder="1" applyAlignment="1">
      <alignment horizontal="center" vertical="center"/>
    </xf>
    <xf numFmtId="3" fontId="42" fillId="0" borderId="15" xfId="0" applyNumberFormat="1" applyFont="1" applyBorder="1" applyAlignment="1">
      <alignment horizontal="center" vertical="top"/>
    </xf>
    <xf numFmtId="1" fontId="5" fillId="0" borderId="15" xfId="0" applyNumberFormat="1" applyFont="1" applyBorder="1" applyAlignment="1">
      <alignment horizontal="center" vertical="center"/>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9" fontId="7" fillId="0" borderId="2" xfId="0" applyNumberFormat="1" applyFont="1" applyBorder="1" applyAlignment="1">
      <alignment horizontal="center" vertical="center"/>
    </xf>
    <xf numFmtId="0" fontId="17" fillId="0" borderId="2" xfId="0" applyFont="1" applyBorder="1" applyAlignment="1">
      <alignment horizontal="center" vertical="center" wrapText="1"/>
    </xf>
    <xf numFmtId="164" fontId="7" fillId="0" borderId="0" xfId="2" applyFont="1" applyFill="1" applyAlignment="1">
      <alignment horizontal="center" vertical="center"/>
    </xf>
    <xf numFmtId="164" fontId="43" fillId="0" borderId="0" xfId="2" applyFont="1" applyFill="1" applyAlignment="1">
      <alignment horizontal="center" vertical="center"/>
    </xf>
    <xf numFmtId="1" fontId="7" fillId="0" borderId="2" xfId="0" applyNumberFormat="1" applyFont="1" applyBorder="1" applyAlignment="1">
      <alignment horizontal="center" vertical="center"/>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2" fontId="7" fillId="0" borderId="2" xfId="0" applyNumberFormat="1" applyFont="1" applyBorder="1" applyAlignment="1">
      <alignment horizontal="center" vertical="center"/>
    </xf>
    <xf numFmtId="0" fontId="3" fillId="0" borderId="11"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pplyAlignment="1">
      <alignment horizontal="left" vertical="top"/>
    </xf>
    <xf numFmtId="9" fontId="7" fillId="0" borderId="15" xfId="0" applyNumberFormat="1" applyFont="1" applyBorder="1" applyAlignment="1">
      <alignment horizontal="center" vertical="center"/>
    </xf>
    <xf numFmtId="0" fontId="7" fillId="0" borderId="11" xfId="0" applyFont="1" applyBorder="1" applyAlignment="1">
      <alignment horizontal="center" vertical="center" wrapText="1"/>
    </xf>
    <xf numFmtId="1" fontId="22" fillId="0" borderId="15" xfId="0" applyNumberFormat="1" applyFont="1" applyBorder="1" applyAlignment="1">
      <alignment horizontal="center" vertical="center" wrapText="1"/>
    </xf>
    <xf numFmtId="0" fontId="15" fillId="0" borderId="11" xfId="0" applyFont="1" applyBorder="1" applyAlignment="1">
      <alignment horizontal="center" vertical="center"/>
    </xf>
    <xf numFmtId="1" fontId="17" fillId="0" borderId="15" xfId="0" applyNumberFormat="1" applyFont="1" applyBorder="1" applyAlignment="1">
      <alignment horizontal="center" vertical="center" wrapText="1"/>
    </xf>
    <xf numFmtId="166" fontId="44" fillId="0" borderId="2" xfId="1" quotePrefix="1" applyNumberFormat="1" applyFont="1" applyFill="1" applyBorder="1" applyAlignment="1">
      <alignment horizontal="center" vertical="center"/>
    </xf>
    <xf numFmtId="0" fontId="7" fillId="0" borderId="9" xfId="0" applyFont="1" applyBorder="1" applyAlignment="1">
      <alignment horizontal="left" vertical="top" wrapText="1"/>
    </xf>
    <xf numFmtId="0" fontId="5" fillId="0" borderId="9" xfId="0" applyFont="1" applyBorder="1" applyAlignment="1">
      <alignment horizontal="left" vertical="top" wrapText="1"/>
    </xf>
    <xf numFmtId="3" fontId="5" fillId="0" borderId="2" xfId="0" quotePrefix="1" applyNumberFormat="1" applyFont="1" applyBorder="1" applyAlignment="1">
      <alignment horizontal="center" vertical="center" wrapText="1"/>
    </xf>
    <xf numFmtId="4" fontId="5" fillId="0" borderId="2" xfId="0" quotePrefix="1" applyNumberFormat="1" applyFont="1" applyBorder="1" applyAlignment="1">
      <alignment horizontal="center" vertical="center" wrapText="1"/>
    </xf>
    <xf numFmtId="4" fontId="22" fillId="0" borderId="2" xfId="0" applyNumberFormat="1" applyFont="1" applyBorder="1" applyAlignment="1">
      <alignment horizontal="center" vertical="center" wrapText="1"/>
    </xf>
    <xf numFmtId="0" fontId="22" fillId="0" borderId="2" xfId="0" quotePrefix="1" applyFont="1" applyBorder="1" applyAlignment="1">
      <alignment horizontal="center" vertical="center" wrapText="1"/>
    </xf>
    <xf numFmtId="1" fontId="22" fillId="0" borderId="2" xfId="0" quotePrefix="1" applyNumberFormat="1" applyFont="1" applyBorder="1" applyAlignment="1">
      <alignment horizontal="center" vertical="center" wrapText="1"/>
    </xf>
    <xf numFmtId="3" fontId="17" fillId="0" borderId="2" xfId="0" quotePrefix="1" applyNumberFormat="1" applyFont="1" applyBorder="1" applyAlignment="1">
      <alignment horizontal="center" vertical="center" wrapText="1"/>
    </xf>
    <xf numFmtId="0" fontId="17" fillId="0" borderId="2" xfId="0" quotePrefix="1" applyFont="1" applyBorder="1" applyAlignment="1">
      <alignment horizontal="center" vertical="center" wrapText="1"/>
    </xf>
    <xf numFmtId="3" fontId="22" fillId="0" borderId="2" xfId="0" quotePrefix="1" applyNumberFormat="1" applyFont="1" applyBorder="1" applyAlignment="1">
      <alignment horizontal="center" vertical="center" wrapText="1"/>
    </xf>
    <xf numFmtId="3" fontId="5" fillId="0" borderId="2" xfId="0" applyNumberFormat="1" applyFont="1" applyBorder="1" applyAlignment="1">
      <alignment horizontal="center" vertical="center"/>
    </xf>
    <xf numFmtId="0" fontId="5" fillId="0" borderId="2" xfId="0" quotePrefix="1" applyFont="1" applyBorder="1" applyAlignment="1">
      <alignment horizontal="center" vertical="center" wrapText="1"/>
    </xf>
    <xf numFmtId="3" fontId="22"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0" fontId="7" fillId="0" borderId="2" xfId="0" quotePrefix="1" applyFont="1" applyBorder="1" applyAlignment="1">
      <alignment horizontal="center" vertical="center" wrapText="1"/>
    </xf>
    <xf numFmtId="3" fontId="7" fillId="0" borderId="2" xfId="0" quotePrefix="1" applyNumberFormat="1" applyFont="1" applyBorder="1" applyAlignment="1">
      <alignment horizontal="center" vertical="center" wrapText="1"/>
    </xf>
    <xf numFmtId="166" fontId="7" fillId="0" borderId="2" xfId="0" applyNumberFormat="1" applyFont="1" applyBorder="1" applyAlignment="1">
      <alignment horizontal="center" vertical="center" wrapText="1"/>
    </xf>
    <xf numFmtId="3" fontId="22"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1" fontId="5" fillId="0" borderId="6" xfId="0" applyNumberFormat="1" applyFont="1" applyBorder="1" applyAlignment="1">
      <alignment horizontal="center" vertical="center"/>
    </xf>
    <xf numFmtId="0" fontId="5" fillId="0" borderId="15" xfId="0" quotePrefix="1" applyFont="1" applyBorder="1" applyAlignment="1">
      <alignment horizontal="center" vertical="center" wrapText="1"/>
    </xf>
    <xf numFmtId="1" fontId="5" fillId="0" borderId="15" xfId="0" quotePrefix="1" applyNumberFormat="1" applyFont="1" applyBorder="1" applyAlignment="1">
      <alignment horizontal="center" vertical="center" wrapText="1"/>
    </xf>
    <xf numFmtId="1" fontId="22" fillId="0" borderId="15" xfId="0" quotePrefix="1" applyNumberFormat="1" applyFont="1" applyBorder="1" applyAlignment="1">
      <alignment horizontal="center" vertical="center" wrapText="1"/>
    </xf>
    <xf numFmtId="2" fontId="22" fillId="0" borderId="2" xfId="0" quotePrefix="1" applyNumberFormat="1" applyFont="1" applyBorder="1" applyAlignment="1">
      <alignment horizontal="center" vertical="center" wrapText="1"/>
    </xf>
    <xf numFmtId="1" fontId="5" fillId="0" borderId="2" xfId="0" quotePrefix="1" applyNumberFormat="1" applyFont="1" applyBorder="1" applyAlignment="1">
      <alignment horizontal="center" vertical="center" wrapText="1"/>
    </xf>
    <xf numFmtId="2" fontId="5" fillId="0" borderId="2" xfId="0" quotePrefix="1" applyNumberFormat="1" applyFont="1" applyBorder="1" applyAlignment="1">
      <alignment horizontal="center" vertical="center" wrapText="1"/>
    </xf>
    <xf numFmtId="0" fontId="17" fillId="0" borderId="15" xfId="0" quotePrefix="1" applyFont="1" applyBorder="1" applyAlignment="1">
      <alignment horizontal="center" vertical="center" wrapText="1"/>
    </xf>
    <xf numFmtId="0" fontId="5" fillId="0" borderId="2" xfId="0" quotePrefix="1" applyFont="1" applyBorder="1" applyAlignment="1">
      <alignment horizontal="left" vertical="top" wrapText="1"/>
    </xf>
    <xf numFmtId="3" fontId="7"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175" fontId="5" fillId="0" borderId="2" xfId="0" quotePrefix="1" applyNumberFormat="1" applyFont="1" applyBorder="1" applyAlignment="1">
      <alignment horizontal="center" vertical="center" wrapText="1"/>
    </xf>
    <xf numFmtId="167" fontId="5" fillId="0" borderId="2" xfId="0" applyNumberFormat="1" applyFont="1" applyBorder="1" applyAlignment="1">
      <alignment horizontal="center" vertical="center" wrapText="1"/>
    </xf>
    <xf numFmtId="167" fontId="5" fillId="0" borderId="2" xfId="0" quotePrefix="1" applyNumberFormat="1" applyFont="1" applyBorder="1" applyAlignment="1">
      <alignment horizontal="center" vertical="center" wrapText="1"/>
    </xf>
    <xf numFmtId="1" fontId="7" fillId="0" borderId="2" xfId="0" quotePrefix="1" applyNumberFormat="1" applyFont="1" applyBorder="1" applyAlignment="1">
      <alignment horizontal="center" vertical="center" wrapText="1"/>
    </xf>
    <xf numFmtId="171" fontId="5" fillId="0" borderId="2" xfId="0" quotePrefix="1" applyNumberFormat="1" applyFont="1" applyBorder="1" applyAlignment="1">
      <alignment horizontal="center" vertical="center" wrapText="1"/>
    </xf>
    <xf numFmtId="3" fontId="7" fillId="0" borderId="2" xfId="0" applyNumberFormat="1" applyFont="1" applyBorder="1" applyAlignment="1">
      <alignment horizontal="center" vertical="center"/>
    </xf>
    <xf numFmtId="164" fontId="5" fillId="0" borderId="2" xfId="1" quotePrefix="1" applyNumberFormat="1" applyFont="1" applyFill="1" applyBorder="1" applyAlignment="1">
      <alignment vertical="top"/>
    </xf>
    <xf numFmtId="164" fontId="7" fillId="0" borderId="2" xfId="1" quotePrefix="1" applyNumberFormat="1" applyFont="1" applyFill="1" applyBorder="1" applyAlignment="1">
      <alignment vertical="top"/>
    </xf>
    <xf numFmtId="1" fontId="5" fillId="0" borderId="2" xfId="1" quotePrefix="1" applyNumberFormat="1" applyFont="1" applyFill="1" applyBorder="1" applyAlignment="1">
      <alignment horizontal="center" vertical="top"/>
    </xf>
    <xf numFmtId="164" fontId="5" fillId="0" borderId="6" xfId="1" quotePrefix="1" applyNumberFormat="1" applyFont="1" applyFill="1" applyBorder="1" applyAlignment="1">
      <alignment vertical="top"/>
    </xf>
    <xf numFmtId="164" fontId="5" fillId="0" borderId="15" xfId="1" quotePrefix="1" applyNumberFormat="1" applyFont="1" applyFill="1" applyBorder="1" applyAlignment="1">
      <alignment vertical="top"/>
    </xf>
    <xf numFmtId="164" fontId="5" fillId="0" borderId="2" xfId="1" quotePrefix="1" applyNumberFormat="1" applyFont="1" applyFill="1" applyBorder="1" applyAlignment="1">
      <alignment horizontal="center" vertical="top"/>
    </xf>
    <xf numFmtId="164" fontId="5" fillId="0" borderId="2" xfId="1" quotePrefix="1" applyNumberFormat="1" applyFont="1" applyFill="1" applyBorder="1" applyAlignment="1">
      <alignment horizontal="left" vertical="top"/>
    </xf>
    <xf numFmtId="166" fontId="5" fillId="0" borderId="0" xfId="1" quotePrefix="1" applyNumberFormat="1" applyFont="1" applyFill="1" applyBorder="1" applyAlignment="1">
      <alignment horizontal="left" vertical="top"/>
    </xf>
    <xf numFmtId="164" fontId="5" fillId="0" borderId="2" xfId="1" quotePrefix="1" applyNumberFormat="1" applyFont="1" applyFill="1" applyBorder="1" applyAlignment="1">
      <alignment horizontal="right" vertical="top"/>
    </xf>
    <xf numFmtId="164" fontId="22" fillId="0" borderId="2" xfId="2" applyFont="1" applyFill="1" applyBorder="1" applyAlignment="1">
      <alignment horizontal="right" vertical="top"/>
    </xf>
    <xf numFmtId="166" fontId="7" fillId="0" borderId="0" xfId="1" quotePrefix="1" applyNumberFormat="1" applyFont="1" applyFill="1" applyBorder="1" applyAlignment="1">
      <alignment horizontal="center" vertical="top"/>
    </xf>
    <xf numFmtId="164" fontId="22" fillId="0" borderId="2" xfId="9" applyNumberFormat="1" applyFont="1" applyFill="1" applyBorder="1" applyAlignment="1">
      <alignment horizontal="right" vertical="top"/>
    </xf>
    <xf numFmtId="164" fontId="22" fillId="0" borderId="2" xfId="9" applyNumberFormat="1" applyFont="1" applyFill="1" applyBorder="1" applyAlignment="1">
      <alignment horizontal="right" vertical="top" wrapText="1"/>
    </xf>
    <xf numFmtId="164" fontId="7" fillId="0" borderId="2" xfId="1" quotePrefix="1" applyNumberFormat="1" applyFont="1" applyFill="1" applyBorder="1" applyAlignment="1">
      <alignment horizontal="center" vertical="top"/>
    </xf>
    <xf numFmtId="164" fontId="17" fillId="0" borderId="2" xfId="9" applyNumberFormat="1" applyFont="1" applyFill="1" applyBorder="1" applyAlignment="1">
      <alignment horizontal="right" vertical="top"/>
    </xf>
    <xf numFmtId="164" fontId="7" fillId="0" borderId="2" xfId="1" quotePrefix="1" applyNumberFormat="1" applyFont="1" applyFill="1" applyBorder="1" applyAlignment="1">
      <alignment horizontal="right" vertical="top"/>
    </xf>
    <xf numFmtId="164" fontId="17" fillId="0" borderId="2" xfId="9" applyNumberFormat="1" applyFont="1" applyFill="1" applyBorder="1" applyAlignment="1">
      <alignment horizontal="right" vertical="top" wrapText="1"/>
    </xf>
    <xf numFmtId="2" fontId="5" fillId="0" borderId="12" xfId="0" applyNumberFormat="1" applyFont="1" applyBorder="1" applyAlignment="1">
      <alignment horizontal="center" vertical="top"/>
    </xf>
    <xf numFmtId="0" fontId="5" fillId="0" borderId="11" xfId="0" applyFont="1" applyBorder="1" applyAlignment="1">
      <alignment vertical="top" wrapText="1"/>
    </xf>
    <xf numFmtId="0" fontId="5" fillId="0" borderId="11" xfId="0" applyFont="1" applyBorder="1" applyAlignment="1">
      <alignment vertical="center" wrapText="1"/>
    </xf>
    <xf numFmtId="0" fontId="5" fillId="0" borderId="15" xfId="0" applyFont="1" applyBorder="1" applyAlignment="1">
      <alignment vertical="center" wrapText="1"/>
    </xf>
    <xf numFmtId="0" fontId="5" fillId="0" borderId="11" xfId="0" applyFont="1" applyBorder="1" applyAlignment="1">
      <alignment horizontal="left" vertical="center" wrapText="1"/>
    </xf>
    <xf numFmtId="0" fontId="3" fillId="0" borderId="2" xfId="0" applyFont="1" applyBorder="1"/>
    <xf numFmtId="0" fontId="17" fillId="0" borderId="2" xfId="0" applyFont="1" applyBorder="1" applyAlignment="1">
      <alignment horizontal="left" vertical="center" wrapText="1"/>
    </xf>
    <xf numFmtId="0" fontId="5" fillId="0" borderId="6" xfId="0" applyFont="1" applyBorder="1" applyAlignment="1">
      <alignment horizontal="left" vertical="center" wrapText="1"/>
    </xf>
    <xf numFmtId="164" fontId="5" fillId="0" borderId="2" xfId="0" applyNumberFormat="1" applyFont="1" applyBorder="1" applyAlignment="1">
      <alignment horizontal="center" vertical="top" wrapText="1"/>
    </xf>
    <xf numFmtId="1" fontId="5" fillId="0" borderId="2" xfId="0" quotePrefix="1" applyNumberFormat="1" applyFont="1" applyBorder="1" applyAlignment="1">
      <alignment horizontal="center" vertical="top" wrapText="1"/>
    </xf>
    <xf numFmtId="2" fontId="5" fillId="0" borderId="2" xfId="0" applyNumberFormat="1" applyFont="1" applyBorder="1" applyAlignment="1">
      <alignment horizontal="left" vertical="top" wrapText="1"/>
    </xf>
    <xf numFmtId="0" fontId="5" fillId="0" borderId="0" xfId="0" applyFont="1" applyAlignment="1">
      <alignment horizontal="center" vertical="top"/>
    </xf>
    <xf numFmtId="2" fontId="5" fillId="0" borderId="0" xfId="0" applyNumberFormat="1" applyFont="1" applyAlignment="1">
      <alignment horizontal="center" vertical="top"/>
    </xf>
    <xf numFmtId="9" fontId="5" fillId="0" borderId="0" xfId="0" applyNumberFormat="1" applyFont="1" applyAlignment="1">
      <alignment horizontal="center" vertical="top"/>
    </xf>
    <xf numFmtId="164" fontId="5" fillId="0" borderId="0" xfId="0" applyNumberFormat="1" applyFont="1" applyAlignment="1">
      <alignment vertical="top"/>
    </xf>
    <xf numFmtId="0" fontId="7" fillId="0" borderId="0" xfId="0" applyFont="1" applyAlignment="1">
      <alignment vertical="top" wrapText="1"/>
    </xf>
    <xf numFmtId="0" fontId="17" fillId="0" borderId="16" xfId="0" applyFont="1" applyBorder="1" applyAlignment="1">
      <alignment vertical="top" wrapText="1"/>
    </xf>
    <xf numFmtId="164" fontId="7" fillId="0" borderId="6" xfId="1" quotePrefix="1" applyNumberFormat="1" applyFont="1" applyFill="1" applyBorder="1" applyAlignment="1">
      <alignment vertical="top"/>
    </xf>
    <xf numFmtId="2" fontId="7" fillId="0" borderId="3" xfId="0" applyNumberFormat="1" applyFont="1" applyBorder="1" applyAlignment="1">
      <alignment horizontal="center" vertical="top"/>
    </xf>
    <xf numFmtId="0" fontId="5" fillId="0" borderId="11" xfId="0" applyFont="1" applyBorder="1" applyAlignment="1">
      <alignment horizontal="left" vertical="center"/>
    </xf>
    <xf numFmtId="0" fontId="22" fillId="0" borderId="16" xfId="0" applyFont="1" applyBorder="1" applyAlignment="1">
      <alignment horizontal="left" vertical="center" wrapText="1"/>
    </xf>
    <xf numFmtId="1" fontId="5" fillId="0" borderId="2" xfId="0" applyNumberFormat="1" applyFont="1" applyBorder="1" applyAlignment="1">
      <alignment horizontal="left" vertical="top" wrapText="1"/>
    </xf>
    <xf numFmtId="0" fontId="5" fillId="0" borderId="2" xfId="0" applyFont="1" applyBorder="1" applyAlignment="1">
      <alignment horizontal="left" vertical="top"/>
    </xf>
    <xf numFmtId="164" fontId="5" fillId="0" borderId="2" xfId="0" applyNumberFormat="1" applyFont="1" applyBorder="1" applyAlignment="1">
      <alignment horizontal="left" vertical="top"/>
    </xf>
    <xf numFmtId="2" fontId="5" fillId="0" borderId="2" xfId="0" applyNumberFormat="1" applyFont="1" applyBorder="1" applyAlignment="1">
      <alignment horizontal="left" vertical="top"/>
    </xf>
    <xf numFmtId="1" fontId="5" fillId="0" borderId="2" xfId="0" applyNumberFormat="1" applyFont="1" applyBorder="1" applyAlignment="1">
      <alignment horizontal="left" vertical="top"/>
    </xf>
    <xf numFmtId="0" fontId="15" fillId="0" borderId="0" xfId="0" applyFont="1" applyAlignment="1">
      <alignment horizontal="left"/>
    </xf>
    <xf numFmtId="0" fontId="7" fillId="0" borderId="11" xfId="0" applyFont="1" applyBorder="1" applyAlignment="1">
      <alignment horizontal="center" vertical="center"/>
    </xf>
    <xf numFmtId="1" fontId="5" fillId="0" borderId="2" xfId="0" applyNumberFormat="1" applyFont="1" applyBorder="1" applyAlignment="1">
      <alignment horizontal="right" vertical="top" wrapText="1"/>
    </xf>
    <xf numFmtId="0" fontId="5" fillId="0" borderId="2" xfId="0" applyFont="1" applyBorder="1" applyAlignment="1">
      <alignment horizontal="right" vertical="top" wrapText="1"/>
    </xf>
    <xf numFmtId="0" fontId="7" fillId="0" borderId="11" xfId="0" applyFont="1" applyBorder="1" applyAlignment="1">
      <alignment horizontal="left" vertical="center" wrapText="1"/>
    </xf>
    <xf numFmtId="0" fontId="17" fillId="0" borderId="16" xfId="0" applyFont="1" applyBorder="1" applyAlignment="1">
      <alignment vertical="center" wrapText="1"/>
    </xf>
    <xf numFmtId="1" fontId="7" fillId="0" borderId="2" xfId="0" applyNumberFormat="1" applyFont="1" applyBorder="1" applyAlignment="1">
      <alignment horizontal="right" vertical="top" wrapText="1"/>
    </xf>
    <xf numFmtId="164" fontId="17" fillId="0" borderId="2" xfId="0" applyNumberFormat="1" applyFont="1" applyBorder="1" applyAlignment="1">
      <alignment horizontal="right" vertical="top"/>
    </xf>
    <xf numFmtId="164" fontId="7" fillId="0" borderId="2" xfId="0" applyNumberFormat="1" applyFont="1" applyBorder="1" applyAlignment="1">
      <alignment horizontal="right" vertical="top"/>
    </xf>
    <xf numFmtId="0" fontId="7" fillId="0" borderId="2" xfId="0" applyFont="1" applyBorder="1" applyAlignment="1">
      <alignment horizontal="right" vertical="top" wrapText="1"/>
    </xf>
    <xf numFmtId="166" fontId="22" fillId="0" borderId="0" xfId="1" quotePrefix="1" applyNumberFormat="1" applyFont="1" applyFill="1" applyBorder="1" applyAlignment="1">
      <alignment vertical="top"/>
    </xf>
    <xf numFmtId="3" fontId="7" fillId="0" borderId="11" xfId="11" applyNumberFormat="1" applyFont="1" applyFill="1" applyBorder="1" applyAlignment="1">
      <alignment vertical="top"/>
    </xf>
    <xf numFmtId="3" fontId="17" fillId="0" borderId="2" xfId="12" applyNumberFormat="1" applyFont="1" applyFill="1" applyBorder="1" applyAlignment="1">
      <alignment horizontal="right" vertical="top"/>
    </xf>
    <xf numFmtId="166" fontId="17" fillId="0" borderId="2" xfId="1" applyNumberFormat="1" applyFont="1" applyFill="1" applyBorder="1" applyAlignment="1">
      <alignment vertical="top"/>
    </xf>
    <xf numFmtId="164" fontId="7" fillId="0" borderId="2" xfId="2" applyFont="1" applyFill="1" applyBorder="1" applyAlignment="1">
      <alignment horizontal="center" vertical="top" wrapText="1"/>
    </xf>
    <xf numFmtId="0" fontId="17" fillId="6" borderId="15" xfId="0" applyFont="1" applyFill="1" applyBorder="1" applyAlignment="1">
      <alignment horizontal="left" vertical="top" wrapText="1"/>
    </xf>
    <xf numFmtId="164" fontId="17" fillId="0" borderId="2" xfId="2" applyFont="1" applyFill="1" applyBorder="1" applyAlignment="1">
      <alignment vertical="top"/>
    </xf>
    <xf numFmtId="0" fontId="17" fillId="0" borderId="2" xfId="2" applyNumberFormat="1" applyFont="1" applyFill="1" applyBorder="1" applyAlignment="1">
      <alignment horizontal="center" vertical="top"/>
    </xf>
    <xf numFmtId="164" fontId="17" fillId="0" borderId="2" xfId="2" applyFont="1" applyFill="1" applyBorder="1" applyAlignment="1">
      <alignment horizontal="center" vertical="top" wrapText="1"/>
    </xf>
    <xf numFmtId="166" fontId="22" fillId="0" borderId="11" xfId="1" quotePrefix="1" applyNumberFormat="1" applyFont="1" applyFill="1" applyBorder="1" applyAlignment="1">
      <alignment vertical="top"/>
    </xf>
    <xf numFmtId="166" fontId="22" fillId="0" borderId="15" xfId="1" quotePrefix="1" applyNumberFormat="1" applyFont="1" applyFill="1" applyBorder="1" applyAlignment="1">
      <alignment vertical="top"/>
    </xf>
    <xf numFmtId="165" fontId="5" fillId="0" borderId="6" xfId="1" quotePrefix="1" applyFont="1" applyFill="1" applyBorder="1" applyAlignment="1">
      <alignment horizontal="center" vertical="top"/>
    </xf>
    <xf numFmtId="2" fontId="5" fillId="0" borderId="2" xfId="2" quotePrefix="1" applyNumberFormat="1" applyFont="1" applyFill="1" applyBorder="1" applyAlignment="1">
      <alignment horizontal="center" vertical="top"/>
    </xf>
    <xf numFmtId="1" fontId="5" fillId="0" borderId="2" xfId="2" quotePrefix="1" applyNumberFormat="1" applyFont="1" applyFill="1" applyBorder="1" applyAlignment="1">
      <alignment horizontal="center" vertical="top" wrapText="1"/>
    </xf>
    <xf numFmtId="2" fontId="5" fillId="0" borderId="2" xfId="2" quotePrefix="1" applyNumberFormat="1" applyFont="1" applyFill="1" applyBorder="1" applyAlignment="1">
      <alignment horizontal="center" vertical="top" wrapText="1"/>
    </xf>
    <xf numFmtId="3" fontId="7" fillId="0" borderId="6" xfId="2" applyNumberFormat="1" applyFont="1" applyFill="1" applyBorder="1" applyAlignment="1">
      <alignment horizontal="center" vertical="top"/>
    </xf>
    <xf numFmtId="3" fontId="7" fillId="0" borderId="2" xfId="13" applyNumberFormat="1" applyFont="1" applyFill="1" applyBorder="1" applyAlignment="1">
      <alignment horizontal="right" vertical="top" wrapText="1"/>
    </xf>
    <xf numFmtId="3" fontId="7" fillId="0" borderId="2" xfId="13" applyNumberFormat="1" applyFont="1" applyFill="1" applyBorder="1" applyAlignment="1">
      <alignment horizontal="right" vertical="top"/>
    </xf>
    <xf numFmtId="164" fontId="7" fillId="0" borderId="0" xfId="2" applyFont="1" applyFill="1" applyAlignment="1">
      <alignment vertical="top"/>
    </xf>
    <xf numFmtId="3" fontId="17" fillId="0" borderId="2" xfId="5" applyNumberFormat="1" applyFont="1" applyBorder="1" applyAlignment="1">
      <alignment horizontal="right" vertical="top"/>
    </xf>
    <xf numFmtId="0" fontId="22" fillId="0" borderId="11" xfId="0" applyFont="1" applyBorder="1" applyAlignment="1">
      <alignment horizontal="center" vertical="top"/>
    </xf>
    <xf numFmtId="0" fontId="22" fillId="0" borderId="11" xfId="0" applyFont="1" applyBorder="1" applyAlignment="1">
      <alignment horizontal="left" vertical="top" wrapText="1"/>
    </xf>
    <xf numFmtId="0" fontId="22" fillId="0" borderId="2" xfId="0" applyFont="1" applyBorder="1" applyAlignment="1">
      <alignment horizontal="center" vertical="top" wrapText="1"/>
    </xf>
    <xf numFmtId="9" fontId="22" fillId="0" borderId="15" xfId="0" applyNumberFormat="1" applyFont="1" applyBorder="1" applyAlignment="1">
      <alignment horizontal="center" vertical="top"/>
    </xf>
    <xf numFmtId="1" fontId="22" fillId="0" borderId="15" xfId="0" applyNumberFormat="1" applyFont="1" applyBorder="1" applyAlignment="1">
      <alignment horizontal="center" vertical="top" wrapText="1"/>
    </xf>
    <xf numFmtId="0" fontId="22" fillId="0" borderId="11" xfId="0" applyFont="1" applyBorder="1" applyAlignment="1">
      <alignment horizontal="center" vertical="top" wrapText="1"/>
    </xf>
    <xf numFmtId="0" fontId="45" fillId="0" borderId="0" xfId="0" applyFont="1"/>
    <xf numFmtId="3" fontId="7" fillId="0" borderId="2" xfId="5" applyNumberFormat="1" applyFont="1" applyBorder="1" applyAlignment="1">
      <alignment horizontal="right" vertical="top"/>
    </xf>
    <xf numFmtId="9" fontId="22" fillId="0" borderId="2" xfId="0" applyNumberFormat="1" applyFont="1" applyBorder="1" applyAlignment="1">
      <alignment horizontal="center" vertical="top"/>
    </xf>
    <xf numFmtId="0" fontId="45" fillId="0" borderId="11" xfId="0" applyFont="1" applyBorder="1"/>
    <xf numFmtId="3" fontId="17" fillId="0" borderId="2" xfId="5" applyNumberFormat="1" applyFont="1" applyBorder="1" applyAlignment="1">
      <alignment vertical="top"/>
    </xf>
    <xf numFmtId="3" fontId="17" fillId="0" borderId="15" xfId="5" applyNumberFormat="1" applyFont="1" applyBorder="1" applyAlignment="1">
      <alignment vertical="top"/>
    </xf>
    <xf numFmtId="0" fontId="46" fillId="0" borderId="11" xfId="0" applyFont="1" applyBorder="1"/>
    <xf numFmtId="0" fontId="46" fillId="0" borderId="0" xfId="0" applyFont="1"/>
    <xf numFmtId="167" fontId="5" fillId="0" borderId="2" xfId="0" applyNumberFormat="1" applyFont="1" applyBorder="1" applyAlignment="1">
      <alignment horizontal="center" vertical="top"/>
    </xf>
    <xf numFmtId="0" fontId="22" fillId="0" borderId="6" xfId="0" applyFont="1" applyBorder="1" applyAlignment="1">
      <alignment horizontal="left" vertical="top" wrapText="1"/>
    </xf>
    <xf numFmtId="3" fontId="7" fillId="0" borderId="15" xfId="0" applyNumberFormat="1" applyFont="1" applyBorder="1" applyAlignment="1">
      <alignment horizontal="left" vertical="top" wrapText="1"/>
    </xf>
    <xf numFmtId="3" fontId="7" fillId="0" borderId="15" xfId="5" applyNumberFormat="1" applyFont="1" applyBorder="1" applyAlignment="1">
      <alignment vertical="top"/>
    </xf>
    <xf numFmtId="3" fontId="7" fillId="0" borderId="2" xfId="5" applyNumberFormat="1" applyFont="1" applyBorder="1" applyAlignment="1">
      <alignment vertical="top"/>
    </xf>
    <xf numFmtId="3" fontId="7" fillId="0" borderId="2" xfId="0" applyNumberFormat="1" applyFont="1" applyBorder="1" applyAlignment="1">
      <alignment horizontal="left" vertical="top" wrapText="1"/>
    </xf>
    <xf numFmtId="1" fontId="22" fillId="0" borderId="2" xfId="0" applyNumberFormat="1" applyFont="1" applyBorder="1" applyAlignment="1">
      <alignment horizontal="center" vertical="top" wrapText="1"/>
    </xf>
    <xf numFmtId="9" fontId="17" fillId="0" borderId="2" xfId="0" applyNumberFormat="1" applyFont="1" applyBorder="1" applyAlignment="1">
      <alignment horizontal="center" vertical="top"/>
    </xf>
    <xf numFmtId="3" fontId="22" fillId="0" borderId="6" xfId="0" applyNumberFormat="1" applyFont="1" applyBorder="1" applyAlignment="1">
      <alignment vertical="top" wrapText="1"/>
    </xf>
    <xf numFmtId="2" fontId="5" fillId="0" borderId="6" xfId="0" applyNumberFormat="1" applyFont="1" applyBorder="1" applyAlignment="1">
      <alignment vertical="top" wrapText="1"/>
    </xf>
    <xf numFmtId="164" fontId="15" fillId="0" borderId="0" xfId="2" applyFont="1" applyFill="1" applyAlignment="1">
      <alignment vertical="top" wrapText="1"/>
    </xf>
    <xf numFmtId="0" fontId="25" fillId="0" borderId="11" xfId="0" applyFont="1" applyBorder="1"/>
    <xf numFmtId="0" fontId="25" fillId="0" borderId="11" xfId="0" applyFont="1" applyBorder="1" applyAlignment="1">
      <alignment horizontal="left" vertical="top" wrapText="1"/>
    </xf>
    <xf numFmtId="3" fontId="7" fillId="0" borderId="2" xfId="0" applyNumberFormat="1" applyFont="1" applyBorder="1" applyAlignment="1">
      <alignment vertical="top" wrapText="1"/>
    </xf>
    <xf numFmtId="0" fontId="7" fillId="0" borderId="6" xfId="0" applyFont="1" applyBorder="1" applyAlignment="1">
      <alignment vertical="top" wrapText="1"/>
    </xf>
    <xf numFmtId="3" fontId="17" fillId="0" borderId="2" xfId="0" applyNumberFormat="1" applyFont="1" applyBorder="1" applyAlignment="1">
      <alignment horizontal="center" vertical="top"/>
    </xf>
    <xf numFmtId="0" fontId="5" fillId="0" borderId="11" xfId="14" applyFont="1" applyBorder="1" applyAlignment="1">
      <alignment horizontal="center" vertical="top"/>
    </xf>
    <xf numFmtId="0" fontId="5" fillId="0" borderId="6" xfId="14" applyFont="1" applyBorder="1" applyAlignment="1">
      <alignment horizontal="left" vertical="top" wrapText="1"/>
    </xf>
    <xf numFmtId="0" fontId="5" fillId="0" borderId="11" xfId="14" applyFont="1" applyBorder="1" applyAlignment="1">
      <alignment horizontal="left" vertical="top" wrapText="1"/>
    </xf>
    <xf numFmtId="0" fontId="5" fillId="0" borderId="15" xfId="14" applyFont="1" applyBorder="1" applyAlignment="1">
      <alignment horizontal="left" vertical="top" wrapText="1"/>
    </xf>
    <xf numFmtId="0" fontId="5" fillId="0" borderId="2" xfId="14" applyFont="1" applyBorder="1" applyAlignment="1">
      <alignment horizontal="center" vertical="top"/>
    </xf>
    <xf numFmtId="0" fontId="28" fillId="0" borderId="2" xfId="15" applyFont="1" applyBorder="1" applyAlignment="1">
      <alignment horizontal="center" vertical="top" wrapText="1"/>
    </xf>
    <xf numFmtId="0" fontId="5" fillId="0" borderId="9" xfId="14" applyFont="1" applyBorder="1" applyAlignment="1">
      <alignment horizontal="center" vertical="top"/>
    </xf>
    <xf numFmtId="1" fontId="22" fillId="0" borderId="2" xfId="14" applyNumberFormat="1" applyFont="1" applyBorder="1" applyAlignment="1">
      <alignment horizontal="center" vertical="top"/>
    </xf>
    <xf numFmtId="164" fontId="22" fillId="0" borderId="6" xfId="14" applyNumberFormat="1" applyFont="1" applyBorder="1" applyAlignment="1">
      <alignment horizontal="center" vertical="top"/>
    </xf>
    <xf numFmtId="2" fontId="22" fillId="0" borderId="6" xfId="14" applyNumberFormat="1" applyFont="1" applyBorder="1" applyAlignment="1">
      <alignment horizontal="center" vertical="top"/>
    </xf>
    <xf numFmtId="2" fontId="22" fillId="0" borderId="2" xfId="14" applyNumberFormat="1" applyFont="1" applyBorder="1" applyAlignment="1">
      <alignment horizontal="center" vertical="top"/>
    </xf>
    <xf numFmtId="0" fontId="5" fillId="0" borderId="11" xfId="14" applyFont="1" applyBorder="1" applyAlignment="1">
      <alignment horizontal="center" vertical="top" wrapText="1"/>
    </xf>
    <xf numFmtId="0" fontId="3" fillId="0" borderId="0" xfId="14" applyFont="1"/>
    <xf numFmtId="2" fontId="28" fillId="0" borderId="15" xfId="15" applyNumberFormat="1" applyFont="1" applyBorder="1" applyAlignment="1">
      <alignment horizontal="center" vertical="top" wrapText="1"/>
    </xf>
    <xf numFmtId="2" fontId="5" fillId="0" borderId="2" xfId="15" applyNumberFormat="1" applyFont="1" applyBorder="1" applyAlignment="1">
      <alignment horizontal="center" vertical="justify" wrapText="1"/>
    </xf>
    <xf numFmtId="0" fontId="7" fillId="0" borderId="11" xfId="14" applyFont="1" applyBorder="1" applyAlignment="1">
      <alignment vertical="top"/>
    </xf>
    <xf numFmtId="166" fontId="22" fillId="0" borderId="2" xfId="6" quotePrefix="1" applyNumberFormat="1" applyFont="1" applyFill="1" applyBorder="1" applyAlignment="1">
      <alignment vertical="top"/>
    </xf>
    <xf numFmtId="0" fontId="5" fillId="0" borderId="15" xfId="14" applyFont="1" applyBorder="1" applyAlignment="1">
      <alignment horizontal="center" vertical="top"/>
    </xf>
    <xf numFmtId="164" fontId="22" fillId="0" borderId="2" xfId="14" applyNumberFormat="1" applyFont="1" applyBorder="1" applyAlignment="1">
      <alignment vertical="top"/>
    </xf>
    <xf numFmtId="0" fontId="7" fillId="0" borderId="11" xfId="14" applyFont="1" applyBorder="1" applyAlignment="1">
      <alignment horizontal="center" vertical="top"/>
    </xf>
    <xf numFmtId="0" fontId="7" fillId="0" borderId="11" xfId="14" applyFont="1" applyBorder="1" applyAlignment="1">
      <alignment horizontal="left" vertical="top" wrapText="1"/>
    </xf>
    <xf numFmtId="0" fontId="7" fillId="0" borderId="6" xfId="14" applyFont="1" applyBorder="1" applyAlignment="1">
      <alignment horizontal="left" vertical="top" wrapText="1"/>
    </xf>
    <xf numFmtId="0" fontId="7" fillId="0" borderId="15" xfId="14" applyFont="1" applyBorder="1" applyAlignment="1">
      <alignment horizontal="left" vertical="top" wrapText="1"/>
    </xf>
    <xf numFmtId="0" fontId="7" fillId="0" borderId="2" xfId="14" applyFont="1" applyBorder="1" applyAlignment="1">
      <alignment horizontal="center" vertical="top"/>
    </xf>
    <xf numFmtId="166" fontId="17" fillId="0" borderId="2" xfId="6" applyNumberFormat="1" applyFont="1" applyFill="1" applyBorder="1" applyAlignment="1">
      <alignment vertical="top"/>
    </xf>
    <xf numFmtId="0" fontId="7" fillId="0" borderId="15" xfId="14" applyFont="1" applyBorder="1" applyAlignment="1">
      <alignment horizontal="center" vertical="top"/>
    </xf>
    <xf numFmtId="0" fontId="7" fillId="0" borderId="9" xfId="14" applyFont="1" applyBorder="1" applyAlignment="1">
      <alignment horizontal="center" vertical="top"/>
    </xf>
    <xf numFmtId="1" fontId="17" fillId="0" borderId="2" xfId="14" applyNumberFormat="1" applyFont="1" applyBorder="1" applyAlignment="1">
      <alignment horizontal="center" vertical="top"/>
    </xf>
    <xf numFmtId="164" fontId="17" fillId="0" borderId="2" xfId="14" applyNumberFormat="1" applyFont="1" applyBorder="1" applyAlignment="1">
      <alignment vertical="top"/>
    </xf>
    <xf numFmtId="2" fontId="17" fillId="0" borderId="2" xfId="14" applyNumberFormat="1" applyFont="1" applyBorder="1" applyAlignment="1">
      <alignment horizontal="center" vertical="top"/>
    </xf>
    <xf numFmtId="0" fontId="5" fillId="0" borderId="2" xfId="14" applyFont="1" applyBorder="1" applyAlignment="1">
      <alignment horizontal="left" vertical="top" wrapText="1"/>
    </xf>
    <xf numFmtId="166" fontId="22" fillId="0" borderId="2" xfId="6" applyNumberFormat="1" applyFont="1" applyFill="1" applyBorder="1" applyAlignment="1">
      <alignment vertical="top"/>
    </xf>
    <xf numFmtId="0" fontId="22" fillId="0" borderId="2" xfId="16" applyFont="1" applyBorder="1" applyAlignment="1">
      <alignment horizontal="center" vertical="top" wrapText="1"/>
    </xf>
    <xf numFmtId="166" fontId="22" fillId="0" borderId="6" xfId="6" applyNumberFormat="1" applyFont="1" applyFill="1" applyBorder="1" applyAlignment="1">
      <alignment vertical="top"/>
    </xf>
    <xf numFmtId="0" fontId="7" fillId="0" borderId="2" xfId="14" applyFont="1" applyBorder="1" applyAlignment="1">
      <alignment horizontal="left" vertical="top" wrapText="1"/>
    </xf>
    <xf numFmtId="2" fontId="5" fillId="0" borderId="2" xfId="14" applyNumberFormat="1" applyFont="1" applyBorder="1" applyAlignment="1">
      <alignment horizontal="center" vertical="top"/>
    </xf>
    <xf numFmtId="2" fontId="5" fillId="0" borderId="9" xfId="14" applyNumberFormat="1" applyFont="1" applyBorder="1" applyAlignment="1">
      <alignment horizontal="center" vertical="top"/>
    </xf>
    <xf numFmtId="0" fontId="5" fillId="0" borderId="11" xfId="14" applyFont="1" applyBorder="1" applyAlignment="1">
      <alignment vertical="top"/>
    </xf>
    <xf numFmtId="0" fontId="15" fillId="0" borderId="0" xfId="14" applyFont="1"/>
    <xf numFmtId="4" fontId="5" fillId="0" borderId="2" xfId="17" applyNumberFormat="1" applyFont="1" applyBorder="1" applyAlignment="1">
      <alignment horizontal="center" vertical="top" wrapText="1"/>
    </xf>
    <xf numFmtId="2" fontId="5" fillId="0" borderId="2" xfId="17" applyNumberFormat="1" applyFont="1" applyBorder="1" applyAlignment="1">
      <alignment horizontal="center" vertical="top" wrapText="1"/>
    </xf>
    <xf numFmtId="4" fontId="22" fillId="0" borderId="2" xfId="18" applyNumberFormat="1" applyFont="1" applyBorder="1" applyAlignment="1">
      <alignment horizontal="center" vertical="top" wrapText="1"/>
    </xf>
    <xf numFmtId="2" fontId="22" fillId="0" borderId="2" xfId="18" applyNumberFormat="1" applyFont="1" applyBorder="1" applyAlignment="1">
      <alignment horizontal="center" vertical="top" wrapText="1"/>
    </xf>
    <xf numFmtId="10" fontId="5" fillId="0" borderId="2" xfId="4" applyNumberFormat="1" applyFont="1" applyFill="1" applyBorder="1" applyAlignment="1">
      <alignment horizontal="center" vertical="top"/>
    </xf>
    <xf numFmtId="10" fontId="7" fillId="0" borderId="2" xfId="4" applyNumberFormat="1" applyFont="1" applyFill="1" applyBorder="1" applyAlignment="1">
      <alignment horizontal="center" vertical="top"/>
    </xf>
    <xf numFmtId="3" fontId="7" fillId="0" borderId="2" xfId="1" quotePrefix="1" applyNumberFormat="1" applyFont="1" applyFill="1" applyBorder="1" applyAlignment="1">
      <alignment vertical="top"/>
    </xf>
    <xf numFmtId="10" fontId="7" fillId="0" borderId="6" xfId="4" applyNumberFormat="1" applyFont="1" applyFill="1" applyBorder="1" applyAlignment="1">
      <alignment horizontal="center" vertical="top"/>
    </xf>
    <xf numFmtId="10" fontId="7" fillId="0" borderId="11" xfId="4" applyNumberFormat="1" applyFont="1" applyFill="1" applyBorder="1" applyAlignment="1">
      <alignment horizontal="center" vertical="top"/>
    </xf>
    <xf numFmtId="10" fontId="7" fillId="0" borderId="15" xfId="4" applyNumberFormat="1" applyFont="1" applyFill="1" applyBorder="1" applyAlignment="1">
      <alignment horizontal="center" vertical="top"/>
    </xf>
    <xf numFmtId="166" fontId="7" fillId="0" borderId="2" xfId="0" applyNumberFormat="1" applyFont="1" applyBorder="1" applyAlignment="1">
      <alignment horizontal="center" vertical="top" wrapText="1"/>
    </xf>
    <xf numFmtId="0" fontId="7" fillId="0" borderId="0" xfId="0" applyFont="1" applyAlignment="1">
      <alignment wrapText="1"/>
    </xf>
    <xf numFmtId="0" fontId="5" fillId="0" borderId="6" xfId="14" applyFont="1" applyBorder="1" applyAlignment="1">
      <alignment horizontal="center" vertical="top" wrapText="1"/>
    </xf>
    <xf numFmtId="0" fontId="22" fillId="0" borderId="16" xfId="0" applyFont="1" applyBorder="1" applyAlignment="1">
      <alignment vertical="top" wrapText="1"/>
    </xf>
    <xf numFmtId="166" fontId="28" fillId="0" borderId="6" xfId="0" applyNumberFormat="1" applyFont="1" applyBorder="1" applyAlignment="1">
      <alignment horizontal="right" vertical="top" shrinkToFit="1"/>
    </xf>
    <xf numFmtId="166" fontId="28" fillId="0" borderId="15" xfId="0" applyNumberFormat="1" applyFont="1" applyBorder="1" applyAlignment="1">
      <alignment horizontal="right" vertical="top" shrinkToFit="1"/>
    </xf>
    <xf numFmtId="166" fontId="22" fillId="0" borderId="2" xfId="0" applyNumberFormat="1" applyFont="1" applyBorder="1" applyAlignment="1">
      <alignment horizontal="right" vertical="top" shrinkToFit="1"/>
    </xf>
    <xf numFmtId="166" fontId="7" fillId="0" borderId="2" xfId="0" applyNumberFormat="1" applyFont="1" applyBorder="1" applyAlignment="1">
      <alignment vertical="top" wrapText="1"/>
    </xf>
    <xf numFmtId="0" fontId="7" fillId="0" borderId="14" xfId="0" applyFont="1" applyBorder="1" applyAlignment="1">
      <alignment horizontal="left" vertical="top" wrapText="1"/>
    </xf>
    <xf numFmtId="4" fontId="17" fillId="0" borderId="2" xfId="0" applyNumberFormat="1" applyFont="1" applyBorder="1" applyAlignment="1">
      <alignment horizontal="right" vertical="center" shrinkToFit="1"/>
    </xf>
    <xf numFmtId="4" fontId="7" fillId="0" borderId="2" xfId="0" applyNumberFormat="1" applyFont="1" applyBorder="1" applyAlignment="1">
      <alignment vertical="top" wrapText="1"/>
    </xf>
    <xf numFmtId="166" fontId="7" fillId="0" borderId="2" xfId="1" applyNumberFormat="1" applyFont="1" applyFill="1" applyBorder="1" applyAlignment="1">
      <alignment horizontal="center" vertical="top" wrapText="1"/>
    </xf>
    <xf numFmtId="4" fontId="17" fillId="0" borderId="2" xfId="0" applyNumberFormat="1" applyFont="1" applyBorder="1" applyAlignment="1">
      <alignment horizontal="right" vertical="top" shrinkToFit="1"/>
    </xf>
    <xf numFmtId="0" fontId="5" fillId="0" borderId="14" xfId="3" applyFont="1" applyBorder="1" applyAlignment="1">
      <alignment horizontal="left" vertical="top" wrapText="1"/>
    </xf>
    <xf numFmtId="164" fontId="5" fillId="0" borderId="2" xfId="1" applyNumberFormat="1" applyFont="1" applyFill="1" applyBorder="1" applyAlignment="1">
      <alignment horizontal="center" vertical="top" wrapText="1"/>
    </xf>
    <xf numFmtId="164" fontId="22" fillId="0" borderId="2" xfId="0" applyNumberFormat="1" applyFont="1" applyBorder="1" applyAlignment="1">
      <alignment horizontal="right" vertical="top" shrinkToFit="1"/>
    </xf>
    <xf numFmtId="164" fontId="5" fillId="0" borderId="2" xfId="1" applyNumberFormat="1" applyFont="1" applyFill="1" applyBorder="1" applyAlignment="1">
      <alignment vertical="top"/>
    </xf>
    <xf numFmtId="4" fontId="7" fillId="0" borderId="2" xfId="1" applyNumberFormat="1" applyFont="1" applyFill="1" applyBorder="1" applyAlignment="1">
      <alignment vertical="top"/>
    </xf>
    <xf numFmtId="166" fontId="5" fillId="0" borderId="2" xfId="0" applyNumberFormat="1" applyFont="1" applyBorder="1" applyAlignment="1">
      <alignment vertical="top"/>
    </xf>
    <xf numFmtId="4" fontId="22" fillId="0" borderId="2" xfId="0" applyNumberFormat="1" applyFont="1" applyBorder="1" applyAlignment="1">
      <alignment horizontal="right" vertical="top" shrinkToFit="1"/>
    </xf>
    <xf numFmtId="4" fontId="5" fillId="0" borderId="2" xfId="1" applyNumberFormat="1" applyFont="1" applyFill="1" applyBorder="1" applyAlignment="1">
      <alignment vertical="top"/>
    </xf>
    <xf numFmtId="0" fontId="7" fillId="0" borderId="11" xfId="0" applyFont="1" applyBorder="1" applyAlignment="1">
      <alignment vertical="top"/>
    </xf>
    <xf numFmtId="4" fontId="22" fillId="0" borderId="19" xfId="0" applyNumberFormat="1" applyFont="1" applyBorder="1" applyAlignment="1">
      <alignment horizontal="right" vertical="top" shrinkToFit="1"/>
    </xf>
    <xf numFmtId="172" fontId="7" fillId="0" borderId="2" xfId="0" applyNumberFormat="1" applyFont="1" applyBorder="1" applyAlignment="1">
      <alignment horizontal="center" vertical="top" wrapText="1"/>
    </xf>
    <xf numFmtId="0" fontId="22" fillId="0" borderId="23" xfId="0" applyFont="1" applyBorder="1" applyAlignment="1">
      <alignment horizontal="left" vertical="top" wrapText="1"/>
    </xf>
    <xf numFmtId="0" fontId="21" fillId="0" borderId="2" xfId="0" applyFont="1" applyBorder="1" applyAlignment="1">
      <alignment vertical="top" wrapText="1"/>
    </xf>
    <xf numFmtId="166" fontId="28" fillId="0" borderId="2" xfId="0" applyNumberFormat="1" applyFont="1" applyBorder="1" applyAlignment="1">
      <alignment horizontal="right" vertical="top" shrinkToFit="1"/>
    </xf>
    <xf numFmtId="4" fontId="21" fillId="0" borderId="2" xfId="0" applyNumberFormat="1" applyFont="1" applyBorder="1" applyAlignment="1">
      <alignment horizontal="right" vertical="top" shrinkToFi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24" xfId="0" applyFont="1" applyBorder="1" applyAlignment="1">
      <alignment horizontal="left" vertical="top" wrapText="1"/>
    </xf>
    <xf numFmtId="0" fontId="17" fillId="0" borderId="6" xfId="0" applyFont="1" applyBorder="1" applyAlignment="1">
      <alignment horizontal="left" vertical="top" wrapText="1"/>
    </xf>
    <xf numFmtId="4" fontId="7" fillId="0" borderId="6" xfId="1" applyNumberFormat="1" applyFont="1" applyFill="1" applyBorder="1" applyAlignment="1">
      <alignment vertical="top"/>
    </xf>
    <xf numFmtId="0" fontId="5" fillId="0" borderId="7" xfId="3" applyFont="1" applyBorder="1" applyAlignment="1">
      <alignment vertical="top" wrapText="1"/>
    </xf>
    <xf numFmtId="0" fontId="5" fillId="0" borderId="11" xfId="0" applyFont="1" applyBorder="1" applyAlignment="1">
      <alignment vertical="top"/>
    </xf>
    <xf numFmtId="4" fontId="28" fillId="0" borderId="2" xfId="0" applyNumberFormat="1" applyFont="1" applyBorder="1" applyAlignment="1">
      <alignment horizontal="right" vertical="top" shrinkToFit="1"/>
    </xf>
    <xf numFmtId="4" fontId="28" fillId="0" borderId="2" xfId="0" applyNumberFormat="1" applyFont="1" applyBorder="1" applyAlignment="1">
      <alignment horizontal="right" vertical="center" shrinkToFit="1"/>
    </xf>
    <xf numFmtId="0" fontId="17" fillId="0" borderId="18" xfId="0" applyFont="1" applyBorder="1" applyAlignment="1">
      <alignment horizontal="left" vertical="top" wrapText="1"/>
    </xf>
    <xf numFmtId="166" fontId="28" fillId="0" borderId="19" xfId="0" applyNumberFormat="1" applyFont="1" applyBorder="1" applyAlignment="1">
      <alignment horizontal="right" vertical="top" shrinkToFit="1"/>
    </xf>
    <xf numFmtId="4" fontId="21" fillId="0" borderId="2" xfId="0" applyNumberFormat="1" applyFont="1" applyBorder="1" applyAlignment="1">
      <alignment horizontal="right" vertical="center" shrinkToFit="1"/>
    </xf>
    <xf numFmtId="4" fontId="21" fillId="0" borderId="20" xfId="0" applyNumberFormat="1" applyFont="1" applyBorder="1" applyAlignment="1">
      <alignment horizontal="right" vertical="top" shrinkToFit="1"/>
    </xf>
    <xf numFmtId="0" fontId="4" fillId="0" borderId="0" xfId="0" applyFont="1" applyAlignment="1">
      <alignment horizontal="left" vertical="top"/>
    </xf>
    <xf numFmtId="166" fontId="49" fillId="0" borderId="2" xfId="1" applyNumberFormat="1" applyFont="1" applyFill="1" applyBorder="1" applyAlignment="1">
      <alignment vertical="top"/>
    </xf>
    <xf numFmtId="166" fontId="51" fillId="0" borderId="0" xfId="1" applyNumberFormat="1" applyFont="1" applyFill="1" applyBorder="1" applyAlignment="1">
      <alignment vertical="top"/>
    </xf>
    <xf numFmtId="166" fontId="49" fillId="0" borderId="0" xfId="1" applyNumberFormat="1" applyFont="1" applyFill="1" applyBorder="1" applyAlignment="1">
      <alignment vertical="top"/>
    </xf>
    <xf numFmtId="166" fontId="51" fillId="0" borderId="2" xfId="1" applyNumberFormat="1" applyFont="1" applyFill="1" applyBorder="1" applyAlignment="1">
      <alignment vertical="top"/>
    </xf>
    <xf numFmtId="164" fontId="51" fillId="0" borderId="2" xfId="2" applyFont="1" applyFill="1" applyBorder="1" applyAlignment="1">
      <alignment vertical="top"/>
    </xf>
    <xf numFmtId="164" fontId="49" fillId="0" borderId="0" xfId="2" applyFont="1" applyFill="1" applyAlignment="1">
      <alignment vertical="top" wrapText="1"/>
    </xf>
    <xf numFmtId="3" fontId="49" fillId="0" borderId="2" xfId="1" applyNumberFormat="1" applyFont="1" applyFill="1" applyBorder="1" applyAlignment="1">
      <alignment horizontal="right" vertical="top"/>
    </xf>
    <xf numFmtId="164" fontId="49" fillId="0" borderId="2" xfId="2" applyFont="1" applyFill="1" applyBorder="1" applyAlignment="1">
      <alignment horizontal="right" vertical="top"/>
    </xf>
    <xf numFmtId="166" fontId="49" fillId="0" borderId="2" xfId="1" applyNumberFormat="1" applyFont="1" applyFill="1" applyBorder="1" applyAlignment="1">
      <alignment horizontal="right" vertical="top"/>
    </xf>
    <xf numFmtId="166" fontId="49" fillId="0" borderId="2" xfId="1" quotePrefix="1" applyNumberFormat="1" applyFont="1" applyFill="1" applyBorder="1" applyAlignment="1">
      <alignment horizontal="right" vertical="top"/>
    </xf>
    <xf numFmtId="164" fontId="54" fillId="0" borderId="2" xfId="2" applyFont="1" applyFill="1" applyBorder="1" applyAlignment="1">
      <alignment horizontal="right" vertical="top" wrapText="1"/>
    </xf>
    <xf numFmtId="164" fontId="54" fillId="0" borderId="0" xfId="2" applyFont="1" applyFill="1" applyBorder="1" applyAlignment="1">
      <alignment horizontal="right" vertical="top" wrapText="1"/>
    </xf>
    <xf numFmtId="0" fontId="49" fillId="0" borderId="6" xfId="0" applyFont="1" applyBorder="1" applyAlignment="1">
      <alignment horizontal="center" vertical="top"/>
    </xf>
    <xf numFmtId="0" fontId="49" fillId="0" borderId="11" xfId="0" applyFont="1" applyBorder="1" applyAlignment="1">
      <alignment horizontal="left" vertical="top" wrapText="1"/>
    </xf>
    <xf numFmtId="0" fontId="49" fillId="0" borderId="2" xfId="0" applyFont="1" applyBorder="1" applyAlignment="1">
      <alignment horizontal="left" vertical="top" wrapText="1"/>
    </xf>
    <xf numFmtId="0" fontId="49" fillId="0" borderId="2" xfId="0" applyFont="1" applyBorder="1" applyAlignment="1">
      <alignment vertical="top" wrapText="1"/>
    </xf>
    <xf numFmtId="0" fontId="49" fillId="0" borderId="2" xfId="0" applyFont="1" applyBorder="1" applyAlignment="1">
      <alignment horizontal="center" vertical="top" wrapText="1"/>
    </xf>
    <xf numFmtId="9" fontId="49" fillId="0" borderId="2" xfId="0" applyNumberFormat="1" applyFont="1" applyBorder="1" applyAlignment="1">
      <alignment horizontal="center" vertical="top"/>
    </xf>
    <xf numFmtId="1" fontId="49" fillId="0" borderId="2" xfId="0" applyNumberFormat="1" applyFont="1" applyBorder="1" applyAlignment="1">
      <alignment horizontal="center" vertical="top" wrapText="1"/>
    </xf>
    <xf numFmtId="2" fontId="49" fillId="0" borderId="2" xfId="0" applyNumberFormat="1" applyFont="1" applyBorder="1" applyAlignment="1">
      <alignment horizontal="center" vertical="top"/>
    </xf>
    <xf numFmtId="0" fontId="49" fillId="0" borderId="2" xfId="0" applyFont="1" applyBorder="1" applyAlignment="1">
      <alignment horizontal="center" vertical="top"/>
    </xf>
    <xf numFmtId="164" fontId="49" fillId="0" borderId="2" xfId="0" applyNumberFormat="1" applyFont="1" applyBorder="1" applyAlignment="1">
      <alignment horizontal="center" vertical="top"/>
    </xf>
    <xf numFmtId="164" fontId="49" fillId="0" borderId="2" xfId="0" applyNumberFormat="1" applyFont="1" applyBorder="1" applyAlignment="1">
      <alignment vertical="top"/>
    </xf>
    <xf numFmtId="0" fontId="49" fillId="0" borderId="11" xfId="0" applyFont="1" applyBorder="1" applyAlignment="1">
      <alignment horizontal="center" vertical="top" wrapText="1"/>
    </xf>
    <xf numFmtId="0" fontId="50" fillId="0" borderId="0" xfId="0" applyFont="1"/>
    <xf numFmtId="0" fontId="49" fillId="0" borderId="6" xfId="0" applyFont="1" applyBorder="1" applyAlignment="1">
      <alignment horizontal="left" vertical="top" wrapText="1"/>
    </xf>
    <xf numFmtId="0" fontId="49" fillId="0" borderId="15" xfId="0" applyFont="1" applyBorder="1" applyAlignment="1">
      <alignment horizontal="left" vertical="top" wrapText="1"/>
    </xf>
    <xf numFmtId="1" fontId="49" fillId="0" borderId="2" xfId="0" applyNumberFormat="1" applyFont="1" applyBorder="1" applyAlignment="1">
      <alignment horizontal="center" vertical="top"/>
    </xf>
    <xf numFmtId="164" fontId="49" fillId="0" borderId="6" xfId="0" applyNumberFormat="1" applyFont="1" applyBorder="1" applyAlignment="1">
      <alignment vertical="top"/>
    </xf>
    <xf numFmtId="2" fontId="49" fillId="0" borderId="6" xfId="0" applyNumberFormat="1" applyFont="1" applyBorder="1" applyAlignment="1">
      <alignment horizontal="center" vertical="top"/>
    </xf>
    <xf numFmtId="0" fontId="52" fillId="0" borderId="11" xfId="0" applyFont="1" applyBorder="1"/>
    <xf numFmtId="0" fontId="52" fillId="0" borderId="0" xfId="0" applyFont="1"/>
    <xf numFmtId="0" fontId="49" fillId="0" borderId="11" xfId="0" applyFont="1" applyBorder="1" applyAlignment="1">
      <alignment horizontal="center" vertical="top"/>
    </xf>
    <xf numFmtId="0" fontId="51" fillId="0" borderId="2" xfId="0" applyFont="1" applyBorder="1" applyAlignment="1">
      <alignment horizontal="left" vertical="top" wrapText="1"/>
    </xf>
    <xf numFmtId="0" fontId="51" fillId="0" borderId="2" xfId="0" applyFont="1" applyBorder="1" applyAlignment="1">
      <alignment horizontal="center" vertical="top" wrapText="1"/>
    </xf>
    <xf numFmtId="9" fontId="51" fillId="0" borderId="2" xfId="0" applyNumberFormat="1" applyFont="1" applyBorder="1" applyAlignment="1">
      <alignment horizontal="center" vertical="top"/>
    </xf>
    <xf numFmtId="1" fontId="51" fillId="0" borderId="2" xfId="0" applyNumberFormat="1" applyFont="1" applyBorder="1" applyAlignment="1">
      <alignment horizontal="center" vertical="top"/>
    </xf>
    <xf numFmtId="2" fontId="51" fillId="0" borderId="2" xfId="0" applyNumberFormat="1" applyFont="1" applyBorder="1" applyAlignment="1">
      <alignment horizontal="center" vertical="top"/>
    </xf>
    <xf numFmtId="0" fontId="51" fillId="0" borderId="2" xfId="0" applyFont="1" applyBorder="1" applyAlignment="1">
      <alignment horizontal="center" vertical="top"/>
    </xf>
    <xf numFmtId="164" fontId="51" fillId="0" borderId="2" xfId="0" applyNumberFormat="1" applyFont="1" applyBorder="1" applyAlignment="1">
      <alignment horizontal="center" vertical="top"/>
    </xf>
    <xf numFmtId="164" fontId="51" fillId="0" borderId="2" xfId="0" applyNumberFormat="1" applyFont="1" applyBorder="1" applyAlignment="1">
      <alignment vertical="top"/>
    </xf>
    <xf numFmtId="0" fontId="50" fillId="0" borderId="11" xfId="0" applyFont="1" applyBorder="1"/>
    <xf numFmtId="1" fontId="49" fillId="0" borderId="15" xfId="0" applyNumberFormat="1" applyFont="1" applyBorder="1" applyAlignment="1">
      <alignment horizontal="center" vertical="top" wrapText="1"/>
    </xf>
    <xf numFmtId="9" fontId="49" fillId="0" borderId="15" xfId="0" applyNumberFormat="1" applyFont="1" applyBorder="1" applyAlignment="1">
      <alignment horizontal="center" vertical="top"/>
    </xf>
    <xf numFmtId="0" fontId="51" fillId="0" borderId="15" xfId="0" applyFont="1" applyBorder="1" applyAlignment="1">
      <alignment horizontal="left" vertical="top" wrapText="1"/>
    </xf>
    <xf numFmtId="1" fontId="51" fillId="0" borderId="2" xfId="0" applyNumberFormat="1" applyFont="1" applyBorder="1" applyAlignment="1">
      <alignment horizontal="center" vertical="top" wrapText="1"/>
    </xf>
    <xf numFmtId="9" fontId="51" fillId="0" borderId="15" xfId="0" applyNumberFormat="1" applyFont="1" applyBorder="1" applyAlignment="1">
      <alignment horizontal="center" vertical="top"/>
    </xf>
    <xf numFmtId="166" fontId="0" fillId="0" borderId="0" xfId="1" applyNumberFormat="1" applyFont="1" applyFill="1" applyAlignment="1">
      <alignment vertical="top"/>
    </xf>
    <xf numFmtId="1" fontId="51" fillId="0" borderId="2" xfId="0" quotePrefix="1" applyNumberFormat="1" applyFont="1" applyBorder="1" applyAlignment="1">
      <alignment horizontal="center" vertical="top" wrapText="1"/>
    </xf>
    <xf numFmtId="0" fontId="51" fillId="0" borderId="11" xfId="0" applyFont="1" applyBorder="1" applyAlignment="1">
      <alignment horizontal="center" vertical="top" wrapText="1"/>
    </xf>
    <xf numFmtId="3" fontId="49" fillId="0" borderId="0" xfId="0" applyNumberFormat="1" applyFont="1" applyAlignment="1">
      <alignment vertical="top" wrapText="1"/>
    </xf>
    <xf numFmtId="0" fontId="53" fillId="0" borderId="2" xfId="0" applyFont="1" applyBorder="1" applyAlignment="1">
      <alignment vertical="top" wrapText="1"/>
    </xf>
    <xf numFmtId="0" fontId="51" fillId="0" borderId="6" xfId="0" applyFont="1" applyBorder="1" applyAlignment="1">
      <alignment horizontal="left" vertical="top" wrapText="1"/>
    </xf>
    <xf numFmtId="166" fontId="51" fillId="0" borderId="2" xfId="1" applyNumberFormat="1" applyFont="1" applyFill="1" applyBorder="1" applyAlignment="1">
      <alignment horizontal="right" vertical="top"/>
    </xf>
    <xf numFmtId="2" fontId="49" fillId="0" borderId="2" xfId="0" applyNumberFormat="1" applyFont="1" applyBorder="1" applyAlignment="1">
      <alignment horizontal="center" vertical="top" wrapText="1"/>
    </xf>
    <xf numFmtId="9" fontId="49" fillId="0" borderId="2" xfId="0" applyNumberFormat="1" applyFont="1" applyBorder="1" applyAlignment="1">
      <alignment horizontal="center" vertical="top" wrapText="1"/>
    </xf>
    <xf numFmtId="9" fontId="51" fillId="0" borderId="2" xfId="0" applyNumberFormat="1" applyFont="1" applyBorder="1" applyAlignment="1">
      <alignment horizontal="center" vertical="top" wrapText="1"/>
    </xf>
    <xf numFmtId="2" fontId="49" fillId="0" borderId="2" xfId="0" quotePrefix="1" applyNumberFormat="1" applyFont="1" applyBorder="1" applyAlignment="1">
      <alignment horizontal="center" vertical="top" wrapText="1"/>
    </xf>
    <xf numFmtId="0" fontId="49" fillId="0" borderId="15" xfId="0" applyFont="1" applyBorder="1" applyAlignment="1">
      <alignment horizontal="center" vertical="top"/>
    </xf>
    <xf numFmtId="3" fontId="51" fillId="0" borderId="2" xfId="1" applyNumberFormat="1" applyFont="1" applyFill="1" applyBorder="1" applyAlignment="1">
      <alignment horizontal="right" vertical="top"/>
    </xf>
    <xf numFmtId="3" fontId="51" fillId="0" borderId="2" xfId="0" applyNumberFormat="1" applyFont="1" applyBorder="1" applyAlignment="1">
      <alignment horizontal="center" vertical="top" wrapText="1"/>
    </xf>
    <xf numFmtId="3" fontId="55" fillId="0" borderId="2" xfId="0" applyNumberFormat="1" applyFont="1" applyBorder="1" applyAlignment="1">
      <alignment horizontal="right" vertical="top" wrapText="1"/>
    </xf>
    <xf numFmtId="0" fontId="49" fillId="0" borderId="0" xfId="0" applyFont="1" applyAlignment="1">
      <alignment vertical="top" wrapText="1"/>
    </xf>
    <xf numFmtId="3" fontId="49" fillId="0" borderId="2" xfId="0" applyNumberFormat="1" applyFont="1" applyBorder="1" applyAlignment="1">
      <alignment horizontal="center" vertical="top" wrapText="1"/>
    </xf>
    <xf numFmtId="3" fontId="54" fillId="0" borderId="0" xfId="0" applyNumberFormat="1" applyFont="1" applyAlignment="1">
      <alignment horizontal="right" vertical="top" wrapText="1"/>
    </xf>
    <xf numFmtId="166" fontId="54" fillId="0" borderId="0" xfId="0" applyNumberFormat="1" applyFont="1" applyAlignment="1">
      <alignment horizontal="right" vertical="top"/>
    </xf>
    <xf numFmtId="3" fontId="7" fillId="7" borderId="2" xfId="0" applyNumberFormat="1" applyFont="1" applyFill="1" applyBorder="1" applyAlignment="1">
      <alignment horizontal="right" vertical="top"/>
    </xf>
    <xf numFmtId="164" fontId="17" fillId="7" borderId="2" xfId="19" applyNumberFormat="1" applyFont="1" applyFill="1" applyBorder="1" applyAlignment="1">
      <alignment horizontal="center" vertical="top" wrapText="1"/>
    </xf>
    <xf numFmtId="4" fontId="5" fillId="7" borderId="2" xfId="0" applyNumberFormat="1" applyFont="1" applyFill="1" applyBorder="1" applyAlignment="1">
      <alignment horizontal="center" vertical="top" wrapText="1"/>
    </xf>
    <xf numFmtId="3" fontId="5" fillId="7" borderId="2" xfId="1" applyNumberFormat="1" applyFont="1" applyFill="1" applyBorder="1" applyAlignment="1">
      <alignment horizontal="center" vertical="top" wrapText="1"/>
    </xf>
    <xf numFmtId="3" fontId="5" fillId="0" borderId="2" xfId="1" applyNumberFormat="1" applyFont="1" applyFill="1" applyBorder="1" applyAlignment="1">
      <alignment horizontal="center" vertical="top" wrapText="1"/>
    </xf>
    <xf numFmtId="3" fontId="5" fillId="7" borderId="2" xfId="0" applyNumberFormat="1" applyFont="1" applyFill="1" applyBorder="1" applyAlignment="1">
      <alignment horizontal="center" vertical="top" wrapText="1"/>
    </xf>
    <xf numFmtId="0" fontId="58" fillId="7" borderId="2" xfId="0" applyFont="1" applyFill="1" applyBorder="1" applyAlignment="1">
      <alignment horizontal="center" vertical="top" wrapText="1"/>
    </xf>
    <xf numFmtId="164" fontId="17" fillId="7" borderId="2" xfId="0" applyNumberFormat="1" applyFont="1" applyFill="1" applyBorder="1" applyAlignment="1">
      <alignment horizontal="right" vertical="top" wrapText="1"/>
    </xf>
    <xf numFmtId="3" fontId="7" fillId="7" borderId="2" xfId="0" applyNumberFormat="1" applyFont="1" applyFill="1" applyBorder="1" applyAlignment="1">
      <alignment horizontal="center" vertical="top" wrapText="1"/>
    </xf>
    <xf numFmtId="3" fontId="58" fillId="7" borderId="15" xfId="0" applyNumberFormat="1" applyFont="1" applyFill="1" applyBorder="1" applyAlignment="1">
      <alignment horizontal="center" vertical="top" wrapText="1"/>
    </xf>
    <xf numFmtId="164" fontId="58" fillId="7" borderId="15" xfId="19" applyNumberFormat="1" applyFont="1" applyFill="1" applyBorder="1" applyAlignment="1">
      <alignment horizontal="right" vertical="top" wrapText="1"/>
    </xf>
    <xf numFmtId="0" fontId="7" fillId="7" borderId="2" xfId="0" applyFont="1" applyFill="1" applyBorder="1" applyAlignment="1">
      <alignment horizontal="center" vertical="top" wrapText="1"/>
    </xf>
    <xf numFmtId="164" fontId="7" fillId="7" borderId="2" xfId="2" applyFont="1" applyFill="1" applyBorder="1" applyAlignment="1">
      <alignment horizontal="right" vertical="top"/>
    </xf>
    <xf numFmtId="1" fontId="7" fillId="7" borderId="2" xfId="0" applyNumberFormat="1" applyFont="1" applyFill="1" applyBorder="1" applyAlignment="1">
      <alignment horizontal="center" vertical="top" wrapText="1"/>
    </xf>
    <xf numFmtId="0" fontId="22" fillId="0" borderId="6" xfId="20" applyFont="1" applyBorder="1" applyAlignment="1" applyProtection="1">
      <alignment vertical="top" wrapText="1"/>
    </xf>
    <xf numFmtId="0" fontId="17" fillId="0" borderId="6" xfId="20" applyFont="1" applyBorder="1" applyAlignment="1" applyProtection="1">
      <alignment vertical="top" wrapText="1"/>
    </xf>
    <xf numFmtId="3" fontId="58" fillId="7" borderId="2" xfId="0" applyNumberFormat="1" applyFont="1" applyFill="1" applyBorder="1" applyAlignment="1">
      <alignment horizontal="center" vertical="top" wrapText="1"/>
    </xf>
    <xf numFmtId="164" fontId="58" fillId="7" borderId="2" xfId="19" applyNumberFormat="1" applyFont="1" applyFill="1" applyBorder="1" applyAlignment="1">
      <alignment horizontal="right" vertical="top" wrapText="1"/>
    </xf>
    <xf numFmtId="172" fontId="17" fillId="0" borderId="2" xfId="0" applyNumberFormat="1" applyFont="1" applyBorder="1" applyAlignment="1">
      <alignment horizontal="center" vertical="top" wrapText="1"/>
    </xf>
    <xf numFmtId="1" fontId="5" fillId="7" borderId="2" xfId="0" applyNumberFormat="1" applyFont="1" applyFill="1" applyBorder="1" applyAlignment="1">
      <alignment horizontal="center" vertical="top" wrapText="1"/>
    </xf>
    <xf numFmtId="2" fontId="5" fillId="7" borderId="2" xfId="0" applyNumberFormat="1" applyFont="1" applyFill="1" applyBorder="1" applyAlignment="1">
      <alignment horizontal="center" vertical="top" wrapText="1"/>
    </xf>
    <xf numFmtId="0" fontId="5" fillId="7" borderId="2" xfId="0" applyFont="1" applyFill="1" applyBorder="1" applyAlignment="1">
      <alignment horizontal="center" vertical="top" wrapText="1"/>
    </xf>
    <xf numFmtId="164" fontId="7" fillId="7" borderId="2" xfId="1" applyNumberFormat="1" applyFont="1" applyFill="1" applyBorder="1" applyAlignment="1">
      <alignment horizontal="right" vertical="top"/>
    </xf>
    <xf numFmtId="164" fontId="58" fillId="7" borderId="2" xfId="1" applyNumberFormat="1" applyFont="1" applyFill="1" applyBorder="1" applyAlignment="1">
      <alignment horizontal="right" vertical="top" wrapText="1"/>
    </xf>
    <xf numFmtId="165" fontId="5" fillId="0" borderId="2" xfId="1" applyFont="1" applyBorder="1" applyAlignment="1">
      <alignment horizontal="center" vertical="top" wrapText="1"/>
    </xf>
    <xf numFmtId="3" fontId="5" fillId="0" borderId="2" xfId="1" applyNumberFormat="1" applyFont="1" applyFill="1" applyBorder="1" applyAlignment="1">
      <alignment horizontal="center" vertical="top"/>
    </xf>
    <xf numFmtId="164" fontId="17" fillId="7" borderId="2" xfId="21" applyNumberFormat="1" applyFont="1" applyFill="1" applyBorder="1" applyAlignment="1">
      <alignment horizontal="right" vertical="top" wrapText="1"/>
    </xf>
    <xf numFmtId="0" fontId="5" fillId="7" borderId="11" xfId="0" applyFont="1" applyFill="1" applyBorder="1" applyAlignment="1">
      <alignment horizontal="center" vertical="top"/>
    </xf>
    <xf numFmtId="0" fontId="5" fillId="7" borderId="11" xfId="0" applyFont="1" applyFill="1" applyBorder="1" applyAlignment="1">
      <alignment horizontal="left" vertical="top" wrapText="1"/>
    </xf>
    <xf numFmtId="0" fontId="5" fillId="7" borderId="2" xfId="0" applyFont="1" applyFill="1" applyBorder="1" applyAlignment="1">
      <alignment horizontal="left" vertical="top" wrapText="1"/>
    </xf>
    <xf numFmtId="2" fontId="22" fillId="7" borderId="2" xfId="0" applyNumberFormat="1" applyFont="1" applyFill="1" applyBorder="1" applyAlignment="1">
      <alignment horizontal="center" vertical="top" wrapText="1"/>
    </xf>
    <xf numFmtId="9" fontId="22" fillId="7" borderId="2" xfId="0" applyNumberFormat="1" applyFont="1" applyFill="1" applyBorder="1" applyAlignment="1">
      <alignment horizontal="center" vertical="top"/>
    </xf>
    <xf numFmtId="166" fontId="22" fillId="7" borderId="2" xfId="1" quotePrefix="1" applyNumberFormat="1" applyFont="1" applyFill="1" applyBorder="1" applyAlignment="1">
      <alignment vertical="top"/>
    </xf>
    <xf numFmtId="2" fontId="22" fillId="7" borderId="2" xfId="0" applyNumberFormat="1" applyFont="1" applyFill="1" applyBorder="1" applyAlignment="1">
      <alignment horizontal="center" vertical="top"/>
    </xf>
    <xf numFmtId="0" fontId="22" fillId="7" borderId="2" xfId="0" applyFont="1" applyFill="1" applyBorder="1" applyAlignment="1">
      <alignment horizontal="center" vertical="top" wrapText="1"/>
    </xf>
    <xf numFmtId="0" fontId="22" fillId="7" borderId="2" xfId="0" applyFont="1" applyFill="1" applyBorder="1" applyAlignment="1">
      <alignment horizontal="center" vertical="top"/>
    </xf>
    <xf numFmtId="164" fontId="22" fillId="7" borderId="2" xfId="0" applyNumberFormat="1" applyFont="1" applyFill="1" applyBorder="1" applyAlignment="1">
      <alignment vertical="top"/>
    </xf>
    <xf numFmtId="0" fontId="46" fillId="7" borderId="11" xfId="0" applyFont="1" applyFill="1" applyBorder="1"/>
    <xf numFmtId="0" fontId="7" fillId="7" borderId="2" xfId="0" applyFont="1" applyFill="1" applyBorder="1" applyAlignment="1">
      <alignment horizontal="left" vertical="top" wrapText="1"/>
    </xf>
    <xf numFmtId="2" fontId="17" fillId="7" borderId="2" xfId="0" applyNumberFormat="1" applyFont="1" applyFill="1" applyBorder="1" applyAlignment="1">
      <alignment horizontal="center" vertical="top" wrapText="1"/>
    </xf>
    <xf numFmtId="9" fontId="17" fillId="7" borderId="2" xfId="0" applyNumberFormat="1" applyFont="1" applyFill="1" applyBorder="1" applyAlignment="1">
      <alignment horizontal="center" vertical="top"/>
    </xf>
    <xf numFmtId="166" fontId="17" fillId="7" borderId="2" xfId="1" applyNumberFormat="1" applyFont="1" applyFill="1" applyBorder="1" applyAlignment="1">
      <alignment vertical="top"/>
    </xf>
    <xf numFmtId="2" fontId="17" fillId="7" borderId="2" xfId="0" applyNumberFormat="1" applyFont="1" applyFill="1" applyBorder="1" applyAlignment="1">
      <alignment horizontal="center" vertical="top"/>
    </xf>
    <xf numFmtId="166" fontId="17" fillId="7" borderId="2" xfId="1" quotePrefix="1" applyNumberFormat="1" applyFont="1" applyFill="1" applyBorder="1" applyAlignment="1">
      <alignment vertical="top"/>
    </xf>
    <xf numFmtId="0" fontId="17" fillId="7" borderId="2" xfId="0" applyFont="1" applyFill="1" applyBorder="1" applyAlignment="1">
      <alignment horizontal="center" vertical="top"/>
    </xf>
    <xf numFmtId="164" fontId="17" fillId="7" borderId="2" xfId="0" applyNumberFormat="1" applyFont="1" applyFill="1" applyBorder="1" applyAlignment="1">
      <alignment vertical="top"/>
    </xf>
    <xf numFmtId="0" fontId="17" fillId="7" borderId="2" xfId="20" applyFont="1" applyFill="1" applyBorder="1" applyAlignment="1" applyProtection="1">
      <alignment vertical="top" wrapText="1"/>
    </xf>
    <xf numFmtId="0" fontId="17" fillId="7" borderId="2" xfId="0" applyFont="1" applyFill="1" applyBorder="1" applyAlignment="1">
      <alignment horizontal="center" vertical="top" wrapText="1"/>
    </xf>
    <xf numFmtId="1" fontId="17" fillId="7" borderId="2" xfId="0" applyNumberFormat="1" applyFont="1" applyFill="1" applyBorder="1" applyAlignment="1">
      <alignment horizontal="center" vertical="top" wrapText="1"/>
    </xf>
    <xf numFmtId="167" fontId="17" fillId="7" borderId="2" xfId="0" applyNumberFormat="1" applyFont="1" applyFill="1" applyBorder="1" applyAlignment="1">
      <alignment horizontal="center" vertical="top" wrapText="1"/>
    </xf>
    <xf numFmtId="1" fontId="17" fillId="7" borderId="2" xfId="0" applyNumberFormat="1" applyFont="1" applyFill="1" applyBorder="1" applyAlignment="1">
      <alignment horizontal="center" vertical="top"/>
    </xf>
    <xf numFmtId="1" fontId="22" fillId="7" borderId="2" xfId="0" applyNumberFormat="1" applyFont="1" applyFill="1" applyBorder="1" applyAlignment="1">
      <alignment horizontal="center" vertical="top"/>
    </xf>
    <xf numFmtId="3" fontId="17" fillId="7" borderId="2" xfId="0" applyNumberFormat="1" applyFont="1" applyFill="1" applyBorder="1" applyAlignment="1">
      <alignment horizontal="right" vertical="top"/>
    </xf>
    <xf numFmtId="0" fontId="17" fillId="0" borderId="2" xfId="20" applyFont="1" applyBorder="1" applyAlignment="1" applyProtection="1">
      <alignment horizontal="center" vertical="top" wrapText="1"/>
    </xf>
    <xf numFmtId="2" fontId="17" fillId="0" borderId="2" xfId="0" applyNumberFormat="1" applyFont="1" applyBorder="1" applyAlignment="1">
      <alignment horizontal="center" vertical="top" wrapText="1"/>
    </xf>
    <xf numFmtId="0" fontId="59" fillId="0" borderId="2" xfId="20" applyFont="1" applyBorder="1" applyAlignment="1" applyProtection="1">
      <alignment horizontal="center" vertical="top" wrapText="1"/>
    </xf>
    <xf numFmtId="0" fontId="7" fillId="0" borderId="0" xfId="0" applyFont="1" applyAlignment="1">
      <alignment horizontal="center" vertical="top"/>
    </xf>
    <xf numFmtId="0" fontId="5" fillId="0" borderId="6" xfId="0" applyFont="1" applyBorder="1" applyAlignment="1">
      <alignment horizontal="left" vertical="top" wrapText="1"/>
    </xf>
    <xf numFmtId="0" fontId="5" fillId="0" borderId="11" xfId="0" applyFont="1" applyBorder="1" applyAlignment="1">
      <alignment horizontal="left" vertical="top" wrapText="1"/>
    </xf>
    <xf numFmtId="0" fontId="5" fillId="0" borderId="15" xfId="0" applyFont="1" applyBorder="1" applyAlignment="1">
      <alignment horizontal="left" vertical="top" wrapText="1"/>
    </xf>
    <xf numFmtId="0" fontId="7" fillId="4" borderId="12" xfId="0" applyFont="1" applyFill="1" applyBorder="1" applyAlignment="1">
      <alignment horizontal="left" vertical="top"/>
    </xf>
    <xf numFmtId="0" fontId="7" fillId="4" borderId="13" xfId="0" applyFont="1" applyFill="1" applyBorder="1" applyAlignment="1">
      <alignment horizontal="left" vertical="top"/>
    </xf>
    <xf numFmtId="0" fontId="7" fillId="4" borderId="14" xfId="0" applyFont="1" applyFill="1" applyBorder="1" applyAlignment="1">
      <alignment horizontal="left" vertical="top"/>
    </xf>
    <xf numFmtId="0" fontId="7" fillId="0" borderId="0" xfId="0" applyFont="1" applyAlignment="1">
      <alignment horizontal="center"/>
    </xf>
    <xf numFmtId="0" fontId="13" fillId="0" borderId="0" xfId="0" applyFont="1" applyAlignment="1">
      <alignment horizontal="center"/>
    </xf>
    <xf numFmtId="0" fontId="5" fillId="0" borderId="6" xfId="0" applyFont="1" applyBorder="1" applyAlignment="1">
      <alignment vertical="top" wrapText="1"/>
    </xf>
    <xf numFmtId="0" fontId="5" fillId="0" borderId="15" xfId="0" applyFont="1" applyBorder="1" applyAlignment="1">
      <alignment vertical="top" wrapText="1"/>
    </xf>
    <xf numFmtId="0" fontId="5" fillId="0" borderId="11" xfId="0" applyFont="1" applyBorder="1" applyAlignment="1">
      <alignment horizontal="center" vertical="top"/>
    </xf>
    <xf numFmtId="0" fontId="5" fillId="0" borderId="11" xfId="0" applyFont="1" applyBorder="1" applyAlignment="1">
      <alignment horizontal="center" vertical="top" wrapText="1"/>
    </xf>
    <xf numFmtId="0" fontId="5" fillId="0" borderId="6" xfId="0" applyFont="1" applyBorder="1" applyAlignment="1">
      <alignment horizontal="center" vertical="top"/>
    </xf>
    <xf numFmtId="0" fontId="5" fillId="0" borderId="15" xfId="0" applyFont="1" applyBorder="1" applyAlignment="1">
      <alignment horizontal="center" vertical="top"/>
    </xf>
    <xf numFmtId="165" fontId="7" fillId="0" borderId="18" xfId="0" applyNumberFormat="1" applyFont="1" applyBorder="1" applyAlignment="1">
      <alignment horizontal="center" vertical="top"/>
    </xf>
    <xf numFmtId="0" fontId="20" fillId="0" borderId="19" xfId="0" applyFont="1" applyBorder="1"/>
    <xf numFmtId="0" fontId="20" fillId="0" borderId="20" xfId="0" applyFont="1" applyBorder="1"/>
    <xf numFmtId="0" fontId="5" fillId="0" borderId="19" xfId="0" applyFont="1" applyBorder="1" applyAlignment="1">
      <alignment horizontal="left" vertical="top" wrapText="1"/>
    </xf>
    <xf numFmtId="0" fontId="5" fillId="0" borderId="18" xfId="0" applyFont="1" applyBorder="1" applyAlignment="1">
      <alignment horizontal="left" vertical="top" wrapText="1"/>
    </xf>
    <xf numFmtId="165" fontId="5" fillId="0" borderId="18" xfId="0" applyNumberFormat="1" applyFont="1" applyBorder="1" applyAlignment="1">
      <alignment horizontal="center" vertical="top"/>
    </xf>
    <xf numFmtId="166" fontId="5" fillId="0" borderId="18" xfId="0" applyNumberFormat="1" applyFont="1" applyBorder="1" applyAlignment="1">
      <alignment horizontal="center" vertical="top"/>
    </xf>
    <xf numFmtId="3" fontId="5" fillId="0" borderId="18" xfId="0" applyNumberFormat="1" applyFont="1" applyBorder="1" applyAlignment="1">
      <alignment horizontal="center" vertical="top"/>
    </xf>
    <xf numFmtId="2" fontId="5" fillId="0" borderId="18" xfId="0" applyNumberFormat="1" applyFont="1" applyBorder="1" applyAlignment="1">
      <alignment horizontal="center" vertical="top"/>
    </xf>
    <xf numFmtId="0" fontId="5" fillId="0" borderId="18" xfId="0" applyFont="1" applyBorder="1" applyAlignment="1">
      <alignment horizontal="center" vertical="top"/>
    </xf>
    <xf numFmtId="0" fontId="5" fillId="0" borderId="18" xfId="0" applyFont="1" applyBorder="1" applyAlignment="1">
      <alignment horizontal="center" vertical="top" wrapText="1"/>
    </xf>
    <xf numFmtId="0" fontId="7" fillId="4" borderId="12" xfId="0" applyFont="1" applyFill="1" applyBorder="1" applyAlignment="1">
      <alignment horizontal="right"/>
    </xf>
    <xf numFmtId="0" fontId="7" fillId="4" borderId="13" xfId="0" applyFont="1" applyFill="1" applyBorder="1" applyAlignment="1">
      <alignment horizontal="right"/>
    </xf>
    <xf numFmtId="0" fontId="4" fillId="0" borderId="1" xfId="0" applyFont="1" applyBorder="1" applyAlignment="1">
      <alignment horizontal="left"/>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applyAlignment="1">
      <alignment horizontal="center"/>
    </xf>
    <xf numFmtId="0" fontId="5" fillId="3" borderId="14" xfId="0" applyFont="1" applyFill="1" applyBorder="1" applyAlignment="1">
      <alignment horizontal="center"/>
    </xf>
    <xf numFmtId="0" fontId="5" fillId="3" borderId="13" xfId="0" applyFont="1" applyFill="1" applyBorder="1" applyAlignment="1">
      <alignment horizontal="center"/>
    </xf>
    <xf numFmtId="0" fontId="5" fillId="3" borderId="12" xfId="0" applyFont="1" applyFill="1" applyBorder="1" applyAlignment="1">
      <alignment horizontal="center" vertical="top"/>
    </xf>
    <xf numFmtId="0" fontId="5" fillId="3" borderId="14" xfId="0" applyFont="1" applyFill="1" applyBorder="1" applyAlignment="1">
      <alignment horizontal="center" vertical="top"/>
    </xf>
    <xf numFmtId="0" fontId="2" fillId="0" borderId="0" xfId="0" applyFont="1" applyAlignment="1">
      <alignment horizontal="center"/>
    </xf>
    <xf numFmtId="0" fontId="4" fillId="0" borderId="0" xfId="0" applyFont="1" applyAlignment="1">
      <alignment horizontal="left" vertical="top"/>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7" fillId="0" borderId="3" xfId="0" applyFont="1" applyBorder="1" applyAlignment="1">
      <alignment horizontal="center" vertical="top" wrapText="1"/>
    </xf>
    <xf numFmtId="0" fontId="7" fillId="0" borderId="5"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6" xfId="0" applyFont="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5" fillId="3" borderId="11" xfId="0" applyFont="1" applyFill="1" applyBorder="1" applyAlignment="1">
      <alignment horizontal="center" vertical="center"/>
    </xf>
    <xf numFmtId="0" fontId="7" fillId="0" borderId="6" xfId="0" applyFont="1" applyBorder="1" applyAlignment="1">
      <alignment horizontal="center" wrapText="1"/>
    </xf>
    <xf numFmtId="0" fontId="7" fillId="0" borderId="11"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7" xfId="0" applyFont="1" applyBorder="1" applyAlignment="1">
      <alignment horizontal="center" wrapText="1"/>
    </xf>
    <xf numFmtId="0" fontId="7" fillId="0" borderId="9" xfId="0" applyFont="1" applyBorder="1" applyAlignment="1">
      <alignment horizontal="center" wrapText="1"/>
    </xf>
    <xf numFmtId="0" fontId="7" fillId="0" borderId="6" xfId="0" applyFont="1" applyBorder="1" applyAlignment="1">
      <alignment horizontal="center" vertical="top" wrapText="1"/>
    </xf>
    <xf numFmtId="0" fontId="7" fillId="0" borderId="11" xfId="0" applyFont="1" applyBorder="1" applyAlignment="1">
      <alignment horizontal="center" vertical="top" wrapText="1"/>
    </xf>
    <xf numFmtId="0" fontId="7" fillId="0" borderId="15" xfId="0" applyFont="1" applyBorder="1" applyAlignment="1">
      <alignment horizontal="center" vertical="top" wrapText="1"/>
    </xf>
    <xf numFmtId="0" fontId="5" fillId="0" borderId="11" xfId="0" applyFont="1" applyBorder="1" applyAlignment="1">
      <alignment horizontal="center" vertical="top" wrapText="1" readingOrder="1"/>
    </xf>
    <xf numFmtId="166" fontId="5" fillId="0" borderId="6" xfId="1" quotePrefix="1" applyNumberFormat="1" applyFont="1" applyFill="1" applyBorder="1" applyAlignment="1">
      <alignment horizontal="center" vertical="top"/>
    </xf>
    <xf numFmtId="166" fontId="5" fillId="0" borderId="15" xfId="1" quotePrefix="1" applyNumberFormat="1" applyFont="1" applyFill="1" applyBorder="1" applyAlignment="1">
      <alignment horizontal="center" vertical="top"/>
    </xf>
    <xf numFmtId="0" fontId="5" fillId="0" borderId="2" xfId="0" applyFont="1" applyBorder="1" applyAlignment="1">
      <alignment horizontal="left" vertical="top" wrapText="1"/>
    </xf>
    <xf numFmtId="0" fontId="5" fillId="0" borderId="6" xfId="0" applyFont="1" applyBorder="1" applyAlignment="1">
      <alignment horizontal="center" vertical="top" wrapText="1"/>
    </xf>
    <xf numFmtId="0" fontId="5" fillId="0" borderId="15" xfId="0" applyFont="1" applyBorder="1" applyAlignment="1">
      <alignment horizontal="center" vertical="top" wrapText="1"/>
    </xf>
    <xf numFmtId="2" fontId="22" fillId="0" borderId="6" xfId="14" applyNumberFormat="1" applyFont="1" applyBorder="1" applyAlignment="1">
      <alignment horizontal="center" vertical="top"/>
    </xf>
    <xf numFmtId="2" fontId="22" fillId="0" borderId="11" xfId="14" applyNumberFormat="1" applyFont="1" applyBorder="1" applyAlignment="1">
      <alignment horizontal="center" vertical="top"/>
    </xf>
    <xf numFmtId="2" fontId="22" fillId="0" borderId="15" xfId="14" applyNumberFormat="1" applyFont="1" applyBorder="1" applyAlignment="1">
      <alignment horizontal="center" vertical="top"/>
    </xf>
    <xf numFmtId="164" fontId="22" fillId="0" borderId="6" xfId="14" applyNumberFormat="1" applyFont="1" applyBorder="1" applyAlignment="1">
      <alignment horizontal="center" vertical="top"/>
    </xf>
    <xf numFmtId="164" fontId="22" fillId="0" borderId="11" xfId="14" applyNumberFormat="1" applyFont="1" applyBorder="1" applyAlignment="1">
      <alignment horizontal="center" vertical="top"/>
    </xf>
    <xf numFmtId="164" fontId="22" fillId="0" borderId="15" xfId="14" applyNumberFormat="1" applyFont="1" applyBorder="1" applyAlignment="1">
      <alignment horizontal="center" vertical="top"/>
    </xf>
    <xf numFmtId="166" fontId="22" fillId="0" borderId="2" xfId="6" applyNumberFormat="1" applyFont="1" applyFill="1" applyBorder="1" applyAlignment="1">
      <alignment vertical="top"/>
    </xf>
    <xf numFmtId="166" fontId="22" fillId="0" borderId="6" xfId="6" applyNumberFormat="1" applyFont="1" applyFill="1" applyBorder="1" applyAlignment="1">
      <alignment vertical="top"/>
    </xf>
    <xf numFmtId="166" fontId="22" fillId="0" borderId="11" xfId="6" applyNumberFormat="1" applyFont="1" applyFill="1" applyBorder="1" applyAlignment="1">
      <alignment vertical="top"/>
    </xf>
    <xf numFmtId="166" fontId="22" fillId="0" borderId="2" xfId="14" applyNumberFormat="1" applyFont="1" applyBorder="1" applyAlignment="1">
      <alignment horizontal="center" vertical="top"/>
    </xf>
    <xf numFmtId="166" fontId="22" fillId="0" borderId="6" xfId="14" applyNumberFormat="1" applyFont="1" applyBorder="1" applyAlignment="1">
      <alignment horizontal="center" vertical="top"/>
    </xf>
    <xf numFmtId="166" fontId="22" fillId="0" borderId="11" xfId="14" applyNumberFormat="1" applyFont="1" applyBorder="1" applyAlignment="1">
      <alignment horizontal="center" vertical="top"/>
    </xf>
    <xf numFmtId="166" fontId="22" fillId="0" borderId="15" xfId="14" applyNumberFormat="1" applyFont="1" applyBorder="1" applyAlignment="1">
      <alignment horizontal="center" vertical="top"/>
    </xf>
    <xf numFmtId="166" fontId="22" fillId="0" borderId="6" xfId="6" applyNumberFormat="1" applyFont="1" applyFill="1" applyBorder="1" applyAlignment="1">
      <alignment horizontal="center" vertical="top"/>
    </xf>
    <xf numFmtId="166" fontId="22" fillId="0" borderId="11" xfId="6" applyNumberFormat="1" applyFont="1" applyFill="1" applyBorder="1" applyAlignment="1">
      <alignment horizontal="center" vertical="top"/>
    </xf>
    <xf numFmtId="166" fontId="22" fillId="0" borderId="15" xfId="6" applyNumberFormat="1" applyFont="1" applyFill="1" applyBorder="1" applyAlignment="1">
      <alignment horizontal="center" vertical="top"/>
    </xf>
    <xf numFmtId="0" fontId="7" fillId="0" borderId="2" xfId="0" applyFont="1" applyBorder="1" applyAlignment="1">
      <alignment horizontal="left" vertical="top" wrapText="1"/>
    </xf>
    <xf numFmtId="166" fontId="5" fillId="7" borderId="2" xfId="1" quotePrefix="1" applyNumberFormat="1" applyFont="1" applyFill="1" applyBorder="1" applyAlignment="1">
      <alignment vertical="top"/>
    </xf>
    <xf numFmtId="166" fontId="7" fillId="7" borderId="2" xfId="1" quotePrefix="1" applyNumberFormat="1" applyFont="1" applyFill="1" applyBorder="1" applyAlignment="1">
      <alignment vertical="top"/>
    </xf>
    <xf numFmtId="0" fontId="7" fillId="7" borderId="15" xfId="0" applyFont="1" applyFill="1" applyBorder="1" applyAlignment="1">
      <alignment horizontal="left" vertical="top" wrapText="1"/>
    </xf>
    <xf numFmtId="0" fontId="17" fillId="7" borderId="2" xfId="0" applyFont="1" applyFill="1" applyBorder="1" applyAlignment="1">
      <alignment vertical="top" wrapText="1"/>
    </xf>
    <xf numFmtId="0" fontId="7" fillId="8" borderId="2" xfId="0" applyFont="1" applyFill="1" applyBorder="1" applyAlignment="1">
      <alignment horizontal="left" vertical="top" wrapText="1"/>
    </xf>
    <xf numFmtId="9" fontId="7" fillId="7" borderId="2" xfId="0" applyNumberFormat="1" applyFont="1" applyFill="1" applyBorder="1" applyAlignment="1">
      <alignment horizontal="center" vertical="top"/>
    </xf>
    <xf numFmtId="1" fontId="5" fillId="0" borderId="2" xfId="1" applyNumberFormat="1" applyFont="1" applyFill="1" applyBorder="1" applyAlignment="1">
      <alignment horizontal="center" vertical="top" wrapText="1"/>
    </xf>
    <xf numFmtId="9" fontId="60" fillId="0" borderId="2" xfId="0" applyNumberFormat="1" applyFont="1" applyBorder="1" applyAlignment="1">
      <alignment horizontal="center" vertical="top"/>
    </xf>
    <xf numFmtId="166" fontId="7" fillId="7" borderId="6" xfId="1" quotePrefix="1" applyNumberFormat="1" applyFont="1" applyFill="1" applyBorder="1" applyAlignment="1">
      <alignment vertical="top"/>
    </xf>
    <xf numFmtId="3" fontId="7" fillId="0" borderId="2" xfId="0" applyNumberFormat="1" applyFont="1" applyBorder="1" applyAlignment="1">
      <alignment horizontal="right" vertical="top" wrapText="1"/>
    </xf>
    <xf numFmtId="1" fontId="7" fillId="7" borderId="2" xfId="0" quotePrefix="1" applyNumberFormat="1" applyFont="1" applyFill="1" applyBorder="1" applyAlignment="1">
      <alignment horizontal="center" vertical="top" wrapText="1"/>
    </xf>
    <xf numFmtId="9" fontId="5" fillId="7" borderId="2" xfId="0" applyNumberFormat="1" applyFont="1" applyFill="1" applyBorder="1" applyAlignment="1">
      <alignment horizontal="center" vertical="top" wrapText="1"/>
    </xf>
    <xf numFmtId="1" fontId="5" fillId="7" borderId="2" xfId="4" applyNumberFormat="1" applyFont="1" applyFill="1" applyBorder="1" applyAlignment="1">
      <alignment horizontal="center" vertical="top" wrapText="1"/>
    </xf>
    <xf numFmtId="9" fontId="7" fillId="7" borderId="2" xfId="0" applyNumberFormat="1" applyFont="1" applyFill="1" applyBorder="1" applyAlignment="1">
      <alignment horizontal="center" vertical="top" wrapText="1"/>
    </xf>
    <xf numFmtId="1" fontId="7" fillId="7" borderId="2" xfId="4" applyNumberFormat="1" applyFont="1" applyFill="1" applyBorder="1" applyAlignment="1">
      <alignment horizontal="center" vertical="top" wrapText="1"/>
    </xf>
    <xf numFmtId="175" fontId="5" fillId="7" borderId="2" xfId="0" quotePrefix="1" applyNumberFormat="1" applyFont="1" applyFill="1" applyBorder="1" applyAlignment="1">
      <alignment horizontal="center" vertical="top" wrapText="1"/>
    </xf>
    <xf numFmtId="175" fontId="5" fillId="0" borderId="2" xfId="0" quotePrefix="1" applyNumberFormat="1" applyFont="1" applyBorder="1" applyAlignment="1">
      <alignment horizontal="center" vertical="top" wrapText="1"/>
    </xf>
    <xf numFmtId="1" fontId="5" fillId="0" borderId="2" xfId="1" quotePrefix="1" applyNumberFormat="1" applyFont="1" applyFill="1" applyBorder="1" applyAlignment="1">
      <alignment horizontal="center" vertical="top" wrapText="1"/>
    </xf>
    <xf numFmtId="166" fontId="5" fillId="7" borderId="11" xfId="1" quotePrefix="1" applyNumberFormat="1" applyFont="1" applyFill="1" applyBorder="1" applyAlignment="1">
      <alignment vertical="top"/>
    </xf>
    <xf numFmtId="3" fontId="5" fillId="7" borderId="2" xfId="0" quotePrefix="1" applyNumberFormat="1" applyFont="1" applyFill="1" applyBorder="1" applyAlignment="1">
      <alignment horizontal="center" vertical="top" wrapText="1"/>
    </xf>
    <xf numFmtId="3" fontId="5" fillId="0" borderId="15" xfId="0" quotePrefix="1" applyNumberFormat="1" applyFont="1" applyBorder="1" applyAlignment="1">
      <alignment horizontal="center" vertical="top" wrapText="1"/>
    </xf>
    <xf numFmtId="175" fontId="7" fillId="7" borderId="2" xfId="0" quotePrefix="1" applyNumberFormat="1" applyFont="1" applyFill="1" applyBorder="1" applyAlignment="1">
      <alignment horizontal="center" vertical="top" wrapText="1"/>
    </xf>
    <xf numFmtId="175" fontId="7" fillId="0" borderId="2" xfId="0" applyNumberFormat="1" applyFont="1" applyBorder="1" applyAlignment="1">
      <alignment horizontal="center" vertical="top" wrapText="1"/>
    </xf>
    <xf numFmtId="168" fontId="7" fillId="7" borderId="2" xfId="0" applyNumberFormat="1" applyFont="1" applyFill="1" applyBorder="1" applyAlignment="1">
      <alignment horizontal="center" vertical="top" wrapText="1"/>
    </xf>
    <xf numFmtId="175" fontId="7" fillId="0" borderId="2" xfId="2" applyNumberFormat="1" applyFont="1" applyFill="1" applyBorder="1" applyAlignment="1">
      <alignment horizontal="center" vertical="top"/>
    </xf>
    <xf numFmtId="0" fontId="22" fillId="0" borderId="6" xfId="0" applyFont="1" applyBorder="1" applyAlignment="1">
      <alignment horizontal="center" vertical="top" wrapText="1"/>
    </xf>
    <xf numFmtId="164" fontId="5" fillId="0" borderId="6" xfId="2" applyFont="1" applyFill="1" applyBorder="1" applyAlignment="1">
      <alignment horizontal="center" vertical="top" wrapText="1"/>
    </xf>
    <xf numFmtId="164" fontId="5" fillId="7" borderId="6" xfId="2" applyFont="1" applyFill="1" applyBorder="1" applyAlignment="1">
      <alignment horizontal="center" vertical="top" wrapText="1"/>
    </xf>
    <xf numFmtId="164" fontId="5" fillId="0" borderId="6" xfId="0" applyNumberFormat="1" applyFont="1" applyBorder="1" applyAlignment="1">
      <alignment horizontal="center" vertical="top"/>
    </xf>
    <xf numFmtId="2" fontId="5" fillId="0" borderId="6" xfId="0" applyNumberFormat="1" applyFont="1" applyBorder="1" applyAlignment="1">
      <alignment horizontal="center" vertical="top"/>
    </xf>
    <xf numFmtId="0" fontId="22" fillId="0" borderId="15" xfId="0" applyFont="1" applyBorder="1" applyAlignment="1">
      <alignment horizontal="center" vertical="top" wrapText="1"/>
    </xf>
    <xf numFmtId="164" fontId="5" fillId="0" borderId="15" xfId="2" applyFont="1" applyFill="1" applyBorder="1" applyAlignment="1">
      <alignment horizontal="center" vertical="top" wrapText="1"/>
    </xf>
    <xf numFmtId="164" fontId="5" fillId="7" borderId="15" xfId="2" applyFont="1" applyFill="1" applyBorder="1" applyAlignment="1">
      <alignment horizontal="center" vertical="top" wrapText="1"/>
    </xf>
    <xf numFmtId="164" fontId="5" fillId="0" borderId="15" xfId="0" applyNumberFormat="1" applyFont="1" applyBorder="1" applyAlignment="1">
      <alignment horizontal="center" vertical="top"/>
    </xf>
    <xf numFmtId="2" fontId="5" fillId="0" borderId="15" xfId="0" applyNumberFormat="1" applyFont="1" applyBorder="1" applyAlignment="1">
      <alignment horizontal="center" vertical="top"/>
    </xf>
    <xf numFmtId="166" fontId="7" fillId="0" borderId="6" xfId="1" quotePrefix="1" applyNumberFormat="1" applyFont="1" applyFill="1" applyBorder="1" applyAlignment="1">
      <alignment horizontal="center" vertical="top"/>
    </xf>
    <xf numFmtId="166" fontId="7" fillId="7" borderId="6" xfId="1" quotePrefix="1" applyNumberFormat="1" applyFont="1" applyFill="1" applyBorder="1" applyAlignment="1">
      <alignment horizontal="center" vertical="top"/>
    </xf>
    <xf numFmtId="164" fontId="7" fillId="0" borderId="6" xfId="0" applyNumberFormat="1" applyFont="1" applyBorder="1" applyAlignment="1">
      <alignment horizontal="center" vertical="top"/>
    </xf>
    <xf numFmtId="166" fontId="7" fillId="0" borderId="15" xfId="1" quotePrefix="1" applyNumberFormat="1" applyFont="1" applyFill="1" applyBorder="1" applyAlignment="1">
      <alignment horizontal="center" vertical="top"/>
    </xf>
    <xf numFmtId="166" fontId="7" fillId="7" borderId="15" xfId="1" quotePrefix="1" applyNumberFormat="1" applyFont="1" applyFill="1" applyBorder="1" applyAlignment="1">
      <alignment horizontal="center" vertical="top"/>
    </xf>
    <xf numFmtId="164" fontId="7" fillId="0" borderId="15" xfId="0" applyNumberFormat="1" applyFont="1" applyBorder="1" applyAlignment="1">
      <alignment horizontal="center" vertical="top"/>
    </xf>
    <xf numFmtId="4" fontId="5" fillId="7" borderId="2" xfId="0" quotePrefix="1" applyNumberFormat="1" applyFont="1" applyFill="1" applyBorder="1" applyAlignment="1">
      <alignment horizontal="center" vertical="top" wrapText="1"/>
    </xf>
    <xf numFmtId="2" fontId="5" fillId="7" borderId="2" xfId="0" quotePrefix="1" applyNumberFormat="1" applyFont="1" applyFill="1" applyBorder="1" applyAlignment="1">
      <alignment horizontal="center" vertical="top" wrapText="1"/>
    </xf>
    <xf numFmtId="174" fontId="5" fillId="0" borderId="2" xfId="2" applyNumberFormat="1" applyFont="1" applyFill="1" applyBorder="1" applyAlignment="1">
      <alignment horizontal="center" vertical="top" wrapText="1"/>
    </xf>
    <xf numFmtId="166" fontId="5" fillId="7" borderId="6" xfId="1" quotePrefix="1" applyNumberFormat="1" applyFont="1" applyFill="1" applyBorder="1" applyAlignment="1">
      <alignment vertical="top"/>
    </xf>
  </cellXfs>
  <cellStyles count="22">
    <cellStyle name="Comma" xfId="1" builtinId="3"/>
    <cellStyle name="Comma [0]" xfId="2" builtinId="6"/>
    <cellStyle name="Comma [0] 2 2" xfId="12" xr:uid="{28653E55-7D09-4F9E-AED4-3043C0AD9BF6}"/>
    <cellStyle name="Comma [0] 8" xfId="11" xr:uid="{25E22DCF-C157-4D5B-8C08-3AE05A8890BB}"/>
    <cellStyle name="Comma 10" xfId="13" xr:uid="{F679F25E-FA91-4413-A6D7-594C6A436463}"/>
    <cellStyle name="Comma 2" xfId="6" xr:uid="{CA232BD1-8E31-4596-A713-437F18532415}"/>
    <cellStyle name="Comma 2 2" xfId="19" xr:uid="{92E5BF97-1CBD-4A52-8D32-06B7BC1624F2}"/>
    <cellStyle name="Comma 3" xfId="8" xr:uid="{9917E243-A06F-4047-A725-06A94A53AB56}"/>
    <cellStyle name="Currency [0]" xfId="9" builtinId="7"/>
    <cellStyle name="Normal" xfId="0" builtinId="0"/>
    <cellStyle name="Normal 13" xfId="16" xr:uid="{309DE213-987D-4FE8-8225-091D1CB02D8D}"/>
    <cellStyle name="Normal 13 10" xfId="10" xr:uid="{F4E96B2A-0C31-4186-AB5B-EDE265402A02}"/>
    <cellStyle name="Normal 2" xfId="3" xr:uid="{00000000-0005-0000-0000-000003000000}"/>
    <cellStyle name="Normal 2 2 2" xfId="14" xr:uid="{ACCD66A5-0D78-4264-9384-4EC050794A89}"/>
    <cellStyle name="Normal 3" xfId="5" xr:uid="{6C504706-2942-4AE4-8D0C-14CE9F7E787E}"/>
    <cellStyle name="Normal 4" xfId="7" xr:uid="{A0F8FBB5-1F87-44AD-AC2D-BA740ADAF513}"/>
    <cellStyle name="Normal 4 2" xfId="18" xr:uid="{D9951B54-241D-4944-966F-AD2CF85BFE4C}"/>
    <cellStyle name="Normal 5 2" xfId="17" xr:uid="{B7F1E53E-1E6E-42F6-91C4-4815D149F9B8}"/>
    <cellStyle name="Normal 5 4 2" xfId="15" xr:uid="{55F84836-9688-48D1-A24E-4F7AA0ADCE58}"/>
    <cellStyle name="Normal 7" xfId="20" xr:uid="{7D298EB3-B595-4BED-8D09-9BEFD707E567}"/>
    <cellStyle name="Percent" xfId="4" builtinId="5"/>
    <cellStyle name="Percent 2 2" xfId="21" xr:uid="{E7D6C6F1-EA32-4F97-8CBB-0C03D9DD89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166872</xdr:colOff>
      <xdr:row>2158</xdr:row>
      <xdr:rowOff>155863</xdr:rowOff>
    </xdr:from>
    <xdr:to>
      <xdr:col>30</xdr:col>
      <xdr:colOff>83745</xdr:colOff>
      <xdr:row>2160</xdr:row>
      <xdr:rowOff>233796</xdr:rowOff>
    </xdr:to>
    <xdr:pic>
      <xdr:nvPicPr>
        <xdr:cNvPr id="2" name="Picture 1">
          <a:extLst>
            <a:ext uri="{FF2B5EF4-FFF2-40B4-BE49-F238E27FC236}">
              <a16:creationId xmlns:a16="http://schemas.microsoft.com/office/drawing/2014/main" id="{8910CBFF-E61D-461F-B16A-EA0AE310B63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26303472" y="3626304313"/>
          <a:ext cx="1698048" cy="916133"/>
        </a:xfrm>
        <a:prstGeom prst="rect">
          <a:avLst/>
        </a:prstGeom>
      </xdr:spPr>
    </xdr:pic>
    <xdr:clientData/>
  </xdr:twoCellAnchor>
  <xdr:twoCellAnchor editAs="oneCell">
    <xdr:from>
      <xdr:col>26</xdr:col>
      <xdr:colOff>578141</xdr:colOff>
      <xdr:row>2156</xdr:row>
      <xdr:rowOff>152889</xdr:rowOff>
    </xdr:from>
    <xdr:to>
      <xdr:col>29</xdr:col>
      <xdr:colOff>20169</xdr:colOff>
      <xdr:row>2162</xdr:row>
      <xdr:rowOff>30345</xdr:rowOff>
    </xdr:to>
    <xdr:pic>
      <xdr:nvPicPr>
        <xdr:cNvPr id="3" name="Picture 2">
          <a:extLst>
            <a:ext uri="{FF2B5EF4-FFF2-40B4-BE49-F238E27FC236}">
              <a16:creationId xmlns:a16="http://schemas.microsoft.com/office/drawing/2014/main" id="{AB629B2D-6574-45A4-86C2-F35DD1FD74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0868534">
          <a:off x="25285991" y="3625910814"/>
          <a:ext cx="1775652" cy="17538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2\Orpad\SAKIP%202022\Pohon%20Kinerja%20dan%20Cascading\Cascading%202022%20Dinas%20Pertanian%2022-6-2022%20copy%20utk%20emon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Orpad/SAKIP%202022/Pohon%20Kinerja%20dan%20Cascading/Cascading%202022%20Dinas%20Pertanian%2022-6-2022%20copy%20utk%20emon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ing"/>
      <sheetName val="Cascading (2)"/>
      <sheetName val="Cascading Tahun 2021"/>
    </sheetNames>
    <sheetDataSet>
      <sheetData sheetId="0" refreshError="1">
        <row r="14">
          <cell r="AF14" t="str">
            <v>Terlaksananya bimbingan teknis kegiatan tanaman pangan</v>
          </cell>
        </row>
        <row r="63">
          <cell r="Y63" t="str">
            <v>Persentase kesesuaian penyediaan jasa</v>
          </cell>
        </row>
        <row r="67">
          <cell r="Y67" t="str">
            <v>Persentase Pemeliharaan Barang sesuai kebutuhan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ing"/>
      <sheetName val="Cascading (2)"/>
      <sheetName val="Cascading Tahun 2021"/>
    </sheetNames>
    <sheetDataSet>
      <sheetData sheetId="0" refreshError="1">
        <row r="6">
          <cell r="AF6" t="str">
            <v>Tersedianya benih/bibit tanaman pertanian</v>
          </cell>
        </row>
        <row r="31">
          <cell r="Y31" t="str">
            <v xml:space="preserve">Persentase daging sapi dan unggas yang ASUH (Aman, Sehat, Utuh, dan Halal) </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P2165"/>
  <sheetViews>
    <sheetView tabSelected="1" showRuler="0" view="pageBreakPreview" zoomScale="55" zoomScaleNormal="40" zoomScaleSheetLayoutView="55" zoomScalePageLayoutView="55" workbookViewId="0">
      <selection activeCell="A3" sqref="A3:AE3"/>
    </sheetView>
  </sheetViews>
  <sheetFormatPr defaultColWidth="9.140625" defaultRowHeight="14.25"/>
  <cols>
    <col min="1" max="1" width="6.42578125" style="1" customWidth="1"/>
    <col min="2" max="2" width="18" style="1" customWidth="1"/>
    <col min="3" max="3" width="14.85546875" style="1" customWidth="1"/>
    <col min="4" max="4" width="15" style="1" customWidth="1"/>
    <col min="5" max="5" width="11.5703125" style="1" bestFit="1" customWidth="1"/>
    <col min="6" max="6" width="8.7109375" style="1" bestFit="1" customWidth="1"/>
    <col min="7" max="7" width="23.5703125" style="1" bestFit="1" customWidth="1"/>
    <col min="8" max="8" width="10.85546875" style="1" bestFit="1" customWidth="1"/>
    <col min="9" max="9" width="21.42578125" style="1" customWidth="1"/>
    <col min="10" max="10" width="9" style="1" customWidth="1"/>
    <col min="11" max="11" width="21.7109375" style="1" customWidth="1"/>
    <col min="12" max="12" width="17.85546875" style="1" bestFit="1" customWidth="1"/>
    <col min="13" max="13" width="20.140625" style="1" customWidth="1"/>
    <col min="14" max="14" width="7.7109375" style="1" customWidth="1"/>
    <col min="15" max="15" width="21.5703125" style="1" customWidth="1"/>
    <col min="16" max="16" width="17.85546875" style="1" bestFit="1" customWidth="1"/>
    <col min="17" max="17" width="24.42578125" style="1" bestFit="1" customWidth="1"/>
    <col min="18" max="18" width="9" style="1" customWidth="1"/>
    <col min="19" max="19" width="24.42578125" style="1" bestFit="1" customWidth="1"/>
    <col min="20" max="20" width="14.140625" style="1" bestFit="1" customWidth="1"/>
    <col min="21" max="21" width="10" style="1" customWidth="1"/>
    <col min="22" max="22" width="5.5703125" style="2" customWidth="1"/>
    <col min="23" max="23" width="22.85546875" style="1" customWidth="1"/>
    <col min="24" max="24" width="9.85546875" style="1" customWidth="1"/>
    <col min="25" max="25" width="5.5703125" style="2" customWidth="1"/>
    <col min="26" max="26" width="8" style="1" customWidth="1"/>
    <col min="27" max="27" width="21.42578125" style="1" customWidth="1"/>
    <col min="28" max="28" width="8" style="1" customWidth="1"/>
    <col min="29" max="29" width="5.5703125" style="2" customWidth="1"/>
    <col min="30" max="30" width="13.140625" style="1" customWidth="1"/>
    <col min="31" max="31" width="15" style="1" customWidth="1"/>
    <col min="32" max="32" width="9.140625" style="1"/>
    <col min="33" max="37" width="19.5703125" style="1" customWidth="1"/>
    <col min="38" max="16384" width="9.140625" style="1"/>
  </cols>
  <sheetData>
    <row r="1" spans="1:37" ht="18">
      <c r="A1" s="1109" t="s">
        <v>0</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row>
    <row r="2" spans="1:37" ht="18">
      <c r="A2" s="941"/>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row>
    <row r="3" spans="1:37" ht="23.25">
      <c r="A3" s="1108" t="s">
        <v>2453</v>
      </c>
      <c r="B3" s="1108"/>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row>
    <row r="4" spans="1:37" ht="23.25">
      <c r="A4" s="1108" t="s">
        <v>2454</v>
      </c>
      <c r="B4" s="1108"/>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1108"/>
    </row>
    <row r="5" spans="1:37" ht="23.25">
      <c r="A5" s="1108" t="s">
        <v>2455</v>
      </c>
      <c r="B5" s="1108"/>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row>
    <row r="6" spans="1:37" ht="18">
      <c r="A6" s="1092"/>
      <c r="B6" s="1092"/>
      <c r="C6" s="1092"/>
      <c r="D6" s="1092"/>
      <c r="E6" s="1092"/>
      <c r="F6" s="1092"/>
      <c r="G6" s="1092"/>
      <c r="H6" s="1092"/>
      <c r="I6" s="1092"/>
      <c r="J6" s="1092"/>
      <c r="K6" s="1092"/>
      <c r="L6" s="1092"/>
      <c r="M6" s="1092"/>
      <c r="N6" s="1092"/>
      <c r="O6" s="1092"/>
      <c r="P6" s="1092"/>
      <c r="Q6" s="1092"/>
      <c r="R6" s="1092"/>
      <c r="S6" s="1092"/>
      <c r="T6" s="1092"/>
      <c r="U6" s="1092"/>
      <c r="V6" s="1092"/>
      <c r="W6" s="1092"/>
      <c r="X6" s="1092"/>
      <c r="Y6" s="1092"/>
      <c r="Z6" s="1092"/>
      <c r="AA6" s="1092"/>
      <c r="AB6" s="1092"/>
      <c r="AC6" s="1092"/>
      <c r="AD6" s="1092"/>
    </row>
    <row r="7" spans="1:37" ht="81" customHeight="1">
      <c r="A7" s="1110" t="s">
        <v>1</v>
      </c>
      <c r="B7" s="1110" t="s">
        <v>2</v>
      </c>
      <c r="C7" s="1111" t="s">
        <v>3</v>
      </c>
      <c r="D7" s="1111" t="s">
        <v>4</v>
      </c>
      <c r="E7" s="1112" t="s">
        <v>5</v>
      </c>
      <c r="F7" s="1113"/>
      <c r="G7" s="1114"/>
      <c r="H7" s="1112" t="s">
        <v>200</v>
      </c>
      <c r="I7" s="1114"/>
      <c r="J7" s="1112" t="s">
        <v>197</v>
      </c>
      <c r="K7" s="1113"/>
      <c r="L7" s="1112" t="s">
        <v>6</v>
      </c>
      <c r="M7" s="1113"/>
      <c r="N7" s="1113"/>
      <c r="O7" s="1113"/>
      <c r="P7" s="1113"/>
      <c r="Q7" s="1113"/>
      <c r="R7" s="1113"/>
      <c r="S7" s="1114"/>
      <c r="T7" s="1112" t="s">
        <v>64</v>
      </c>
      <c r="U7" s="1113"/>
      <c r="V7" s="1113"/>
      <c r="W7" s="1113"/>
      <c r="X7" s="1113"/>
      <c r="Y7" s="1114"/>
      <c r="Z7" s="1112" t="s">
        <v>198</v>
      </c>
      <c r="AA7" s="1114"/>
      <c r="AB7" s="1112" t="s">
        <v>199</v>
      </c>
      <c r="AC7" s="1113"/>
      <c r="AD7" s="1113"/>
      <c r="AE7" s="1121" t="s">
        <v>7</v>
      </c>
      <c r="AG7" s="2"/>
      <c r="AH7" s="2"/>
      <c r="AI7" s="2"/>
      <c r="AJ7" s="2"/>
      <c r="AK7" s="2"/>
    </row>
    <row r="8" spans="1:37" ht="18" customHeight="1">
      <c r="A8" s="1110"/>
      <c r="B8" s="1110"/>
      <c r="C8" s="1111"/>
      <c r="D8" s="1111"/>
      <c r="E8" s="1115"/>
      <c r="F8" s="1116"/>
      <c r="G8" s="1117"/>
      <c r="H8" s="1115"/>
      <c r="I8" s="1117"/>
      <c r="J8" s="1118"/>
      <c r="K8" s="1119"/>
      <c r="L8" s="1118"/>
      <c r="M8" s="1119"/>
      <c r="N8" s="1119"/>
      <c r="O8" s="1119"/>
      <c r="P8" s="1119"/>
      <c r="Q8" s="1119"/>
      <c r="R8" s="1119"/>
      <c r="S8" s="1120"/>
      <c r="T8" s="1118"/>
      <c r="U8" s="1119"/>
      <c r="V8" s="1119"/>
      <c r="W8" s="1119"/>
      <c r="X8" s="1119"/>
      <c r="Y8" s="1120"/>
      <c r="Z8" s="1118"/>
      <c r="AA8" s="1120"/>
      <c r="AB8" s="1118"/>
      <c r="AC8" s="1119"/>
      <c r="AD8" s="1119"/>
      <c r="AE8" s="1122"/>
    </row>
    <row r="9" spans="1:37" ht="15.75" customHeight="1">
      <c r="A9" s="1110"/>
      <c r="B9" s="1110"/>
      <c r="C9" s="1111"/>
      <c r="D9" s="1111"/>
      <c r="E9" s="1118"/>
      <c r="F9" s="1119"/>
      <c r="G9" s="1120"/>
      <c r="H9" s="1118"/>
      <c r="I9" s="1120"/>
      <c r="J9" s="1123">
        <v>2022</v>
      </c>
      <c r="K9" s="1124"/>
      <c r="L9" s="1093" t="s">
        <v>8</v>
      </c>
      <c r="M9" s="1095"/>
      <c r="N9" s="1093" t="s">
        <v>9</v>
      </c>
      <c r="O9" s="1095"/>
      <c r="P9" s="1093" t="s">
        <v>10</v>
      </c>
      <c r="Q9" s="1095"/>
      <c r="R9" s="1093" t="s">
        <v>11</v>
      </c>
      <c r="S9" s="1095"/>
      <c r="T9" s="1093">
        <v>2022</v>
      </c>
      <c r="U9" s="1094"/>
      <c r="V9" s="1094"/>
      <c r="W9" s="1094"/>
      <c r="X9" s="1094"/>
      <c r="Y9" s="1095"/>
      <c r="Z9" s="1093">
        <v>2022</v>
      </c>
      <c r="AA9" s="1095"/>
      <c r="AB9" s="1093">
        <v>2022</v>
      </c>
      <c r="AC9" s="1094"/>
      <c r="AD9" s="1095"/>
      <c r="AE9" s="3"/>
    </row>
    <row r="10" spans="1:37" s="5" customFormat="1" ht="15.75">
      <c r="A10" s="1099">
        <v>1</v>
      </c>
      <c r="B10" s="1099">
        <v>2</v>
      </c>
      <c r="C10" s="1099">
        <v>3</v>
      </c>
      <c r="D10" s="1099">
        <v>4</v>
      </c>
      <c r="E10" s="1096">
        <v>5</v>
      </c>
      <c r="F10" s="1097"/>
      <c r="G10" s="1098"/>
      <c r="H10" s="1096">
        <v>6</v>
      </c>
      <c r="I10" s="1098"/>
      <c r="J10" s="1106">
        <v>7</v>
      </c>
      <c r="K10" s="1107"/>
      <c r="L10" s="1106">
        <v>8</v>
      </c>
      <c r="M10" s="1107"/>
      <c r="N10" s="1106">
        <v>9</v>
      </c>
      <c r="O10" s="1107"/>
      <c r="P10" s="1106">
        <v>10</v>
      </c>
      <c r="Q10" s="1107"/>
      <c r="R10" s="1106">
        <v>11</v>
      </c>
      <c r="S10" s="1107"/>
      <c r="T10" s="1103">
        <v>12</v>
      </c>
      <c r="U10" s="1105"/>
      <c r="V10" s="1105"/>
      <c r="W10" s="1105"/>
      <c r="X10" s="1105"/>
      <c r="Y10" s="1104"/>
      <c r="Z10" s="1103">
        <v>13</v>
      </c>
      <c r="AA10" s="1104"/>
      <c r="AB10" s="1103">
        <v>14</v>
      </c>
      <c r="AC10" s="1105"/>
      <c r="AD10" s="1104"/>
      <c r="AE10" s="4">
        <v>15</v>
      </c>
    </row>
    <row r="11" spans="1:37" s="5" customFormat="1" ht="87" customHeight="1">
      <c r="A11" s="1137"/>
      <c r="B11" s="1137"/>
      <c r="C11" s="1137"/>
      <c r="D11" s="1137"/>
      <c r="E11" s="1101" t="s">
        <v>12</v>
      </c>
      <c r="F11" s="1126"/>
      <c r="G11" s="1100" t="s">
        <v>13</v>
      </c>
      <c r="H11" s="1101" t="s">
        <v>12</v>
      </c>
      <c r="I11" s="1100" t="s">
        <v>13</v>
      </c>
      <c r="J11" s="1101" t="s">
        <v>12</v>
      </c>
      <c r="K11" s="1099" t="s">
        <v>13</v>
      </c>
      <c r="L11" s="1101" t="s">
        <v>12</v>
      </c>
      <c r="M11" s="1099" t="s">
        <v>13</v>
      </c>
      <c r="N11" s="1101" t="s">
        <v>12</v>
      </c>
      <c r="O11" s="1099" t="s">
        <v>13</v>
      </c>
      <c r="P11" s="1101" t="s">
        <v>12</v>
      </c>
      <c r="Q11" s="1099" t="s">
        <v>13</v>
      </c>
      <c r="R11" s="1101" t="s">
        <v>12</v>
      </c>
      <c r="S11" s="1099" t="s">
        <v>13</v>
      </c>
      <c r="T11" s="109" t="s">
        <v>14</v>
      </c>
      <c r="U11" s="1096" t="s">
        <v>62</v>
      </c>
      <c r="V11" s="1098"/>
      <c r="W11" s="6" t="s">
        <v>15</v>
      </c>
      <c r="X11" s="1096" t="s">
        <v>63</v>
      </c>
      <c r="Y11" s="1098"/>
      <c r="Z11" s="109" t="s">
        <v>16</v>
      </c>
      <c r="AA11" s="6" t="s">
        <v>17</v>
      </c>
      <c r="AB11" s="1096" t="s">
        <v>18</v>
      </c>
      <c r="AC11" s="1098"/>
      <c r="AD11" s="6" t="s">
        <v>19</v>
      </c>
      <c r="AE11" s="7"/>
    </row>
    <row r="12" spans="1:37" s="5" customFormat="1" ht="15.75">
      <c r="A12" s="1100"/>
      <c r="B12" s="1100"/>
      <c r="C12" s="1100"/>
      <c r="D12" s="1100"/>
      <c r="E12" s="1102"/>
      <c r="F12" s="1125"/>
      <c r="G12" s="1127"/>
      <c r="H12" s="1102"/>
      <c r="I12" s="1127"/>
      <c r="J12" s="1102"/>
      <c r="K12" s="1100"/>
      <c r="L12" s="1102"/>
      <c r="M12" s="1100"/>
      <c r="N12" s="1102"/>
      <c r="O12" s="1100"/>
      <c r="P12" s="1102"/>
      <c r="Q12" s="1100"/>
      <c r="R12" s="1102"/>
      <c r="S12" s="1100"/>
      <c r="T12" s="110" t="s">
        <v>12</v>
      </c>
      <c r="U12" s="1102" t="s">
        <v>12</v>
      </c>
      <c r="V12" s="1125"/>
      <c r="W12" s="8" t="s">
        <v>13</v>
      </c>
      <c r="X12" s="1102" t="s">
        <v>13</v>
      </c>
      <c r="Y12" s="1125"/>
      <c r="Z12" s="110" t="s">
        <v>12</v>
      </c>
      <c r="AA12" s="8" t="s">
        <v>13</v>
      </c>
      <c r="AB12" s="1102" t="s">
        <v>12</v>
      </c>
      <c r="AC12" s="1125"/>
      <c r="AD12" s="8" t="s">
        <v>13</v>
      </c>
      <c r="AE12" s="63"/>
    </row>
    <row r="13" spans="1:37" ht="15" hidden="1" customHeight="1">
      <c r="A13" s="1134"/>
      <c r="B13" s="1144" t="s">
        <v>20</v>
      </c>
      <c r="C13" s="1138" t="s">
        <v>21</v>
      </c>
      <c r="D13" s="1144" t="s">
        <v>22</v>
      </c>
      <c r="E13" s="1128" t="s">
        <v>23</v>
      </c>
      <c r="F13" s="1129"/>
      <c r="G13" s="1134"/>
      <c r="H13" s="1128" t="s">
        <v>24</v>
      </c>
      <c r="I13" s="1138" t="s">
        <v>25</v>
      </c>
      <c r="J13" s="1141" t="s">
        <v>26</v>
      </c>
      <c r="K13" s="1138" t="s">
        <v>27</v>
      </c>
      <c r="L13" s="1141" t="s">
        <v>28</v>
      </c>
      <c r="M13" s="9"/>
      <c r="N13" s="9"/>
      <c r="O13" s="9"/>
      <c r="P13" s="9"/>
      <c r="Q13" s="9"/>
      <c r="R13" s="9"/>
      <c r="S13" s="9"/>
      <c r="T13" s="9"/>
      <c r="U13" s="9"/>
      <c r="V13" s="10"/>
      <c r="W13" s="9"/>
      <c r="X13" s="9"/>
      <c r="Y13" s="10"/>
      <c r="Z13" s="9"/>
      <c r="AA13" s="9"/>
      <c r="AB13" s="9"/>
      <c r="AC13" s="10"/>
      <c r="AD13" s="9"/>
      <c r="AE13" s="11"/>
    </row>
    <row r="14" spans="1:37" ht="15" hidden="1" customHeight="1">
      <c r="A14" s="1135"/>
      <c r="B14" s="1145"/>
      <c r="C14" s="1139"/>
      <c r="D14" s="1145"/>
      <c r="E14" s="1130"/>
      <c r="F14" s="1131"/>
      <c r="G14" s="1135"/>
      <c r="H14" s="1130"/>
      <c r="I14" s="1139"/>
      <c r="J14" s="1142"/>
      <c r="K14" s="1139"/>
      <c r="L14" s="1142"/>
      <c r="M14" s="12"/>
      <c r="N14" s="12"/>
      <c r="O14" s="12"/>
      <c r="P14" s="12"/>
      <c r="Q14" s="12"/>
      <c r="R14" s="12"/>
      <c r="S14" s="12"/>
      <c r="T14" s="12"/>
      <c r="U14" s="12"/>
      <c r="V14" s="13"/>
      <c r="W14" s="12"/>
      <c r="X14" s="12"/>
      <c r="Y14" s="13"/>
      <c r="Z14" s="12"/>
      <c r="AA14" s="12"/>
      <c r="AB14" s="12"/>
      <c r="AC14" s="13"/>
      <c r="AD14" s="12"/>
      <c r="AE14" s="11"/>
    </row>
    <row r="15" spans="1:37" ht="15" hidden="1" customHeight="1">
      <c r="A15" s="1136"/>
      <c r="B15" s="1146"/>
      <c r="C15" s="1140"/>
      <c r="D15" s="1146"/>
      <c r="E15" s="1132"/>
      <c r="F15" s="1133"/>
      <c r="G15" s="1136"/>
      <c r="H15" s="1132"/>
      <c r="I15" s="1140"/>
      <c r="J15" s="1143"/>
      <c r="K15" s="1140"/>
      <c r="L15" s="1143"/>
      <c r="M15" s="14"/>
      <c r="N15" s="14"/>
      <c r="O15" s="14"/>
      <c r="P15" s="14"/>
      <c r="Q15" s="14"/>
      <c r="R15" s="14"/>
      <c r="S15" s="14"/>
      <c r="T15" s="14"/>
      <c r="U15" s="14"/>
      <c r="V15" s="15"/>
      <c r="W15" s="14"/>
      <c r="X15" s="14"/>
      <c r="Y15" s="15"/>
      <c r="Z15" s="14"/>
      <c r="AA15" s="14"/>
      <c r="AB15" s="14"/>
      <c r="AC15" s="15"/>
      <c r="AD15" s="14"/>
      <c r="AE15" s="11"/>
    </row>
    <row r="16" spans="1:37" ht="116.25" customHeight="1">
      <c r="A16" s="48">
        <v>1</v>
      </c>
      <c r="B16" s="17" t="s">
        <v>29</v>
      </c>
      <c r="C16" s="49" t="s">
        <v>68</v>
      </c>
      <c r="D16" s="19" t="s">
        <v>143</v>
      </c>
      <c r="E16" s="45">
        <v>100</v>
      </c>
      <c r="F16" s="46" t="s">
        <v>58</v>
      </c>
      <c r="G16" s="52">
        <f>G17+G20+G25+G30+G32+G37</f>
        <v>180246000</v>
      </c>
      <c r="H16" s="45">
        <v>100</v>
      </c>
      <c r="I16" s="52">
        <f>I17+I20+I25+I30+I32+I37</f>
        <v>221042561256</v>
      </c>
      <c r="J16" s="45">
        <v>100</v>
      </c>
      <c r="K16" s="52">
        <f>K17+K20+K25+K30+K32+K37</f>
        <v>265713169180</v>
      </c>
      <c r="L16" s="45">
        <v>100</v>
      </c>
      <c r="M16" s="52">
        <f>M17+M20+M25+M30+M32+M37</f>
        <v>32560654363</v>
      </c>
      <c r="N16" s="45">
        <v>100</v>
      </c>
      <c r="O16" s="52">
        <f>O17+O20+O25+O30+O32+O37</f>
        <v>65589849496</v>
      </c>
      <c r="P16" s="45">
        <v>100</v>
      </c>
      <c r="Q16" s="52">
        <f>Q17+Q20+Q25+Q30+Q32+Q37</f>
        <v>64301760937</v>
      </c>
      <c r="R16" s="119"/>
      <c r="S16" s="52">
        <f>S17+S20+S25+S30+S32+S37</f>
        <v>69072018078</v>
      </c>
      <c r="T16" s="55">
        <f>AVERAGE(L16,N16,P16,R16)</f>
        <v>100</v>
      </c>
      <c r="U16" s="55">
        <f t="shared" ref="U16:U29" si="0">T16/J16*100</f>
        <v>100</v>
      </c>
      <c r="V16" s="58" t="s">
        <v>58</v>
      </c>
      <c r="W16" s="56">
        <f t="shared" ref="W16:W29" si="1">SUM(M16,O16,Q16,S16)</f>
        <v>231524282874</v>
      </c>
      <c r="X16" s="60">
        <f t="shared" ref="X16:X29" si="2">W16/K16*100</f>
        <v>87.133160764478447</v>
      </c>
      <c r="Y16" s="48" t="s">
        <v>58</v>
      </c>
      <c r="Z16" s="57">
        <f t="shared" ref="Z16:Z41" si="3">SUM(H16,T16)</f>
        <v>200</v>
      </c>
      <c r="AA16" s="56">
        <f t="shared" ref="AA16:AA42" si="4">SUM(I16,W16)</f>
        <v>452566844130</v>
      </c>
      <c r="AB16" s="57"/>
      <c r="AC16" s="58" t="s">
        <v>58</v>
      </c>
      <c r="AD16" s="60"/>
      <c r="AE16" s="397" t="s">
        <v>67</v>
      </c>
      <c r="AH16" s="25">
        <f>M16+O16+Q16+S16</f>
        <v>231524282874</v>
      </c>
    </row>
    <row r="17" spans="1:34" s="78" customFormat="1" ht="156" customHeight="1">
      <c r="A17" s="48">
        <v>2</v>
      </c>
      <c r="B17" s="49" t="s">
        <v>30</v>
      </c>
      <c r="C17" s="19" t="s">
        <v>172</v>
      </c>
      <c r="D17" s="19" t="s">
        <v>139</v>
      </c>
      <c r="E17" s="45">
        <f>SUM(E18:E19)</f>
        <v>45</v>
      </c>
      <c r="F17" s="46" t="s">
        <v>55</v>
      </c>
      <c r="G17" s="42">
        <f>SUM(G18:G19)</f>
        <v>0</v>
      </c>
      <c r="H17" s="45">
        <v>30</v>
      </c>
      <c r="I17" s="42">
        <f t="shared" ref="I17:O17" si="5">SUM(I18:I19)</f>
        <v>9500000</v>
      </c>
      <c r="J17" s="45">
        <f t="shared" si="5"/>
        <v>15</v>
      </c>
      <c r="K17" s="42">
        <f t="shared" si="5"/>
        <v>9500000</v>
      </c>
      <c r="L17" s="45">
        <f t="shared" si="5"/>
        <v>5</v>
      </c>
      <c r="M17" s="42">
        <f t="shared" si="5"/>
        <v>5500000</v>
      </c>
      <c r="N17" s="45">
        <f t="shared" si="5"/>
        <v>0</v>
      </c>
      <c r="O17" s="42">
        <f t="shared" si="5"/>
        <v>0</v>
      </c>
      <c r="P17" s="45">
        <f t="shared" ref="P17:S17" si="6">SUM(P18:P19)</f>
        <v>10</v>
      </c>
      <c r="Q17" s="42">
        <f t="shared" si="6"/>
        <v>4000000</v>
      </c>
      <c r="R17" s="45"/>
      <c r="S17" s="42">
        <f t="shared" si="6"/>
        <v>0</v>
      </c>
      <c r="T17" s="55">
        <f>SUM(L17,N17,P17,R17)</f>
        <v>15</v>
      </c>
      <c r="U17" s="55">
        <f t="shared" si="0"/>
        <v>100</v>
      </c>
      <c r="V17" s="58" t="s">
        <v>58</v>
      </c>
      <c r="W17" s="59">
        <f t="shared" si="1"/>
        <v>9500000</v>
      </c>
      <c r="X17" s="57">
        <f t="shared" si="2"/>
        <v>100</v>
      </c>
      <c r="Y17" s="58" t="s">
        <v>58</v>
      </c>
      <c r="Z17" s="55">
        <f t="shared" si="3"/>
        <v>45</v>
      </c>
      <c r="AA17" s="59">
        <f t="shared" si="4"/>
        <v>19000000</v>
      </c>
      <c r="AB17" s="57"/>
      <c r="AC17" s="58" t="s">
        <v>58</v>
      </c>
      <c r="AD17" s="57"/>
      <c r="AE17" s="77"/>
      <c r="AH17" s="79"/>
    </row>
    <row r="18" spans="1:34" ht="87" customHeight="1">
      <c r="A18" s="16"/>
      <c r="B18" s="17"/>
      <c r="C18" s="26" t="s">
        <v>69</v>
      </c>
      <c r="D18" s="29" t="s">
        <v>211</v>
      </c>
      <c r="E18" s="20">
        <f>5*3</f>
        <v>15</v>
      </c>
      <c r="F18" s="21" t="s">
        <v>55</v>
      </c>
      <c r="G18" s="23"/>
      <c r="H18" s="20">
        <v>10</v>
      </c>
      <c r="I18" s="23">
        <v>5500000</v>
      </c>
      <c r="J18" s="20">
        <v>5</v>
      </c>
      <c r="K18" s="23">
        <v>5500000</v>
      </c>
      <c r="L18" s="20">
        <v>5</v>
      </c>
      <c r="M18" s="23">
        <v>5500000</v>
      </c>
      <c r="N18" s="20">
        <v>0</v>
      </c>
      <c r="O18" s="23">
        <v>0</v>
      </c>
      <c r="P18" s="20">
        <v>0</v>
      </c>
      <c r="Q18" s="23">
        <v>0</v>
      </c>
      <c r="R18" s="20">
        <v>0</v>
      </c>
      <c r="S18" s="23">
        <v>0</v>
      </c>
      <c r="T18" s="54">
        <f>SUM(L18,N18,P18,R18)</f>
        <v>5</v>
      </c>
      <c r="U18" s="54">
        <f t="shared" si="0"/>
        <v>100</v>
      </c>
      <c r="V18" s="35" t="s">
        <v>58</v>
      </c>
      <c r="W18" s="40">
        <f t="shared" si="1"/>
        <v>5500000</v>
      </c>
      <c r="X18" s="53">
        <f t="shared" si="2"/>
        <v>100</v>
      </c>
      <c r="Y18" s="35" t="s">
        <v>58</v>
      </c>
      <c r="Z18" s="54">
        <f t="shared" si="3"/>
        <v>15</v>
      </c>
      <c r="AA18" s="40">
        <f t="shared" si="4"/>
        <v>11000000</v>
      </c>
      <c r="AB18" s="53"/>
      <c r="AC18" s="35" t="s">
        <v>58</v>
      </c>
      <c r="AD18" s="53"/>
      <c r="AE18" s="11"/>
      <c r="AH18" s="25"/>
    </row>
    <row r="19" spans="1:34" ht="90">
      <c r="A19" s="16"/>
      <c r="B19" s="17"/>
      <c r="C19" s="26" t="s">
        <v>70</v>
      </c>
      <c r="D19" s="29" t="s">
        <v>212</v>
      </c>
      <c r="E19" s="20">
        <f>10*3</f>
        <v>30</v>
      </c>
      <c r="F19" s="21" t="s">
        <v>173</v>
      </c>
      <c r="G19" s="23"/>
      <c r="H19" s="20">
        <v>20</v>
      </c>
      <c r="I19" s="23">
        <v>4000000</v>
      </c>
      <c r="J19" s="20">
        <v>10</v>
      </c>
      <c r="K19" s="23">
        <v>4000000</v>
      </c>
      <c r="L19" s="20"/>
      <c r="M19" s="28">
        <v>0</v>
      </c>
      <c r="N19" s="20"/>
      <c r="O19" s="28">
        <v>0</v>
      </c>
      <c r="P19" s="20">
        <v>10</v>
      </c>
      <c r="Q19" s="28">
        <v>4000000</v>
      </c>
      <c r="R19" s="20">
        <v>0</v>
      </c>
      <c r="S19" s="23">
        <v>0</v>
      </c>
      <c r="T19" s="54">
        <f>SUM(L19,N19,P19,R19)</f>
        <v>10</v>
      </c>
      <c r="U19" s="54">
        <f t="shared" si="0"/>
        <v>100</v>
      </c>
      <c r="V19" s="35" t="s">
        <v>58</v>
      </c>
      <c r="W19" s="40">
        <f t="shared" si="1"/>
        <v>4000000</v>
      </c>
      <c r="X19" s="53">
        <f t="shared" si="2"/>
        <v>100</v>
      </c>
      <c r="Y19" s="35" t="s">
        <v>58</v>
      </c>
      <c r="Z19" s="54">
        <f t="shared" si="3"/>
        <v>30</v>
      </c>
      <c r="AA19" s="40">
        <f t="shared" si="4"/>
        <v>8000000</v>
      </c>
      <c r="AB19" s="53"/>
      <c r="AC19" s="35" t="s">
        <v>58</v>
      </c>
      <c r="AD19" s="53"/>
      <c r="AE19" s="11"/>
      <c r="AH19" s="25"/>
    </row>
    <row r="20" spans="1:34" ht="94.5">
      <c r="A20" s="16"/>
      <c r="B20" s="17"/>
      <c r="C20" s="18" t="s">
        <v>71</v>
      </c>
      <c r="D20" s="19" t="s">
        <v>140</v>
      </c>
      <c r="E20" s="74">
        <f>SUM(E22:E24)</f>
        <v>42</v>
      </c>
      <c r="F20" s="75" t="s">
        <v>55</v>
      </c>
      <c r="G20" s="42">
        <f>SUM(G21:G24)</f>
        <v>0</v>
      </c>
      <c r="H20" s="74">
        <v>28</v>
      </c>
      <c r="I20" s="42">
        <f>SUM(I21:I24)</f>
        <v>219340918360</v>
      </c>
      <c r="J20" s="74">
        <f>SUM(J22:J24)</f>
        <v>14</v>
      </c>
      <c r="K20" s="42">
        <f>SUM(K21:K24)</f>
        <v>263941472980</v>
      </c>
      <c r="L20" s="74">
        <f>SUM(L22:L24)</f>
        <v>1</v>
      </c>
      <c r="M20" s="42">
        <f>SUM(M21:M24)</f>
        <v>32255459398</v>
      </c>
      <c r="N20" s="74">
        <f>SUM(N22:N24)</f>
        <v>0</v>
      </c>
      <c r="O20" s="42">
        <f>SUM(O21:O24)</f>
        <v>65364807096</v>
      </c>
      <c r="P20" s="74">
        <f>SUM(P22:P24)</f>
        <v>0</v>
      </c>
      <c r="Q20" s="42">
        <f>SUM(Q21:Q24)</f>
        <v>64087613617</v>
      </c>
      <c r="R20" s="74">
        <v>0</v>
      </c>
      <c r="S20" s="42">
        <f>SUM(S21:S24)</f>
        <v>68177125735</v>
      </c>
      <c r="T20" s="55">
        <f>SUM(L20,N20,P20,R20)</f>
        <v>1</v>
      </c>
      <c r="U20" s="55">
        <f t="shared" si="0"/>
        <v>7.1428571428571423</v>
      </c>
      <c r="V20" s="58" t="s">
        <v>58</v>
      </c>
      <c r="W20" s="59">
        <f t="shared" si="1"/>
        <v>229885005846</v>
      </c>
      <c r="X20" s="57">
        <f t="shared" si="2"/>
        <v>87.096962538895667</v>
      </c>
      <c r="Y20" s="58" t="s">
        <v>58</v>
      </c>
      <c r="Z20" s="55">
        <f t="shared" si="3"/>
        <v>29</v>
      </c>
      <c r="AA20" s="59">
        <f t="shared" si="4"/>
        <v>449225924206</v>
      </c>
      <c r="AB20" s="57"/>
      <c r="AC20" s="58" t="s">
        <v>58</v>
      </c>
      <c r="AD20" s="57"/>
      <c r="AE20" s="30"/>
      <c r="AH20" s="25">
        <f>M20+O20+Q20+S20</f>
        <v>229885005846</v>
      </c>
    </row>
    <row r="21" spans="1:34" ht="90">
      <c r="A21" s="16"/>
      <c r="B21" s="17"/>
      <c r="C21" s="26" t="s">
        <v>72</v>
      </c>
      <c r="D21" s="26" t="s">
        <v>213</v>
      </c>
      <c r="E21" s="20">
        <f>12*3</f>
        <v>36</v>
      </c>
      <c r="F21" s="27" t="s">
        <v>57</v>
      </c>
      <c r="G21" s="23"/>
      <c r="H21" s="104">
        <v>2000</v>
      </c>
      <c r="I21" s="23">
        <v>219335918360</v>
      </c>
      <c r="J21" s="104">
        <v>2000</v>
      </c>
      <c r="K21" s="23">
        <v>263936472980</v>
      </c>
      <c r="L21" s="104">
        <f>AVERAGE(1897,1890,1876)</f>
        <v>1887.6666666666667</v>
      </c>
      <c r="M21" s="23">
        <v>32254079398</v>
      </c>
      <c r="N21" s="104">
        <f>AVERAGE(1897,1890,1876)</f>
        <v>1887.6666666666667</v>
      </c>
      <c r="O21" s="23">
        <v>65364807096</v>
      </c>
      <c r="P21" s="104">
        <f>AVERAGE(1897,1890,1876)</f>
        <v>1887.6666666666667</v>
      </c>
      <c r="Q21" s="23">
        <v>64087613617</v>
      </c>
      <c r="R21" s="104">
        <f>AVERAGE(1897,1890,1876)</f>
        <v>1887.6666666666667</v>
      </c>
      <c r="S21" s="23">
        <v>68174125735</v>
      </c>
      <c r="T21" s="54">
        <f>AVERAGE(L21,N21,P21,R21)</f>
        <v>1887.6666666666667</v>
      </c>
      <c r="U21" s="53">
        <f t="shared" si="0"/>
        <v>94.38333333333334</v>
      </c>
      <c r="V21" s="35" t="s">
        <v>58</v>
      </c>
      <c r="W21" s="40">
        <f t="shared" si="1"/>
        <v>229880625846</v>
      </c>
      <c r="X21" s="53">
        <f t="shared" si="2"/>
        <v>87.096953009377899</v>
      </c>
      <c r="Y21" s="35" t="s">
        <v>58</v>
      </c>
      <c r="Z21" s="54">
        <f t="shared" si="3"/>
        <v>3887.666666666667</v>
      </c>
      <c r="AA21" s="40">
        <f t="shared" si="4"/>
        <v>449216544206</v>
      </c>
      <c r="AB21" s="53"/>
      <c r="AC21" s="35" t="s">
        <v>58</v>
      </c>
      <c r="AD21" s="53"/>
      <c r="AE21" s="11"/>
      <c r="AH21" s="25">
        <f>M21+O21+Q21+S21</f>
        <v>229880625846</v>
      </c>
    </row>
    <row r="22" spans="1:34" ht="195">
      <c r="A22" s="16"/>
      <c r="B22" s="17"/>
      <c r="C22" s="26" t="s">
        <v>73</v>
      </c>
      <c r="D22" s="29" t="s">
        <v>214</v>
      </c>
      <c r="E22" s="20">
        <f>1*3</f>
        <v>3</v>
      </c>
      <c r="F22" s="27" t="s">
        <v>173</v>
      </c>
      <c r="G22" s="23"/>
      <c r="H22" s="20">
        <v>2</v>
      </c>
      <c r="I22" s="23">
        <v>2000000</v>
      </c>
      <c r="J22" s="20">
        <v>1</v>
      </c>
      <c r="K22" s="23">
        <v>2000000</v>
      </c>
      <c r="L22" s="20">
        <v>1</v>
      </c>
      <c r="M22" s="23">
        <v>1380000</v>
      </c>
      <c r="N22" s="20">
        <v>0</v>
      </c>
      <c r="O22" s="23">
        <v>0</v>
      </c>
      <c r="P22" s="20">
        <v>0</v>
      </c>
      <c r="Q22" s="23">
        <v>0</v>
      </c>
      <c r="R22" s="20">
        <v>0</v>
      </c>
      <c r="S22" s="23">
        <v>0</v>
      </c>
      <c r="T22" s="54">
        <f t="shared" ref="T22:T29" si="7">SUM(L22,N22,P22,R22)</f>
        <v>1</v>
      </c>
      <c r="U22" s="54">
        <f t="shared" si="0"/>
        <v>100</v>
      </c>
      <c r="V22" s="35" t="s">
        <v>58</v>
      </c>
      <c r="W22" s="40">
        <f t="shared" si="1"/>
        <v>1380000</v>
      </c>
      <c r="X22" s="53">
        <f t="shared" si="2"/>
        <v>69</v>
      </c>
      <c r="Y22" s="35" t="s">
        <v>58</v>
      </c>
      <c r="Z22" s="54">
        <f t="shared" si="3"/>
        <v>3</v>
      </c>
      <c r="AA22" s="40">
        <f t="shared" si="4"/>
        <v>3380000</v>
      </c>
      <c r="AB22" s="53"/>
      <c r="AC22" s="35" t="s">
        <v>58</v>
      </c>
      <c r="AD22" s="53"/>
      <c r="AE22" s="11"/>
      <c r="AH22" s="25">
        <f>M22+O22+Q22+S22</f>
        <v>1380000</v>
      </c>
    </row>
    <row r="23" spans="1:34" ht="210">
      <c r="A23" s="16"/>
      <c r="B23" s="17"/>
      <c r="C23" s="26" t="s">
        <v>74</v>
      </c>
      <c r="D23" s="29" t="s">
        <v>215</v>
      </c>
      <c r="E23" s="20">
        <f>12*3</f>
        <v>36</v>
      </c>
      <c r="F23" s="27" t="s">
        <v>173</v>
      </c>
      <c r="G23" s="23"/>
      <c r="H23" s="20">
        <v>24</v>
      </c>
      <c r="I23" s="23">
        <v>1500000</v>
      </c>
      <c r="J23" s="20">
        <v>12</v>
      </c>
      <c r="K23" s="23">
        <v>1500000</v>
      </c>
      <c r="L23" s="83">
        <v>0</v>
      </c>
      <c r="M23" s="23">
        <v>0</v>
      </c>
      <c r="N23" s="83">
        <v>0</v>
      </c>
      <c r="O23" s="23">
        <v>0</v>
      </c>
      <c r="P23" s="83">
        <v>0</v>
      </c>
      <c r="Q23" s="23">
        <v>0</v>
      </c>
      <c r="R23" s="83">
        <v>12</v>
      </c>
      <c r="S23" s="23">
        <v>1500000</v>
      </c>
      <c r="T23" s="54">
        <f t="shared" si="7"/>
        <v>12</v>
      </c>
      <c r="U23" s="54">
        <f t="shared" si="0"/>
        <v>100</v>
      </c>
      <c r="V23" s="35" t="s">
        <v>58</v>
      </c>
      <c r="W23" s="40">
        <f t="shared" si="1"/>
        <v>1500000</v>
      </c>
      <c r="X23" s="53">
        <f t="shared" si="2"/>
        <v>100</v>
      </c>
      <c r="Y23" s="35" t="s">
        <v>58</v>
      </c>
      <c r="Z23" s="54">
        <f t="shared" si="3"/>
        <v>36</v>
      </c>
      <c r="AA23" s="40">
        <f t="shared" si="4"/>
        <v>3000000</v>
      </c>
      <c r="AB23" s="53"/>
      <c r="AC23" s="35" t="s">
        <v>58</v>
      </c>
      <c r="AD23" s="53"/>
      <c r="AE23" s="11"/>
      <c r="AH23" s="25">
        <f>M23+O23+Q23+S23</f>
        <v>1500000</v>
      </c>
    </row>
    <row r="24" spans="1:34" ht="105">
      <c r="A24" s="16"/>
      <c r="B24" s="17"/>
      <c r="C24" s="26" t="s">
        <v>75</v>
      </c>
      <c r="D24" s="29" t="s">
        <v>216</v>
      </c>
      <c r="E24" s="20">
        <f>1*3</f>
        <v>3</v>
      </c>
      <c r="F24" s="27" t="s">
        <v>55</v>
      </c>
      <c r="G24" s="23"/>
      <c r="H24" s="20">
        <v>2</v>
      </c>
      <c r="I24" s="23">
        <v>1500000</v>
      </c>
      <c r="J24" s="20">
        <v>1</v>
      </c>
      <c r="K24" s="23">
        <v>1500000</v>
      </c>
      <c r="L24" s="20">
        <v>0</v>
      </c>
      <c r="M24" s="23">
        <v>0</v>
      </c>
      <c r="N24" s="20">
        <v>0</v>
      </c>
      <c r="O24" s="23">
        <v>0</v>
      </c>
      <c r="P24" s="20">
        <v>0</v>
      </c>
      <c r="Q24" s="23">
        <v>0</v>
      </c>
      <c r="R24" s="20">
        <v>1</v>
      </c>
      <c r="S24" s="23">
        <v>1500000</v>
      </c>
      <c r="T24" s="54">
        <f t="shared" si="7"/>
        <v>1</v>
      </c>
      <c r="U24" s="54">
        <f t="shared" si="0"/>
        <v>100</v>
      </c>
      <c r="V24" s="35" t="s">
        <v>58</v>
      </c>
      <c r="W24" s="40">
        <f t="shared" si="1"/>
        <v>1500000</v>
      </c>
      <c r="X24" s="53">
        <f t="shared" si="2"/>
        <v>100</v>
      </c>
      <c r="Y24" s="35" t="s">
        <v>58</v>
      </c>
      <c r="Z24" s="54">
        <f t="shared" si="3"/>
        <v>3</v>
      </c>
      <c r="AA24" s="40">
        <f t="shared" si="4"/>
        <v>3000000</v>
      </c>
      <c r="AB24" s="53"/>
      <c r="AC24" s="35" t="s">
        <v>58</v>
      </c>
      <c r="AD24" s="53"/>
      <c r="AE24" s="11"/>
      <c r="AH24" s="25">
        <f>M24+O24+Q24+S24</f>
        <v>1500000</v>
      </c>
    </row>
    <row r="25" spans="1:34" ht="94.5">
      <c r="A25" s="16"/>
      <c r="B25" s="17"/>
      <c r="C25" s="17" t="s">
        <v>76</v>
      </c>
      <c r="D25" s="19" t="s">
        <v>141</v>
      </c>
      <c r="E25" s="74">
        <v>1</v>
      </c>
      <c r="F25" s="75" t="s">
        <v>55</v>
      </c>
      <c r="G25" s="42">
        <f>SUM(G26:G29)</f>
        <v>0</v>
      </c>
      <c r="H25" s="74">
        <v>2</v>
      </c>
      <c r="I25" s="42">
        <f>SUM(I26:I29)</f>
        <v>851309600</v>
      </c>
      <c r="J25" s="74">
        <v>1</v>
      </c>
      <c r="K25" s="42">
        <f>SUM(K26:K29)</f>
        <v>633169400</v>
      </c>
      <c r="L25" s="74">
        <v>0</v>
      </c>
      <c r="M25" s="42">
        <f>SUM(M26:M29)</f>
        <v>106613200</v>
      </c>
      <c r="N25" s="74">
        <v>0</v>
      </c>
      <c r="O25" s="42">
        <f>SUM(O26:O29)</f>
        <v>59274400</v>
      </c>
      <c r="P25" s="74">
        <v>0</v>
      </c>
      <c r="Q25" s="42">
        <f>SUM(Q26:Q29)</f>
        <v>20816700</v>
      </c>
      <c r="R25" s="45">
        <v>0</v>
      </c>
      <c r="S25" s="42">
        <f>SUM(S26:S29)</f>
        <v>389241714</v>
      </c>
      <c r="T25" s="55">
        <f t="shared" si="7"/>
        <v>0</v>
      </c>
      <c r="U25" s="55">
        <f t="shared" si="0"/>
        <v>0</v>
      </c>
      <c r="V25" s="58" t="s">
        <v>58</v>
      </c>
      <c r="W25" s="59">
        <f t="shared" si="1"/>
        <v>575946014</v>
      </c>
      <c r="X25" s="57">
        <f t="shared" si="2"/>
        <v>90.96238921211291</v>
      </c>
      <c r="Y25" s="58" t="s">
        <v>58</v>
      </c>
      <c r="Z25" s="55">
        <f t="shared" si="3"/>
        <v>2</v>
      </c>
      <c r="AA25" s="59">
        <f t="shared" si="4"/>
        <v>1427255614</v>
      </c>
      <c r="AB25" s="57"/>
      <c r="AC25" s="58" t="s">
        <v>58</v>
      </c>
      <c r="AD25" s="57"/>
      <c r="AE25" s="11"/>
      <c r="AH25" s="25"/>
    </row>
    <row r="26" spans="1:34" ht="83.25" customHeight="1">
      <c r="A26" s="16"/>
      <c r="B26" s="17"/>
      <c r="C26" s="29" t="s">
        <v>285</v>
      </c>
      <c r="D26" s="29" t="s">
        <v>217</v>
      </c>
      <c r="E26" s="20">
        <f>12*3</f>
        <v>36</v>
      </c>
      <c r="F26" s="21" t="s">
        <v>59</v>
      </c>
      <c r="G26" s="23"/>
      <c r="H26" s="20">
        <v>24</v>
      </c>
      <c r="I26" s="23">
        <v>592638600</v>
      </c>
      <c r="J26" s="20">
        <v>12</v>
      </c>
      <c r="K26" s="23">
        <v>344219400</v>
      </c>
      <c r="L26" s="20">
        <v>3</v>
      </c>
      <c r="M26" s="23">
        <v>69931400</v>
      </c>
      <c r="N26" s="20">
        <v>3</v>
      </c>
      <c r="O26" s="23">
        <v>41299400</v>
      </c>
      <c r="P26" s="20">
        <v>3</v>
      </c>
      <c r="Q26" s="23">
        <v>20816700</v>
      </c>
      <c r="R26" s="20">
        <v>3</v>
      </c>
      <c r="S26" s="23">
        <v>171142500</v>
      </c>
      <c r="T26" s="54">
        <f t="shared" si="7"/>
        <v>12</v>
      </c>
      <c r="U26" s="54">
        <f t="shared" si="0"/>
        <v>100</v>
      </c>
      <c r="V26" s="35" t="s">
        <v>58</v>
      </c>
      <c r="W26" s="40">
        <f t="shared" si="1"/>
        <v>303190000</v>
      </c>
      <c r="X26" s="53">
        <f t="shared" si="2"/>
        <v>88.080451014672619</v>
      </c>
      <c r="Y26" s="35" t="s">
        <v>58</v>
      </c>
      <c r="Z26" s="54">
        <f t="shared" si="3"/>
        <v>36</v>
      </c>
      <c r="AA26" s="40">
        <f t="shared" si="4"/>
        <v>895828600</v>
      </c>
      <c r="AB26" s="53"/>
      <c r="AC26" s="35" t="s">
        <v>58</v>
      </c>
      <c r="AD26" s="53"/>
      <c r="AE26" s="11"/>
      <c r="AH26" s="25"/>
    </row>
    <row r="27" spans="1:34" ht="77.25" customHeight="1">
      <c r="A27" s="16"/>
      <c r="B27" s="17"/>
      <c r="C27" s="29" t="s">
        <v>287</v>
      </c>
      <c r="D27" s="29" t="s">
        <v>218</v>
      </c>
      <c r="E27" s="20">
        <f t="shared" ref="E27:E29" si="8">12*3</f>
        <v>36</v>
      </c>
      <c r="F27" s="21" t="s">
        <v>59</v>
      </c>
      <c r="G27" s="28"/>
      <c r="H27" s="20">
        <v>24</v>
      </c>
      <c r="I27" s="28">
        <v>51050000</v>
      </c>
      <c r="J27" s="20">
        <v>12</v>
      </c>
      <c r="K27" s="23">
        <v>80825000</v>
      </c>
      <c r="L27" s="20">
        <v>3</v>
      </c>
      <c r="M27" s="23">
        <v>5625000</v>
      </c>
      <c r="N27" s="20">
        <v>3</v>
      </c>
      <c r="O27" s="23">
        <v>0</v>
      </c>
      <c r="P27" s="20">
        <v>3</v>
      </c>
      <c r="Q27" s="23">
        <v>0</v>
      </c>
      <c r="R27" s="20">
        <v>3</v>
      </c>
      <c r="S27" s="23">
        <v>59006014</v>
      </c>
      <c r="T27" s="54">
        <f t="shared" si="7"/>
        <v>12</v>
      </c>
      <c r="U27" s="54">
        <f t="shared" si="0"/>
        <v>100</v>
      </c>
      <c r="V27" s="35" t="s">
        <v>58</v>
      </c>
      <c r="W27" s="40">
        <f t="shared" si="1"/>
        <v>64631014</v>
      </c>
      <c r="X27" s="53">
        <f t="shared" si="2"/>
        <v>79.96413733374574</v>
      </c>
      <c r="Y27" s="35" t="s">
        <v>58</v>
      </c>
      <c r="Z27" s="54">
        <f t="shared" si="3"/>
        <v>36</v>
      </c>
      <c r="AA27" s="40">
        <f t="shared" si="4"/>
        <v>115681014</v>
      </c>
      <c r="AB27" s="53"/>
      <c r="AC27" s="35" t="s">
        <v>58</v>
      </c>
      <c r="AD27" s="53"/>
      <c r="AE27" s="11"/>
      <c r="AH27" s="25"/>
    </row>
    <row r="28" spans="1:34" ht="90">
      <c r="A28" s="16"/>
      <c r="B28" s="17"/>
      <c r="C28" s="29" t="s">
        <v>286</v>
      </c>
      <c r="D28" s="29" t="s">
        <v>219</v>
      </c>
      <c r="E28" s="20">
        <f t="shared" si="8"/>
        <v>36</v>
      </c>
      <c r="F28" s="21" t="s">
        <v>59</v>
      </c>
      <c r="G28" s="23"/>
      <c r="H28" s="20">
        <v>24</v>
      </c>
      <c r="I28" s="23">
        <v>52621000</v>
      </c>
      <c r="J28" s="20">
        <v>12</v>
      </c>
      <c r="K28" s="23">
        <v>43125000</v>
      </c>
      <c r="L28" s="20">
        <v>3</v>
      </c>
      <c r="M28" s="23">
        <v>7000000</v>
      </c>
      <c r="N28" s="20">
        <v>3</v>
      </c>
      <c r="O28" s="23">
        <v>13575000</v>
      </c>
      <c r="P28" s="20">
        <v>3</v>
      </c>
      <c r="Q28" s="23">
        <v>0</v>
      </c>
      <c r="R28" s="20">
        <v>3</v>
      </c>
      <c r="S28" s="23">
        <v>22550000</v>
      </c>
      <c r="T28" s="54">
        <f t="shared" si="7"/>
        <v>12</v>
      </c>
      <c r="U28" s="54">
        <f t="shared" si="0"/>
        <v>100</v>
      </c>
      <c r="V28" s="35" t="s">
        <v>58</v>
      </c>
      <c r="W28" s="40">
        <f t="shared" si="1"/>
        <v>43125000</v>
      </c>
      <c r="X28" s="53">
        <f t="shared" si="2"/>
        <v>100</v>
      </c>
      <c r="Y28" s="35" t="s">
        <v>58</v>
      </c>
      <c r="Z28" s="54">
        <f t="shared" si="3"/>
        <v>36</v>
      </c>
      <c r="AA28" s="40">
        <f t="shared" si="4"/>
        <v>95746000</v>
      </c>
      <c r="AB28" s="53"/>
      <c r="AC28" s="35" t="s">
        <v>58</v>
      </c>
      <c r="AD28" s="53"/>
      <c r="AE28" s="11"/>
      <c r="AH28" s="25"/>
    </row>
    <row r="29" spans="1:34" ht="120">
      <c r="A29" s="16"/>
      <c r="B29" s="17"/>
      <c r="C29" s="29" t="s">
        <v>77</v>
      </c>
      <c r="D29" s="61" t="s">
        <v>220</v>
      </c>
      <c r="E29" s="20">
        <f t="shared" si="8"/>
        <v>36</v>
      </c>
      <c r="F29" s="27" t="s">
        <v>173</v>
      </c>
      <c r="G29" s="23"/>
      <c r="H29" s="20">
        <v>24</v>
      </c>
      <c r="I29" s="23">
        <v>155000000</v>
      </c>
      <c r="J29" s="20">
        <v>12</v>
      </c>
      <c r="K29" s="23">
        <v>165000000</v>
      </c>
      <c r="L29" s="20">
        <v>3</v>
      </c>
      <c r="M29" s="23">
        <v>24056800</v>
      </c>
      <c r="N29" s="20">
        <v>3</v>
      </c>
      <c r="O29" s="23">
        <v>4400000</v>
      </c>
      <c r="P29" s="20">
        <v>3</v>
      </c>
      <c r="Q29" s="23">
        <v>0</v>
      </c>
      <c r="R29" s="20">
        <v>3</v>
      </c>
      <c r="S29" s="23">
        <v>136543200</v>
      </c>
      <c r="T29" s="54">
        <f t="shared" si="7"/>
        <v>12</v>
      </c>
      <c r="U29" s="54">
        <f t="shared" si="0"/>
        <v>100</v>
      </c>
      <c r="V29" s="35" t="s">
        <v>58</v>
      </c>
      <c r="W29" s="40">
        <f t="shared" si="1"/>
        <v>165000000</v>
      </c>
      <c r="X29" s="53">
        <f t="shared" si="2"/>
        <v>100</v>
      </c>
      <c r="Y29" s="54" t="s">
        <v>58</v>
      </c>
      <c r="Z29" s="54">
        <f t="shared" si="3"/>
        <v>36</v>
      </c>
      <c r="AA29" s="40">
        <f t="shared" si="4"/>
        <v>320000000</v>
      </c>
      <c r="AB29" s="53"/>
      <c r="AC29" s="35" t="s">
        <v>58</v>
      </c>
      <c r="AD29" s="53"/>
      <c r="AE29" s="11"/>
      <c r="AH29" s="25"/>
    </row>
    <row r="30" spans="1:34" s="78" customFormat="1" ht="112.5" customHeight="1">
      <c r="A30" s="16"/>
      <c r="B30" s="17"/>
      <c r="C30" s="112" t="s">
        <v>78</v>
      </c>
      <c r="D30" s="112" t="s">
        <v>142</v>
      </c>
      <c r="E30" s="45">
        <v>100</v>
      </c>
      <c r="F30" s="46" t="s">
        <v>58</v>
      </c>
      <c r="G30" s="42">
        <f>G31</f>
        <v>24150000</v>
      </c>
      <c r="H30" s="45">
        <v>100</v>
      </c>
      <c r="I30" s="42">
        <f>I31</f>
        <v>20210000</v>
      </c>
      <c r="J30" s="45"/>
      <c r="K30" s="42"/>
      <c r="L30" s="45"/>
      <c r="M30" s="42"/>
      <c r="N30" s="45"/>
      <c r="O30" s="42"/>
      <c r="P30" s="45"/>
      <c r="Q30" s="42"/>
      <c r="R30" s="45"/>
      <c r="S30" s="42"/>
      <c r="T30" s="55"/>
      <c r="U30" s="55"/>
      <c r="V30" s="58"/>
      <c r="W30" s="59"/>
      <c r="X30" s="57"/>
      <c r="Y30" s="58"/>
      <c r="Z30" s="55">
        <f t="shared" si="3"/>
        <v>100</v>
      </c>
      <c r="AA30" s="59">
        <f t="shared" si="4"/>
        <v>20210000</v>
      </c>
      <c r="AB30" s="57"/>
      <c r="AC30" s="58" t="s">
        <v>58</v>
      </c>
      <c r="AD30" s="57"/>
      <c r="AE30" s="77"/>
      <c r="AH30" s="79"/>
    </row>
    <row r="31" spans="1:34" ht="120">
      <c r="A31" s="16"/>
      <c r="B31" s="17"/>
      <c r="C31" s="113" t="s">
        <v>85</v>
      </c>
      <c r="D31" s="113" t="s">
        <v>221</v>
      </c>
      <c r="E31" s="20">
        <f>1*3</f>
        <v>3</v>
      </c>
      <c r="F31" s="21" t="s">
        <v>138</v>
      </c>
      <c r="G31" s="23">
        <v>24150000</v>
      </c>
      <c r="H31" s="20">
        <v>2</v>
      </c>
      <c r="I31" s="23">
        <v>20210000</v>
      </c>
      <c r="J31" s="20"/>
      <c r="K31" s="23"/>
      <c r="L31" s="20"/>
      <c r="M31" s="120"/>
      <c r="N31" s="20"/>
      <c r="O31" s="120"/>
      <c r="P31" s="20"/>
      <c r="Q31" s="120"/>
      <c r="R31" s="20"/>
      <c r="S31" s="23"/>
      <c r="T31" s="54"/>
      <c r="U31" s="54"/>
      <c r="V31" s="35"/>
      <c r="W31" s="40"/>
      <c r="X31" s="53"/>
      <c r="Y31" s="35"/>
      <c r="Z31" s="54">
        <f t="shared" si="3"/>
        <v>2</v>
      </c>
      <c r="AA31" s="40">
        <f t="shared" si="4"/>
        <v>20210000</v>
      </c>
      <c r="AB31" s="53"/>
      <c r="AC31" s="35" t="s">
        <v>58</v>
      </c>
      <c r="AD31" s="53"/>
      <c r="AE31" s="11"/>
      <c r="AH31" s="25"/>
    </row>
    <row r="32" spans="1:34" ht="94.5">
      <c r="A32" s="16"/>
      <c r="B32" s="17"/>
      <c r="C32" s="19" t="s">
        <v>79</v>
      </c>
      <c r="D32" s="19" t="s">
        <v>142</v>
      </c>
      <c r="E32" s="45">
        <v>100</v>
      </c>
      <c r="F32" s="46" t="s">
        <v>58</v>
      </c>
      <c r="G32" s="42">
        <f>SUM(G33:G36)</f>
        <v>0</v>
      </c>
      <c r="H32" s="45">
        <v>100</v>
      </c>
      <c r="I32" s="42">
        <f>SUM(I33:I36)</f>
        <v>248523454</v>
      </c>
      <c r="J32" s="45">
        <v>100</v>
      </c>
      <c r="K32" s="42">
        <f>SUM(K33:K36)</f>
        <v>471530800</v>
      </c>
      <c r="L32" s="45">
        <v>100</v>
      </c>
      <c r="M32" s="42">
        <f>SUM(M33:M36)</f>
        <v>94497109</v>
      </c>
      <c r="N32" s="45">
        <v>100</v>
      </c>
      <c r="O32" s="42">
        <f>SUM(O33:O36)</f>
        <v>48000000</v>
      </c>
      <c r="P32" s="45">
        <v>100</v>
      </c>
      <c r="Q32" s="42">
        <f>SUM(Q33:Q36)</f>
        <v>74700000</v>
      </c>
      <c r="R32" s="45">
        <v>100</v>
      </c>
      <c r="S32" s="42">
        <f>SUM(S33:S36)</f>
        <v>181887905</v>
      </c>
      <c r="T32" s="55">
        <f>AVERAGE(L32,N32,P32,R32)</f>
        <v>100</v>
      </c>
      <c r="U32" s="55">
        <f t="shared" ref="U32:U39" si="9">T32/J32*100</f>
        <v>100</v>
      </c>
      <c r="V32" s="58" t="s">
        <v>58</v>
      </c>
      <c r="W32" s="59">
        <f t="shared" ref="W32:W39" si="10">SUM(M32,O32,Q32,S32)</f>
        <v>399085014</v>
      </c>
      <c r="X32" s="57">
        <f t="shared" ref="X32:X39" si="11">W32/K32*100</f>
        <v>84.636043711248561</v>
      </c>
      <c r="Y32" s="58" t="s">
        <v>58</v>
      </c>
      <c r="Z32" s="55">
        <f t="shared" si="3"/>
        <v>200</v>
      </c>
      <c r="AA32" s="59">
        <f t="shared" si="4"/>
        <v>647608468</v>
      </c>
      <c r="AB32" s="57"/>
      <c r="AC32" s="58" t="s">
        <v>58</v>
      </c>
      <c r="AD32" s="57"/>
      <c r="AE32" s="11"/>
      <c r="AH32" s="25"/>
    </row>
    <row r="33" spans="1:34" ht="75">
      <c r="A33" s="16"/>
      <c r="B33" s="17"/>
      <c r="C33" s="29" t="s">
        <v>86</v>
      </c>
      <c r="D33" s="29" t="s">
        <v>222</v>
      </c>
      <c r="E33" s="20">
        <f t="shared" ref="E33:E41" si="12">12*3</f>
        <v>36</v>
      </c>
      <c r="F33" s="21" t="s">
        <v>173</v>
      </c>
      <c r="G33" s="23"/>
      <c r="H33" s="20">
        <v>24</v>
      </c>
      <c r="I33" s="23">
        <v>0</v>
      </c>
      <c r="J33" s="20">
        <v>12</v>
      </c>
      <c r="K33" s="23">
        <v>600000</v>
      </c>
      <c r="L33" s="20">
        <v>0</v>
      </c>
      <c r="M33" s="23">
        <v>0</v>
      </c>
      <c r="N33" s="20">
        <v>0</v>
      </c>
      <c r="O33" s="23">
        <v>0</v>
      </c>
      <c r="P33" s="20">
        <v>0</v>
      </c>
      <c r="Q33" s="23">
        <v>0</v>
      </c>
      <c r="R33" s="20">
        <v>0</v>
      </c>
      <c r="S33" s="23">
        <v>0</v>
      </c>
      <c r="T33" s="54">
        <f>SUM(L33,N33,P33,R33)</f>
        <v>0</v>
      </c>
      <c r="U33" s="54">
        <f t="shared" si="9"/>
        <v>0</v>
      </c>
      <c r="V33" s="35" t="s">
        <v>58</v>
      </c>
      <c r="W33" s="40">
        <f t="shared" si="10"/>
        <v>0</v>
      </c>
      <c r="X33" s="53">
        <f t="shared" si="11"/>
        <v>0</v>
      </c>
      <c r="Y33" s="35" t="s">
        <v>58</v>
      </c>
      <c r="Z33" s="54">
        <f t="shared" si="3"/>
        <v>24</v>
      </c>
      <c r="AA33" s="40">
        <f t="shared" si="4"/>
        <v>0</v>
      </c>
      <c r="AB33" s="53"/>
      <c r="AC33" s="35" t="s">
        <v>58</v>
      </c>
      <c r="AD33" s="53"/>
      <c r="AE33" s="11"/>
      <c r="AH33" s="25"/>
    </row>
    <row r="34" spans="1:34" ht="135">
      <c r="A34" s="16"/>
      <c r="B34" s="17"/>
      <c r="C34" s="29" t="s">
        <v>87</v>
      </c>
      <c r="D34" s="29" t="s">
        <v>223</v>
      </c>
      <c r="E34" s="20">
        <f t="shared" si="12"/>
        <v>36</v>
      </c>
      <c r="F34" s="21" t="s">
        <v>173</v>
      </c>
      <c r="G34" s="23"/>
      <c r="H34" s="20">
        <v>24</v>
      </c>
      <c r="I34" s="23">
        <v>125052934</v>
      </c>
      <c r="J34" s="20">
        <v>12</v>
      </c>
      <c r="K34" s="23">
        <v>119050000</v>
      </c>
      <c r="L34" s="20">
        <v>3</v>
      </c>
      <c r="M34" s="23">
        <v>18180949</v>
      </c>
      <c r="N34" s="20">
        <v>0</v>
      </c>
      <c r="O34" s="23">
        <v>0</v>
      </c>
      <c r="P34" s="20">
        <v>0</v>
      </c>
      <c r="Q34" s="23">
        <v>0</v>
      </c>
      <c r="R34" s="20">
        <v>9</v>
      </c>
      <c r="S34" s="23">
        <v>57262625</v>
      </c>
      <c r="T34" s="54">
        <f>SUM(L34,N34,P34,R34)</f>
        <v>12</v>
      </c>
      <c r="U34" s="54">
        <f t="shared" si="9"/>
        <v>100</v>
      </c>
      <c r="V34" s="35" t="s">
        <v>58</v>
      </c>
      <c r="W34" s="40">
        <f t="shared" si="10"/>
        <v>75443574</v>
      </c>
      <c r="X34" s="53">
        <f t="shared" si="11"/>
        <v>63.371334733305332</v>
      </c>
      <c r="Y34" s="35" t="s">
        <v>58</v>
      </c>
      <c r="Z34" s="54">
        <f t="shared" si="3"/>
        <v>36</v>
      </c>
      <c r="AA34" s="40">
        <f t="shared" si="4"/>
        <v>200496508</v>
      </c>
      <c r="AB34" s="53"/>
      <c r="AC34" s="35" t="s">
        <v>58</v>
      </c>
      <c r="AD34" s="53"/>
      <c r="AE34" s="11"/>
      <c r="AH34" s="25"/>
    </row>
    <row r="35" spans="1:34" ht="135">
      <c r="A35" s="16"/>
      <c r="B35" s="17"/>
      <c r="C35" s="29" t="s">
        <v>88</v>
      </c>
      <c r="D35" s="29" t="s">
        <v>225</v>
      </c>
      <c r="E35" s="20">
        <f t="shared" si="12"/>
        <v>36</v>
      </c>
      <c r="F35" s="21" t="s">
        <v>173</v>
      </c>
      <c r="G35" s="23"/>
      <c r="H35" s="20">
        <v>24</v>
      </c>
      <c r="I35" s="23">
        <v>10135000</v>
      </c>
      <c r="J35" s="20">
        <v>12</v>
      </c>
      <c r="K35" s="23">
        <v>7800000</v>
      </c>
      <c r="L35" s="20">
        <v>0</v>
      </c>
      <c r="M35" s="23">
        <v>0</v>
      </c>
      <c r="N35" s="20">
        <v>0</v>
      </c>
      <c r="O35" s="23">
        <v>0</v>
      </c>
      <c r="P35" s="20">
        <v>6</v>
      </c>
      <c r="Q35" s="23">
        <v>2700000</v>
      </c>
      <c r="R35" s="20">
        <v>6</v>
      </c>
      <c r="S35" s="23">
        <v>5100000</v>
      </c>
      <c r="T35" s="54">
        <f>SUM(L35,N35,P35,R35)</f>
        <v>12</v>
      </c>
      <c r="U35" s="54">
        <f t="shared" si="9"/>
        <v>100</v>
      </c>
      <c r="V35" s="35" t="s">
        <v>58</v>
      </c>
      <c r="W35" s="40">
        <f t="shared" si="10"/>
        <v>7800000</v>
      </c>
      <c r="X35" s="53">
        <f t="shared" si="11"/>
        <v>100</v>
      </c>
      <c r="Y35" s="35" t="s">
        <v>58</v>
      </c>
      <c r="Z35" s="54">
        <f t="shared" si="3"/>
        <v>36</v>
      </c>
      <c r="AA35" s="40">
        <f t="shared" si="4"/>
        <v>17935000</v>
      </c>
      <c r="AB35" s="53"/>
      <c r="AC35" s="35" t="s">
        <v>58</v>
      </c>
      <c r="AD35" s="53"/>
      <c r="AE35" s="11"/>
      <c r="AH35" s="25"/>
    </row>
    <row r="36" spans="1:34" ht="120">
      <c r="A36" s="16"/>
      <c r="B36" s="17"/>
      <c r="C36" s="29" t="s">
        <v>80</v>
      </c>
      <c r="D36" s="29" t="s">
        <v>224</v>
      </c>
      <c r="E36" s="20">
        <f t="shared" si="12"/>
        <v>36</v>
      </c>
      <c r="F36" s="21" t="s">
        <v>173</v>
      </c>
      <c r="G36" s="23"/>
      <c r="H36" s="20">
        <v>24</v>
      </c>
      <c r="I36" s="23">
        <v>113335520</v>
      </c>
      <c r="J36" s="20">
        <v>12</v>
      </c>
      <c r="K36" s="23">
        <v>344080800</v>
      </c>
      <c r="L36" s="20">
        <v>3</v>
      </c>
      <c r="M36" s="23">
        <v>76316160</v>
      </c>
      <c r="N36" s="20">
        <v>3</v>
      </c>
      <c r="O36" s="23">
        <v>48000000</v>
      </c>
      <c r="P36" s="20">
        <v>3</v>
      </c>
      <c r="Q36" s="23">
        <v>72000000</v>
      </c>
      <c r="R36" s="20">
        <v>3</v>
      </c>
      <c r="S36" s="23">
        <v>119525280</v>
      </c>
      <c r="T36" s="54">
        <f>SUM(L36,N36,P36,R36)</f>
        <v>12</v>
      </c>
      <c r="U36" s="54">
        <f t="shared" si="9"/>
        <v>100</v>
      </c>
      <c r="V36" s="35" t="s">
        <v>58</v>
      </c>
      <c r="W36" s="40">
        <f t="shared" si="10"/>
        <v>315841440</v>
      </c>
      <c r="X36" s="53">
        <f t="shared" si="11"/>
        <v>91.792811455913849</v>
      </c>
      <c r="Y36" s="35" t="s">
        <v>58</v>
      </c>
      <c r="Z36" s="54">
        <f t="shared" si="3"/>
        <v>36</v>
      </c>
      <c r="AA36" s="40">
        <f t="shared" si="4"/>
        <v>429176960</v>
      </c>
      <c r="AB36" s="53"/>
      <c r="AC36" s="35" t="s">
        <v>58</v>
      </c>
      <c r="AD36" s="53"/>
      <c r="AE36" s="11"/>
      <c r="AH36" s="25"/>
    </row>
    <row r="37" spans="1:34" s="78" customFormat="1" ht="110.25">
      <c r="A37" s="16"/>
      <c r="B37" s="17"/>
      <c r="C37" s="19" t="s">
        <v>81</v>
      </c>
      <c r="D37" s="19" t="s">
        <v>142</v>
      </c>
      <c r="E37" s="45">
        <v>100</v>
      </c>
      <c r="F37" s="46" t="s">
        <v>58</v>
      </c>
      <c r="G37" s="42">
        <f>SUM(G38:G41)</f>
        <v>156096000</v>
      </c>
      <c r="H37" s="45">
        <v>100</v>
      </c>
      <c r="I37" s="42">
        <f>SUM(I38:I41)</f>
        <v>572099842</v>
      </c>
      <c r="J37" s="45">
        <v>100</v>
      </c>
      <c r="K37" s="42">
        <f>SUM(K38:K41)</f>
        <v>657496000</v>
      </c>
      <c r="L37" s="45">
        <v>100</v>
      </c>
      <c r="M37" s="42">
        <f>SUM(M38:M41)</f>
        <v>98584656</v>
      </c>
      <c r="N37" s="45">
        <v>100</v>
      </c>
      <c r="O37" s="42">
        <f>SUM(O38:O41)</f>
        <v>117768000</v>
      </c>
      <c r="P37" s="45">
        <v>100</v>
      </c>
      <c r="Q37" s="42">
        <f>SUM(Q38:Q41)</f>
        <v>114630620</v>
      </c>
      <c r="R37" s="45">
        <v>100</v>
      </c>
      <c r="S37" s="42">
        <f>SUM(S38:S41)</f>
        <v>323762724</v>
      </c>
      <c r="T37" s="55">
        <f>AVERAGE(L37,N37,P37,R37)</f>
        <v>100</v>
      </c>
      <c r="U37" s="55">
        <f t="shared" si="9"/>
        <v>100</v>
      </c>
      <c r="V37" s="58" t="s">
        <v>58</v>
      </c>
      <c r="W37" s="59">
        <f t="shared" si="10"/>
        <v>654746000</v>
      </c>
      <c r="X37" s="57">
        <f t="shared" si="11"/>
        <v>99.581746504921696</v>
      </c>
      <c r="Y37" s="58" t="s">
        <v>58</v>
      </c>
      <c r="Z37" s="55">
        <f t="shared" si="3"/>
        <v>200</v>
      </c>
      <c r="AA37" s="59">
        <f t="shared" si="4"/>
        <v>1226845842</v>
      </c>
      <c r="AB37" s="57"/>
      <c r="AC37" s="58" t="s">
        <v>58</v>
      </c>
      <c r="AD37" s="57"/>
      <c r="AE37" s="77"/>
      <c r="AH37" s="79"/>
    </row>
    <row r="38" spans="1:34" ht="168" customHeight="1">
      <c r="A38" s="16"/>
      <c r="B38" s="17"/>
      <c r="C38" s="29" t="s">
        <v>89</v>
      </c>
      <c r="D38" s="29" t="s">
        <v>229</v>
      </c>
      <c r="E38" s="20">
        <f t="shared" si="12"/>
        <v>36</v>
      </c>
      <c r="F38" s="21" t="s">
        <v>138</v>
      </c>
      <c r="G38" s="23"/>
      <c r="H38" s="20">
        <v>24</v>
      </c>
      <c r="I38" s="23">
        <v>6000000</v>
      </c>
      <c r="J38" s="20">
        <v>1</v>
      </c>
      <c r="K38" s="23">
        <v>19200000</v>
      </c>
      <c r="L38" s="20">
        <v>0</v>
      </c>
      <c r="M38" s="23">
        <v>0</v>
      </c>
      <c r="N38" s="20">
        <v>0</v>
      </c>
      <c r="O38" s="23">
        <v>0</v>
      </c>
      <c r="P38" s="20">
        <v>0</v>
      </c>
      <c r="Q38" s="23">
        <v>0</v>
      </c>
      <c r="R38" s="20">
        <v>1</v>
      </c>
      <c r="S38" s="23">
        <v>16450000</v>
      </c>
      <c r="T38" s="54">
        <f>SUM(L38,N38,P38,R38)</f>
        <v>1</v>
      </c>
      <c r="U38" s="54">
        <f t="shared" si="9"/>
        <v>100</v>
      </c>
      <c r="V38" s="35" t="s">
        <v>58</v>
      </c>
      <c r="W38" s="40">
        <f t="shared" si="10"/>
        <v>16450000</v>
      </c>
      <c r="X38" s="53">
        <f t="shared" si="11"/>
        <v>85.677083333333343</v>
      </c>
      <c r="Y38" s="35" t="s">
        <v>58</v>
      </c>
      <c r="Z38" s="54">
        <f t="shared" si="3"/>
        <v>25</v>
      </c>
      <c r="AA38" s="40">
        <f t="shared" si="4"/>
        <v>22450000</v>
      </c>
      <c r="AB38" s="53"/>
      <c r="AC38" s="35" t="s">
        <v>58</v>
      </c>
      <c r="AD38" s="53"/>
      <c r="AE38" s="11"/>
      <c r="AH38" s="25"/>
    </row>
    <row r="39" spans="1:34" ht="180">
      <c r="A39" s="16"/>
      <c r="B39" s="17"/>
      <c r="C39" s="29" t="s">
        <v>82</v>
      </c>
      <c r="D39" s="29" t="s">
        <v>226</v>
      </c>
      <c r="E39" s="20">
        <f t="shared" si="12"/>
        <v>36</v>
      </c>
      <c r="F39" s="21" t="s">
        <v>138</v>
      </c>
      <c r="G39" s="23"/>
      <c r="H39" s="20">
        <v>24</v>
      </c>
      <c r="I39" s="23">
        <v>413158466</v>
      </c>
      <c r="J39" s="20">
        <v>36</v>
      </c>
      <c r="K39" s="23">
        <v>638296000</v>
      </c>
      <c r="L39" s="20">
        <v>3</v>
      </c>
      <c r="M39" s="23">
        <v>98584656</v>
      </c>
      <c r="N39" s="20">
        <v>3</v>
      </c>
      <c r="O39" s="23">
        <v>117768000</v>
      </c>
      <c r="P39" s="20">
        <v>3</v>
      </c>
      <c r="Q39" s="23">
        <v>114630620</v>
      </c>
      <c r="R39" s="20">
        <v>27</v>
      </c>
      <c r="S39" s="23">
        <v>307312724</v>
      </c>
      <c r="T39" s="54">
        <f>SUM(L39,N39,P39,R39)</f>
        <v>36</v>
      </c>
      <c r="U39" s="54">
        <f t="shared" si="9"/>
        <v>100</v>
      </c>
      <c r="V39" s="35" t="s">
        <v>58</v>
      </c>
      <c r="W39" s="40">
        <f t="shared" si="10"/>
        <v>638296000</v>
      </c>
      <c r="X39" s="53">
        <f t="shared" si="11"/>
        <v>100</v>
      </c>
      <c r="Y39" s="35" t="s">
        <v>58</v>
      </c>
      <c r="Z39" s="54">
        <f t="shared" si="3"/>
        <v>60</v>
      </c>
      <c r="AA39" s="40">
        <f t="shared" si="4"/>
        <v>1051454466</v>
      </c>
      <c r="AB39" s="53"/>
      <c r="AC39" s="35" t="s">
        <v>58</v>
      </c>
      <c r="AD39" s="53"/>
      <c r="AE39" s="11"/>
      <c r="AH39" s="25"/>
    </row>
    <row r="40" spans="1:34" ht="105">
      <c r="A40" s="16"/>
      <c r="B40" s="17"/>
      <c r="C40" s="114" t="s">
        <v>83</v>
      </c>
      <c r="D40" s="113" t="s">
        <v>227</v>
      </c>
      <c r="E40" s="20">
        <f t="shared" si="12"/>
        <v>36</v>
      </c>
      <c r="F40" s="21" t="s">
        <v>138</v>
      </c>
      <c r="G40" s="23">
        <v>39456000</v>
      </c>
      <c r="H40" s="20">
        <v>24</v>
      </c>
      <c r="I40" s="23">
        <v>39452928</v>
      </c>
      <c r="J40" s="20"/>
      <c r="K40" s="23"/>
      <c r="L40" s="20"/>
      <c r="M40" s="23"/>
      <c r="N40" s="20"/>
      <c r="O40" s="23"/>
      <c r="P40" s="20"/>
      <c r="Q40" s="23"/>
      <c r="R40" s="20"/>
      <c r="S40" s="23"/>
      <c r="T40" s="54"/>
      <c r="U40" s="54"/>
      <c r="V40" s="35"/>
      <c r="W40" s="40"/>
      <c r="X40" s="53"/>
      <c r="Y40" s="35"/>
      <c r="Z40" s="54">
        <f t="shared" si="3"/>
        <v>24</v>
      </c>
      <c r="AA40" s="40">
        <f t="shared" si="4"/>
        <v>39452928</v>
      </c>
      <c r="AB40" s="53"/>
      <c r="AC40" s="35" t="s">
        <v>58</v>
      </c>
      <c r="AD40" s="53"/>
      <c r="AE40" s="11"/>
      <c r="AH40" s="25"/>
    </row>
    <row r="41" spans="1:34" ht="135">
      <c r="A41" s="16"/>
      <c r="B41" s="17"/>
      <c r="C41" s="116" t="s">
        <v>84</v>
      </c>
      <c r="D41" s="117" t="s">
        <v>228</v>
      </c>
      <c r="E41" s="20">
        <f t="shared" si="12"/>
        <v>36</v>
      </c>
      <c r="F41" s="21" t="s">
        <v>138</v>
      </c>
      <c r="G41" s="62">
        <v>116640000</v>
      </c>
      <c r="H41" s="20">
        <v>24</v>
      </c>
      <c r="I41" s="62">
        <v>113488448</v>
      </c>
      <c r="J41" s="20"/>
      <c r="K41" s="62"/>
      <c r="L41" s="20"/>
      <c r="M41" s="62"/>
      <c r="N41" s="20"/>
      <c r="O41" s="62"/>
      <c r="P41" s="20"/>
      <c r="Q41" s="62"/>
      <c r="R41" s="20"/>
      <c r="S41" s="62"/>
      <c r="T41" s="54"/>
      <c r="U41" s="54"/>
      <c r="V41" s="35"/>
      <c r="W41" s="80"/>
      <c r="X41" s="53"/>
      <c r="Y41" s="35"/>
      <c r="Z41" s="54">
        <f t="shared" si="3"/>
        <v>24</v>
      </c>
      <c r="AA41" s="80">
        <f t="shared" si="4"/>
        <v>113488448</v>
      </c>
      <c r="AB41" s="53"/>
      <c r="AC41" s="35" t="s">
        <v>58</v>
      </c>
      <c r="AD41" s="53"/>
      <c r="AE41" s="11"/>
      <c r="AH41" s="25"/>
    </row>
    <row r="42" spans="1:34" ht="102" customHeight="1">
      <c r="A42" s="16"/>
      <c r="B42" s="88"/>
      <c r="C42" s="49" t="s">
        <v>91</v>
      </c>
      <c r="D42" s="90" t="s">
        <v>144</v>
      </c>
      <c r="E42" s="20"/>
      <c r="F42" s="89"/>
      <c r="G42" s="52">
        <f>G55+G69+G86+G98</f>
        <v>152632908096</v>
      </c>
      <c r="H42" s="92">
        <v>100</v>
      </c>
      <c r="I42" s="52">
        <f>I55+I69+I86+I98</f>
        <v>59358731949</v>
      </c>
      <c r="J42" s="92">
        <v>24.37</v>
      </c>
      <c r="K42" s="52">
        <f>K55+K69+K86+K98</f>
        <v>62637310615</v>
      </c>
      <c r="L42" s="91"/>
      <c r="M42" s="52">
        <f>M55+M69+M86+M98</f>
        <v>1890853210</v>
      </c>
      <c r="N42" s="91"/>
      <c r="O42" s="52">
        <f>O55+O69+O86+O98</f>
        <v>4945496014</v>
      </c>
      <c r="P42" s="91"/>
      <c r="Q42" s="52">
        <f>Q55+Q69+Q86+Q98</f>
        <v>9077205845</v>
      </c>
      <c r="R42" s="121"/>
      <c r="S42" s="52">
        <f>S55+S69+S86+S98</f>
        <v>43682284509</v>
      </c>
      <c r="T42" s="55">
        <f t="shared" ref="T42:T64" si="13">SUM(L42,N42,P42,R42)</f>
        <v>0</v>
      </c>
      <c r="U42" s="55">
        <f t="shared" ref="U42:U66" si="14">T42/J42*100</f>
        <v>0</v>
      </c>
      <c r="V42" s="99" t="s">
        <v>58</v>
      </c>
      <c r="W42" s="56">
        <f>SUM(M42,O42,Q42,S42)</f>
        <v>59595839578</v>
      </c>
      <c r="X42" s="60">
        <f>W42/K42*100</f>
        <v>95.144314136195291</v>
      </c>
      <c r="Y42" s="48" t="s">
        <v>58</v>
      </c>
      <c r="Z42" s="55">
        <f t="shared" ref="Z42:Z54" si="15">T42</f>
        <v>0</v>
      </c>
      <c r="AA42" s="56">
        <f t="shared" si="4"/>
        <v>118954571527</v>
      </c>
      <c r="AB42" s="100"/>
      <c r="AC42" s="58" t="s">
        <v>58</v>
      </c>
      <c r="AD42" s="60"/>
      <c r="AE42" s="11"/>
      <c r="AH42" s="25"/>
    </row>
    <row r="43" spans="1:34" ht="54.75" customHeight="1">
      <c r="A43" s="16"/>
      <c r="B43" s="88"/>
      <c r="C43" s="17"/>
      <c r="D43" s="90" t="s">
        <v>151</v>
      </c>
      <c r="E43" s="20"/>
      <c r="F43" s="89"/>
      <c r="G43" s="95"/>
      <c r="H43" s="92">
        <v>0</v>
      </c>
      <c r="I43" s="96"/>
      <c r="J43" s="92" t="s">
        <v>163</v>
      </c>
      <c r="K43" s="97"/>
      <c r="L43" s="92"/>
      <c r="M43" s="97"/>
      <c r="N43" s="92"/>
      <c r="O43" s="97"/>
      <c r="P43" s="92"/>
      <c r="Q43" s="97"/>
      <c r="R43" s="92"/>
      <c r="S43" s="122"/>
      <c r="T43" s="55">
        <f t="shared" si="13"/>
        <v>0</v>
      </c>
      <c r="U43" s="55">
        <f t="shared" si="14"/>
        <v>0</v>
      </c>
      <c r="V43" s="99" t="s">
        <v>58</v>
      </c>
      <c r="W43" s="98"/>
      <c r="X43" s="101"/>
      <c r="Y43" s="72"/>
      <c r="Z43" s="55">
        <f t="shared" si="15"/>
        <v>0</v>
      </c>
      <c r="AA43" s="98"/>
      <c r="AB43" s="93"/>
      <c r="AC43" s="35"/>
      <c r="AD43" s="101"/>
      <c r="AE43" s="11"/>
      <c r="AH43" s="25"/>
    </row>
    <row r="44" spans="1:34" ht="103.5" customHeight="1">
      <c r="A44" s="16"/>
      <c r="B44" s="88"/>
      <c r="C44" s="17"/>
      <c r="D44" s="90" t="s">
        <v>152</v>
      </c>
      <c r="E44" s="20"/>
      <c r="F44" s="89"/>
      <c r="G44" s="95"/>
      <c r="H44" s="92">
        <v>100</v>
      </c>
      <c r="I44" s="96"/>
      <c r="J44" s="92" t="s">
        <v>164</v>
      </c>
      <c r="K44" s="97"/>
      <c r="L44" s="92"/>
      <c r="M44" s="97"/>
      <c r="N44" s="92"/>
      <c r="O44" s="97"/>
      <c r="P44" s="92"/>
      <c r="Q44" s="97"/>
      <c r="R44" s="92"/>
      <c r="S44" s="122"/>
      <c r="T44" s="55">
        <f t="shared" si="13"/>
        <v>0</v>
      </c>
      <c r="U44" s="55">
        <f t="shared" si="14"/>
        <v>0</v>
      </c>
      <c r="V44" s="99" t="s">
        <v>58</v>
      </c>
      <c r="W44" s="98"/>
      <c r="X44" s="101"/>
      <c r="Y44" s="72"/>
      <c r="Z44" s="55">
        <f t="shared" si="15"/>
        <v>0</v>
      </c>
      <c r="AA44" s="98"/>
      <c r="AB44" s="93"/>
      <c r="AC44" s="35"/>
      <c r="AD44" s="101"/>
      <c r="AE44" s="11"/>
      <c r="AH44" s="25"/>
    </row>
    <row r="45" spans="1:34" ht="63">
      <c r="A45" s="16"/>
      <c r="B45" s="88"/>
      <c r="C45" s="17"/>
      <c r="D45" s="90" t="s">
        <v>153</v>
      </c>
      <c r="E45" s="20"/>
      <c r="F45" s="89"/>
      <c r="G45" s="95"/>
      <c r="H45" s="92">
        <v>0</v>
      </c>
      <c r="I45" s="96"/>
      <c r="J45" s="92" t="s">
        <v>165</v>
      </c>
      <c r="K45" s="97"/>
      <c r="L45" s="92"/>
      <c r="M45" s="97"/>
      <c r="N45" s="92"/>
      <c r="O45" s="97"/>
      <c r="P45" s="92"/>
      <c r="Q45" s="97"/>
      <c r="R45" s="92"/>
      <c r="S45" s="122"/>
      <c r="T45" s="55">
        <f t="shared" si="13"/>
        <v>0</v>
      </c>
      <c r="U45" s="55">
        <f t="shared" si="14"/>
        <v>0</v>
      </c>
      <c r="V45" s="99" t="s">
        <v>58</v>
      </c>
      <c r="W45" s="98"/>
      <c r="X45" s="101"/>
      <c r="Y45" s="72"/>
      <c r="Z45" s="55">
        <f t="shared" si="15"/>
        <v>0</v>
      </c>
      <c r="AA45" s="98"/>
      <c r="AB45" s="93"/>
      <c r="AC45" s="35"/>
      <c r="AD45" s="101"/>
      <c r="AE45" s="11"/>
      <c r="AH45" s="25"/>
    </row>
    <row r="46" spans="1:34" ht="108.75" customHeight="1">
      <c r="A46" s="16"/>
      <c r="B46" s="88"/>
      <c r="C46" s="17"/>
      <c r="D46" s="90" t="s">
        <v>154</v>
      </c>
      <c r="E46" s="20"/>
      <c r="F46" s="89"/>
      <c r="G46" s="95"/>
      <c r="H46" s="92">
        <v>79.61</v>
      </c>
      <c r="I46" s="96"/>
      <c r="J46" s="92" t="s">
        <v>166</v>
      </c>
      <c r="K46" s="97"/>
      <c r="L46" s="92"/>
      <c r="M46" s="97"/>
      <c r="N46" s="92"/>
      <c r="O46" s="97"/>
      <c r="P46" s="92"/>
      <c r="Q46" s="97"/>
      <c r="R46" s="111"/>
      <c r="S46" s="122"/>
      <c r="T46" s="57">
        <f t="shared" si="13"/>
        <v>0</v>
      </c>
      <c r="U46" s="55">
        <f t="shared" si="14"/>
        <v>0</v>
      </c>
      <c r="V46" s="99" t="s">
        <v>58</v>
      </c>
      <c r="W46" s="98"/>
      <c r="X46" s="101"/>
      <c r="Y46" s="72"/>
      <c r="Z46" s="55">
        <f t="shared" si="15"/>
        <v>0</v>
      </c>
      <c r="AA46" s="98"/>
      <c r="AB46" s="93"/>
      <c r="AC46" s="35"/>
      <c r="AD46" s="101"/>
      <c r="AE46" s="11"/>
      <c r="AH46" s="25"/>
    </row>
    <row r="47" spans="1:34" ht="63">
      <c r="A47" s="16"/>
      <c r="B47" s="88"/>
      <c r="C47" s="17"/>
      <c r="D47" s="90" t="s">
        <v>155</v>
      </c>
      <c r="E47" s="20"/>
      <c r="F47" s="89"/>
      <c r="G47" s="95"/>
      <c r="H47" s="111">
        <v>99.47</v>
      </c>
      <c r="I47" s="96"/>
      <c r="J47" s="92">
        <v>100</v>
      </c>
      <c r="K47" s="97"/>
      <c r="L47" s="92"/>
      <c r="M47" s="97"/>
      <c r="N47" s="92"/>
      <c r="O47" s="97"/>
      <c r="P47" s="92"/>
      <c r="Q47" s="97"/>
      <c r="R47" s="111"/>
      <c r="S47" s="122"/>
      <c r="T47" s="57">
        <f t="shared" si="13"/>
        <v>0</v>
      </c>
      <c r="U47" s="55">
        <f t="shared" si="14"/>
        <v>0</v>
      </c>
      <c r="V47" s="99" t="s">
        <v>58</v>
      </c>
      <c r="W47" s="98"/>
      <c r="X47" s="101"/>
      <c r="Y47" s="72"/>
      <c r="Z47" s="55">
        <f t="shared" si="15"/>
        <v>0</v>
      </c>
      <c r="AA47" s="98"/>
      <c r="AB47" s="93"/>
      <c r="AC47" s="35"/>
      <c r="AD47" s="101"/>
      <c r="AE47" s="11"/>
      <c r="AH47" s="25"/>
    </row>
    <row r="48" spans="1:34" ht="72.75" customHeight="1">
      <c r="A48" s="16"/>
      <c r="B48" s="88"/>
      <c r="C48" s="17"/>
      <c r="D48" s="90" t="s">
        <v>156</v>
      </c>
      <c r="E48" s="20"/>
      <c r="F48" s="89"/>
      <c r="G48" s="95"/>
      <c r="H48" s="111">
        <v>98.2</v>
      </c>
      <c r="I48" s="96"/>
      <c r="J48" s="92" t="s">
        <v>167</v>
      </c>
      <c r="K48" s="97"/>
      <c r="L48" s="92"/>
      <c r="M48" s="97"/>
      <c r="N48" s="92"/>
      <c r="O48" s="97"/>
      <c r="P48" s="92"/>
      <c r="Q48" s="97"/>
      <c r="R48" s="111"/>
      <c r="S48" s="122"/>
      <c r="T48" s="57">
        <f t="shared" si="13"/>
        <v>0</v>
      </c>
      <c r="U48" s="55">
        <f t="shared" si="14"/>
        <v>0</v>
      </c>
      <c r="V48" s="99" t="s">
        <v>58</v>
      </c>
      <c r="W48" s="98"/>
      <c r="X48" s="101"/>
      <c r="Y48" s="72"/>
      <c r="Z48" s="55">
        <f t="shared" si="15"/>
        <v>0</v>
      </c>
      <c r="AA48" s="98"/>
      <c r="AB48" s="93"/>
      <c r="AC48" s="35"/>
      <c r="AD48" s="101"/>
      <c r="AE48" s="11"/>
      <c r="AH48" s="25"/>
    </row>
    <row r="49" spans="1:34" ht="63">
      <c r="A49" s="16"/>
      <c r="B49" s="88"/>
      <c r="C49" s="17"/>
      <c r="D49" s="90" t="s">
        <v>157</v>
      </c>
      <c r="E49" s="20"/>
      <c r="F49" s="89"/>
      <c r="G49" s="95"/>
      <c r="H49" s="92">
        <v>0</v>
      </c>
      <c r="I49" s="96"/>
      <c r="J49" s="92">
        <v>23</v>
      </c>
      <c r="K49" s="97"/>
      <c r="L49" s="92"/>
      <c r="M49" s="97"/>
      <c r="N49" s="92"/>
      <c r="O49" s="97"/>
      <c r="P49" s="92"/>
      <c r="Q49" s="97"/>
      <c r="R49" s="111"/>
      <c r="S49" s="122"/>
      <c r="T49" s="55">
        <f t="shared" si="13"/>
        <v>0</v>
      </c>
      <c r="U49" s="55">
        <f t="shared" si="14"/>
        <v>0</v>
      </c>
      <c r="V49" s="99" t="s">
        <v>58</v>
      </c>
      <c r="W49" s="98"/>
      <c r="X49" s="101"/>
      <c r="Y49" s="72"/>
      <c r="Z49" s="55">
        <f t="shared" si="15"/>
        <v>0</v>
      </c>
      <c r="AA49" s="98"/>
      <c r="AB49" s="93"/>
      <c r="AC49" s="35"/>
      <c r="AD49" s="101"/>
      <c r="AE49" s="11"/>
      <c r="AH49" s="25"/>
    </row>
    <row r="50" spans="1:34" ht="99.75" customHeight="1">
      <c r="A50" s="16"/>
      <c r="B50" s="88"/>
      <c r="C50" s="17"/>
      <c r="D50" s="90" t="s">
        <v>158</v>
      </c>
      <c r="E50" s="20"/>
      <c r="F50" s="89"/>
      <c r="G50" s="95"/>
      <c r="H50" s="92">
        <v>100</v>
      </c>
      <c r="I50" s="96"/>
      <c r="J50" s="92" t="s">
        <v>168</v>
      </c>
      <c r="K50" s="97"/>
      <c r="L50" s="92"/>
      <c r="M50" s="97"/>
      <c r="N50" s="92"/>
      <c r="O50" s="97"/>
      <c r="P50" s="92"/>
      <c r="Q50" s="97"/>
      <c r="R50" s="121"/>
      <c r="S50" s="122"/>
      <c r="T50" s="55">
        <f t="shared" si="13"/>
        <v>0</v>
      </c>
      <c r="U50" s="55">
        <f t="shared" si="14"/>
        <v>0</v>
      </c>
      <c r="V50" s="99" t="s">
        <v>58</v>
      </c>
      <c r="W50" s="98"/>
      <c r="X50" s="101"/>
      <c r="Y50" s="72"/>
      <c r="Z50" s="55">
        <f t="shared" si="15"/>
        <v>0</v>
      </c>
      <c r="AA50" s="98"/>
      <c r="AB50" s="93"/>
      <c r="AC50" s="35"/>
      <c r="AD50" s="101"/>
      <c r="AE50" s="11"/>
      <c r="AH50" s="25"/>
    </row>
    <row r="51" spans="1:34" ht="89.25" customHeight="1">
      <c r="A51" s="16"/>
      <c r="B51" s="88"/>
      <c r="C51" s="17"/>
      <c r="D51" s="90" t="s">
        <v>159</v>
      </c>
      <c r="E51" s="20"/>
      <c r="F51" s="89"/>
      <c r="G51" s="95"/>
      <c r="H51" s="111">
        <v>91.98</v>
      </c>
      <c r="I51" s="96"/>
      <c r="J51" s="92" t="s">
        <v>169</v>
      </c>
      <c r="K51" s="97"/>
      <c r="L51" s="92"/>
      <c r="M51" s="97"/>
      <c r="N51" s="92"/>
      <c r="O51" s="97"/>
      <c r="P51" s="92"/>
      <c r="Q51" s="97"/>
      <c r="R51" s="111"/>
      <c r="S51" s="122"/>
      <c r="T51" s="57">
        <f t="shared" si="13"/>
        <v>0</v>
      </c>
      <c r="U51" s="55">
        <f t="shared" si="14"/>
        <v>0</v>
      </c>
      <c r="V51" s="99" t="s">
        <v>58</v>
      </c>
      <c r="W51" s="98"/>
      <c r="X51" s="101"/>
      <c r="Y51" s="72"/>
      <c r="Z51" s="55">
        <f t="shared" si="15"/>
        <v>0</v>
      </c>
      <c r="AA51" s="98"/>
      <c r="AB51" s="93"/>
      <c r="AC51" s="35"/>
      <c r="AD51" s="101"/>
      <c r="AE51" s="11"/>
      <c r="AH51" s="25"/>
    </row>
    <row r="52" spans="1:34" ht="81.75" customHeight="1">
      <c r="A52" s="16"/>
      <c r="B52" s="88"/>
      <c r="C52" s="17"/>
      <c r="D52" s="90" t="s">
        <v>160</v>
      </c>
      <c r="E52" s="20"/>
      <c r="F52" s="89"/>
      <c r="G52" s="95"/>
      <c r="H52" s="111">
        <v>74.38</v>
      </c>
      <c r="I52" s="96"/>
      <c r="J52" s="92" t="s">
        <v>170</v>
      </c>
      <c r="K52" s="97"/>
      <c r="L52" s="92"/>
      <c r="M52" s="97"/>
      <c r="N52" s="92"/>
      <c r="O52" s="97"/>
      <c r="P52" s="92"/>
      <c r="Q52" s="97"/>
      <c r="R52" s="111"/>
      <c r="S52" s="122"/>
      <c r="T52" s="57">
        <f t="shared" si="13"/>
        <v>0</v>
      </c>
      <c r="U52" s="55">
        <f t="shared" si="14"/>
        <v>0</v>
      </c>
      <c r="V52" s="99" t="s">
        <v>58</v>
      </c>
      <c r="W52" s="98"/>
      <c r="X52" s="101"/>
      <c r="Y52" s="72"/>
      <c r="Z52" s="55">
        <f t="shared" si="15"/>
        <v>0</v>
      </c>
      <c r="AA52" s="98"/>
      <c r="AB52" s="93"/>
      <c r="AC52" s="35"/>
      <c r="AD52" s="101"/>
      <c r="AE52" s="11"/>
      <c r="AH52" s="25"/>
    </row>
    <row r="53" spans="1:34" ht="86.25" customHeight="1">
      <c r="A53" s="16"/>
      <c r="B53" s="88"/>
      <c r="C53" s="17"/>
      <c r="D53" s="90" t="s">
        <v>161</v>
      </c>
      <c r="E53" s="20"/>
      <c r="F53" s="89"/>
      <c r="G53" s="95"/>
      <c r="H53" s="92">
        <v>0</v>
      </c>
      <c r="I53" s="96"/>
      <c r="J53" s="92">
        <v>6</v>
      </c>
      <c r="K53" s="97"/>
      <c r="L53" s="92"/>
      <c r="M53" s="97"/>
      <c r="N53" s="92"/>
      <c r="O53" s="97"/>
      <c r="P53" s="92"/>
      <c r="Q53" s="97"/>
      <c r="R53" s="92"/>
      <c r="S53" s="122"/>
      <c r="T53" s="55">
        <f t="shared" si="13"/>
        <v>0</v>
      </c>
      <c r="U53" s="55">
        <f t="shared" si="14"/>
        <v>0</v>
      </c>
      <c r="V53" s="99" t="s">
        <v>58</v>
      </c>
      <c r="W53" s="98"/>
      <c r="X53" s="101"/>
      <c r="Y53" s="72"/>
      <c r="Z53" s="55">
        <f t="shared" si="15"/>
        <v>0</v>
      </c>
      <c r="AA53" s="98"/>
      <c r="AB53" s="93"/>
      <c r="AC53" s="35"/>
      <c r="AD53" s="101"/>
      <c r="AE53" s="11"/>
      <c r="AH53" s="25"/>
    </row>
    <row r="54" spans="1:34" ht="106.5" customHeight="1">
      <c r="A54" s="16"/>
      <c r="B54" s="88"/>
      <c r="C54" s="18"/>
      <c r="D54" s="90" t="s">
        <v>162</v>
      </c>
      <c r="E54" s="20"/>
      <c r="F54" s="89"/>
      <c r="G54" s="81"/>
      <c r="H54" s="92">
        <v>100</v>
      </c>
      <c r="I54" s="82"/>
      <c r="J54" s="92" t="s">
        <v>171</v>
      </c>
      <c r="K54" s="41"/>
      <c r="L54" s="92"/>
      <c r="M54" s="41"/>
      <c r="N54" s="92"/>
      <c r="O54" s="41"/>
      <c r="P54" s="92"/>
      <c r="Q54" s="41"/>
      <c r="R54" s="92"/>
      <c r="S54" s="28"/>
      <c r="T54" s="55">
        <f t="shared" si="13"/>
        <v>0</v>
      </c>
      <c r="U54" s="55">
        <f t="shared" si="14"/>
        <v>0</v>
      </c>
      <c r="V54" s="99" t="s">
        <v>58</v>
      </c>
      <c r="W54" s="85"/>
      <c r="X54" s="86"/>
      <c r="Y54" s="84"/>
      <c r="Z54" s="55">
        <f t="shared" si="15"/>
        <v>0</v>
      </c>
      <c r="AA54" s="85"/>
      <c r="AB54" s="93"/>
      <c r="AC54" s="35"/>
      <c r="AD54" s="86"/>
      <c r="AE54" s="11"/>
      <c r="AH54" s="25"/>
    </row>
    <row r="55" spans="1:34" s="78" customFormat="1" ht="126.75" customHeight="1">
      <c r="A55" s="16"/>
      <c r="B55" s="17"/>
      <c r="C55" s="18" t="s">
        <v>90</v>
      </c>
      <c r="D55" s="19" t="s">
        <v>177</v>
      </c>
      <c r="E55" s="45">
        <v>100</v>
      </c>
      <c r="F55" s="46" t="s">
        <v>58</v>
      </c>
      <c r="G55" s="41">
        <f>SUM(G56:G66)</f>
        <v>88710993296</v>
      </c>
      <c r="H55" s="45">
        <v>201.77969802262763</v>
      </c>
      <c r="I55" s="41">
        <f>SUM(I56:I66)</f>
        <v>27765760360</v>
      </c>
      <c r="J55" s="45">
        <v>100</v>
      </c>
      <c r="K55" s="41">
        <f>SUM(K56:K66)</f>
        <v>34957145177</v>
      </c>
      <c r="L55" s="107">
        <f>SUM(L56:L66)/SUM(J56:J66)*100</f>
        <v>99.643874643874639</v>
      </c>
      <c r="M55" s="41">
        <f>SUM(M56:M66)</f>
        <v>1170500000</v>
      </c>
      <c r="N55" s="107">
        <f>SUM(N56:N66)/SUM(J56:J66)*100</f>
        <v>99.704924704924707</v>
      </c>
      <c r="O55" s="41">
        <f>SUM(O56:O66)</f>
        <v>2946829549</v>
      </c>
      <c r="P55" s="107">
        <f>SUM(P56:P66)/SUM(J56:J66)*100</f>
        <v>98.341473341473346</v>
      </c>
      <c r="Q55" s="41">
        <f>SUM(Q56:Q66)</f>
        <v>5718055651</v>
      </c>
      <c r="R55" s="107">
        <f>SUM(R56:R66)/SUM(J56:J66)*100</f>
        <v>98.285510785510795</v>
      </c>
      <c r="S55" s="41">
        <f>SUM(S56:S66)</f>
        <v>23535920001</v>
      </c>
      <c r="T55" s="107">
        <f>SUM(T56:T66)/SUM(J56:J66)*100</f>
        <v>99.272486772486772</v>
      </c>
      <c r="U55" s="57">
        <f t="shared" si="14"/>
        <v>99.272486772486772</v>
      </c>
      <c r="V55" s="58" t="s">
        <v>58</v>
      </c>
      <c r="W55" s="94">
        <f t="shared" ref="W55:W66" si="16">SUM(M55,O55,Q55,S55)</f>
        <v>33371305201</v>
      </c>
      <c r="X55" s="57">
        <f t="shared" ref="X55:X66" si="17">W55/K55*100</f>
        <v>95.463474010905784</v>
      </c>
      <c r="Y55" s="58" t="s">
        <v>58</v>
      </c>
      <c r="Z55" s="55">
        <f t="shared" ref="Z55:Z86" si="18">SUM(H55,T55)</f>
        <v>301.05218479511439</v>
      </c>
      <c r="AA55" s="94">
        <f t="shared" ref="AA55:AA86" si="19">SUM(I55,W55)</f>
        <v>61137065561</v>
      </c>
      <c r="AB55" s="57"/>
      <c r="AC55" s="58" t="s">
        <v>58</v>
      </c>
      <c r="AD55" s="57"/>
      <c r="AE55" s="77"/>
      <c r="AH55" s="79"/>
    </row>
    <row r="56" spans="1:34" ht="90">
      <c r="A56" s="72"/>
      <c r="B56" s="73"/>
      <c r="C56" s="26" t="s">
        <v>201</v>
      </c>
      <c r="D56" s="29" t="s">
        <v>230</v>
      </c>
      <c r="E56" s="20"/>
      <c r="F56" s="21" t="s">
        <v>149</v>
      </c>
      <c r="G56" s="23"/>
      <c r="H56" s="20"/>
      <c r="I56" s="23"/>
      <c r="J56" s="20">
        <v>3</v>
      </c>
      <c r="K56" s="23">
        <v>234000000</v>
      </c>
      <c r="L56" s="20">
        <v>0</v>
      </c>
      <c r="M56" s="23">
        <v>0</v>
      </c>
      <c r="N56" s="20">
        <v>0</v>
      </c>
      <c r="O56" s="23">
        <v>0</v>
      </c>
      <c r="P56" s="20">
        <v>0</v>
      </c>
      <c r="Q56" s="23">
        <v>0</v>
      </c>
      <c r="R56" s="20">
        <v>3</v>
      </c>
      <c r="S56" s="23">
        <v>233159481</v>
      </c>
      <c r="T56" s="54">
        <f t="shared" si="13"/>
        <v>3</v>
      </c>
      <c r="U56" s="54">
        <f t="shared" si="14"/>
        <v>100</v>
      </c>
      <c r="V56" s="35" t="s">
        <v>58</v>
      </c>
      <c r="W56" s="40">
        <f t="shared" si="16"/>
        <v>233159481</v>
      </c>
      <c r="X56" s="53">
        <f t="shared" si="17"/>
        <v>99.640803846153844</v>
      </c>
      <c r="Y56" s="35" t="s">
        <v>58</v>
      </c>
      <c r="Z56" s="53">
        <f t="shared" si="18"/>
        <v>3</v>
      </c>
      <c r="AA56" s="40">
        <f t="shared" si="19"/>
        <v>233159481</v>
      </c>
      <c r="AB56" s="53"/>
      <c r="AC56" s="35" t="s">
        <v>58</v>
      </c>
      <c r="AD56" s="53"/>
      <c r="AE56" s="11"/>
      <c r="AH56" s="25"/>
    </row>
    <row r="57" spans="1:34" ht="75">
      <c r="A57" s="72"/>
      <c r="B57" s="73"/>
      <c r="C57" s="26" t="s">
        <v>61</v>
      </c>
      <c r="D57" s="29" t="s">
        <v>231</v>
      </c>
      <c r="E57" s="20">
        <f>2+3+3</f>
        <v>8</v>
      </c>
      <c r="F57" s="21" t="s">
        <v>149</v>
      </c>
      <c r="G57" s="23">
        <v>1005150000</v>
      </c>
      <c r="H57" s="20">
        <v>3</v>
      </c>
      <c r="I57" s="23">
        <v>483560000</v>
      </c>
      <c r="J57" s="20">
        <v>9</v>
      </c>
      <c r="K57" s="23">
        <v>1225885450</v>
      </c>
      <c r="L57" s="20">
        <v>0</v>
      </c>
      <c r="M57" s="23">
        <v>0</v>
      </c>
      <c r="N57" s="20">
        <v>0</v>
      </c>
      <c r="O57" s="23">
        <v>52162997</v>
      </c>
      <c r="P57" s="20">
        <v>6</v>
      </c>
      <c r="Q57" s="23">
        <v>483801224</v>
      </c>
      <c r="R57" s="20">
        <v>3</v>
      </c>
      <c r="S57" s="23">
        <v>675287130</v>
      </c>
      <c r="T57" s="54">
        <f t="shared" si="13"/>
        <v>9</v>
      </c>
      <c r="U57" s="54">
        <f t="shared" si="14"/>
        <v>100</v>
      </c>
      <c r="V57" s="35" t="s">
        <v>58</v>
      </c>
      <c r="W57" s="40">
        <f t="shared" si="16"/>
        <v>1211251351</v>
      </c>
      <c r="X57" s="53">
        <f t="shared" si="17"/>
        <v>98.806242540850775</v>
      </c>
      <c r="Y57" s="35" t="s">
        <v>58</v>
      </c>
      <c r="Z57" s="53">
        <f t="shared" si="18"/>
        <v>12</v>
      </c>
      <c r="AA57" s="40">
        <f t="shared" si="19"/>
        <v>1694811351</v>
      </c>
      <c r="AB57" s="53"/>
      <c r="AC57" s="35" t="s">
        <v>58</v>
      </c>
      <c r="AD57" s="53"/>
      <c r="AE57" s="11"/>
      <c r="AH57" s="25"/>
    </row>
    <row r="58" spans="1:34" ht="120">
      <c r="A58" s="16"/>
      <c r="B58" s="17"/>
      <c r="C58" s="26" t="s">
        <v>288</v>
      </c>
      <c r="D58" s="29" t="s">
        <v>232</v>
      </c>
      <c r="E58" s="20">
        <f>8+13+13</f>
        <v>34</v>
      </c>
      <c r="F58" s="21" t="s">
        <v>138</v>
      </c>
      <c r="G58" s="50">
        <v>3364400000</v>
      </c>
      <c r="H58" s="44">
        <v>27</v>
      </c>
      <c r="I58" s="22">
        <v>3378658076</v>
      </c>
      <c r="J58" s="20">
        <v>18</v>
      </c>
      <c r="K58" s="23">
        <v>2172150000</v>
      </c>
      <c r="L58" s="20">
        <v>3</v>
      </c>
      <c r="M58" s="23">
        <v>0</v>
      </c>
      <c r="N58" s="20">
        <v>3</v>
      </c>
      <c r="O58" s="23">
        <v>324131000</v>
      </c>
      <c r="P58" s="20">
        <v>6</v>
      </c>
      <c r="Q58" s="23">
        <v>1193198030</v>
      </c>
      <c r="R58" s="20">
        <v>6</v>
      </c>
      <c r="S58" s="23">
        <v>644202939</v>
      </c>
      <c r="T58" s="54">
        <f t="shared" si="13"/>
        <v>18</v>
      </c>
      <c r="U58" s="54">
        <f t="shared" si="14"/>
        <v>100</v>
      </c>
      <c r="V58" s="35" t="s">
        <v>58</v>
      </c>
      <c r="W58" s="40">
        <f t="shared" si="16"/>
        <v>2161531969</v>
      </c>
      <c r="X58" s="53">
        <f t="shared" si="17"/>
        <v>99.511174136224483</v>
      </c>
      <c r="Y58" s="35" t="s">
        <v>58</v>
      </c>
      <c r="Z58" s="54">
        <f t="shared" si="18"/>
        <v>45</v>
      </c>
      <c r="AA58" s="40">
        <f t="shared" si="19"/>
        <v>5540190045</v>
      </c>
      <c r="AB58" s="53"/>
      <c r="AC58" s="35" t="s">
        <v>58</v>
      </c>
      <c r="AD58" s="53"/>
      <c r="AE58" s="11"/>
      <c r="AH58" s="25"/>
    </row>
    <row r="59" spans="1:34" ht="90">
      <c r="A59" s="16"/>
      <c r="B59" s="17"/>
      <c r="C59" s="26" t="s">
        <v>92</v>
      </c>
      <c r="D59" s="29" t="s">
        <v>233</v>
      </c>
      <c r="E59" s="20">
        <f>9+12+12</f>
        <v>33</v>
      </c>
      <c r="F59" s="21" t="s">
        <v>149</v>
      </c>
      <c r="G59" s="50">
        <v>3209453000</v>
      </c>
      <c r="H59" s="44">
        <v>27</v>
      </c>
      <c r="I59" s="22">
        <v>1763118000</v>
      </c>
      <c r="J59" s="20">
        <v>14</v>
      </c>
      <c r="K59" s="23">
        <v>3330502050</v>
      </c>
      <c r="L59" s="20">
        <v>0</v>
      </c>
      <c r="M59" s="23">
        <v>0</v>
      </c>
      <c r="N59" s="20">
        <v>4</v>
      </c>
      <c r="O59" s="23">
        <v>298143204</v>
      </c>
      <c r="P59" s="20">
        <v>8</v>
      </c>
      <c r="Q59" s="23">
        <v>1313600353</v>
      </c>
      <c r="R59" s="20">
        <v>2</v>
      </c>
      <c r="S59" s="23">
        <v>1682911350</v>
      </c>
      <c r="T59" s="54">
        <f t="shared" si="13"/>
        <v>14</v>
      </c>
      <c r="U59" s="54">
        <f t="shared" si="14"/>
        <v>100</v>
      </c>
      <c r="V59" s="35" t="s">
        <v>58</v>
      </c>
      <c r="W59" s="40">
        <f t="shared" si="16"/>
        <v>3294654907</v>
      </c>
      <c r="X59" s="53">
        <f t="shared" si="17"/>
        <v>98.923671492710838</v>
      </c>
      <c r="Y59" s="35" t="s">
        <v>58</v>
      </c>
      <c r="Z59" s="54">
        <f t="shared" si="18"/>
        <v>41</v>
      </c>
      <c r="AA59" s="40">
        <f t="shared" si="19"/>
        <v>5057772907</v>
      </c>
      <c r="AB59" s="53"/>
      <c r="AC59" s="35" t="s">
        <v>58</v>
      </c>
      <c r="AD59" s="53"/>
      <c r="AE59" s="11"/>
      <c r="AH59" s="25"/>
    </row>
    <row r="60" spans="1:34" ht="120">
      <c r="A60" s="16"/>
      <c r="B60" s="17"/>
      <c r="C60" s="26" t="s">
        <v>234</v>
      </c>
      <c r="D60" s="29" t="s">
        <v>235</v>
      </c>
      <c r="E60" s="20"/>
      <c r="F60" s="21" t="s">
        <v>149</v>
      </c>
      <c r="G60" s="50"/>
      <c r="H60" s="44"/>
      <c r="I60" s="22"/>
      <c r="J60" s="20">
        <v>8</v>
      </c>
      <c r="K60" s="23">
        <v>1272900000</v>
      </c>
      <c r="L60" s="20">
        <v>0</v>
      </c>
      <c r="M60" s="23">
        <v>0</v>
      </c>
      <c r="N60" s="20">
        <v>2</v>
      </c>
      <c r="O60" s="23">
        <v>110416750</v>
      </c>
      <c r="P60" s="20">
        <v>4</v>
      </c>
      <c r="Q60" s="23">
        <v>173969000</v>
      </c>
      <c r="R60" s="20">
        <v>2</v>
      </c>
      <c r="S60" s="23">
        <v>971618950</v>
      </c>
      <c r="T60" s="54">
        <f t="shared" si="13"/>
        <v>8</v>
      </c>
      <c r="U60" s="54">
        <f t="shared" si="14"/>
        <v>100</v>
      </c>
      <c r="V60" s="35" t="s">
        <v>58</v>
      </c>
      <c r="W60" s="40">
        <f t="shared" si="16"/>
        <v>1256004700</v>
      </c>
      <c r="X60" s="53">
        <f t="shared" si="17"/>
        <v>98.672692277476628</v>
      </c>
      <c r="Y60" s="35" t="s">
        <v>58</v>
      </c>
      <c r="Z60" s="54">
        <f t="shared" si="18"/>
        <v>8</v>
      </c>
      <c r="AA60" s="40">
        <f t="shared" si="19"/>
        <v>1256004700</v>
      </c>
      <c r="AB60" s="53"/>
      <c r="AC60" s="35" t="s">
        <v>58</v>
      </c>
      <c r="AD60" s="53"/>
      <c r="AE60" s="11"/>
      <c r="AH60" s="25"/>
    </row>
    <row r="61" spans="1:34" ht="120">
      <c r="A61" s="16"/>
      <c r="B61" s="17"/>
      <c r="C61" s="26" t="s">
        <v>202</v>
      </c>
      <c r="D61" s="29" t="s">
        <v>236</v>
      </c>
      <c r="E61" s="20"/>
      <c r="F61" s="21" t="s">
        <v>149</v>
      </c>
      <c r="G61" s="50"/>
      <c r="H61" s="44"/>
      <c r="I61" s="22"/>
      <c r="J61" s="20">
        <v>3</v>
      </c>
      <c r="K61" s="23">
        <v>119000000</v>
      </c>
      <c r="L61" s="20">
        <v>0</v>
      </c>
      <c r="M61" s="23">
        <v>0</v>
      </c>
      <c r="N61" s="20">
        <v>0</v>
      </c>
      <c r="O61" s="23">
        <v>0</v>
      </c>
      <c r="P61" s="20">
        <v>1</v>
      </c>
      <c r="Q61" s="23">
        <v>28895444</v>
      </c>
      <c r="R61" s="20">
        <v>2</v>
      </c>
      <c r="S61" s="23">
        <v>86686333</v>
      </c>
      <c r="T61" s="54">
        <f t="shared" si="13"/>
        <v>3</v>
      </c>
      <c r="U61" s="54">
        <f t="shared" si="14"/>
        <v>100</v>
      </c>
      <c r="V61" s="35" t="s">
        <v>58</v>
      </c>
      <c r="W61" s="40">
        <f t="shared" si="16"/>
        <v>115581777</v>
      </c>
      <c r="X61" s="53">
        <f t="shared" si="17"/>
        <v>97.127543697478984</v>
      </c>
      <c r="Y61" s="35" t="s">
        <v>58</v>
      </c>
      <c r="Z61" s="54">
        <f t="shared" si="18"/>
        <v>3</v>
      </c>
      <c r="AA61" s="40">
        <f t="shared" si="19"/>
        <v>115581777</v>
      </c>
      <c r="AB61" s="53"/>
      <c r="AC61" s="35" t="s">
        <v>58</v>
      </c>
      <c r="AD61" s="53"/>
      <c r="AE61" s="11"/>
      <c r="AH61" s="25"/>
    </row>
    <row r="62" spans="1:34" ht="150">
      <c r="A62" s="16"/>
      <c r="B62" s="17"/>
      <c r="C62" s="26" t="s">
        <v>93</v>
      </c>
      <c r="D62" s="29" t="s">
        <v>249</v>
      </c>
      <c r="E62" s="20">
        <f>3+5+5</f>
        <v>13</v>
      </c>
      <c r="F62" s="21" t="s">
        <v>138</v>
      </c>
      <c r="G62" s="50">
        <v>795000000</v>
      </c>
      <c r="H62" s="44">
        <v>7</v>
      </c>
      <c r="I62" s="22">
        <v>279402000</v>
      </c>
      <c r="J62" s="20">
        <v>8</v>
      </c>
      <c r="K62" s="23">
        <v>495700000</v>
      </c>
      <c r="L62" s="20">
        <v>0</v>
      </c>
      <c r="M62" s="23">
        <v>0</v>
      </c>
      <c r="N62" s="20">
        <v>2</v>
      </c>
      <c r="O62" s="23">
        <v>69667250</v>
      </c>
      <c r="P62" s="20">
        <v>4</v>
      </c>
      <c r="Q62" s="23">
        <v>228369600</v>
      </c>
      <c r="R62" s="20">
        <v>2</v>
      </c>
      <c r="S62" s="23">
        <v>190933250</v>
      </c>
      <c r="T62" s="54">
        <f t="shared" si="13"/>
        <v>8</v>
      </c>
      <c r="U62" s="54">
        <f t="shared" si="14"/>
        <v>100</v>
      </c>
      <c r="V62" s="35" t="s">
        <v>58</v>
      </c>
      <c r="W62" s="40">
        <f t="shared" si="16"/>
        <v>488970100</v>
      </c>
      <c r="X62" s="53">
        <f t="shared" si="17"/>
        <v>98.642344159774055</v>
      </c>
      <c r="Y62" s="35" t="s">
        <v>58</v>
      </c>
      <c r="Z62" s="54">
        <f t="shared" si="18"/>
        <v>15</v>
      </c>
      <c r="AA62" s="40">
        <f t="shared" si="19"/>
        <v>768372100</v>
      </c>
      <c r="AB62" s="53"/>
      <c r="AC62" s="35" t="s">
        <v>58</v>
      </c>
      <c r="AD62" s="53"/>
      <c r="AE62" s="11"/>
      <c r="AH62" s="25"/>
    </row>
    <row r="63" spans="1:34" ht="75">
      <c r="A63" s="16"/>
      <c r="B63" s="17"/>
      <c r="C63" s="26" t="s">
        <v>94</v>
      </c>
      <c r="D63" s="29" t="s">
        <v>237</v>
      </c>
      <c r="E63" s="20">
        <f>5+1+1</f>
        <v>7</v>
      </c>
      <c r="F63" s="21" t="s">
        <v>59</v>
      </c>
      <c r="G63" s="50">
        <v>1732120000</v>
      </c>
      <c r="H63" s="44">
        <v>21</v>
      </c>
      <c r="I63" s="22">
        <v>1807152000</v>
      </c>
      <c r="J63" s="20">
        <v>6</v>
      </c>
      <c r="K63" s="23">
        <v>1265000000</v>
      </c>
      <c r="L63" s="20">
        <v>0</v>
      </c>
      <c r="M63" s="23">
        <v>0</v>
      </c>
      <c r="N63" s="20">
        <v>0</v>
      </c>
      <c r="O63" s="23">
        <v>0</v>
      </c>
      <c r="P63" s="20">
        <v>4</v>
      </c>
      <c r="Q63" s="23">
        <v>463222000</v>
      </c>
      <c r="R63" s="20">
        <v>2</v>
      </c>
      <c r="S63" s="23">
        <v>747700000</v>
      </c>
      <c r="T63" s="54">
        <f t="shared" si="13"/>
        <v>6</v>
      </c>
      <c r="U63" s="54">
        <f t="shared" si="14"/>
        <v>100</v>
      </c>
      <c r="V63" s="35" t="s">
        <v>58</v>
      </c>
      <c r="W63" s="40">
        <f t="shared" si="16"/>
        <v>1210922000</v>
      </c>
      <c r="X63" s="53">
        <f t="shared" si="17"/>
        <v>95.725059288537551</v>
      </c>
      <c r="Y63" s="35" t="s">
        <v>58</v>
      </c>
      <c r="Z63" s="54">
        <f t="shared" si="18"/>
        <v>27</v>
      </c>
      <c r="AA63" s="40">
        <f t="shared" si="19"/>
        <v>3018074000</v>
      </c>
      <c r="AB63" s="53"/>
      <c r="AC63" s="35" t="s">
        <v>58</v>
      </c>
      <c r="AD63" s="53"/>
      <c r="AE63" s="11"/>
      <c r="AH63" s="25"/>
    </row>
    <row r="64" spans="1:34" ht="135">
      <c r="A64" s="16"/>
      <c r="B64" s="17"/>
      <c r="C64" s="26" t="s">
        <v>95</v>
      </c>
      <c r="D64" s="29" t="s">
        <v>238</v>
      </c>
      <c r="E64" s="20">
        <f>4+4+4</f>
        <v>12</v>
      </c>
      <c r="F64" s="47" t="s">
        <v>239</v>
      </c>
      <c r="G64" s="23">
        <v>2801914700</v>
      </c>
      <c r="H64" s="44">
        <v>5</v>
      </c>
      <c r="I64" s="22">
        <v>803024500</v>
      </c>
      <c r="J64" s="20">
        <v>4</v>
      </c>
      <c r="K64" s="23">
        <v>333763500</v>
      </c>
      <c r="L64" s="20">
        <v>0</v>
      </c>
      <c r="M64" s="23">
        <v>0</v>
      </c>
      <c r="N64" s="20">
        <v>4</v>
      </c>
      <c r="O64" s="23">
        <v>333763500</v>
      </c>
      <c r="P64" s="20">
        <v>0</v>
      </c>
      <c r="Q64" s="23">
        <v>0</v>
      </c>
      <c r="R64" s="20"/>
      <c r="S64" s="23">
        <v>0</v>
      </c>
      <c r="T64" s="54">
        <f t="shared" si="13"/>
        <v>4</v>
      </c>
      <c r="U64" s="54">
        <f t="shared" si="14"/>
        <v>100</v>
      </c>
      <c r="V64" s="35" t="s">
        <v>58</v>
      </c>
      <c r="W64" s="40">
        <f t="shared" si="16"/>
        <v>333763500</v>
      </c>
      <c r="X64" s="53">
        <f t="shared" si="17"/>
        <v>100</v>
      </c>
      <c r="Y64" s="35" t="s">
        <v>58</v>
      </c>
      <c r="Z64" s="54">
        <f t="shared" si="18"/>
        <v>9</v>
      </c>
      <c r="AA64" s="40">
        <f t="shared" si="19"/>
        <v>1136788000</v>
      </c>
      <c r="AB64" s="53"/>
      <c r="AC64" s="35" t="s">
        <v>58</v>
      </c>
      <c r="AD64" s="53"/>
      <c r="AE64" s="11"/>
      <c r="AH64" s="25"/>
    </row>
    <row r="65" spans="1:34" ht="150">
      <c r="A65" s="16"/>
      <c r="B65" s="17"/>
      <c r="C65" s="26" t="s">
        <v>96</v>
      </c>
      <c r="D65" s="29" t="s">
        <v>240</v>
      </c>
      <c r="E65" s="104">
        <f>H65+954+954</f>
        <v>3812.916666666667</v>
      </c>
      <c r="F65" s="21" t="s">
        <v>57</v>
      </c>
      <c r="G65" s="50">
        <v>22741032000</v>
      </c>
      <c r="H65" s="44">
        <v>1904.9166666666667</v>
      </c>
      <c r="I65" s="22">
        <v>14462358784</v>
      </c>
      <c r="J65" s="20">
        <v>953</v>
      </c>
      <c r="K65" s="23">
        <v>6949762000</v>
      </c>
      <c r="L65" s="20">
        <v>953</v>
      </c>
      <c r="M65" s="23">
        <v>1170500000</v>
      </c>
      <c r="N65" s="20">
        <v>953</v>
      </c>
      <c r="O65" s="23">
        <v>1758544848</v>
      </c>
      <c r="P65" s="20">
        <v>667</v>
      </c>
      <c r="Q65" s="23">
        <v>1833000000</v>
      </c>
      <c r="R65" s="44">
        <v>667</v>
      </c>
      <c r="S65" s="23">
        <v>1536640568</v>
      </c>
      <c r="T65" s="54">
        <f>AVERAGE(L65,N65,P65,R65)</f>
        <v>810</v>
      </c>
      <c r="U65" s="53">
        <f t="shared" si="14"/>
        <v>84.994753410283323</v>
      </c>
      <c r="V65" s="35" t="s">
        <v>58</v>
      </c>
      <c r="W65" s="40">
        <f t="shared" si="16"/>
        <v>6298685416</v>
      </c>
      <c r="X65" s="53">
        <f t="shared" si="17"/>
        <v>90.631670782395133</v>
      </c>
      <c r="Y65" s="35" t="s">
        <v>58</v>
      </c>
      <c r="Z65" s="54">
        <f t="shared" si="18"/>
        <v>2714.916666666667</v>
      </c>
      <c r="AA65" s="40">
        <f t="shared" si="19"/>
        <v>20761044200</v>
      </c>
      <c r="AB65" s="53"/>
      <c r="AC65" s="35" t="s">
        <v>58</v>
      </c>
      <c r="AD65" s="53"/>
      <c r="AE65" s="11"/>
      <c r="AH65" s="25"/>
    </row>
    <row r="66" spans="1:34" ht="75">
      <c r="A66" s="16"/>
      <c r="B66" s="17"/>
      <c r="C66" s="26" t="s">
        <v>98</v>
      </c>
      <c r="D66" s="29" t="s">
        <v>241</v>
      </c>
      <c r="E66" s="104">
        <f>J66+18648+18668</f>
        <v>55946</v>
      </c>
      <c r="F66" s="47" t="s">
        <v>242</v>
      </c>
      <c r="G66" s="51">
        <v>53061923596</v>
      </c>
      <c r="H66" s="106">
        <v>37260</v>
      </c>
      <c r="I66" s="22">
        <v>4788487000</v>
      </c>
      <c r="J66" s="104">
        <v>18630</v>
      </c>
      <c r="K66" s="23">
        <v>17558482177</v>
      </c>
      <c r="L66" s="104">
        <v>18630</v>
      </c>
      <c r="M66" s="23">
        <v>0</v>
      </c>
      <c r="N66" s="104">
        <v>18630</v>
      </c>
      <c r="O66" s="23">
        <v>0</v>
      </c>
      <c r="P66" s="104">
        <v>18630</v>
      </c>
      <c r="Q66" s="23">
        <v>0</v>
      </c>
      <c r="R66" s="104">
        <v>18630</v>
      </c>
      <c r="S66" s="23">
        <v>16766780000</v>
      </c>
      <c r="T66" s="106">
        <f>AVERAGE(L66,P66,R66)</f>
        <v>18630</v>
      </c>
      <c r="U66" s="54">
        <f t="shared" si="14"/>
        <v>100</v>
      </c>
      <c r="V66" s="35" t="s">
        <v>58</v>
      </c>
      <c r="W66" s="40">
        <f t="shared" si="16"/>
        <v>16766780000</v>
      </c>
      <c r="X66" s="53">
        <f t="shared" si="17"/>
        <v>95.491055724411893</v>
      </c>
      <c r="Y66" s="35" t="s">
        <v>58</v>
      </c>
      <c r="Z66" s="54">
        <f t="shared" si="18"/>
        <v>55890</v>
      </c>
      <c r="AA66" s="40">
        <f t="shared" si="19"/>
        <v>21555267000</v>
      </c>
      <c r="AB66" s="53"/>
      <c r="AC66" s="35" t="s">
        <v>58</v>
      </c>
      <c r="AD66" s="53"/>
      <c r="AE66" s="11"/>
      <c r="AH66" s="25"/>
    </row>
    <row r="67" spans="1:34" ht="60">
      <c r="A67" s="16"/>
      <c r="B67" s="17"/>
      <c r="C67" s="114" t="s">
        <v>180</v>
      </c>
      <c r="D67" s="113" t="s">
        <v>243</v>
      </c>
      <c r="E67" s="20">
        <v>2</v>
      </c>
      <c r="F67" s="21" t="s">
        <v>59</v>
      </c>
      <c r="G67" s="23">
        <v>401800000</v>
      </c>
      <c r="H67" s="20">
        <v>2</v>
      </c>
      <c r="I67" s="22">
        <v>598018400</v>
      </c>
      <c r="J67" s="20"/>
      <c r="K67" s="23"/>
      <c r="L67" s="20"/>
      <c r="M67" s="23"/>
      <c r="N67" s="20"/>
      <c r="O67" s="23"/>
      <c r="P67" s="20"/>
      <c r="Q67" s="23"/>
      <c r="R67" s="20"/>
      <c r="S67" s="23"/>
      <c r="T67" s="54"/>
      <c r="U67" s="54"/>
      <c r="V67" s="35"/>
      <c r="W67" s="40"/>
      <c r="X67" s="53"/>
      <c r="Y67" s="35"/>
      <c r="Z67" s="54">
        <f t="shared" si="18"/>
        <v>2</v>
      </c>
      <c r="AA67" s="40">
        <f t="shared" si="19"/>
        <v>598018400</v>
      </c>
      <c r="AB67" s="53"/>
      <c r="AC67" s="35" t="s">
        <v>58</v>
      </c>
      <c r="AD67" s="53"/>
      <c r="AE67" s="11"/>
      <c r="AH67" s="25"/>
    </row>
    <row r="68" spans="1:34" ht="240">
      <c r="A68" s="16"/>
      <c r="B68" s="17"/>
      <c r="C68" s="114" t="s">
        <v>97</v>
      </c>
      <c r="D68" s="113" t="s">
        <v>244</v>
      </c>
      <c r="E68" s="105">
        <f>J68*2</f>
        <v>0</v>
      </c>
      <c r="F68" s="47" t="s">
        <v>57</v>
      </c>
      <c r="G68" s="50">
        <v>1499942700</v>
      </c>
      <c r="H68" s="44">
        <v>600</v>
      </c>
      <c r="I68" s="22">
        <v>455570550</v>
      </c>
      <c r="J68" s="20"/>
      <c r="K68" s="23"/>
      <c r="L68" s="20"/>
      <c r="M68" s="23"/>
      <c r="N68" s="20"/>
      <c r="O68" s="23"/>
      <c r="P68" s="20"/>
      <c r="Q68" s="23"/>
      <c r="R68" s="20"/>
      <c r="S68" s="23"/>
      <c r="T68" s="54"/>
      <c r="U68" s="54"/>
      <c r="V68" s="35"/>
      <c r="W68" s="40"/>
      <c r="X68" s="53"/>
      <c r="Y68" s="35"/>
      <c r="Z68" s="54">
        <f t="shared" si="18"/>
        <v>600</v>
      </c>
      <c r="AA68" s="40">
        <f t="shared" si="19"/>
        <v>455570550</v>
      </c>
      <c r="AB68" s="53"/>
      <c r="AC68" s="35" t="s">
        <v>58</v>
      </c>
      <c r="AD68" s="53"/>
      <c r="AE68" s="11"/>
      <c r="AH68" s="25"/>
    </row>
    <row r="69" spans="1:34" s="78" customFormat="1" ht="137.25" customHeight="1">
      <c r="A69" s="16"/>
      <c r="B69" s="17"/>
      <c r="C69" s="18" t="s">
        <v>107</v>
      </c>
      <c r="D69" s="19" t="s">
        <v>182</v>
      </c>
      <c r="E69" s="45">
        <v>100</v>
      </c>
      <c r="F69" s="46" t="s">
        <v>58</v>
      </c>
      <c r="G69" s="42">
        <f>SUM(G70:G85)</f>
        <v>34228281000</v>
      </c>
      <c r="H69" s="45">
        <v>460.24096385542174</v>
      </c>
      <c r="I69" s="42">
        <f>SUM(I70:I85)</f>
        <v>16671529975</v>
      </c>
      <c r="J69" s="45">
        <v>100</v>
      </c>
      <c r="K69" s="42">
        <f>SUM(K70:K79)</f>
        <v>13260822973</v>
      </c>
      <c r="L69" s="107">
        <f>SUM(L70:L78)/SUM(J70:J78)*100</f>
        <v>90.756302521008408</v>
      </c>
      <c r="M69" s="42">
        <f>SUM(M70:M79)</f>
        <v>313250282</v>
      </c>
      <c r="N69" s="107">
        <f>SUM(N70:N78)/SUM(J70:J78)*100</f>
        <v>92.436974789915965</v>
      </c>
      <c r="O69" s="42">
        <f>SUM(O70:O79)</f>
        <v>941419789</v>
      </c>
      <c r="P69" s="107">
        <v>0</v>
      </c>
      <c r="Q69" s="42">
        <f>SUM(Q70:Q79)</f>
        <v>1923446444</v>
      </c>
      <c r="R69" s="107">
        <v>0</v>
      </c>
      <c r="S69" s="42">
        <f>SUM(S70:S79)</f>
        <v>9281693125</v>
      </c>
      <c r="T69" s="107">
        <f>SUM(T70:T79)/SUM(J70:J79)*100</f>
        <v>99.122340425531917</v>
      </c>
      <c r="U69" s="57">
        <f t="shared" ref="U69:U79" si="20">T69/J69*100</f>
        <v>99.122340425531917</v>
      </c>
      <c r="V69" s="58" t="s">
        <v>58</v>
      </c>
      <c r="W69" s="59">
        <f t="shared" ref="W69:W79" si="21">SUM(M69,O69,Q69,S69)</f>
        <v>12459809640</v>
      </c>
      <c r="X69" s="57">
        <f t="shared" ref="X69:X79" si="22">W69/K69*100</f>
        <v>93.959550364023997</v>
      </c>
      <c r="Y69" s="58" t="s">
        <v>58</v>
      </c>
      <c r="Z69" s="55">
        <f t="shared" si="18"/>
        <v>559.36330428095368</v>
      </c>
      <c r="AA69" s="59">
        <f t="shared" si="19"/>
        <v>29131339615</v>
      </c>
      <c r="AB69" s="57"/>
      <c r="AC69" s="58" t="s">
        <v>58</v>
      </c>
      <c r="AD69" s="57"/>
      <c r="AE69" s="77"/>
      <c r="AH69" s="79"/>
    </row>
    <row r="70" spans="1:34" ht="90">
      <c r="A70" s="72"/>
      <c r="B70" s="73"/>
      <c r="C70" s="26" t="s">
        <v>201</v>
      </c>
      <c r="D70" s="29" t="s">
        <v>230</v>
      </c>
      <c r="E70" s="20"/>
      <c r="F70" s="21" t="s">
        <v>149</v>
      </c>
      <c r="G70" s="23"/>
      <c r="H70" s="20"/>
      <c r="I70" s="23"/>
      <c r="J70" s="20">
        <v>1</v>
      </c>
      <c r="K70" s="23">
        <v>253506000</v>
      </c>
      <c r="L70" s="20">
        <v>0</v>
      </c>
      <c r="M70" s="23">
        <v>0</v>
      </c>
      <c r="N70" s="20">
        <v>0</v>
      </c>
      <c r="O70" s="23">
        <v>0</v>
      </c>
      <c r="P70" s="20">
        <v>0</v>
      </c>
      <c r="Q70" s="23">
        <v>62004279</v>
      </c>
      <c r="R70" s="20">
        <v>1</v>
      </c>
      <c r="S70" s="23">
        <v>186012835</v>
      </c>
      <c r="T70" s="54">
        <f t="shared" ref="T70:T77" si="23">SUM(L70,N70,P70,R70)</f>
        <v>1</v>
      </c>
      <c r="U70" s="54">
        <f t="shared" si="20"/>
        <v>100</v>
      </c>
      <c r="V70" s="35" t="s">
        <v>58</v>
      </c>
      <c r="W70" s="40">
        <f t="shared" si="21"/>
        <v>248017114</v>
      </c>
      <c r="X70" s="53">
        <f t="shared" si="22"/>
        <v>97.834810221454333</v>
      </c>
      <c r="Y70" s="35" t="s">
        <v>58</v>
      </c>
      <c r="Z70" s="53">
        <f t="shared" si="18"/>
        <v>1</v>
      </c>
      <c r="AA70" s="40">
        <f t="shared" si="19"/>
        <v>248017114</v>
      </c>
      <c r="AB70" s="53"/>
      <c r="AC70" s="35" t="s">
        <v>58</v>
      </c>
      <c r="AD70" s="53"/>
      <c r="AE70" s="11"/>
      <c r="AH70" s="25"/>
    </row>
    <row r="71" spans="1:34" ht="75">
      <c r="A71" s="72"/>
      <c r="B71" s="73"/>
      <c r="C71" s="26" t="s">
        <v>61</v>
      </c>
      <c r="D71" s="29" t="s">
        <v>231</v>
      </c>
      <c r="E71" s="20">
        <f>J71*3</f>
        <v>3</v>
      </c>
      <c r="F71" s="21" t="s">
        <v>149</v>
      </c>
      <c r="G71" s="23">
        <v>1359800000</v>
      </c>
      <c r="H71" s="20">
        <v>1</v>
      </c>
      <c r="I71" s="23">
        <v>173880500</v>
      </c>
      <c r="J71" s="20">
        <v>1</v>
      </c>
      <c r="K71" s="23">
        <v>518000000</v>
      </c>
      <c r="L71" s="20">
        <v>0</v>
      </c>
      <c r="M71" s="23">
        <v>0</v>
      </c>
      <c r="N71" s="20">
        <v>0</v>
      </c>
      <c r="O71" s="23">
        <v>52162997</v>
      </c>
      <c r="P71" s="20">
        <v>0</v>
      </c>
      <c r="Q71" s="23">
        <v>90637003</v>
      </c>
      <c r="R71" s="20">
        <v>1</v>
      </c>
      <c r="S71" s="23">
        <v>357640750</v>
      </c>
      <c r="T71" s="54">
        <f t="shared" si="23"/>
        <v>1</v>
      </c>
      <c r="U71" s="54">
        <f t="shared" si="20"/>
        <v>100</v>
      </c>
      <c r="V71" s="35" t="s">
        <v>58</v>
      </c>
      <c r="W71" s="40">
        <f t="shared" si="21"/>
        <v>500440750</v>
      </c>
      <c r="X71" s="53">
        <f t="shared" si="22"/>
        <v>96.6101833976834</v>
      </c>
      <c r="Y71" s="35" t="s">
        <v>58</v>
      </c>
      <c r="Z71" s="53">
        <f t="shared" si="18"/>
        <v>2</v>
      </c>
      <c r="AA71" s="40">
        <f t="shared" si="19"/>
        <v>674321250</v>
      </c>
      <c r="AB71" s="53"/>
      <c r="AC71" s="35" t="s">
        <v>58</v>
      </c>
      <c r="AD71" s="53"/>
      <c r="AE71" s="11"/>
      <c r="AH71" s="25"/>
    </row>
    <row r="72" spans="1:34" ht="75">
      <c r="A72" s="72"/>
      <c r="B72" s="73"/>
      <c r="C72" s="26" t="s">
        <v>203</v>
      </c>
      <c r="D72" s="29" t="s">
        <v>245</v>
      </c>
      <c r="E72" s="20"/>
      <c r="F72" s="21" t="s">
        <v>149</v>
      </c>
      <c r="G72" s="23"/>
      <c r="H72" s="20"/>
      <c r="I72" s="23"/>
      <c r="J72" s="20">
        <v>2</v>
      </c>
      <c r="K72" s="23">
        <v>1125690000</v>
      </c>
      <c r="L72" s="20">
        <v>0</v>
      </c>
      <c r="M72" s="23">
        <v>0</v>
      </c>
      <c r="N72" s="20">
        <v>0</v>
      </c>
      <c r="O72" s="23">
        <v>0</v>
      </c>
      <c r="P72" s="20">
        <v>0</v>
      </c>
      <c r="Q72" s="23">
        <v>276614469</v>
      </c>
      <c r="R72" s="20">
        <v>2</v>
      </c>
      <c r="S72" s="23">
        <v>829843407</v>
      </c>
      <c r="T72" s="54">
        <f t="shared" si="23"/>
        <v>2</v>
      </c>
      <c r="U72" s="54">
        <f t="shared" si="20"/>
        <v>100</v>
      </c>
      <c r="V72" s="35" t="s">
        <v>58</v>
      </c>
      <c r="W72" s="40">
        <f t="shared" si="21"/>
        <v>1106457876</v>
      </c>
      <c r="X72" s="53">
        <f t="shared" si="22"/>
        <v>98.291525730885056</v>
      </c>
      <c r="Y72" s="35" t="s">
        <v>58</v>
      </c>
      <c r="Z72" s="53">
        <f t="shared" si="18"/>
        <v>2</v>
      </c>
      <c r="AA72" s="40">
        <f t="shared" si="19"/>
        <v>1106457876</v>
      </c>
      <c r="AB72" s="53"/>
      <c r="AC72" s="35" t="s">
        <v>58</v>
      </c>
      <c r="AD72" s="53"/>
      <c r="AE72" s="11"/>
      <c r="AH72" s="25"/>
    </row>
    <row r="73" spans="1:34" ht="75">
      <c r="A73" s="72"/>
      <c r="B73" s="73"/>
      <c r="C73" s="26" t="s">
        <v>289</v>
      </c>
      <c r="D73" s="29" t="s">
        <v>246</v>
      </c>
      <c r="E73" s="20"/>
      <c r="F73" s="21" t="s">
        <v>149</v>
      </c>
      <c r="G73" s="23"/>
      <c r="H73" s="20"/>
      <c r="I73" s="23"/>
      <c r="J73" s="20">
        <v>1</v>
      </c>
      <c r="K73" s="23">
        <v>154488000</v>
      </c>
      <c r="L73" s="20">
        <v>0</v>
      </c>
      <c r="M73" s="23">
        <v>0</v>
      </c>
      <c r="N73" s="20">
        <v>0</v>
      </c>
      <c r="O73" s="23">
        <v>0</v>
      </c>
      <c r="P73" s="20">
        <v>0</v>
      </c>
      <c r="Q73" s="23">
        <v>37663300</v>
      </c>
      <c r="R73" s="20">
        <v>1</v>
      </c>
      <c r="S73" s="23">
        <v>112989900</v>
      </c>
      <c r="T73" s="54">
        <f t="shared" si="23"/>
        <v>1</v>
      </c>
      <c r="U73" s="54">
        <f t="shared" si="20"/>
        <v>100</v>
      </c>
      <c r="V73" s="35" t="s">
        <v>58</v>
      </c>
      <c r="W73" s="40">
        <f t="shared" si="21"/>
        <v>150653200</v>
      </c>
      <c r="X73" s="53">
        <f t="shared" si="22"/>
        <v>97.51773600538553</v>
      </c>
      <c r="Y73" s="35" t="s">
        <v>58</v>
      </c>
      <c r="Z73" s="53">
        <f t="shared" si="18"/>
        <v>1</v>
      </c>
      <c r="AA73" s="40">
        <f t="shared" si="19"/>
        <v>150653200</v>
      </c>
      <c r="AB73" s="53"/>
      <c r="AC73" s="35" t="s">
        <v>58</v>
      </c>
      <c r="AD73" s="53"/>
      <c r="AE73" s="11"/>
      <c r="AH73" s="25"/>
    </row>
    <row r="74" spans="1:34" ht="75">
      <c r="A74" s="16"/>
      <c r="B74" s="17"/>
      <c r="C74" s="26" t="s">
        <v>99</v>
      </c>
      <c r="D74" s="29" t="s">
        <v>247</v>
      </c>
      <c r="E74" s="20">
        <f>1+2+1</f>
        <v>4</v>
      </c>
      <c r="F74" s="21" t="s">
        <v>138</v>
      </c>
      <c r="G74" s="50">
        <v>1000000000</v>
      </c>
      <c r="H74" s="44">
        <v>1</v>
      </c>
      <c r="I74" s="22">
        <v>233527011</v>
      </c>
      <c r="J74" s="20">
        <v>1</v>
      </c>
      <c r="K74" s="23">
        <v>200885000</v>
      </c>
      <c r="L74" s="20">
        <v>0</v>
      </c>
      <c r="M74" s="23">
        <v>0</v>
      </c>
      <c r="N74" s="20">
        <v>0</v>
      </c>
      <c r="O74" s="23">
        <v>92263000</v>
      </c>
      <c r="P74" s="20">
        <v>1</v>
      </c>
      <c r="Q74" s="23">
        <v>107317000</v>
      </c>
      <c r="R74" s="20"/>
      <c r="S74" s="23">
        <v>0</v>
      </c>
      <c r="T74" s="54">
        <f t="shared" si="23"/>
        <v>1</v>
      </c>
      <c r="U74" s="54">
        <f t="shared" si="20"/>
        <v>100</v>
      </c>
      <c r="V74" s="35" t="s">
        <v>58</v>
      </c>
      <c r="W74" s="40">
        <f t="shared" si="21"/>
        <v>199580000</v>
      </c>
      <c r="X74" s="53">
        <f t="shared" si="22"/>
        <v>99.350374592428508</v>
      </c>
      <c r="Y74" s="35" t="s">
        <v>58</v>
      </c>
      <c r="Z74" s="54">
        <f t="shared" si="18"/>
        <v>2</v>
      </c>
      <c r="AA74" s="40">
        <f t="shared" si="19"/>
        <v>433107011</v>
      </c>
      <c r="AB74" s="53"/>
      <c r="AC74" s="35" t="s">
        <v>58</v>
      </c>
      <c r="AD74" s="53"/>
      <c r="AE74" s="11"/>
      <c r="AH74" s="25"/>
    </row>
    <row r="75" spans="1:34" ht="105.75" customHeight="1">
      <c r="A75" s="16"/>
      <c r="B75" s="17"/>
      <c r="C75" s="26" t="s">
        <v>150</v>
      </c>
      <c r="D75" s="29" t="s">
        <v>248</v>
      </c>
      <c r="E75" s="20">
        <v>9</v>
      </c>
      <c r="F75" s="21" t="s">
        <v>138</v>
      </c>
      <c r="G75" s="50">
        <v>1552050000</v>
      </c>
      <c r="H75" s="44">
        <v>10</v>
      </c>
      <c r="I75" s="22">
        <v>1867868783</v>
      </c>
      <c r="J75" s="20">
        <v>3</v>
      </c>
      <c r="K75" s="23">
        <v>449900000</v>
      </c>
      <c r="L75" s="20">
        <v>0</v>
      </c>
      <c r="M75" s="23">
        <v>149379946</v>
      </c>
      <c r="N75" s="20">
        <v>1</v>
      </c>
      <c r="O75" s="23">
        <v>174751054</v>
      </c>
      <c r="P75" s="20">
        <v>1</v>
      </c>
      <c r="Q75" s="23">
        <v>117953440</v>
      </c>
      <c r="R75" s="20">
        <v>1</v>
      </c>
      <c r="S75" s="23">
        <v>5701050</v>
      </c>
      <c r="T75" s="54">
        <f t="shared" si="23"/>
        <v>3</v>
      </c>
      <c r="U75" s="54">
        <f t="shared" si="20"/>
        <v>100</v>
      </c>
      <c r="V75" s="35" t="s">
        <v>58</v>
      </c>
      <c r="W75" s="40">
        <f t="shared" si="21"/>
        <v>447785490</v>
      </c>
      <c r="X75" s="53">
        <f t="shared" si="22"/>
        <v>99.530004445432326</v>
      </c>
      <c r="Y75" s="35" t="s">
        <v>58</v>
      </c>
      <c r="Z75" s="54">
        <f t="shared" si="18"/>
        <v>13</v>
      </c>
      <c r="AA75" s="40">
        <f t="shared" si="19"/>
        <v>2315654273</v>
      </c>
      <c r="AB75" s="53"/>
      <c r="AC75" s="35" t="s">
        <v>58</v>
      </c>
      <c r="AD75" s="53"/>
      <c r="AE75" s="11"/>
      <c r="AH75" s="25"/>
    </row>
    <row r="76" spans="1:34" ht="150">
      <c r="A76" s="16"/>
      <c r="B76" s="17"/>
      <c r="C76" s="26" t="s">
        <v>103</v>
      </c>
      <c r="D76" s="29" t="s">
        <v>249</v>
      </c>
      <c r="E76" s="20">
        <f>2+4+6</f>
        <v>12</v>
      </c>
      <c r="F76" s="21" t="s">
        <v>138</v>
      </c>
      <c r="G76" s="50">
        <v>1428346450</v>
      </c>
      <c r="H76" s="44">
        <v>4</v>
      </c>
      <c r="I76" s="22">
        <v>548292363</v>
      </c>
      <c r="J76" s="20">
        <v>9</v>
      </c>
      <c r="K76" s="23">
        <v>2219315000</v>
      </c>
      <c r="L76" s="20">
        <v>0</v>
      </c>
      <c r="M76" s="23">
        <v>0</v>
      </c>
      <c r="N76" s="20">
        <v>3</v>
      </c>
      <c r="O76" s="23">
        <v>69667250</v>
      </c>
      <c r="P76" s="20">
        <v>3</v>
      </c>
      <c r="Q76" s="23">
        <v>964030953</v>
      </c>
      <c r="R76" s="20">
        <v>3</v>
      </c>
      <c r="S76" s="23">
        <v>1145910107</v>
      </c>
      <c r="T76" s="54">
        <f t="shared" si="23"/>
        <v>9</v>
      </c>
      <c r="U76" s="54">
        <f t="shared" si="20"/>
        <v>100</v>
      </c>
      <c r="V76" s="35" t="s">
        <v>58</v>
      </c>
      <c r="W76" s="40">
        <f t="shared" si="21"/>
        <v>2179608310</v>
      </c>
      <c r="X76" s="53">
        <f t="shared" si="22"/>
        <v>98.210858305378011</v>
      </c>
      <c r="Y76" s="35" t="s">
        <v>58</v>
      </c>
      <c r="Z76" s="54">
        <f t="shared" si="18"/>
        <v>13</v>
      </c>
      <c r="AA76" s="40">
        <f t="shared" si="19"/>
        <v>2727900673</v>
      </c>
      <c r="AB76" s="53"/>
      <c r="AC76" s="35" t="s">
        <v>58</v>
      </c>
      <c r="AD76" s="53"/>
      <c r="AE76" s="11"/>
      <c r="AH76" s="25"/>
    </row>
    <row r="77" spans="1:34" ht="75">
      <c r="A77" s="16"/>
      <c r="B77" s="17"/>
      <c r="C77" s="26" t="s">
        <v>94</v>
      </c>
      <c r="D77" s="29" t="s">
        <v>237</v>
      </c>
      <c r="E77" s="20">
        <f>J77+4</f>
        <v>8</v>
      </c>
      <c r="F77" s="21" t="s">
        <v>59</v>
      </c>
      <c r="G77" s="50">
        <v>965310000</v>
      </c>
      <c r="H77" s="44">
        <v>4</v>
      </c>
      <c r="I77" s="22">
        <v>2197736400</v>
      </c>
      <c r="J77" s="20">
        <v>4</v>
      </c>
      <c r="K77" s="23">
        <v>378736000</v>
      </c>
      <c r="L77" s="20">
        <v>0</v>
      </c>
      <c r="M77" s="23">
        <v>0</v>
      </c>
      <c r="N77" s="20">
        <v>0</v>
      </c>
      <c r="O77" s="23">
        <v>0</v>
      </c>
      <c r="P77" s="20">
        <v>1</v>
      </c>
      <c r="Q77" s="23">
        <v>83226000</v>
      </c>
      <c r="R77" s="20">
        <v>3</v>
      </c>
      <c r="S77" s="23">
        <v>277420500</v>
      </c>
      <c r="T77" s="54">
        <f t="shared" si="23"/>
        <v>4</v>
      </c>
      <c r="U77" s="54">
        <f t="shared" si="20"/>
        <v>100</v>
      </c>
      <c r="V77" s="35" t="s">
        <v>58</v>
      </c>
      <c r="W77" s="40">
        <f t="shared" si="21"/>
        <v>360646500</v>
      </c>
      <c r="X77" s="53">
        <f t="shared" si="22"/>
        <v>95.223717840395423</v>
      </c>
      <c r="Y77" s="35" t="s">
        <v>58</v>
      </c>
      <c r="Z77" s="54">
        <f t="shared" si="18"/>
        <v>8</v>
      </c>
      <c r="AA77" s="40">
        <f t="shared" si="19"/>
        <v>2558382900</v>
      </c>
      <c r="AB77" s="53"/>
      <c r="AC77" s="35" t="s">
        <v>58</v>
      </c>
      <c r="AD77" s="53"/>
      <c r="AE77" s="11"/>
      <c r="AH77" s="25"/>
    </row>
    <row r="78" spans="1:34" ht="165">
      <c r="A78" s="16"/>
      <c r="B78" s="17"/>
      <c r="C78" s="26" t="s">
        <v>104</v>
      </c>
      <c r="D78" s="29" t="s">
        <v>250</v>
      </c>
      <c r="E78" s="20">
        <f>216*3</f>
        <v>648</v>
      </c>
      <c r="F78" s="21" t="s">
        <v>57</v>
      </c>
      <c r="G78" s="51">
        <v>4680288000</v>
      </c>
      <c r="H78" s="20">
        <v>432</v>
      </c>
      <c r="I78" s="22">
        <v>2901063936</v>
      </c>
      <c r="J78" s="20">
        <v>216</v>
      </c>
      <c r="K78" s="23">
        <v>1674845150</v>
      </c>
      <c r="L78" s="20">
        <v>216</v>
      </c>
      <c r="M78" s="23">
        <v>163870336</v>
      </c>
      <c r="N78" s="20">
        <v>216</v>
      </c>
      <c r="O78" s="23">
        <v>552575488</v>
      </c>
      <c r="P78" s="20">
        <v>117</v>
      </c>
      <c r="Q78" s="23">
        <v>184000000</v>
      </c>
      <c r="R78" s="20">
        <v>117</v>
      </c>
      <c r="S78" s="23">
        <v>754094576</v>
      </c>
      <c r="T78" s="54">
        <f>AVERAGE(L78,N78,P78,R78)</f>
        <v>166.5</v>
      </c>
      <c r="U78" s="54">
        <f t="shared" si="20"/>
        <v>77.083333333333343</v>
      </c>
      <c r="V78" s="35" t="s">
        <v>58</v>
      </c>
      <c r="W78" s="40">
        <f t="shared" si="21"/>
        <v>1654540400</v>
      </c>
      <c r="X78" s="53">
        <f t="shared" si="22"/>
        <v>98.78766404165782</v>
      </c>
      <c r="Y78" s="35" t="s">
        <v>58</v>
      </c>
      <c r="Z78" s="54">
        <f t="shared" si="18"/>
        <v>598.5</v>
      </c>
      <c r="AA78" s="40">
        <f t="shared" si="19"/>
        <v>4555604336</v>
      </c>
      <c r="AB78" s="53"/>
      <c r="AC78" s="35" t="s">
        <v>58</v>
      </c>
      <c r="AD78" s="53"/>
      <c r="AE78" s="11"/>
      <c r="AH78" s="25"/>
    </row>
    <row r="79" spans="1:34" ht="105">
      <c r="A79" s="16"/>
      <c r="B79" s="17"/>
      <c r="C79" s="26" t="s">
        <v>106</v>
      </c>
      <c r="D79" s="29" t="s">
        <v>251</v>
      </c>
      <c r="E79" s="104">
        <f>5402+4769+4769</f>
        <v>14940</v>
      </c>
      <c r="F79" s="47" t="s">
        <v>242</v>
      </c>
      <c r="G79" s="51">
        <v>16309980000</v>
      </c>
      <c r="H79" s="104">
        <v>10804</v>
      </c>
      <c r="I79" s="22">
        <v>2803635743</v>
      </c>
      <c r="J79" s="104">
        <v>5402</v>
      </c>
      <c r="K79" s="23">
        <v>6285457823</v>
      </c>
      <c r="L79" s="20">
        <v>5402</v>
      </c>
      <c r="M79" s="23">
        <v>0</v>
      </c>
      <c r="N79" s="104">
        <v>5402</v>
      </c>
      <c r="O79" s="23">
        <v>0</v>
      </c>
      <c r="P79" s="104">
        <v>5402</v>
      </c>
      <c r="Q79" s="23">
        <v>0</v>
      </c>
      <c r="R79" s="104">
        <v>5402</v>
      </c>
      <c r="S79" s="23">
        <v>5612080000</v>
      </c>
      <c r="T79" s="106">
        <f>AVERAGE(N79,P79,R79,L79)</f>
        <v>5402</v>
      </c>
      <c r="U79" s="54">
        <f t="shared" si="20"/>
        <v>100</v>
      </c>
      <c r="V79" s="35" t="s">
        <v>58</v>
      </c>
      <c r="W79" s="40">
        <f t="shared" si="21"/>
        <v>5612080000</v>
      </c>
      <c r="X79" s="53">
        <f t="shared" si="22"/>
        <v>89.286733886974019</v>
      </c>
      <c r="Y79" s="35" t="s">
        <v>58</v>
      </c>
      <c r="Z79" s="54">
        <f t="shared" si="18"/>
        <v>16206</v>
      </c>
      <c r="AA79" s="40">
        <f t="shared" si="19"/>
        <v>8415715743</v>
      </c>
      <c r="AB79" s="53"/>
      <c r="AC79" s="35" t="s">
        <v>58</v>
      </c>
      <c r="AD79" s="53"/>
      <c r="AE79" s="11"/>
      <c r="AH79" s="25"/>
    </row>
    <row r="80" spans="1:34" ht="93" customHeight="1">
      <c r="A80" s="16"/>
      <c r="B80" s="17"/>
      <c r="C80" s="114" t="s">
        <v>100</v>
      </c>
      <c r="D80" s="113" t="s">
        <v>252</v>
      </c>
      <c r="E80" s="20">
        <f>14+7+7</f>
        <v>28</v>
      </c>
      <c r="F80" s="21" t="s">
        <v>149</v>
      </c>
      <c r="G80" s="50">
        <v>4734389550</v>
      </c>
      <c r="H80" s="44">
        <v>21</v>
      </c>
      <c r="I80" s="22">
        <v>5234604441</v>
      </c>
      <c r="J80" s="20"/>
      <c r="K80" s="23"/>
      <c r="L80" s="20"/>
      <c r="M80" s="23"/>
      <c r="N80" s="20"/>
      <c r="O80" s="23"/>
      <c r="P80" s="20"/>
      <c r="Q80" s="23"/>
      <c r="R80" s="20"/>
      <c r="S80" s="23"/>
      <c r="T80" s="54"/>
      <c r="U80" s="54"/>
      <c r="V80" s="35"/>
      <c r="W80" s="40"/>
      <c r="X80" s="53"/>
      <c r="Y80" s="35"/>
      <c r="Z80" s="54">
        <f t="shared" si="18"/>
        <v>21</v>
      </c>
      <c r="AA80" s="40">
        <f t="shared" si="19"/>
        <v>5234604441</v>
      </c>
      <c r="AB80" s="53"/>
      <c r="AC80" s="35" t="s">
        <v>58</v>
      </c>
      <c r="AD80" s="53"/>
      <c r="AE80" s="11"/>
      <c r="AH80" s="25"/>
    </row>
    <row r="81" spans="1:34" ht="105">
      <c r="A81" s="16"/>
      <c r="B81" s="17"/>
      <c r="C81" s="114" t="s">
        <v>101</v>
      </c>
      <c r="D81" s="113" t="s">
        <v>253</v>
      </c>
      <c r="E81" s="20">
        <f>1+2</f>
        <v>3</v>
      </c>
      <c r="F81" s="21" t="s">
        <v>149</v>
      </c>
      <c r="G81" s="50">
        <v>359820000</v>
      </c>
      <c r="H81" s="20">
        <v>2</v>
      </c>
      <c r="I81" s="22">
        <v>294855120</v>
      </c>
      <c r="J81" s="20"/>
      <c r="K81" s="23"/>
      <c r="L81" s="20"/>
      <c r="M81" s="23"/>
      <c r="N81" s="20"/>
      <c r="O81" s="23"/>
      <c r="P81" s="20"/>
      <c r="Q81" s="23"/>
      <c r="R81" s="20"/>
      <c r="S81" s="23"/>
      <c r="T81" s="54"/>
      <c r="U81" s="54"/>
      <c r="V81" s="35"/>
      <c r="W81" s="40"/>
      <c r="X81" s="53"/>
      <c r="Y81" s="35"/>
      <c r="Z81" s="54">
        <f t="shared" si="18"/>
        <v>2</v>
      </c>
      <c r="AA81" s="40">
        <f t="shared" si="19"/>
        <v>294855120</v>
      </c>
      <c r="AB81" s="53"/>
      <c r="AC81" s="35" t="s">
        <v>58</v>
      </c>
      <c r="AD81" s="53"/>
      <c r="AE81" s="11"/>
      <c r="AH81" s="25"/>
    </row>
    <row r="82" spans="1:34" ht="64.5" customHeight="1">
      <c r="A82" s="16"/>
      <c r="B82" s="17"/>
      <c r="C82" s="114" t="s">
        <v>102</v>
      </c>
      <c r="D82" s="113" t="s">
        <v>254</v>
      </c>
      <c r="E82" s="20">
        <f>1+2</f>
        <v>3</v>
      </c>
      <c r="F82" s="21" t="s">
        <v>138</v>
      </c>
      <c r="G82" s="50">
        <v>312840000</v>
      </c>
      <c r="H82" s="44">
        <v>1</v>
      </c>
      <c r="I82" s="22">
        <v>86322178</v>
      </c>
      <c r="J82" s="20"/>
      <c r="K82" s="23"/>
      <c r="L82" s="20"/>
      <c r="M82" s="23"/>
      <c r="N82" s="20"/>
      <c r="O82" s="23"/>
      <c r="P82" s="20"/>
      <c r="Q82" s="23"/>
      <c r="R82" s="20"/>
      <c r="S82" s="23"/>
      <c r="T82" s="54"/>
      <c r="U82" s="54"/>
      <c r="V82" s="35"/>
      <c r="W82" s="40"/>
      <c r="X82" s="53"/>
      <c r="Y82" s="35"/>
      <c r="Z82" s="54">
        <f t="shared" si="18"/>
        <v>1</v>
      </c>
      <c r="AA82" s="40">
        <f t="shared" si="19"/>
        <v>86322178</v>
      </c>
      <c r="AB82" s="53"/>
      <c r="AC82" s="35" t="s">
        <v>58</v>
      </c>
      <c r="AD82" s="53"/>
      <c r="AE82" s="11"/>
      <c r="AH82" s="25"/>
    </row>
    <row r="83" spans="1:34" ht="128.25" customHeight="1">
      <c r="A83" s="16"/>
      <c r="B83" s="17"/>
      <c r="C83" s="114" t="s">
        <v>95</v>
      </c>
      <c r="D83" s="113" t="s">
        <v>238</v>
      </c>
      <c r="E83" s="102"/>
      <c r="F83" s="47" t="s">
        <v>239</v>
      </c>
      <c r="G83" s="50">
        <v>1020320000</v>
      </c>
      <c r="H83" s="44">
        <v>6</v>
      </c>
      <c r="I83" s="22">
        <v>123588300</v>
      </c>
      <c r="J83" s="20"/>
      <c r="K83" s="23"/>
      <c r="L83" s="20"/>
      <c r="M83" s="23"/>
      <c r="N83" s="20"/>
      <c r="O83" s="23"/>
      <c r="P83" s="20"/>
      <c r="Q83" s="23"/>
      <c r="R83" s="20"/>
      <c r="S83" s="23"/>
      <c r="T83" s="54"/>
      <c r="U83" s="54"/>
      <c r="V83" s="35"/>
      <c r="W83" s="40"/>
      <c r="X83" s="53"/>
      <c r="Y83" s="35"/>
      <c r="Z83" s="54">
        <f t="shared" si="18"/>
        <v>6</v>
      </c>
      <c r="AA83" s="40">
        <f t="shared" si="19"/>
        <v>123588300</v>
      </c>
      <c r="AB83" s="53"/>
      <c r="AC83" s="35" t="s">
        <v>58</v>
      </c>
      <c r="AD83" s="53"/>
      <c r="AE83" s="11"/>
      <c r="AH83" s="25"/>
    </row>
    <row r="84" spans="1:34" ht="240">
      <c r="A84" s="16"/>
      <c r="B84" s="17"/>
      <c r="C84" s="114" t="s">
        <v>181</v>
      </c>
      <c r="D84" s="113" t="s">
        <v>244</v>
      </c>
      <c r="E84" s="20">
        <f>J84*2</f>
        <v>0</v>
      </c>
      <c r="F84" s="21" t="s">
        <v>57</v>
      </c>
      <c r="G84" s="23">
        <v>139590000</v>
      </c>
      <c r="H84" s="20">
        <v>18</v>
      </c>
      <c r="I84" s="22">
        <v>60095000</v>
      </c>
      <c r="J84" s="20"/>
      <c r="K84" s="23"/>
      <c r="L84" s="20"/>
      <c r="M84" s="23"/>
      <c r="N84" s="20"/>
      <c r="O84" s="23"/>
      <c r="P84" s="20"/>
      <c r="Q84" s="23"/>
      <c r="R84" s="20"/>
      <c r="S84" s="23"/>
      <c r="T84" s="54"/>
      <c r="U84" s="54"/>
      <c r="V84" s="35"/>
      <c r="W84" s="40"/>
      <c r="X84" s="53"/>
      <c r="Y84" s="35"/>
      <c r="Z84" s="54">
        <f t="shared" si="18"/>
        <v>18</v>
      </c>
      <c r="AA84" s="40">
        <f t="shared" si="19"/>
        <v>60095000</v>
      </c>
      <c r="AB84" s="53"/>
      <c r="AC84" s="35" t="s">
        <v>58</v>
      </c>
      <c r="AD84" s="53"/>
      <c r="AE84" s="11"/>
      <c r="AH84" s="25"/>
    </row>
    <row r="85" spans="1:34" ht="105">
      <c r="A85" s="16"/>
      <c r="B85" s="17"/>
      <c r="C85" s="114" t="s">
        <v>105</v>
      </c>
      <c r="D85" s="113" t="s">
        <v>255</v>
      </c>
      <c r="E85" s="102">
        <f>J85*2</f>
        <v>0</v>
      </c>
      <c r="F85" s="47" t="s">
        <v>242</v>
      </c>
      <c r="G85" s="50">
        <v>365547000</v>
      </c>
      <c r="H85" s="44">
        <v>74</v>
      </c>
      <c r="I85" s="22">
        <v>146060200</v>
      </c>
      <c r="J85" s="20"/>
      <c r="K85" s="23"/>
      <c r="L85" s="20"/>
      <c r="M85" s="23"/>
      <c r="N85" s="20"/>
      <c r="O85" s="23"/>
      <c r="P85" s="20"/>
      <c r="Q85" s="23"/>
      <c r="R85" s="20"/>
      <c r="S85" s="23"/>
      <c r="T85" s="54"/>
      <c r="U85" s="54"/>
      <c r="V85" s="35"/>
      <c r="W85" s="40"/>
      <c r="X85" s="53"/>
      <c r="Y85" s="35"/>
      <c r="Z85" s="54">
        <f t="shared" si="18"/>
        <v>74</v>
      </c>
      <c r="AA85" s="40">
        <f t="shared" si="19"/>
        <v>146060200</v>
      </c>
      <c r="AB85" s="53"/>
      <c r="AC85" s="35" t="s">
        <v>58</v>
      </c>
      <c r="AD85" s="53"/>
      <c r="AE85" s="11"/>
      <c r="AH85" s="25"/>
    </row>
    <row r="86" spans="1:34" s="78" customFormat="1" ht="131.25" customHeight="1">
      <c r="A86" s="16"/>
      <c r="B86" s="17"/>
      <c r="C86" s="18" t="s">
        <v>108</v>
      </c>
      <c r="D86" s="19" t="s">
        <v>183</v>
      </c>
      <c r="E86" s="45">
        <v>100</v>
      </c>
      <c r="F86" s="46" t="s">
        <v>58</v>
      </c>
      <c r="G86" s="42">
        <f>SUM(G87:G97)</f>
        <v>22911438000</v>
      </c>
      <c r="H86" s="45">
        <v>112.96183113902646</v>
      </c>
      <c r="I86" s="42">
        <f>SUM(I87:I97)</f>
        <v>9058531934</v>
      </c>
      <c r="J86" s="45">
        <v>100</v>
      </c>
      <c r="K86" s="42">
        <f>SUM(K87:K97)</f>
        <v>7425100500</v>
      </c>
      <c r="L86" s="107">
        <f>SUM(L87:L98)/SUM(J87:J98)*100</f>
        <v>4.0824017083281001</v>
      </c>
      <c r="M86" s="42">
        <f>SUM(M87:M97)</f>
        <v>386852928</v>
      </c>
      <c r="N86" s="107">
        <f>SUM(N87:N98)/SUM(L87:L98)*100</f>
        <v>101.23076923076924</v>
      </c>
      <c r="O86" s="42">
        <f>SUM(O87:O97)</f>
        <v>332520176</v>
      </c>
      <c r="P86" s="107">
        <v>0</v>
      </c>
      <c r="Q86" s="42">
        <f>SUM(Q87:Q97)</f>
        <v>1036262400</v>
      </c>
      <c r="R86" s="107">
        <v>0</v>
      </c>
      <c r="S86" s="42">
        <f>SUM(S87:S97)</f>
        <v>5603666408</v>
      </c>
      <c r="T86" s="107">
        <f>SUM(T87:T92)/SUM(J87:J92)*100</f>
        <v>100</v>
      </c>
      <c r="U86" s="128">
        <f t="shared" ref="U86:U92" si="24">T86/J86*100</f>
        <v>100</v>
      </c>
      <c r="V86" s="58" t="s">
        <v>58</v>
      </c>
      <c r="W86" s="59">
        <f t="shared" ref="W86:W92" si="25">SUM(M86,O86,Q86,S86)</f>
        <v>7359301912</v>
      </c>
      <c r="X86" s="57">
        <f t="shared" ref="X86:X92" si="26">W86/K86*100</f>
        <v>99.113835725186476</v>
      </c>
      <c r="Y86" s="58" t="s">
        <v>58</v>
      </c>
      <c r="Z86" s="55">
        <f t="shared" si="18"/>
        <v>212.96183113902646</v>
      </c>
      <c r="AA86" s="59">
        <f t="shared" si="19"/>
        <v>16417833846</v>
      </c>
      <c r="AB86" s="57"/>
      <c r="AC86" s="58" t="s">
        <v>58</v>
      </c>
      <c r="AD86" s="57"/>
      <c r="AE86" s="77"/>
      <c r="AH86" s="79"/>
    </row>
    <row r="87" spans="1:34" ht="105">
      <c r="A87" s="16"/>
      <c r="B87" s="17"/>
      <c r="C87" s="26" t="s">
        <v>178</v>
      </c>
      <c r="D87" s="29" t="s">
        <v>256</v>
      </c>
      <c r="E87" s="20">
        <f>1+1+2</f>
        <v>4</v>
      </c>
      <c r="F87" s="21" t="s">
        <v>138</v>
      </c>
      <c r="G87" s="23">
        <v>747050000</v>
      </c>
      <c r="H87" s="20">
        <v>1</v>
      </c>
      <c r="I87" s="23">
        <v>155003208</v>
      </c>
      <c r="J87" s="20">
        <v>2</v>
      </c>
      <c r="K87" s="23">
        <v>299000000</v>
      </c>
      <c r="L87" s="20">
        <v>0</v>
      </c>
      <c r="M87" s="23">
        <v>0</v>
      </c>
      <c r="N87" s="20">
        <v>0</v>
      </c>
      <c r="O87" s="23">
        <v>82323000</v>
      </c>
      <c r="P87" s="20">
        <v>1</v>
      </c>
      <c r="Q87" s="23">
        <v>118644760</v>
      </c>
      <c r="R87" s="20">
        <v>1</v>
      </c>
      <c r="S87" s="23">
        <v>72449250</v>
      </c>
      <c r="T87" s="54">
        <f>SUM(L87,N87,P87,R87)</f>
        <v>2</v>
      </c>
      <c r="U87" s="54">
        <f t="shared" si="24"/>
        <v>100</v>
      </c>
      <c r="V87" s="35" t="s">
        <v>58</v>
      </c>
      <c r="W87" s="40">
        <f t="shared" si="25"/>
        <v>273417010</v>
      </c>
      <c r="X87" s="53">
        <f t="shared" si="26"/>
        <v>91.443816053511711</v>
      </c>
      <c r="Y87" s="35" t="s">
        <v>58</v>
      </c>
      <c r="Z87" s="54">
        <f t="shared" ref="Z87:Z118" si="27">SUM(H87,T87)</f>
        <v>3</v>
      </c>
      <c r="AA87" s="40">
        <f t="shared" ref="AA87:AA118" si="28">SUM(I87,W87)</f>
        <v>428420218</v>
      </c>
      <c r="AB87" s="53"/>
      <c r="AC87" s="35" t="s">
        <v>58</v>
      </c>
      <c r="AD87" s="53"/>
      <c r="AE87" s="11"/>
      <c r="AH87" s="25"/>
    </row>
    <row r="88" spans="1:34" ht="105">
      <c r="A88" s="16"/>
      <c r="B88" s="17"/>
      <c r="C88" s="26" t="s">
        <v>204</v>
      </c>
      <c r="D88" s="29" t="s">
        <v>257</v>
      </c>
      <c r="E88" s="20"/>
      <c r="F88" s="21" t="s">
        <v>138</v>
      </c>
      <c r="G88" s="50"/>
      <c r="H88" s="44"/>
      <c r="I88" s="22"/>
      <c r="J88" s="20">
        <v>2</v>
      </c>
      <c r="K88" s="23">
        <v>218316500</v>
      </c>
      <c r="L88" s="20">
        <v>0</v>
      </c>
      <c r="M88" s="23">
        <v>0</v>
      </c>
      <c r="N88" s="20">
        <v>0</v>
      </c>
      <c r="O88" s="23">
        <v>0</v>
      </c>
      <c r="P88" s="20">
        <v>0</v>
      </c>
      <c r="Q88" s="23">
        <v>53643500</v>
      </c>
      <c r="R88" s="20">
        <v>2</v>
      </c>
      <c r="S88" s="23">
        <v>160930500</v>
      </c>
      <c r="T88" s="54">
        <f>SUM(L88,N88,P88,R88)</f>
        <v>2</v>
      </c>
      <c r="U88" s="54">
        <f t="shared" si="24"/>
        <v>100</v>
      </c>
      <c r="V88" s="35" t="s">
        <v>58</v>
      </c>
      <c r="W88" s="40">
        <f t="shared" si="25"/>
        <v>214574000</v>
      </c>
      <c r="X88" s="53">
        <f t="shared" si="26"/>
        <v>98.285745694897088</v>
      </c>
      <c r="Y88" s="35" t="s">
        <v>58</v>
      </c>
      <c r="Z88" s="54">
        <f t="shared" si="27"/>
        <v>2</v>
      </c>
      <c r="AA88" s="40">
        <f t="shared" si="28"/>
        <v>214574000</v>
      </c>
      <c r="AB88" s="53"/>
      <c r="AC88" s="35" t="s">
        <v>58</v>
      </c>
      <c r="AD88" s="53"/>
      <c r="AE88" s="11"/>
      <c r="AH88" s="25"/>
    </row>
    <row r="89" spans="1:34" ht="135">
      <c r="A89" s="16"/>
      <c r="B89" s="17"/>
      <c r="C89" s="26" t="s">
        <v>109</v>
      </c>
      <c r="D89" s="29" t="s">
        <v>258</v>
      </c>
      <c r="E89" s="20">
        <f>3+3+3</f>
        <v>9</v>
      </c>
      <c r="F89" s="21" t="s">
        <v>138</v>
      </c>
      <c r="G89" s="50">
        <v>996108000</v>
      </c>
      <c r="H89" s="44">
        <v>5</v>
      </c>
      <c r="I89" s="22">
        <v>696416046</v>
      </c>
      <c r="J89" s="20">
        <v>5</v>
      </c>
      <c r="K89" s="23">
        <v>946156900</v>
      </c>
      <c r="L89" s="20">
        <v>0</v>
      </c>
      <c r="M89" s="23">
        <v>0</v>
      </c>
      <c r="N89" s="20">
        <v>1</v>
      </c>
      <c r="O89" s="23">
        <v>71946700</v>
      </c>
      <c r="P89" s="20">
        <v>2</v>
      </c>
      <c r="Q89" s="23">
        <v>220679640</v>
      </c>
      <c r="R89" s="20">
        <v>2</v>
      </c>
      <c r="S89" s="23">
        <v>641408250</v>
      </c>
      <c r="T89" s="54">
        <f>SUM(L89,N89,P89,R89)</f>
        <v>5</v>
      </c>
      <c r="U89" s="54">
        <f t="shared" si="24"/>
        <v>100</v>
      </c>
      <c r="V89" s="35" t="s">
        <v>58</v>
      </c>
      <c r="W89" s="40">
        <f t="shared" si="25"/>
        <v>934034590</v>
      </c>
      <c r="X89" s="53">
        <f t="shared" si="26"/>
        <v>98.718784379208145</v>
      </c>
      <c r="Y89" s="35" t="s">
        <v>58</v>
      </c>
      <c r="Z89" s="54">
        <f t="shared" si="27"/>
        <v>10</v>
      </c>
      <c r="AA89" s="40">
        <f t="shared" si="28"/>
        <v>1630450636</v>
      </c>
      <c r="AB89" s="53"/>
      <c r="AC89" s="35" t="s">
        <v>58</v>
      </c>
      <c r="AD89" s="53"/>
      <c r="AE89" s="11"/>
      <c r="AH89" s="25"/>
    </row>
    <row r="90" spans="1:34" ht="75">
      <c r="A90" s="16"/>
      <c r="B90" s="17"/>
      <c r="C90" s="26" t="s">
        <v>205</v>
      </c>
      <c r="D90" s="29" t="s">
        <v>259</v>
      </c>
      <c r="E90" s="20"/>
      <c r="F90" s="21" t="s">
        <v>59</v>
      </c>
      <c r="G90" s="50"/>
      <c r="H90" s="44"/>
      <c r="I90" s="22"/>
      <c r="J90" s="20">
        <v>6</v>
      </c>
      <c r="K90" s="23">
        <v>215547100</v>
      </c>
      <c r="L90" s="20">
        <v>0</v>
      </c>
      <c r="M90" s="23">
        <v>0</v>
      </c>
      <c r="N90" s="20">
        <v>0</v>
      </c>
      <c r="O90" s="23">
        <v>49599500</v>
      </c>
      <c r="P90" s="20">
        <v>3</v>
      </c>
      <c r="Q90" s="23">
        <v>124294500</v>
      </c>
      <c r="R90" s="20">
        <v>3</v>
      </c>
      <c r="S90" s="23">
        <v>40870600</v>
      </c>
      <c r="T90" s="54">
        <f>SUM(L90,N90,P90,R90)</f>
        <v>6</v>
      </c>
      <c r="U90" s="54">
        <f t="shared" si="24"/>
        <v>100</v>
      </c>
      <c r="V90" s="35" t="s">
        <v>58</v>
      </c>
      <c r="W90" s="40">
        <f t="shared" si="25"/>
        <v>214764600</v>
      </c>
      <c r="X90" s="53">
        <f t="shared" si="26"/>
        <v>99.636970295587375</v>
      </c>
      <c r="Y90" s="35" t="s">
        <v>58</v>
      </c>
      <c r="Z90" s="54">
        <f t="shared" si="27"/>
        <v>6</v>
      </c>
      <c r="AA90" s="40">
        <f t="shared" si="28"/>
        <v>214764600</v>
      </c>
      <c r="AB90" s="53"/>
      <c r="AC90" s="35" t="s">
        <v>58</v>
      </c>
      <c r="AD90" s="53"/>
      <c r="AE90" s="11"/>
      <c r="AH90" s="25"/>
    </row>
    <row r="91" spans="1:34" ht="90" customHeight="1">
      <c r="A91" s="16"/>
      <c r="B91" s="17"/>
      <c r="C91" s="26" t="s">
        <v>112</v>
      </c>
      <c r="D91" s="29" t="s">
        <v>260</v>
      </c>
      <c r="E91" s="20">
        <f>325*3</f>
        <v>975</v>
      </c>
      <c r="F91" s="21" t="s">
        <v>57</v>
      </c>
      <c r="G91" s="50">
        <v>5012640000</v>
      </c>
      <c r="H91" s="44">
        <v>650</v>
      </c>
      <c r="I91" s="22">
        <v>1585511712</v>
      </c>
      <c r="J91" s="20">
        <f>297+28</f>
        <v>325</v>
      </c>
      <c r="K91" s="23">
        <v>1586880000</v>
      </c>
      <c r="L91" s="20">
        <v>325</v>
      </c>
      <c r="M91" s="23">
        <v>386852928</v>
      </c>
      <c r="N91" s="20">
        <v>325</v>
      </c>
      <c r="O91" s="23">
        <v>128650976</v>
      </c>
      <c r="P91" s="20">
        <v>325</v>
      </c>
      <c r="Q91" s="23">
        <v>519000000</v>
      </c>
      <c r="R91" s="20">
        <v>325</v>
      </c>
      <c r="S91" s="23">
        <v>528807808</v>
      </c>
      <c r="T91" s="54">
        <f>AVERAGE(L91,N91,P91,R91)</f>
        <v>325</v>
      </c>
      <c r="U91" s="54">
        <f t="shared" si="24"/>
        <v>100</v>
      </c>
      <c r="V91" s="35" t="s">
        <v>58</v>
      </c>
      <c r="W91" s="40">
        <f t="shared" si="25"/>
        <v>1563311712</v>
      </c>
      <c r="X91" s="53">
        <f t="shared" si="26"/>
        <v>98.514803387779793</v>
      </c>
      <c r="Y91" s="35" t="s">
        <v>58</v>
      </c>
      <c r="Z91" s="54">
        <f t="shared" si="27"/>
        <v>975</v>
      </c>
      <c r="AA91" s="40">
        <f t="shared" si="28"/>
        <v>3148823424</v>
      </c>
      <c r="AB91" s="53"/>
      <c r="AC91" s="35" t="s">
        <v>58</v>
      </c>
      <c r="AD91" s="53"/>
      <c r="AE91" s="11"/>
      <c r="AH91" s="25"/>
    </row>
    <row r="92" spans="1:34" ht="60">
      <c r="A92" s="16"/>
      <c r="B92" s="17"/>
      <c r="C92" s="26" t="s">
        <v>176</v>
      </c>
      <c r="D92" s="29" t="s">
        <v>261</v>
      </c>
      <c r="E92" s="104">
        <f>7521*3</f>
        <v>22563</v>
      </c>
      <c r="F92" s="47" t="s">
        <v>242</v>
      </c>
      <c r="G92" s="23">
        <v>14403600000</v>
      </c>
      <c r="H92" s="44">
        <v>7521</v>
      </c>
      <c r="I92" s="22">
        <v>4476624400</v>
      </c>
      <c r="J92" s="104">
        <v>7521</v>
      </c>
      <c r="K92" s="23">
        <v>4159200000</v>
      </c>
      <c r="L92" s="20"/>
      <c r="M92" s="23">
        <v>0</v>
      </c>
      <c r="N92" s="20"/>
      <c r="O92" s="23">
        <v>0</v>
      </c>
      <c r="P92" s="20"/>
      <c r="Q92" s="23">
        <v>0</v>
      </c>
      <c r="R92" s="104">
        <v>7521</v>
      </c>
      <c r="S92" s="23">
        <v>4159200000</v>
      </c>
      <c r="T92" s="106">
        <f>SUM(L92,N92,P92,R92)</f>
        <v>7521</v>
      </c>
      <c r="U92" s="54">
        <f t="shared" si="24"/>
        <v>100</v>
      </c>
      <c r="V92" s="35" t="s">
        <v>58</v>
      </c>
      <c r="W92" s="40">
        <f t="shared" si="25"/>
        <v>4159200000</v>
      </c>
      <c r="X92" s="53">
        <f t="shared" si="26"/>
        <v>100</v>
      </c>
      <c r="Y92" s="35" t="s">
        <v>58</v>
      </c>
      <c r="Z92" s="106">
        <f t="shared" si="27"/>
        <v>15042</v>
      </c>
      <c r="AA92" s="40">
        <f t="shared" si="28"/>
        <v>8635824400</v>
      </c>
      <c r="AB92" s="53"/>
      <c r="AC92" s="35" t="s">
        <v>58</v>
      </c>
      <c r="AD92" s="53"/>
      <c r="AE92" s="11"/>
      <c r="AH92" s="25"/>
    </row>
    <row r="93" spans="1:34" ht="108" customHeight="1">
      <c r="A93" s="16"/>
      <c r="B93" s="17"/>
      <c r="C93" s="114" t="s">
        <v>110</v>
      </c>
      <c r="D93" s="113" t="s">
        <v>262</v>
      </c>
      <c r="E93" s="20">
        <v>2</v>
      </c>
      <c r="F93" s="21" t="s">
        <v>138</v>
      </c>
      <c r="G93" s="23">
        <v>80000000</v>
      </c>
      <c r="H93" s="44">
        <v>1</v>
      </c>
      <c r="I93" s="22">
        <v>39572268</v>
      </c>
      <c r="J93" s="20"/>
      <c r="K93" s="23"/>
      <c r="L93" s="20"/>
      <c r="M93" s="23"/>
      <c r="N93" s="20"/>
      <c r="O93" s="23"/>
      <c r="P93" s="20"/>
      <c r="Q93" s="23"/>
      <c r="R93" s="20"/>
      <c r="S93" s="23"/>
      <c r="T93" s="54"/>
      <c r="U93" s="54"/>
      <c r="V93" s="35"/>
      <c r="W93" s="40"/>
      <c r="X93" s="53"/>
      <c r="Y93" s="35"/>
      <c r="Z93" s="54">
        <f t="shared" si="27"/>
        <v>1</v>
      </c>
      <c r="AA93" s="40">
        <f t="shared" si="28"/>
        <v>39572268</v>
      </c>
      <c r="AB93" s="53"/>
      <c r="AC93" s="35" t="s">
        <v>58</v>
      </c>
      <c r="AD93" s="53"/>
      <c r="AE93" s="11"/>
      <c r="AH93" s="25"/>
    </row>
    <row r="94" spans="1:34" ht="72.75" customHeight="1">
      <c r="A94" s="16"/>
      <c r="B94" s="17"/>
      <c r="C94" s="114" t="s">
        <v>179</v>
      </c>
      <c r="D94" s="113" t="s">
        <v>263</v>
      </c>
      <c r="E94" s="20">
        <v>10</v>
      </c>
      <c r="F94" s="21" t="s">
        <v>59</v>
      </c>
      <c r="G94" s="23">
        <v>106740000</v>
      </c>
      <c r="H94" s="44">
        <v>23</v>
      </c>
      <c r="I94" s="22">
        <v>256633800</v>
      </c>
      <c r="J94" s="20"/>
      <c r="K94" s="23"/>
      <c r="L94" s="20"/>
      <c r="M94" s="23"/>
      <c r="N94" s="20"/>
      <c r="O94" s="23"/>
      <c r="P94" s="20"/>
      <c r="Q94" s="23"/>
      <c r="R94" s="20"/>
      <c r="S94" s="23"/>
      <c r="T94" s="54"/>
      <c r="U94" s="54"/>
      <c r="V94" s="35"/>
      <c r="W94" s="40"/>
      <c r="X94" s="53"/>
      <c r="Y94" s="35"/>
      <c r="Z94" s="54">
        <f t="shared" si="27"/>
        <v>23</v>
      </c>
      <c r="AA94" s="40">
        <f t="shared" si="28"/>
        <v>256633800</v>
      </c>
      <c r="AB94" s="53"/>
      <c r="AC94" s="35" t="s">
        <v>58</v>
      </c>
      <c r="AD94" s="53"/>
      <c r="AE94" s="11"/>
      <c r="AH94" s="25"/>
    </row>
    <row r="95" spans="1:34" ht="105">
      <c r="A95" s="16"/>
      <c r="B95" s="17"/>
      <c r="C95" s="114" t="s">
        <v>111</v>
      </c>
      <c r="D95" s="113" t="s">
        <v>264</v>
      </c>
      <c r="E95" s="20">
        <f>10+10</f>
        <v>20</v>
      </c>
      <c r="F95" s="47" t="s">
        <v>239</v>
      </c>
      <c r="G95" s="23">
        <v>580000000</v>
      </c>
      <c r="H95" s="20">
        <v>10</v>
      </c>
      <c r="I95" s="22">
        <v>267110000</v>
      </c>
      <c r="J95" s="20"/>
      <c r="K95" s="23"/>
      <c r="L95" s="20"/>
      <c r="M95" s="23"/>
      <c r="N95" s="20"/>
      <c r="O95" s="23"/>
      <c r="P95" s="20"/>
      <c r="Q95" s="23"/>
      <c r="R95" s="20"/>
      <c r="S95" s="23"/>
      <c r="T95" s="54"/>
      <c r="U95" s="54"/>
      <c r="V95" s="35"/>
      <c r="W95" s="40"/>
      <c r="X95" s="53"/>
      <c r="Y95" s="35"/>
      <c r="Z95" s="54">
        <f t="shared" si="27"/>
        <v>10</v>
      </c>
      <c r="AA95" s="40">
        <f t="shared" si="28"/>
        <v>267110000</v>
      </c>
      <c r="AB95" s="53"/>
      <c r="AC95" s="35" t="s">
        <v>58</v>
      </c>
      <c r="AD95" s="53"/>
      <c r="AE95" s="11"/>
      <c r="AH95" s="25"/>
    </row>
    <row r="96" spans="1:34" ht="240">
      <c r="A96" s="16"/>
      <c r="B96" s="17"/>
      <c r="C96" s="114" t="s">
        <v>113</v>
      </c>
      <c r="D96" s="113" t="s">
        <v>244</v>
      </c>
      <c r="E96" s="20">
        <f>J96*2</f>
        <v>0</v>
      </c>
      <c r="F96" s="21" t="s">
        <v>57</v>
      </c>
      <c r="G96" s="23">
        <v>641300000</v>
      </c>
      <c r="H96" s="44">
        <v>470</v>
      </c>
      <c r="I96" s="22">
        <v>1410660500</v>
      </c>
      <c r="J96" s="20"/>
      <c r="K96" s="23"/>
      <c r="L96" s="20"/>
      <c r="M96" s="23"/>
      <c r="N96" s="20"/>
      <c r="O96" s="23"/>
      <c r="P96" s="20"/>
      <c r="Q96" s="23"/>
      <c r="R96" s="20"/>
      <c r="S96" s="23"/>
      <c r="T96" s="54"/>
      <c r="U96" s="54"/>
      <c r="V96" s="35"/>
      <c r="W96" s="40"/>
      <c r="X96" s="53"/>
      <c r="Y96" s="35"/>
      <c r="Z96" s="54">
        <f t="shared" si="27"/>
        <v>470</v>
      </c>
      <c r="AA96" s="40">
        <f t="shared" si="28"/>
        <v>1410660500</v>
      </c>
      <c r="AB96" s="53"/>
      <c r="AC96" s="35" t="s">
        <v>58</v>
      </c>
      <c r="AD96" s="53"/>
      <c r="AE96" s="11"/>
      <c r="AH96" s="25"/>
    </row>
    <row r="97" spans="1:34" ht="105">
      <c r="A97" s="16"/>
      <c r="B97" s="17"/>
      <c r="C97" s="114" t="s">
        <v>114</v>
      </c>
      <c r="D97" s="113" t="s">
        <v>265</v>
      </c>
      <c r="E97" s="20">
        <v>60</v>
      </c>
      <c r="F97" s="47" t="s">
        <v>242</v>
      </c>
      <c r="G97" s="23">
        <v>344000000</v>
      </c>
      <c r="H97" s="44">
        <v>60</v>
      </c>
      <c r="I97" s="22">
        <v>171000000</v>
      </c>
      <c r="J97" s="20"/>
      <c r="K97" s="23"/>
      <c r="L97" s="20"/>
      <c r="M97" s="23"/>
      <c r="N97" s="20"/>
      <c r="O97" s="23"/>
      <c r="P97" s="20"/>
      <c r="Q97" s="23"/>
      <c r="R97" s="20"/>
      <c r="S97" s="23"/>
      <c r="T97" s="54"/>
      <c r="U97" s="54"/>
      <c r="V97" s="35"/>
      <c r="W97" s="40"/>
      <c r="X97" s="53"/>
      <c r="Y97" s="35"/>
      <c r="Z97" s="54">
        <f t="shared" si="27"/>
        <v>60</v>
      </c>
      <c r="AA97" s="40">
        <f t="shared" si="28"/>
        <v>171000000</v>
      </c>
      <c r="AB97" s="53"/>
      <c r="AC97" s="35" t="s">
        <v>58</v>
      </c>
      <c r="AD97" s="53"/>
      <c r="AE97" s="11"/>
      <c r="AH97" s="25"/>
    </row>
    <row r="98" spans="1:34" s="78" customFormat="1" ht="98.25" customHeight="1">
      <c r="A98" s="16"/>
      <c r="B98" s="17"/>
      <c r="C98" s="18" t="s">
        <v>115</v>
      </c>
      <c r="D98" s="19" t="s">
        <v>184</v>
      </c>
      <c r="E98" s="45">
        <v>100</v>
      </c>
      <c r="F98" s="46" t="s">
        <v>58</v>
      </c>
      <c r="G98" s="42">
        <f>SUM(G99:G103)</f>
        <v>6782195800</v>
      </c>
      <c r="H98" s="45">
        <v>112</v>
      </c>
      <c r="I98" s="42">
        <f>SUM(I99:I103)</f>
        <v>5862909680</v>
      </c>
      <c r="J98" s="45">
        <v>100</v>
      </c>
      <c r="K98" s="42">
        <f>SUM(K99:K103)</f>
        <v>6994241965</v>
      </c>
      <c r="L98" s="107">
        <f>SUM(L99:L102)/SUM(J99:J102)*100</f>
        <v>0</v>
      </c>
      <c r="M98" s="42">
        <f>SUM(M99:M103)</f>
        <v>20250000</v>
      </c>
      <c r="N98" s="45">
        <v>3</v>
      </c>
      <c r="O98" s="42">
        <f>SUM(O99:O103)</f>
        <v>724726500</v>
      </c>
      <c r="P98" s="45">
        <v>0</v>
      </c>
      <c r="Q98" s="42">
        <f>SUM(Q99:Q103)</f>
        <v>399441350</v>
      </c>
      <c r="R98" s="45">
        <v>0</v>
      </c>
      <c r="S98" s="42">
        <f>SUM(S99:S103)</f>
        <v>5261004975</v>
      </c>
      <c r="T98" s="108">
        <f>SUM(T99:T102)/SUM(J99:J102)*100</f>
        <v>100</v>
      </c>
      <c r="U98" s="55">
        <f>T98/J98*100</f>
        <v>100</v>
      </c>
      <c r="V98" s="58" t="s">
        <v>58</v>
      </c>
      <c r="W98" s="59">
        <f>SUM(M98,O98,Q98,S98)</f>
        <v>6405422825</v>
      </c>
      <c r="X98" s="57">
        <f>W98/K98*100</f>
        <v>91.581373035898395</v>
      </c>
      <c r="Y98" s="58" t="s">
        <v>58</v>
      </c>
      <c r="Z98" s="55">
        <f t="shared" si="27"/>
        <v>212</v>
      </c>
      <c r="AA98" s="59">
        <f t="shared" si="28"/>
        <v>12268332505</v>
      </c>
      <c r="AB98" s="57"/>
      <c r="AC98" s="58" t="s">
        <v>58</v>
      </c>
      <c r="AD98" s="57"/>
      <c r="AE98" s="77"/>
      <c r="AH98" s="79"/>
    </row>
    <row r="99" spans="1:34" ht="135">
      <c r="A99" s="16"/>
      <c r="B99" s="17"/>
      <c r="C99" s="26" t="s">
        <v>116</v>
      </c>
      <c r="D99" s="29" t="s">
        <v>266</v>
      </c>
      <c r="E99" s="20">
        <f>1+1+1</f>
        <v>3</v>
      </c>
      <c r="F99" s="21" t="s">
        <v>138</v>
      </c>
      <c r="G99" s="23">
        <v>666690000</v>
      </c>
      <c r="H99" s="20">
        <v>1</v>
      </c>
      <c r="I99" s="23">
        <v>195357435</v>
      </c>
      <c r="J99" s="20">
        <v>4</v>
      </c>
      <c r="K99" s="23">
        <v>1125539000</v>
      </c>
      <c r="L99" s="20">
        <v>0</v>
      </c>
      <c r="M99" s="23">
        <v>0</v>
      </c>
      <c r="N99" s="20">
        <v>1</v>
      </c>
      <c r="O99" s="23">
        <v>256766500</v>
      </c>
      <c r="P99" s="20">
        <v>2</v>
      </c>
      <c r="Q99" s="23">
        <v>385941350</v>
      </c>
      <c r="R99" s="20">
        <v>1</v>
      </c>
      <c r="S99" s="23">
        <v>473821750</v>
      </c>
      <c r="T99" s="54">
        <f>SUM(L99,N99,P99,R99)</f>
        <v>4</v>
      </c>
      <c r="U99" s="54">
        <f>T99/J99*100</f>
        <v>100</v>
      </c>
      <c r="V99" s="35" t="s">
        <v>58</v>
      </c>
      <c r="W99" s="40">
        <f>SUM(M99,O99,Q99,S99)</f>
        <v>1116529600</v>
      </c>
      <c r="X99" s="53">
        <f>W99/K99*100</f>
        <v>99.199547949915555</v>
      </c>
      <c r="Y99" s="35" t="s">
        <v>58</v>
      </c>
      <c r="Z99" s="54">
        <f t="shared" si="27"/>
        <v>5</v>
      </c>
      <c r="AA99" s="40">
        <f t="shared" si="28"/>
        <v>1311887035</v>
      </c>
      <c r="AB99" s="53"/>
      <c r="AC99" s="35" t="s">
        <v>58</v>
      </c>
      <c r="AD99" s="53"/>
      <c r="AE99" s="11"/>
      <c r="AH99" s="25"/>
    </row>
    <row r="100" spans="1:34" ht="120">
      <c r="A100" s="16"/>
      <c r="B100" s="17"/>
      <c r="C100" s="26" t="s">
        <v>206</v>
      </c>
      <c r="D100" s="29" t="s">
        <v>267</v>
      </c>
      <c r="E100" s="104"/>
      <c r="F100" s="47" t="s">
        <v>59</v>
      </c>
      <c r="G100" s="50"/>
      <c r="H100" s="104"/>
      <c r="I100" s="22"/>
      <c r="J100" s="104">
        <v>1</v>
      </c>
      <c r="K100" s="23">
        <v>100000000</v>
      </c>
      <c r="L100" s="20">
        <v>0</v>
      </c>
      <c r="M100" s="23">
        <v>0</v>
      </c>
      <c r="N100" s="20">
        <v>0</v>
      </c>
      <c r="O100" s="23">
        <v>0</v>
      </c>
      <c r="P100" s="20">
        <v>0</v>
      </c>
      <c r="Q100" s="23">
        <v>0</v>
      </c>
      <c r="R100" s="20">
        <v>1</v>
      </c>
      <c r="S100" s="23">
        <v>96999000</v>
      </c>
      <c r="T100" s="106">
        <f>SUM(L100,N100,P100,R100)</f>
        <v>1</v>
      </c>
      <c r="U100" s="54">
        <f>T100/J100*100</f>
        <v>100</v>
      </c>
      <c r="V100" s="35" t="s">
        <v>58</v>
      </c>
      <c r="W100" s="40">
        <f>SUM(M100,O100,Q100,S100)</f>
        <v>96999000</v>
      </c>
      <c r="X100" s="53">
        <f>W100/K100*100</f>
        <v>96.998999999999995</v>
      </c>
      <c r="Y100" s="35" t="s">
        <v>58</v>
      </c>
      <c r="Z100" s="54">
        <f t="shared" si="27"/>
        <v>1</v>
      </c>
      <c r="AA100" s="40">
        <f t="shared" si="28"/>
        <v>96999000</v>
      </c>
      <c r="AB100" s="53"/>
      <c r="AC100" s="35" t="s">
        <v>58</v>
      </c>
      <c r="AD100" s="53"/>
      <c r="AE100" s="11"/>
      <c r="AH100" s="25"/>
    </row>
    <row r="101" spans="1:34" ht="90">
      <c r="A101" s="16"/>
      <c r="B101" s="17"/>
      <c r="C101" s="26" t="s">
        <v>117</v>
      </c>
      <c r="D101" s="29" t="s">
        <v>268</v>
      </c>
      <c r="E101" s="104">
        <f>J101*3</f>
        <v>48</v>
      </c>
      <c r="F101" s="47" t="s">
        <v>239</v>
      </c>
      <c r="G101" s="50">
        <v>4300010000</v>
      </c>
      <c r="H101" s="104">
        <v>32</v>
      </c>
      <c r="I101" s="22">
        <v>1432670155</v>
      </c>
      <c r="J101" s="104">
        <v>16</v>
      </c>
      <c r="K101" s="23">
        <v>2113002965</v>
      </c>
      <c r="L101" s="20">
        <v>0</v>
      </c>
      <c r="M101" s="23">
        <v>20250000</v>
      </c>
      <c r="N101" s="20">
        <v>8</v>
      </c>
      <c r="O101" s="23">
        <v>467960000</v>
      </c>
      <c r="P101" s="20">
        <v>4</v>
      </c>
      <c r="Q101" s="23">
        <v>13500000</v>
      </c>
      <c r="R101" s="20">
        <v>4</v>
      </c>
      <c r="S101" s="23">
        <v>1034484225</v>
      </c>
      <c r="T101" s="106">
        <f>SUM(L101,N101,P101,R101)</f>
        <v>16</v>
      </c>
      <c r="U101" s="54">
        <f>T101/J101*100</f>
        <v>100</v>
      </c>
      <c r="V101" s="35" t="s">
        <v>58</v>
      </c>
      <c r="W101" s="40">
        <f>SUM(M101,O101,Q101,S101)</f>
        <v>1536194225</v>
      </c>
      <c r="X101" s="53">
        <f>W101/K101*100</f>
        <v>72.701943652975416</v>
      </c>
      <c r="Y101" s="35" t="s">
        <v>58</v>
      </c>
      <c r="Z101" s="54">
        <f t="shared" si="27"/>
        <v>48</v>
      </c>
      <c r="AA101" s="40">
        <f t="shared" si="28"/>
        <v>2968864380</v>
      </c>
      <c r="AB101" s="53"/>
      <c r="AC101" s="35" t="s">
        <v>58</v>
      </c>
      <c r="AD101" s="53"/>
      <c r="AE101" s="11"/>
      <c r="AH101" s="25"/>
    </row>
    <row r="102" spans="1:34" ht="90">
      <c r="A102" s="16"/>
      <c r="B102" s="17"/>
      <c r="C102" s="26" t="s">
        <v>175</v>
      </c>
      <c r="D102" s="29" t="s">
        <v>269</v>
      </c>
      <c r="E102" s="104">
        <f>2915*3</f>
        <v>8745</v>
      </c>
      <c r="F102" s="47" t="s">
        <v>242</v>
      </c>
      <c r="G102" s="23">
        <v>1213950000</v>
      </c>
      <c r="H102" s="44">
        <v>2372</v>
      </c>
      <c r="I102" s="22">
        <v>4024719590</v>
      </c>
      <c r="J102" s="104">
        <v>2915</v>
      </c>
      <c r="K102" s="23">
        <v>3655700000</v>
      </c>
      <c r="L102" s="20">
        <v>0</v>
      </c>
      <c r="M102" s="23">
        <v>0</v>
      </c>
      <c r="N102" s="20">
        <v>0</v>
      </c>
      <c r="O102" s="23">
        <v>0</v>
      </c>
      <c r="P102" s="20">
        <v>0</v>
      </c>
      <c r="Q102" s="23">
        <v>0</v>
      </c>
      <c r="R102" s="20">
        <v>2915</v>
      </c>
      <c r="S102" s="23">
        <v>3655700000</v>
      </c>
      <c r="T102" s="106">
        <f>SUM(L102,N102,P102,R102)</f>
        <v>2915</v>
      </c>
      <c r="U102" s="54">
        <f>T102/J102*100</f>
        <v>100</v>
      </c>
      <c r="V102" s="35" t="s">
        <v>58</v>
      </c>
      <c r="W102" s="40">
        <f>SUM(M102,O102,Q102,S102)</f>
        <v>3655700000</v>
      </c>
      <c r="X102" s="53">
        <f>W102/K102*100</f>
        <v>100</v>
      </c>
      <c r="Y102" s="35" t="s">
        <v>58</v>
      </c>
      <c r="Z102" s="106">
        <f t="shared" si="27"/>
        <v>5287</v>
      </c>
      <c r="AA102" s="40">
        <f t="shared" si="28"/>
        <v>7680419590</v>
      </c>
      <c r="AB102" s="53"/>
      <c r="AC102" s="35" t="s">
        <v>58</v>
      </c>
      <c r="AD102" s="53"/>
      <c r="AE102" s="11"/>
      <c r="AH102" s="25"/>
    </row>
    <row r="103" spans="1:34" ht="240">
      <c r="A103" s="16"/>
      <c r="B103" s="17"/>
      <c r="C103" s="114" t="s">
        <v>118</v>
      </c>
      <c r="D103" s="113" t="s">
        <v>244</v>
      </c>
      <c r="E103" s="20">
        <f>100+100</f>
        <v>200</v>
      </c>
      <c r="F103" s="21" t="s">
        <v>57</v>
      </c>
      <c r="G103" s="23">
        <v>601545800</v>
      </c>
      <c r="H103" s="44">
        <v>100</v>
      </c>
      <c r="I103" s="22">
        <v>210162500</v>
      </c>
      <c r="J103" s="20"/>
      <c r="K103" s="23"/>
      <c r="L103" s="20"/>
      <c r="M103" s="23"/>
      <c r="N103" s="20"/>
      <c r="O103" s="23"/>
      <c r="P103" s="20"/>
      <c r="Q103" s="23"/>
      <c r="R103" s="20"/>
      <c r="S103" s="23"/>
      <c r="T103" s="54"/>
      <c r="U103" s="54"/>
      <c r="V103" s="35"/>
      <c r="W103" s="40"/>
      <c r="X103" s="53"/>
      <c r="Y103" s="35"/>
      <c r="Z103" s="54">
        <f t="shared" si="27"/>
        <v>100</v>
      </c>
      <c r="AA103" s="40">
        <f t="shared" si="28"/>
        <v>210162500</v>
      </c>
      <c r="AB103" s="53"/>
      <c r="AC103" s="35" t="s">
        <v>58</v>
      </c>
      <c r="AD103" s="53"/>
      <c r="AE103" s="11"/>
      <c r="AH103" s="25"/>
    </row>
    <row r="104" spans="1:34" ht="110.25">
      <c r="A104" s="48">
        <v>16</v>
      </c>
      <c r="B104" s="49" t="s">
        <v>60</v>
      </c>
      <c r="C104" s="18" t="s">
        <v>119</v>
      </c>
      <c r="D104" s="19" t="s">
        <v>193</v>
      </c>
      <c r="E104" s="108">
        <f>9/9*100</f>
        <v>100</v>
      </c>
      <c r="F104" s="76" t="s">
        <v>58</v>
      </c>
      <c r="G104" s="42">
        <f>G105+G107+G110</f>
        <v>2048737500</v>
      </c>
      <c r="H104" s="107">
        <v>133.33333333333331</v>
      </c>
      <c r="I104" s="42">
        <f>I105+I107+I110</f>
        <v>824937263</v>
      </c>
      <c r="J104" s="107">
        <f>6/9*100</f>
        <v>66.666666666666657</v>
      </c>
      <c r="K104" s="42">
        <f>K105+K107+K110</f>
        <v>1766600000</v>
      </c>
      <c r="L104" s="45">
        <v>0</v>
      </c>
      <c r="M104" s="42">
        <f>M105+M107+M110</f>
        <v>0</v>
      </c>
      <c r="N104" s="45">
        <v>0</v>
      </c>
      <c r="O104" s="42">
        <f>O105+O107+O110</f>
        <v>0</v>
      </c>
      <c r="P104" s="45">
        <v>0</v>
      </c>
      <c r="Q104" s="42">
        <f>Q105+Q107+Q110</f>
        <v>866750000</v>
      </c>
      <c r="R104" s="107">
        <v>66.666666666666657</v>
      </c>
      <c r="S104" s="42">
        <f>S105+S107+S110</f>
        <v>869140000</v>
      </c>
      <c r="T104" s="57">
        <f>SUM(L104,N104,P104,R104)</f>
        <v>66.666666666666657</v>
      </c>
      <c r="U104" s="55">
        <f>T104/J104*100</f>
        <v>100</v>
      </c>
      <c r="V104" s="58" t="s">
        <v>58</v>
      </c>
      <c r="W104" s="59">
        <f>SUM(M104,O104,Q104,S104)</f>
        <v>1735890000</v>
      </c>
      <c r="X104" s="57">
        <f>W104/K104*100</f>
        <v>98.26163251443451</v>
      </c>
      <c r="Y104" s="58" t="s">
        <v>58</v>
      </c>
      <c r="Z104" s="55">
        <f t="shared" si="27"/>
        <v>199.99999999999997</v>
      </c>
      <c r="AA104" s="59">
        <f t="shared" si="28"/>
        <v>2560827263</v>
      </c>
      <c r="AB104" s="57"/>
      <c r="AC104" s="58" t="s">
        <v>58</v>
      </c>
      <c r="AD104" s="57"/>
      <c r="AE104" s="11"/>
      <c r="AH104" s="25"/>
    </row>
    <row r="105" spans="1:34" ht="157.5">
      <c r="A105" s="16"/>
      <c r="B105" s="17"/>
      <c r="C105" s="115" t="s">
        <v>120</v>
      </c>
      <c r="D105" s="112" t="s">
        <v>192</v>
      </c>
      <c r="E105" s="108">
        <f>9/9*100</f>
        <v>100</v>
      </c>
      <c r="F105" s="76" t="s">
        <v>58</v>
      </c>
      <c r="G105" s="42">
        <f>SUM(G106)</f>
        <v>1277103000</v>
      </c>
      <c r="H105" s="107">
        <v>133.33333333333331</v>
      </c>
      <c r="I105" s="42">
        <f>SUM(I106)</f>
        <v>393219799</v>
      </c>
      <c r="J105" s="107"/>
      <c r="K105" s="42"/>
      <c r="L105" s="45"/>
      <c r="M105" s="42"/>
      <c r="N105" s="45"/>
      <c r="O105" s="42"/>
      <c r="P105" s="45"/>
      <c r="Q105" s="42"/>
      <c r="R105" s="45"/>
      <c r="S105" s="42"/>
      <c r="T105" s="57"/>
      <c r="U105" s="55"/>
      <c r="V105" s="58"/>
      <c r="W105" s="59"/>
      <c r="X105" s="57"/>
      <c r="Y105" s="58"/>
      <c r="Z105" s="55">
        <f t="shared" si="27"/>
        <v>133.33333333333331</v>
      </c>
      <c r="AA105" s="59">
        <f t="shared" si="28"/>
        <v>393219799</v>
      </c>
      <c r="AB105" s="57"/>
      <c r="AC105" s="58" t="s">
        <v>58</v>
      </c>
      <c r="AD105" s="57"/>
      <c r="AE105" s="11"/>
      <c r="AH105" s="25"/>
    </row>
    <row r="106" spans="1:34" ht="135">
      <c r="A106" s="16"/>
      <c r="B106" s="17"/>
      <c r="C106" s="114" t="s">
        <v>121</v>
      </c>
      <c r="D106" s="113" t="s">
        <v>270</v>
      </c>
      <c r="E106" s="20">
        <v>9</v>
      </c>
      <c r="F106" s="21" t="s">
        <v>271</v>
      </c>
      <c r="G106" s="23">
        <v>1277103000</v>
      </c>
      <c r="H106" s="20">
        <v>12</v>
      </c>
      <c r="I106" s="23">
        <v>393219799</v>
      </c>
      <c r="J106" s="20"/>
      <c r="K106" s="23"/>
      <c r="L106" s="20"/>
      <c r="M106" s="123"/>
      <c r="N106" s="20"/>
      <c r="O106" s="123"/>
      <c r="P106" s="20"/>
      <c r="Q106" s="123"/>
      <c r="R106" s="20"/>
      <c r="S106" s="23"/>
      <c r="T106" s="54"/>
      <c r="U106" s="54"/>
      <c r="V106" s="35"/>
      <c r="W106" s="40"/>
      <c r="X106" s="53"/>
      <c r="Y106" s="35"/>
      <c r="Z106" s="54">
        <f t="shared" si="27"/>
        <v>12</v>
      </c>
      <c r="AA106" s="40">
        <f t="shared" si="28"/>
        <v>393219799</v>
      </c>
      <c r="AB106" s="53"/>
      <c r="AC106" s="35" t="s">
        <v>58</v>
      </c>
      <c r="AD106" s="53"/>
      <c r="AE106" s="11"/>
      <c r="AH106" s="25"/>
    </row>
    <row r="107" spans="1:34" s="78" customFormat="1" ht="164.25" customHeight="1">
      <c r="A107" s="16"/>
      <c r="B107" s="17"/>
      <c r="C107" s="18" t="s">
        <v>122</v>
      </c>
      <c r="D107" s="19" t="s">
        <v>194</v>
      </c>
      <c r="E107" s="45">
        <f>12/12*100</f>
        <v>100</v>
      </c>
      <c r="F107" s="46" t="s">
        <v>58</v>
      </c>
      <c r="G107" s="42">
        <f>SUM(G108:G109)</f>
        <v>640131000</v>
      </c>
      <c r="H107" s="107">
        <v>99.999999999999986</v>
      </c>
      <c r="I107" s="42">
        <f>SUM(I108:I109)</f>
        <v>314913964</v>
      </c>
      <c r="J107" s="107">
        <f>8/12*100</f>
        <v>66.666666666666657</v>
      </c>
      <c r="K107" s="42">
        <f>SUM(K108:K109)</f>
        <v>1754000000</v>
      </c>
      <c r="L107" s="45">
        <v>0</v>
      </c>
      <c r="M107" s="42">
        <f>SUM(M108:M109)</f>
        <v>0</v>
      </c>
      <c r="N107" s="45">
        <v>0</v>
      </c>
      <c r="O107" s="42">
        <f>SUM(O108:O109)</f>
        <v>0</v>
      </c>
      <c r="P107" s="107">
        <f>7/12*100</f>
        <v>58.333333333333336</v>
      </c>
      <c r="Q107" s="42">
        <f>SUM(Q108:Q109)</f>
        <v>864650000</v>
      </c>
      <c r="R107" s="107">
        <f>8/12*100</f>
        <v>66.666666666666657</v>
      </c>
      <c r="S107" s="42">
        <f>SUM(S108:S109)</f>
        <v>861790000</v>
      </c>
      <c r="T107" s="57">
        <f>R107</f>
        <v>66.666666666666657</v>
      </c>
      <c r="U107" s="55">
        <f>T107/J107*100</f>
        <v>100</v>
      </c>
      <c r="V107" s="58" t="s">
        <v>58</v>
      </c>
      <c r="W107" s="59">
        <f>SUM(M107,O107,Q107,S107)</f>
        <v>1726440000</v>
      </c>
      <c r="X107" s="57">
        <f>W107/K107*100</f>
        <v>98.428734321550735</v>
      </c>
      <c r="Y107" s="58" t="s">
        <v>58</v>
      </c>
      <c r="Z107" s="55">
        <f t="shared" si="27"/>
        <v>166.66666666666663</v>
      </c>
      <c r="AA107" s="59">
        <f t="shared" si="28"/>
        <v>2041353964</v>
      </c>
      <c r="AB107" s="57"/>
      <c r="AC107" s="58" t="s">
        <v>58</v>
      </c>
      <c r="AD107" s="57"/>
      <c r="AE107" s="77"/>
      <c r="AH107" s="79"/>
    </row>
    <row r="108" spans="1:34" ht="135">
      <c r="A108" s="16"/>
      <c r="B108" s="17"/>
      <c r="C108" s="26" t="s">
        <v>208</v>
      </c>
      <c r="D108" s="29" t="s">
        <v>272</v>
      </c>
      <c r="E108" s="20"/>
      <c r="F108" s="21" t="s">
        <v>271</v>
      </c>
      <c r="G108" s="23"/>
      <c r="H108" s="20"/>
      <c r="I108" s="23"/>
      <c r="J108" s="20">
        <v>3</v>
      </c>
      <c r="K108" s="23">
        <v>1754000000</v>
      </c>
      <c r="L108" s="20">
        <v>0</v>
      </c>
      <c r="M108" s="23">
        <v>0</v>
      </c>
      <c r="N108" s="20">
        <v>0</v>
      </c>
      <c r="O108" s="23">
        <v>0</v>
      </c>
      <c r="P108" s="20">
        <v>2</v>
      </c>
      <c r="Q108" s="23">
        <v>864650000</v>
      </c>
      <c r="R108" s="20">
        <v>1</v>
      </c>
      <c r="S108" s="23">
        <v>861790000</v>
      </c>
      <c r="T108" s="54">
        <f>SUM(L108,N108,P108,R108)</f>
        <v>3</v>
      </c>
      <c r="U108" s="54">
        <f>T108/J108*100</f>
        <v>100</v>
      </c>
      <c r="V108" s="35" t="s">
        <v>58</v>
      </c>
      <c r="W108" s="40">
        <f>SUM(M108,O108,Q108,S108)</f>
        <v>1726440000</v>
      </c>
      <c r="X108" s="53">
        <f>W108/K108*100</f>
        <v>98.428734321550735</v>
      </c>
      <c r="Y108" s="35" t="s">
        <v>58</v>
      </c>
      <c r="Z108" s="54">
        <f t="shared" si="27"/>
        <v>3</v>
      </c>
      <c r="AA108" s="40">
        <f t="shared" si="28"/>
        <v>1726440000</v>
      </c>
      <c r="AB108" s="53"/>
      <c r="AC108" s="35" t="s">
        <v>58</v>
      </c>
      <c r="AD108" s="53"/>
      <c r="AE108" s="11"/>
      <c r="AH108" s="25"/>
    </row>
    <row r="109" spans="1:34" ht="135">
      <c r="A109" s="16"/>
      <c r="B109" s="17"/>
      <c r="C109" s="114" t="s">
        <v>123</v>
      </c>
      <c r="D109" s="113" t="s">
        <v>273</v>
      </c>
      <c r="E109" s="20">
        <f>J109*2</f>
        <v>0</v>
      </c>
      <c r="F109" s="21" t="s">
        <v>173</v>
      </c>
      <c r="G109" s="23">
        <v>640131000</v>
      </c>
      <c r="H109" s="20">
        <v>3</v>
      </c>
      <c r="I109" s="23">
        <v>314913964</v>
      </c>
      <c r="J109" s="20"/>
      <c r="K109" s="23"/>
      <c r="L109" s="20"/>
      <c r="M109" s="23"/>
      <c r="N109" s="20"/>
      <c r="O109" s="23"/>
      <c r="P109" s="20"/>
      <c r="Q109" s="23"/>
      <c r="R109" s="20"/>
      <c r="S109" s="23"/>
      <c r="T109" s="54"/>
      <c r="U109" s="54"/>
      <c r="V109" s="35"/>
      <c r="W109" s="40"/>
      <c r="X109" s="53"/>
      <c r="Y109" s="35"/>
      <c r="Z109" s="54">
        <f t="shared" si="27"/>
        <v>3</v>
      </c>
      <c r="AA109" s="40">
        <f t="shared" si="28"/>
        <v>314913964</v>
      </c>
      <c r="AB109" s="53"/>
      <c r="AC109" s="35" t="s">
        <v>58</v>
      </c>
      <c r="AD109" s="53"/>
      <c r="AE109" s="11"/>
      <c r="AH109" s="25"/>
    </row>
    <row r="110" spans="1:34" s="78" customFormat="1" ht="128.25" customHeight="1">
      <c r="A110" s="16"/>
      <c r="B110" s="17"/>
      <c r="C110" s="18" t="s">
        <v>124</v>
      </c>
      <c r="D110" s="19" t="s">
        <v>195</v>
      </c>
      <c r="E110" s="45">
        <v>2</v>
      </c>
      <c r="F110" s="76" t="s">
        <v>196</v>
      </c>
      <c r="G110" s="42">
        <f>SUM(G111:G112)</f>
        <v>131503500</v>
      </c>
      <c r="H110" s="45">
        <v>2</v>
      </c>
      <c r="I110" s="42">
        <f>SUM(I111:I112)</f>
        <v>116803500</v>
      </c>
      <c r="J110" s="45">
        <v>2</v>
      </c>
      <c r="K110" s="42">
        <f>SUM(K111)</f>
        <v>12600000</v>
      </c>
      <c r="L110" s="45">
        <v>0</v>
      </c>
      <c r="M110" s="42">
        <f>SUM(M111)</f>
        <v>0</v>
      </c>
      <c r="N110" s="45">
        <v>0</v>
      </c>
      <c r="O110" s="42">
        <f>SUM(O111)</f>
        <v>0</v>
      </c>
      <c r="P110" s="45">
        <f>P111</f>
        <v>1</v>
      </c>
      <c r="Q110" s="42">
        <f>SUM(Q111)</f>
        <v>2100000</v>
      </c>
      <c r="R110" s="45">
        <f>R111</f>
        <v>2</v>
      </c>
      <c r="S110" s="42">
        <f>SUM(S111)</f>
        <v>7350000</v>
      </c>
      <c r="T110" s="55">
        <f>SUM(L110,N110,P110,R110)</f>
        <v>3</v>
      </c>
      <c r="U110" s="55">
        <f>T110/J110*100</f>
        <v>150</v>
      </c>
      <c r="V110" s="58" t="s">
        <v>58</v>
      </c>
      <c r="W110" s="59">
        <f>SUM(M110,O110,Q110,S110)</f>
        <v>9450000</v>
      </c>
      <c r="X110" s="57">
        <f>W110/K110*100</f>
        <v>75</v>
      </c>
      <c r="Y110" s="58" t="s">
        <v>58</v>
      </c>
      <c r="Z110" s="55">
        <f t="shared" si="27"/>
        <v>5</v>
      </c>
      <c r="AA110" s="59">
        <f t="shared" si="28"/>
        <v>126253500</v>
      </c>
      <c r="AB110" s="57"/>
      <c r="AC110" s="58" t="s">
        <v>58</v>
      </c>
      <c r="AD110" s="57"/>
      <c r="AE110" s="77"/>
      <c r="AH110" s="79"/>
    </row>
    <row r="111" spans="1:34" ht="105">
      <c r="A111" s="16"/>
      <c r="B111" s="17"/>
      <c r="C111" s="26" t="s">
        <v>207</v>
      </c>
      <c r="D111" s="29" t="s">
        <v>274</v>
      </c>
      <c r="E111" s="20"/>
      <c r="F111" s="21" t="s">
        <v>138</v>
      </c>
      <c r="G111" s="23"/>
      <c r="H111" s="20"/>
      <c r="I111" s="23"/>
      <c r="J111" s="20">
        <v>3</v>
      </c>
      <c r="K111" s="23">
        <v>12600000</v>
      </c>
      <c r="L111" s="20">
        <v>0</v>
      </c>
      <c r="M111" s="23">
        <v>0</v>
      </c>
      <c r="N111" s="20">
        <v>0</v>
      </c>
      <c r="O111" s="23">
        <v>0</v>
      </c>
      <c r="P111" s="20">
        <v>1</v>
      </c>
      <c r="Q111" s="23">
        <v>2100000</v>
      </c>
      <c r="R111" s="20">
        <v>2</v>
      </c>
      <c r="S111" s="23">
        <v>7350000</v>
      </c>
      <c r="T111" s="54">
        <f>SUM(L111,N111,P111,R111)</f>
        <v>3</v>
      </c>
      <c r="U111" s="54">
        <f>T111/J111*100</f>
        <v>100</v>
      </c>
      <c r="V111" s="35" t="s">
        <v>58</v>
      </c>
      <c r="W111" s="40">
        <f>SUM(M111,O111,Q111,S111)</f>
        <v>9450000</v>
      </c>
      <c r="X111" s="53">
        <f>W111/K111*100</f>
        <v>75</v>
      </c>
      <c r="Y111" s="35" t="s">
        <v>58</v>
      </c>
      <c r="Z111" s="54">
        <f t="shared" si="27"/>
        <v>3</v>
      </c>
      <c r="AA111" s="40">
        <f t="shared" si="28"/>
        <v>9450000</v>
      </c>
      <c r="AB111" s="53"/>
      <c r="AC111" s="35" t="s">
        <v>58</v>
      </c>
      <c r="AD111" s="53"/>
      <c r="AE111" s="11"/>
      <c r="AH111" s="25"/>
    </row>
    <row r="112" spans="1:34" ht="107.25" customHeight="1">
      <c r="A112" s="16"/>
      <c r="B112" s="17"/>
      <c r="C112" s="114" t="s">
        <v>125</v>
      </c>
      <c r="D112" s="113" t="s">
        <v>275</v>
      </c>
      <c r="E112" s="20">
        <f>J112*2</f>
        <v>0</v>
      </c>
      <c r="F112" s="21" t="s">
        <v>57</v>
      </c>
      <c r="G112" s="23">
        <v>131503500</v>
      </c>
      <c r="H112" s="20">
        <v>3</v>
      </c>
      <c r="I112" s="23">
        <v>116803500</v>
      </c>
      <c r="J112" s="20"/>
      <c r="K112" s="23"/>
      <c r="L112" s="20"/>
      <c r="M112" s="23"/>
      <c r="N112" s="20"/>
      <c r="O112" s="23"/>
      <c r="P112" s="20"/>
      <c r="Q112" s="23"/>
      <c r="R112" s="20"/>
      <c r="S112" s="23"/>
      <c r="T112" s="54"/>
      <c r="U112" s="54"/>
      <c r="V112" s="35"/>
      <c r="W112" s="40"/>
      <c r="X112" s="53"/>
      <c r="Y112" s="35"/>
      <c r="Z112" s="54">
        <f t="shared" si="27"/>
        <v>3</v>
      </c>
      <c r="AA112" s="40">
        <f t="shared" si="28"/>
        <v>116803500</v>
      </c>
      <c r="AB112" s="53"/>
      <c r="AC112" s="35" t="s">
        <v>58</v>
      </c>
      <c r="AD112" s="53"/>
      <c r="AE112" s="11"/>
      <c r="AH112" s="25"/>
    </row>
    <row r="113" spans="1:34" ht="110.25">
      <c r="A113" s="16"/>
      <c r="B113" s="17"/>
      <c r="C113" s="115" t="s">
        <v>126</v>
      </c>
      <c r="D113" s="112" t="s">
        <v>185</v>
      </c>
      <c r="E113" s="20"/>
      <c r="F113" s="21"/>
      <c r="G113" s="42">
        <f>G114</f>
        <v>262100000</v>
      </c>
      <c r="H113" s="45">
        <v>0</v>
      </c>
      <c r="I113" s="42">
        <f>I114</f>
        <v>127150000</v>
      </c>
      <c r="J113" s="45"/>
      <c r="K113" s="42"/>
      <c r="L113" s="45"/>
      <c r="M113" s="42"/>
      <c r="N113" s="45"/>
      <c r="O113" s="42"/>
      <c r="P113" s="45"/>
      <c r="Q113" s="42"/>
      <c r="R113" s="45"/>
      <c r="S113" s="42"/>
      <c r="T113" s="55"/>
      <c r="U113" s="55"/>
      <c r="V113" s="58"/>
      <c r="W113" s="59"/>
      <c r="X113" s="57"/>
      <c r="Y113" s="58"/>
      <c r="Z113" s="55">
        <f t="shared" si="27"/>
        <v>0</v>
      </c>
      <c r="AA113" s="59">
        <f t="shared" si="28"/>
        <v>127150000</v>
      </c>
      <c r="AB113" s="57"/>
      <c r="AC113" s="58" t="s">
        <v>58</v>
      </c>
      <c r="AD113" s="57"/>
      <c r="AE113" s="11"/>
      <c r="AH113" s="25"/>
    </row>
    <row r="114" spans="1:34" ht="117" customHeight="1">
      <c r="A114" s="16"/>
      <c r="B114" s="17"/>
      <c r="C114" s="115" t="s">
        <v>127</v>
      </c>
      <c r="D114" s="112" t="s">
        <v>186</v>
      </c>
      <c r="E114" s="45">
        <f>1+1</f>
        <v>2</v>
      </c>
      <c r="F114" s="46" t="s">
        <v>56</v>
      </c>
      <c r="G114" s="42">
        <f>SUM(G115)</f>
        <v>262100000</v>
      </c>
      <c r="H114" s="45">
        <v>0</v>
      </c>
      <c r="I114" s="42">
        <f>SUM(I115)</f>
        <v>127150000</v>
      </c>
      <c r="J114" s="45"/>
      <c r="K114" s="42"/>
      <c r="L114" s="45"/>
      <c r="M114" s="42"/>
      <c r="N114" s="45"/>
      <c r="O114" s="42"/>
      <c r="P114" s="45"/>
      <c r="Q114" s="42"/>
      <c r="R114" s="45"/>
      <c r="S114" s="42"/>
      <c r="T114" s="55"/>
      <c r="U114" s="55"/>
      <c r="V114" s="58"/>
      <c r="W114" s="59"/>
      <c r="X114" s="57"/>
      <c r="Y114" s="58"/>
      <c r="Z114" s="55">
        <f t="shared" si="27"/>
        <v>0</v>
      </c>
      <c r="AA114" s="59">
        <f t="shared" si="28"/>
        <v>127150000</v>
      </c>
      <c r="AB114" s="57"/>
      <c r="AC114" s="58" t="s">
        <v>58</v>
      </c>
      <c r="AD114" s="57"/>
      <c r="AE114" s="11"/>
      <c r="AH114" s="25"/>
    </row>
    <row r="115" spans="1:34" ht="117" customHeight="1">
      <c r="A115" s="16"/>
      <c r="B115" s="17"/>
      <c r="C115" s="114" t="s">
        <v>128</v>
      </c>
      <c r="D115" s="113" t="s">
        <v>276</v>
      </c>
      <c r="E115" s="104">
        <f>1000+1000</f>
        <v>2000</v>
      </c>
      <c r="F115" s="21" t="s">
        <v>57</v>
      </c>
      <c r="G115" s="23">
        <v>262100000</v>
      </c>
      <c r="H115" s="104">
        <v>1000</v>
      </c>
      <c r="I115" s="23">
        <v>127150000</v>
      </c>
      <c r="J115" s="104"/>
      <c r="K115" s="23"/>
      <c r="L115" s="20"/>
      <c r="M115" s="23"/>
      <c r="N115" s="20"/>
      <c r="O115" s="23"/>
      <c r="P115" s="20"/>
      <c r="Q115" s="23"/>
      <c r="R115" s="104"/>
      <c r="S115" s="23"/>
      <c r="T115" s="106"/>
      <c r="U115" s="54"/>
      <c r="V115" s="35"/>
      <c r="W115" s="40"/>
      <c r="X115" s="53"/>
      <c r="Y115" s="35"/>
      <c r="Z115" s="106">
        <f t="shared" si="27"/>
        <v>1000</v>
      </c>
      <c r="AA115" s="40">
        <f t="shared" si="28"/>
        <v>127150000</v>
      </c>
      <c r="AB115" s="53"/>
      <c r="AC115" s="35" t="s">
        <v>58</v>
      </c>
      <c r="AD115" s="53"/>
      <c r="AE115" s="11"/>
      <c r="AH115" s="25"/>
    </row>
    <row r="116" spans="1:34" ht="126">
      <c r="A116" s="16"/>
      <c r="B116" s="17"/>
      <c r="C116" s="18" t="s">
        <v>129</v>
      </c>
      <c r="D116" s="19" t="s">
        <v>174</v>
      </c>
      <c r="E116" s="45">
        <v>100</v>
      </c>
      <c r="F116" s="46" t="s">
        <v>58</v>
      </c>
      <c r="G116" s="42">
        <f>G117+G119</f>
        <v>2934250000</v>
      </c>
      <c r="H116" s="45">
        <v>100</v>
      </c>
      <c r="I116" s="42">
        <f>I117+I119</f>
        <v>244982500</v>
      </c>
      <c r="J116" s="45">
        <v>100</v>
      </c>
      <c r="K116" s="42">
        <f>K117+K119</f>
        <v>788000000</v>
      </c>
      <c r="L116" s="45"/>
      <c r="M116" s="42">
        <f>M117+M119</f>
        <v>0</v>
      </c>
      <c r="N116" s="45"/>
      <c r="O116" s="42">
        <f>O117+O119</f>
        <v>144000000</v>
      </c>
      <c r="P116" s="45"/>
      <c r="Q116" s="42">
        <f>Q117+Q119</f>
        <v>72000000</v>
      </c>
      <c r="R116" s="45"/>
      <c r="S116" s="42">
        <f>S117+S119</f>
        <v>572000000</v>
      </c>
      <c r="T116" s="57">
        <f>SUM(L116,N116,P116,R116)</f>
        <v>0</v>
      </c>
      <c r="U116" s="55">
        <f>T116/J116*100</f>
        <v>0</v>
      </c>
      <c r="V116" s="58" t="s">
        <v>58</v>
      </c>
      <c r="W116" s="59">
        <f>SUM(M116,O116,Q116,S116)</f>
        <v>788000000</v>
      </c>
      <c r="X116" s="57">
        <f>W116/K116*100</f>
        <v>100</v>
      </c>
      <c r="Y116" s="58" t="s">
        <v>58</v>
      </c>
      <c r="Z116" s="55">
        <f t="shared" si="27"/>
        <v>100</v>
      </c>
      <c r="AA116" s="59">
        <f t="shared" si="28"/>
        <v>1032982500</v>
      </c>
      <c r="AB116" s="57"/>
      <c r="AC116" s="58" t="s">
        <v>58</v>
      </c>
      <c r="AD116" s="57"/>
      <c r="AE116" s="11"/>
      <c r="AH116" s="25"/>
    </row>
    <row r="117" spans="1:34" s="78" customFormat="1" ht="105" customHeight="1">
      <c r="A117" s="16"/>
      <c r="B117" s="17"/>
      <c r="C117" s="115" t="s">
        <v>187</v>
      </c>
      <c r="D117" s="112" t="s">
        <v>188</v>
      </c>
      <c r="E117" s="45">
        <v>32</v>
      </c>
      <c r="F117" s="76" t="s">
        <v>147</v>
      </c>
      <c r="G117" s="42">
        <f>SUM(G118)</f>
        <v>28000000</v>
      </c>
      <c r="H117" s="45">
        <v>54</v>
      </c>
      <c r="I117" s="42">
        <f>SUM(I118)</f>
        <v>14000000</v>
      </c>
      <c r="J117" s="45"/>
      <c r="K117" s="42"/>
      <c r="L117" s="45"/>
      <c r="M117" s="42"/>
      <c r="N117" s="45"/>
      <c r="O117" s="42"/>
      <c r="P117" s="45"/>
      <c r="Q117" s="42"/>
      <c r="R117" s="45"/>
      <c r="S117" s="42"/>
      <c r="T117" s="55"/>
      <c r="U117" s="55"/>
      <c r="V117" s="58"/>
      <c r="W117" s="59"/>
      <c r="X117" s="57"/>
      <c r="Y117" s="58"/>
      <c r="Z117" s="55">
        <f t="shared" si="27"/>
        <v>54</v>
      </c>
      <c r="AA117" s="59">
        <f t="shared" si="28"/>
        <v>14000000</v>
      </c>
      <c r="AB117" s="57"/>
      <c r="AC117" s="58" t="s">
        <v>58</v>
      </c>
      <c r="AD117" s="57"/>
      <c r="AE117" s="77"/>
      <c r="AH117" s="79"/>
    </row>
    <row r="118" spans="1:34" ht="75">
      <c r="A118" s="16"/>
      <c r="B118" s="17"/>
      <c r="C118" s="114" t="s">
        <v>130</v>
      </c>
      <c r="D118" s="113" t="s">
        <v>277</v>
      </c>
      <c r="E118" s="20">
        <v>32</v>
      </c>
      <c r="F118" s="47" t="s">
        <v>271</v>
      </c>
      <c r="G118" s="23">
        <v>28000000</v>
      </c>
      <c r="H118" s="20">
        <v>54</v>
      </c>
      <c r="I118" s="23">
        <v>14000000</v>
      </c>
      <c r="J118" s="20"/>
      <c r="K118" s="23"/>
      <c r="L118" s="20"/>
      <c r="M118" s="23"/>
      <c r="N118" s="20"/>
      <c r="O118" s="23"/>
      <c r="P118" s="20"/>
      <c r="Q118" s="23"/>
      <c r="R118" s="20"/>
      <c r="S118" s="23"/>
      <c r="T118" s="54"/>
      <c r="U118" s="54"/>
      <c r="V118" s="35"/>
      <c r="W118" s="40"/>
      <c r="X118" s="53"/>
      <c r="Y118" s="35"/>
      <c r="Z118" s="54">
        <f t="shared" si="27"/>
        <v>54</v>
      </c>
      <c r="AA118" s="40">
        <f t="shared" si="28"/>
        <v>14000000</v>
      </c>
      <c r="AB118" s="53"/>
      <c r="AC118" s="35" t="s">
        <v>58</v>
      </c>
      <c r="AD118" s="53"/>
      <c r="AE118" s="11"/>
      <c r="AH118" s="25"/>
    </row>
    <row r="119" spans="1:34" ht="124.5" customHeight="1">
      <c r="A119" s="16"/>
      <c r="B119" s="17"/>
      <c r="C119" s="18" t="s">
        <v>131</v>
      </c>
      <c r="D119" s="19" t="s">
        <v>189</v>
      </c>
      <c r="E119" s="45">
        <v>32</v>
      </c>
      <c r="F119" s="76" t="s">
        <v>147</v>
      </c>
      <c r="G119" s="42">
        <f>SUM(G120:G122)</f>
        <v>2906250000</v>
      </c>
      <c r="H119" s="45">
        <v>54</v>
      </c>
      <c r="I119" s="42">
        <f>SUM(I120:I122)</f>
        <v>230982500</v>
      </c>
      <c r="J119" s="45">
        <f>J120</f>
        <v>28</v>
      </c>
      <c r="K119" s="42">
        <f>SUM(K120:K122)</f>
        <v>788000000</v>
      </c>
      <c r="L119" s="45">
        <v>0</v>
      </c>
      <c r="M119" s="42">
        <f>SUM(M120:M122)</f>
        <v>0</v>
      </c>
      <c r="N119" s="45">
        <v>14</v>
      </c>
      <c r="O119" s="42">
        <f>SUM(O120:O122)</f>
        <v>144000000</v>
      </c>
      <c r="P119" s="45">
        <f>P120</f>
        <v>7</v>
      </c>
      <c r="Q119" s="42">
        <f>SUM(Q120:Q122)</f>
        <v>72000000</v>
      </c>
      <c r="R119" s="45">
        <f>R120</f>
        <v>7</v>
      </c>
      <c r="S119" s="42">
        <f>SUM(S120:S122)</f>
        <v>572000000</v>
      </c>
      <c r="T119" s="55">
        <f>SUM(L119,N119,P119,R119)</f>
        <v>28</v>
      </c>
      <c r="U119" s="55">
        <f>T119/J119*100</f>
        <v>100</v>
      </c>
      <c r="V119" s="58" t="s">
        <v>58</v>
      </c>
      <c r="W119" s="59">
        <f>SUM(M119,O119,Q119,S119)</f>
        <v>788000000</v>
      </c>
      <c r="X119" s="57">
        <f>W119/K119*100</f>
        <v>100</v>
      </c>
      <c r="Y119" s="58" t="s">
        <v>58</v>
      </c>
      <c r="Z119" s="55">
        <f t="shared" ref="Z119:Z143" si="29">SUM(H119,T119)</f>
        <v>82</v>
      </c>
      <c r="AA119" s="59">
        <f t="shared" ref="AA119:AA128" si="30">SUM(I119,W119)</f>
        <v>1018982500</v>
      </c>
      <c r="AB119" s="57"/>
      <c r="AC119" s="58" t="s">
        <v>58</v>
      </c>
      <c r="AD119" s="57"/>
      <c r="AE119" s="11"/>
      <c r="AH119" s="25"/>
    </row>
    <row r="120" spans="1:34" ht="60">
      <c r="A120" s="16"/>
      <c r="B120" s="17"/>
      <c r="C120" s="26" t="s">
        <v>190</v>
      </c>
      <c r="D120" s="29" t="s">
        <v>280</v>
      </c>
      <c r="E120" s="20">
        <v>32</v>
      </c>
      <c r="F120" s="47" t="s">
        <v>271</v>
      </c>
      <c r="G120" s="23">
        <v>132850000</v>
      </c>
      <c r="H120" s="20">
        <v>54</v>
      </c>
      <c r="I120" s="23">
        <v>65382500</v>
      </c>
      <c r="J120" s="20">
        <v>28</v>
      </c>
      <c r="K120" s="23">
        <v>788000000</v>
      </c>
      <c r="L120" s="20">
        <v>0</v>
      </c>
      <c r="M120" s="23">
        <v>0</v>
      </c>
      <c r="N120" s="20">
        <v>14</v>
      </c>
      <c r="O120" s="23">
        <v>144000000</v>
      </c>
      <c r="P120" s="20">
        <v>7</v>
      </c>
      <c r="Q120" s="23">
        <v>72000000</v>
      </c>
      <c r="R120" s="20">
        <v>7</v>
      </c>
      <c r="S120" s="23">
        <v>572000000</v>
      </c>
      <c r="T120" s="54">
        <f>SUM(L120,N120,P120,R120)</f>
        <v>28</v>
      </c>
      <c r="U120" s="54">
        <f>T120/J120*100</f>
        <v>100</v>
      </c>
      <c r="V120" s="35" t="s">
        <v>58</v>
      </c>
      <c r="W120" s="40">
        <f>SUM(M120,O120,Q120,S120)</f>
        <v>788000000</v>
      </c>
      <c r="X120" s="53">
        <f>W120/K120*100</f>
        <v>100</v>
      </c>
      <c r="Y120" s="35" t="s">
        <v>58</v>
      </c>
      <c r="Z120" s="54">
        <f t="shared" si="29"/>
        <v>82</v>
      </c>
      <c r="AA120" s="40">
        <f t="shared" si="30"/>
        <v>853382500</v>
      </c>
      <c r="AB120" s="53"/>
      <c r="AC120" s="35" t="s">
        <v>58</v>
      </c>
      <c r="AD120" s="53"/>
      <c r="AE120" s="11"/>
      <c r="AH120" s="25"/>
    </row>
    <row r="121" spans="1:34" ht="75">
      <c r="A121" s="16"/>
      <c r="B121" s="17"/>
      <c r="C121" s="114" t="s">
        <v>132</v>
      </c>
      <c r="D121" s="113" t="s">
        <v>279</v>
      </c>
      <c r="E121" s="20">
        <v>32</v>
      </c>
      <c r="F121" s="47" t="s">
        <v>271</v>
      </c>
      <c r="G121" s="23">
        <v>2043400000</v>
      </c>
      <c r="H121" s="20">
        <v>54</v>
      </c>
      <c r="I121" s="22">
        <v>21000000</v>
      </c>
      <c r="J121" s="20"/>
      <c r="K121" s="23"/>
      <c r="L121" s="20"/>
      <c r="M121" s="23"/>
      <c r="N121" s="20"/>
      <c r="O121" s="23"/>
      <c r="P121" s="20"/>
      <c r="Q121" s="23"/>
      <c r="R121" s="20"/>
      <c r="S121" s="23"/>
      <c r="T121" s="54"/>
      <c r="U121" s="54"/>
      <c r="V121" s="35"/>
      <c r="W121" s="40"/>
      <c r="X121" s="53"/>
      <c r="Y121" s="35"/>
      <c r="Z121" s="54">
        <f t="shared" si="29"/>
        <v>54</v>
      </c>
      <c r="AA121" s="40">
        <f t="shared" si="30"/>
        <v>21000000</v>
      </c>
      <c r="AB121" s="53"/>
      <c r="AC121" s="35" t="s">
        <v>58</v>
      </c>
      <c r="AD121" s="53"/>
      <c r="AE121" s="11"/>
      <c r="AH121" s="25"/>
    </row>
    <row r="122" spans="1:34" ht="75">
      <c r="A122" s="16"/>
      <c r="B122" s="17"/>
      <c r="C122" s="114" t="s">
        <v>133</v>
      </c>
      <c r="D122" s="113" t="s">
        <v>278</v>
      </c>
      <c r="E122" s="20">
        <v>32</v>
      </c>
      <c r="F122" s="47" t="s">
        <v>271</v>
      </c>
      <c r="G122" s="50">
        <v>730000000</v>
      </c>
      <c r="H122" s="20">
        <v>54</v>
      </c>
      <c r="I122" s="22">
        <v>144600000</v>
      </c>
      <c r="J122" s="20"/>
      <c r="K122" s="23"/>
      <c r="L122" s="20"/>
      <c r="M122" s="23"/>
      <c r="N122" s="20"/>
      <c r="O122" s="23"/>
      <c r="P122" s="20"/>
      <c r="Q122" s="23"/>
      <c r="R122" s="20"/>
      <c r="S122" s="23"/>
      <c r="T122" s="54"/>
      <c r="U122" s="54"/>
      <c r="V122" s="35"/>
      <c r="W122" s="40"/>
      <c r="X122" s="53"/>
      <c r="Y122" s="35"/>
      <c r="Z122" s="54">
        <f t="shared" si="29"/>
        <v>54</v>
      </c>
      <c r="AA122" s="40">
        <f t="shared" si="30"/>
        <v>144600000</v>
      </c>
      <c r="AB122" s="53"/>
      <c r="AC122" s="35" t="s">
        <v>58</v>
      </c>
      <c r="AD122" s="53"/>
      <c r="AE122" s="11"/>
      <c r="AH122" s="25"/>
    </row>
    <row r="123" spans="1:34" ht="78.75">
      <c r="A123" s="16"/>
      <c r="B123" s="17"/>
      <c r="C123" s="18" t="s">
        <v>134</v>
      </c>
      <c r="D123" s="19" t="s">
        <v>145</v>
      </c>
      <c r="E123" s="45">
        <f>E124</f>
        <v>1</v>
      </c>
      <c r="F123" s="76" t="s">
        <v>146</v>
      </c>
      <c r="G123" s="42">
        <f>G124</f>
        <v>1361506000</v>
      </c>
      <c r="H123" s="45">
        <v>2</v>
      </c>
      <c r="I123" s="42">
        <v>650565650</v>
      </c>
      <c r="J123" s="45">
        <f>J124</f>
        <v>1</v>
      </c>
      <c r="K123" s="42">
        <f>K124</f>
        <v>700000000</v>
      </c>
      <c r="L123" s="45">
        <v>1</v>
      </c>
      <c r="M123" s="42">
        <f>M124</f>
        <v>0</v>
      </c>
      <c r="N123" s="45">
        <v>0</v>
      </c>
      <c r="O123" s="42">
        <f>O124</f>
        <v>351652500</v>
      </c>
      <c r="P123" s="45">
        <v>0</v>
      </c>
      <c r="Q123" s="42">
        <f>Q124</f>
        <v>110323750</v>
      </c>
      <c r="R123" s="45">
        <v>0</v>
      </c>
      <c r="S123" s="42">
        <f>S124</f>
        <v>231691250</v>
      </c>
      <c r="T123" s="55">
        <f>SUM(L123,N123,P123,R123)</f>
        <v>1</v>
      </c>
      <c r="U123" s="55">
        <f>T123/J123*100</f>
        <v>100</v>
      </c>
      <c r="V123" s="58" t="s">
        <v>58</v>
      </c>
      <c r="W123" s="59">
        <f>SUM(M123,O123,Q123,S123)</f>
        <v>693667500</v>
      </c>
      <c r="X123" s="57">
        <f>W123/K123*100</f>
        <v>99.095357142857139</v>
      </c>
      <c r="Y123" s="58" t="s">
        <v>58</v>
      </c>
      <c r="Z123" s="55">
        <f t="shared" si="29"/>
        <v>3</v>
      </c>
      <c r="AA123" s="59">
        <f t="shared" si="30"/>
        <v>1344233150</v>
      </c>
      <c r="AB123" s="57"/>
      <c r="AC123" s="58" t="s">
        <v>58</v>
      </c>
      <c r="AD123" s="57"/>
      <c r="AE123" s="11"/>
      <c r="AH123" s="25"/>
    </row>
    <row r="124" spans="1:34" s="78" customFormat="1" ht="66" customHeight="1">
      <c r="A124" s="16"/>
      <c r="B124" s="17"/>
      <c r="C124" s="18" t="s">
        <v>135</v>
      </c>
      <c r="D124" s="19" t="s">
        <v>191</v>
      </c>
      <c r="E124" s="45">
        <v>1</v>
      </c>
      <c r="F124" s="76" t="s">
        <v>148</v>
      </c>
      <c r="G124" s="42">
        <f>SUM(G125:G128)</f>
        <v>1361506000</v>
      </c>
      <c r="H124" s="45">
        <v>2</v>
      </c>
      <c r="I124" s="42">
        <v>650565650</v>
      </c>
      <c r="J124" s="45">
        <v>1</v>
      </c>
      <c r="K124" s="42">
        <f>SUM(K125:K128)</f>
        <v>700000000</v>
      </c>
      <c r="L124" s="45">
        <v>1</v>
      </c>
      <c r="M124" s="42">
        <f>SUM(M125:M128)</f>
        <v>0</v>
      </c>
      <c r="N124" s="45">
        <v>0</v>
      </c>
      <c r="O124" s="42">
        <f>SUM(O125:O128)</f>
        <v>351652500</v>
      </c>
      <c r="P124" s="45">
        <v>0</v>
      </c>
      <c r="Q124" s="42">
        <f>SUM(Q125:Q128)</f>
        <v>110323750</v>
      </c>
      <c r="R124" s="45">
        <v>0</v>
      </c>
      <c r="S124" s="42">
        <f>SUM(S125:S128)</f>
        <v>231691250</v>
      </c>
      <c r="T124" s="55">
        <f>SUM(L124,N124,P124,R124)</f>
        <v>1</v>
      </c>
      <c r="U124" s="55">
        <f>T124/J124*100</f>
        <v>100</v>
      </c>
      <c r="V124" s="58" t="s">
        <v>58</v>
      </c>
      <c r="W124" s="59">
        <f>SUM(M124,O124,Q124,S124)</f>
        <v>693667500</v>
      </c>
      <c r="X124" s="57">
        <f>W124/K124*100</f>
        <v>99.095357142857139</v>
      </c>
      <c r="Y124" s="58" t="s">
        <v>58</v>
      </c>
      <c r="Z124" s="55">
        <f t="shared" si="29"/>
        <v>3</v>
      </c>
      <c r="AA124" s="59">
        <f t="shared" si="30"/>
        <v>1344233150</v>
      </c>
      <c r="AB124" s="57"/>
      <c r="AC124" s="58" t="s">
        <v>58</v>
      </c>
      <c r="AD124" s="57"/>
      <c r="AE124" s="77"/>
      <c r="AH124" s="79"/>
    </row>
    <row r="125" spans="1:34" ht="180">
      <c r="A125" s="16"/>
      <c r="B125" s="17"/>
      <c r="C125" s="29" t="s">
        <v>136</v>
      </c>
      <c r="D125" s="29" t="s">
        <v>281</v>
      </c>
      <c r="E125" s="20">
        <v>8</v>
      </c>
      <c r="F125" s="47" t="s">
        <v>138</v>
      </c>
      <c r="G125" s="23">
        <v>370534000</v>
      </c>
      <c r="H125" s="20">
        <v>8</v>
      </c>
      <c r="I125" s="23">
        <v>182210000</v>
      </c>
      <c r="J125" s="20">
        <v>8</v>
      </c>
      <c r="K125" s="23">
        <v>220515000</v>
      </c>
      <c r="L125" s="20">
        <v>0</v>
      </c>
      <c r="M125" s="23">
        <v>0</v>
      </c>
      <c r="N125" s="20">
        <v>4</v>
      </c>
      <c r="O125" s="23">
        <v>114427500</v>
      </c>
      <c r="P125" s="20">
        <v>2</v>
      </c>
      <c r="Q125" s="23">
        <v>42323750</v>
      </c>
      <c r="R125" s="20">
        <v>2</v>
      </c>
      <c r="S125" s="23">
        <v>63431250</v>
      </c>
      <c r="T125" s="54">
        <f>SUM(L125,N125,P125,R125)</f>
        <v>8</v>
      </c>
      <c r="U125" s="54">
        <f>T125/J125*100</f>
        <v>100</v>
      </c>
      <c r="V125" s="35" t="s">
        <v>58</v>
      </c>
      <c r="W125" s="40">
        <f>SUM(M125,O125,Q125,S125)</f>
        <v>220182500</v>
      </c>
      <c r="X125" s="53">
        <f>W125/K125*100</f>
        <v>99.849216606580043</v>
      </c>
      <c r="Y125" s="35" t="s">
        <v>58</v>
      </c>
      <c r="Z125" s="54">
        <f t="shared" si="29"/>
        <v>16</v>
      </c>
      <c r="AA125" s="40">
        <f t="shared" si="30"/>
        <v>402392500</v>
      </c>
      <c r="AB125" s="53"/>
      <c r="AC125" s="35" t="s">
        <v>58</v>
      </c>
      <c r="AD125" s="53"/>
      <c r="AE125" s="11"/>
      <c r="AH125" s="25"/>
    </row>
    <row r="126" spans="1:34" ht="90">
      <c r="A126" s="16"/>
      <c r="B126" s="17"/>
      <c r="C126" s="26" t="s">
        <v>210</v>
      </c>
      <c r="D126" s="26" t="s">
        <v>282</v>
      </c>
      <c r="E126" s="87">
        <f>J126*3</f>
        <v>3000</v>
      </c>
      <c r="F126" s="47" t="s">
        <v>138</v>
      </c>
      <c r="G126" s="81">
        <v>831572000</v>
      </c>
      <c r="H126" s="43">
        <v>615</v>
      </c>
      <c r="I126" s="82">
        <v>389692400</v>
      </c>
      <c r="J126" s="87">
        <v>1000</v>
      </c>
      <c r="K126" s="28">
        <v>370535000</v>
      </c>
      <c r="L126" s="87">
        <v>87</v>
      </c>
      <c r="M126" s="28">
        <v>0</v>
      </c>
      <c r="N126" s="87">
        <v>300</v>
      </c>
      <c r="O126" s="28">
        <v>144775000</v>
      </c>
      <c r="P126" s="87">
        <v>300</v>
      </c>
      <c r="Q126" s="28">
        <v>68000000</v>
      </c>
      <c r="R126" s="118">
        <v>313</v>
      </c>
      <c r="S126" s="28">
        <v>153760000</v>
      </c>
      <c r="T126" s="83">
        <f>SUM(L126,N126,P126,R126)</f>
        <v>1000</v>
      </c>
      <c r="U126" s="83">
        <f>T126/J126*100</f>
        <v>100</v>
      </c>
      <c r="V126" s="84" t="s">
        <v>58</v>
      </c>
      <c r="W126" s="85">
        <f>SUM(M126,O126,Q126,S126)</f>
        <v>366535000</v>
      </c>
      <c r="X126" s="86">
        <f>W126/K126*100</f>
        <v>98.920479846708147</v>
      </c>
      <c r="Y126" s="84" t="s">
        <v>58</v>
      </c>
      <c r="Z126" s="83">
        <f t="shared" si="29"/>
        <v>1615</v>
      </c>
      <c r="AA126" s="85">
        <f t="shared" si="30"/>
        <v>756227400</v>
      </c>
      <c r="AB126" s="86"/>
      <c r="AC126" s="84" t="s">
        <v>58</v>
      </c>
      <c r="AD126" s="86"/>
      <c r="AE126" s="11"/>
      <c r="AH126" s="25"/>
    </row>
    <row r="127" spans="1:34" ht="105">
      <c r="A127" s="16"/>
      <c r="B127" s="17"/>
      <c r="C127" s="61" t="s">
        <v>137</v>
      </c>
      <c r="D127" s="29" t="s">
        <v>283</v>
      </c>
      <c r="E127" s="20">
        <v>24</v>
      </c>
      <c r="F127" s="47" t="s">
        <v>138</v>
      </c>
      <c r="G127" s="50">
        <v>154400000</v>
      </c>
      <c r="H127" s="44">
        <v>24</v>
      </c>
      <c r="I127" s="22">
        <v>76163250</v>
      </c>
      <c r="J127" s="20">
        <v>12</v>
      </c>
      <c r="K127" s="62">
        <v>108950000</v>
      </c>
      <c r="L127" s="20">
        <v>0</v>
      </c>
      <c r="M127" s="62">
        <v>0</v>
      </c>
      <c r="N127" s="20">
        <v>6</v>
      </c>
      <c r="O127" s="62">
        <v>92450000</v>
      </c>
      <c r="P127" s="20">
        <v>0</v>
      </c>
      <c r="Q127" s="62">
        <v>0</v>
      </c>
      <c r="R127" s="20">
        <v>6</v>
      </c>
      <c r="S127" s="23">
        <v>14500000</v>
      </c>
      <c r="T127" s="54">
        <f>SUM(L127,N127,P127,R127)</f>
        <v>12</v>
      </c>
      <c r="U127" s="54">
        <f>T127/J127*100</f>
        <v>100</v>
      </c>
      <c r="V127" s="35" t="s">
        <v>58</v>
      </c>
      <c r="W127" s="40">
        <f>SUM(M127,O127,Q127,S127)</f>
        <v>106950000</v>
      </c>
      <c r="X127" s="53">
        <f>W127/K127*100</f>
        <v>98.164295548416703</v>
      </c>
      <c r="Y127" s="35" t="s">
        <v>58</v>
      </c>
      <c r="Z127" s="54">
        <f t="shared" si="29"/>
        <v>36</v>
      </c>
      <c r="AA127" s="40">
        <f t="shared" si="30"/>
        <v>183113250</v>
      </c>
      <c r="AB127" s="53"/>
      <c r="AC127" s="35" t="s">
        <v>58</v>
      </c>
      <c r="AD127" s="53"/>
      <c r="AE127" s="11"/>
      <c r="AH127" s="25"/>
    </row>
    <row r="128" spans="1:34" ht="150">
      <c r="A128" s="16"/>
      <c r="B128" s="17"/>
      <c r="C128" s="113" t="s">
        <v>209</v>
      </c>
      <c r="D128" s="113" t="s">
        <v>284</v>
      </c>
      <c r="E128" s="20">
        <f>J128*2</f>
        <v>0</v>
      </c>
      <c r="F128" s="21" t="s">
        <v>57</v>
      </c>
      <c r="G128" s="23">
        <v>5000000</v>
      </c>
      <c r="H128" s="44">
        <v>1</v>
      </c>
      <c r="I128" s="22">
        <v>2500000</v>
      </c>
      <c r="J128" s="20"/>
      <c r="K128" s="23"/>
      <c r="L128" s="20"/>
      <c r="M128" s="23"/>
      <c r="N128" s="20"/>
      <c r="O128" s="23"/>
      <c r="P128" s="20"/>
      <c r="Q128" s="23"/>
      <c r="R128" s="20"/>
      <c r="S128" s="23"/>
      <c r="T128" s="54"/>
      <c r="U128" s="54"/>
      <c r="V128" s="35"/>
      <c r="W128" s="40"/>
      <c r="X128" s="53"/>
      <c r="Y128" s="35"/>
      <c r="Z128" s="54">
        <f t="shared" si="29"/>
        <v>1</v>
      </c>
      <c r="AA128" s="40">
        <f t="shared" si="30"/>
        <v>2500000</v>
      </c>
      <c r="AB128" s="53"/>
      <c r="AC128" s="35" t="s">
        <v>58</v>
      </c>
      <c r="AD128" s="53"/>
      <c r="AE128" s="11"/>
      <c r="AH128" s="25"/>
    </row>
    <row r="129" spans="1:37" customFormat="1" ht="122.25" customHeight="1">
      <c r="A129" s="131">
        <v>1</v>
      </c>
      <c r="B129" s="132" t="s">
        <v>290</v>
      </c>
      <c r="C129" s="133" t="s">
        <v>68</v>
      </c>
      <c r="D129" s="132" t="s">
        <v>291</v>
      </c>
      <c r="E129" s="134" t="s">
        <v>292</v>
      </c>
      <c r="F129" s="135" t="s">
        <v>293</v>
      </c>
      <c r="G129" s="136">
        <f>G134+G139+G145+G148+G158+G164+G170</f>
        <v>160408096243</v>
      </c>
      <c r="H129" s="137">
        <v>27.58</v>
      </c>
      <c r="I129" s="136">
        <f>I134+I139+I145+I148+I158+I164+I170</f>
        <v>72201257368</v>
      </c>
      <c r="J129" s="134" t="s">
        <v>292</v>
      </c>
      <c r="K129" s="136">
        <f>K134+K139+K145+K148+K158+K164+K170</f>
        <v>80208489871.449997</v>
      </c>
      <c r="L129" s="137"/>
      <c r="M129" s="136">
        <f>M134+M139+M148+M158+M164</f>
        <v>11678974622</v>
      </c>
      <c r="N129" s="138"/>
      <c r="O129" s="136">
        <f>O134+O139+O148+O158+O164</f>
        <v>19422263095</v>
      </c>
      <c r="P129" s="138"/>
      <c r="Q129" s="136">
        <f>Q134+Q139+Q148+Q158+Q164</f>
        <v>17706772045</v>
      </c>
      <c r="R129" s="137"/>
      <c r="S129" s="136">
        <f>S134+S139+S148+S158+S164</f>
        <v>16912387313</v>
      </c>
      <c r="T129" s="139">
        <f t="shared" ref="T129:T137" si="31">SUM(L129,N129,P129,R129)</f>
        <v>0</v>
      </c>
      <c r="U129" s="139">
        <f>T129/26*100</f>
        <v>0</v>
      </c>
      <c r="V129" s="139" t="s">
        <v>58</v>
      </c>
      <c r="W129" s="140">
        <f>SUM(M129,O129,Q129,S129)</f>
        <v>65720397075</v>
      </c>
      <c r="X129" s="141">
        <f>W129/K129*100</f>
        <v>81.936958519391098</v>
      </c>
      <c r="Y129" s="131" t="s">
        <v>58</v>
      </c>
      <c r="Z129" s="139">
        <f t="shared" si="29"/>
        <v>27.58</v>
      </c>
      <c r="AA129" s="140">
        <f>SUM(I129,W129)</f>
        <v>137921654443</v>
      </c>
      <c r="AB129" s="142">
        <f>Z129/26*100</f>
        <v>106.07692307692307</v>
      </c>
      <c r="AC129" s="143" t="s">
        <v>58</v>
      </c>
      <c r="AD129" s="141">
        <f>AA129/G129*100</f>
        <v>85.981728898561585</v>
      </c>
      <c r="AE129" s="144" t="s">
        <v>294</v>
      </c>
      <c r="AF129" s="78"/>
      <c r="AG129" s="78"/>
      <c r="AH129" s="145">
        <f>M129+O129+Q129+S129</f>
        <v>65720397075</v>
      </c>
      <c r="AI129" s="78"/>
      <c r="AJ129" s="78"/>
      <c r="AK129" s="78"/>
    </row>
    <row r="130" spans="1:37" customFormat="1" ht="122.25" customHeight="1">
      <c r="A130" s="131"/>
      <c r="B130" s="132" t="s">
        <v>295</v>
      </c>
      <c r="C130" s="133"/>
      <c r="D130" s="132" t="s">
        <v>296</v>
      </c>
      <c r="E130" s="146" t="s">
        <v>297</v>
      </c>
      <c r="F130" s="135" t="s">
        <v>293</v>
      </c>
      <c r="G130" s="136"/>
      <c r="H130" s="137">
        <v>21.88</v>
      </c>
      <c r="I130" s="136"/>
      <c r="J130" s="146" t="s">
        <v>297</v>
      </c>
      <c r="K130" s="136"/>
      <c r="L130" s="137"/>
      <c r="M130" s="136"/>
      <c r="N130" s="138"/>
      <c r="O130" s="136"/>
      <c r="P130" s="138"/>
      <c r="Q130" s="136"/>
      <c r="R130" s="137"/>
      <c r="S130" s="136"/>
      <c r="T130" s="139">
        <f t="shared" si="31"/>
        <v>0</v>
      </c>
      <c r="U130" s="139">
        <f>T130/22*100</f>
        <v>0</v>
      </c>
      <c r="V130" s="139"/>
      <c r="W130" s="140"/>
      <c r="X130" s="131"/>
      <c r="Y130" s="131"/>
      <c r="Z130" s="139">
        <f t="shared" si="29"/>
        <v>21.88</v>
      </c>
      <c r="AA130" s="140"/>
      <c r="AB130" s="142">
        <f>Z130/22*100</f>
        <v>99.454545454545453</v>
      </c>
      <c r="AC130" s="143" t="s">
        <v>58</v>
      </c>
      <c r="AD130" s="131"/>
      <c r="AE130" s="144"/>
      <c r="AF130" s="78"/>
      <c r="AG130" s="78"/>
      <c r="AH130" s="145"/>
      <c r="AI130" s="78"/>
      <c r="AJ130" s="78"/>
      <c r="AK130" s="78"/>
    </row>
    <row r="131" spans="1:37" customFormat="1" ht="122.25" customHeight="1">
      <c r="A131" s="131"/>
      <c r="B131" s="132" t="s">
        <v>298</v>
      </c>
      <c r="C131" s="133"/>
      <c r="D131" s="132" t="s">
        <v>299</v>
      </c>
      <c r="E131" s="146" t="s">
        <v>300</v>
      </c>
      <c r="F131" s="135" t="s">
        <v>293</v>
      </c>
      <c r="G131" s="136"/>
      <c r="H131" s="137">
        <v>12</v>
      </c>
      <c r="I131" s="136"/>
      <c r="J131" s="146" t="s">
        <v>300</v>
      </c>
      <c r="K131" s="136"/>
      <c r="L131" s="137"/>
      <c r="M131" s="136"/>
      <c r="N131" s="138"/>
      <c r="O131" s="136"/>
      <c r="P131" s="138"/>
      <c r="Q131" s="136"/>
      <c r="R131" s="137"/>
      <c r="S131" s="136"/>
      <c r="T131" s="139">
        <f t="shared" si="31"/>
        <v>0</v>
      </c>
      <c r="U131" s="139">
        <f>T131/12*100</f>
        <v>0</v>
      </c>
      <c r="V131" s="139"/>
      <c r="W131" s="140"/>
      <c r="X131" s="131"/>
      <c r="Y131" s="131"/>
      <c r="Z131" s="139">
        <f t="shared" si="29"/>
        <v>12</v>
      </c>
      <c r="AA131" s="140"/>
      <c r="AB131" s="142">
        <f>Z131/12*100</f>
        <v>100</v>
      </c>
      <c r="AC131" s="143" t="s">
        <v>58</v>
      </c>
      <c r="AD131" s="131"/>
      <c r="AE131" s="144"/>
      <c r="AF131" s="78"/>
      <c r="AG131" s="78"/>
      <c r="AH131" s="145"/>
      <c r="AI131" s="78"/>
      <c r="AJ131" s="78"/>
      <c r="AK131" s="78"/>
    </row>
    <row r="132" spans="1:37" customFormat="1" ht="122.25" customHeight="1">
      <c r="A132" s="131"/>
      <c r="B132" s="132" t="s">
        <v>301</v>
      </c>
      <c r="C132" s="133"/>
      <c r="D132" s="132" t="s">
        <v>302</v>
      </c>
      <c r="E132" s="146" t="s">
        <v>303</v>
      </c>
      <c r="F132" s="135" t="s">
        <v>293</v>
      </c>
      <c r="G132" s="136"/>
      <c r="H132" s="137">
        <v>7.83</v>
      </c>
      <c r="I132" s="136"/>
      <c r="J132" s="146" t="s">
        <v>304</v>
      </c>
      <c r="K132" s="136"/>
      <c r="L132" s="137"/>
      <c r="M132" s="136"/>
      <c r="N132" s="138"/>
      <c r="O132" s="136"/>
      <c r="P132" s="138"/>
      <c r="Q132" s="136"/>
      <c r="R132" s="137"/>
      <c r="S132" s="136"/>
      <c r="T132" s="139">
        <f t="shared" si="31"/>
        <v>0</v>
      </c>
      <c r="U132" s="139">
        <f>T132/8.5*100</f>
        <v>0</v>
      </c>
      <c r="V132" s="139"/>
      <c r="W132" s="140"/>
      <c r="X132" s="131"/>
      <c r="Y132" s="131"/>
      <c r="Z132" s="139">
        <f t="shared" si="29"/>
        <v>7.83</v>
      </c>
      <c r="AA132" s="140"/>
      <c r="AB132" s="142">
        <f>Z132/8.5*100</f>
        <v>92.117647058823522</v>
      </c>
      <c r="AC132" s="143" t="s">
        <v>58</v>
      </c>
      <c r="AD132" s="131"/>
      <c r="AE132" s="144"/>
      <c r="AF132" s="78"/>
      <c r="AG132" s="78"/>
      <c r="AH132" s="145"/>
      <c r="AI132" s="78"/>
      <c r="AJ132" s="78"/>
      <c r="AK132" s="78"/>
    </row>
    <row r="133" spans="1:37" customFormat="1" ht="122.25" customHeight="1">
      <c r="A133" s="131"/>
      <c r="B133" s="147" t="s">
        <v>305</v>
      </c>
      <c r="C133" s="133"/>
      <c r="D133" s="132" t="s">
        <v>306</v>
      </c>
      <c r="E133" s="146" t="s">
        <v>307</v>
      </c>
      <c r="F133" s="135" t="s">
        <v>293</v>
      </c>
      <c r="G133" s="136"/>
      <c r="H133" s="137">
        <v>12.29</v>
      </c>
      <c r="I133" s="136"/>
      <c r="J133" s="146" t="s">
        <v>307</v>
      </c>
      <c r="K133" s="136"/>
      <c r="L133" s="137"/>
      <c r="M133" s="136"/>
      <c r="N133" s="138"/>
      <c r="O133" s="136"/>
      <c r="P133" s="138"/>
      <c r="Q133" s="136"/>
      <c r="R133" s="137"/>
      <c r="S133" s="136"/>
      <c r="T133" s="139">
        <f t="shared" si="31"/>
        <v>0</v>
      </c>
      <c r="U133" s="139">
        <f>T133/13*100</f>
        <v>0</v>
      </c>
      <c r="V133" s="139"/>
      <c r="W133" s="140"/>
      <c r="X133" s="131"/>
      <c r="Y133" s="131"/>
      <c r="Z133" s="139">
        <f t="shared" si="29"/>
        <v>12.29</v>
      </c>
      <c r="AA133" s="140"/>
      <c r="AB133" s="142">
        <f>Z133/13*100</f>
        <v>94.538461538461533</v>
      </c>
      <c r="AC133" s="143" t="s">
        <v>58</v>
      </c>
      <c r="AD133" s="131"/>
      <c r="AE133" s="144"/>
      <c r="AF133" s="78"/>
      <c r="AG133" s="78"/>
      <c r="AH133" s="145"/>
      <c r="AI133" s="78"/>
      <c r="AJ133" s="78"/>
      <c r="AK133" s="78"/>
    </row>
    <row r="134" spans="1:37" customFormat="1" ht="34.5" customHeight="1">
      <c r="A134" s="131">
        <v>2</v>
      </c>
      <c r="B134" s="133" t="s">
        <v>308</v>
      </c>
      <c r="C134" s="1083" t="s">
        <v>309</v>
      </c>
      <c r="D134" s="132" t="s">
        <v>310</v>
      </c>
      <c r="E134" s="146">
        <f>SUM(E136:E138)</f>
        <v>55</v>
      </c>
      <c r="F134" s="135" t="s">
        <v>55</v>
      </c>
      <c r="G134" s="1085">
        <f t="shared" ref="G134:M134" si="32">SUM(G136:G138)</f>
        <v>31962300</v>
      </c>
      <c r="H134" s="137">
        <f t="shared" si="32"/>
        <v>25</v>
      </c>
      <c r="I134" s="1085">
        <f t="shared" si="32"/>
        <v>10980000</v>
      </c>
      <c r="J134" s="137">
        <f t="shared" si="32"/>
        <v>15</v>
      </c>
      <c r="K134" s="1085">
        <f t="shared" si="32"/>
        <v>16050000</v>
      </c>
      <c r="L134" s="137">
        <f t="shared" si="32"/>
        <v>5</v>
      </c>
      <c r="M134" s="1085">
        <f t="shared" si="32"/>
        <v>0</v>
      </c>
      <c r="N134" s="137">
        <f t="shared" ref="N134:S134" si="33">N136+N137</f>
        <v>2</v>
      </c>
      <c r="O134" s="1085">
        <f t="shared" si="33"/>
        <v>2370500</v>
      </c>
      <c r="P134" s="137">
        <f t="shared" si="33"/>
        <v>4</v>
      </c>
      <c r="Q134" s="1085">
        <f t="shared" si="33"/>
        <v>779500</v>
      </c>
      <c r="R134" s="137">
        <f t="shared" si="33"/>
        <v>3</v>
      </c>
      <c r="S134" s="1085">
        <f t="shared" si="33"/>
        <v>9368400</v>
      </c>
      <c r="T134" s="139">
        <f t="shared" si="31"/>
        <v>14</v>
      </c>
      <c r="U134" s="148">
        <f t="shared" ref="U134:U137" si="34">T134/J134*100</f>
        <v>93.333333333333329</v>
      </c>
      <c r="V134" s="139" t="s">
        <v>58</v>
      </c>
      <c r="W134" s="1086">
        <f>SUM(M134,O134,Q134,S134)</f>
        <v>12518400</v>
      </c>
      <c r="X134" s="148">
        <f>W134/K134*100</f>
        <v>77.996261682243002</v>
      </c>
      <c r="Y134" s="139" t="s">
        <v>58</v>
      </c>
      <c r="Z134" s="139">
        <f t="shared" si="29"/>
        <v>39</v>
      </c>
      <c r="AA134" s="1086">
        <f>SUM(I134,W134)</f>
        <v>23498400</v>
      </c>
      <c r="AB134" s="149">
        <f t="shared" ref="AB134:AB196" si="35">Z134/E134*100</f>
        <v>70.909090909090907</v>
      </c>
      <c r="AC134" s="143" t="s">
        <v>58</v>
      </c>
      <c r="AD134" s="1084">
        <f>AA134/G134*100</f>
        <v>73.519114707014197</v>
      </c>
      <c r="AE134" s="150"/>
      <c r="AF134" s="78"/>
      <c r="AG134" s="78"/>
      <c r="AH134" s="145"/>
      <c r="AI134" s="78"/>
      <c r="AJ134" s="78"/>
      <c r="AK134" s="78"/>
    </row>
    <row r="135" spans="1:37" customFormat="1" ht="34.5" customHeight="1">
      <c r="A135" s="151"/>
      <c r="B135" s="147"/>
      <c r="C135" s="1081"/>
      <c r="D135" s="152" t="s">
        <v>311</v>
      </c>
      <c r="E135" s="146">
        <v>12</v>
      </c>
      <c r="F135" s="135" t="s">
        <v>55</v>
      </c>
      <c r="G135" s="1081"/>
      <c r="H135" s="137">
        <v>4</v>
      </c>
      <c r="I135" s="1081"/>
      <c r="J135" s="137">
        <v>4</v>
      </c>
      <c r="K135" s="1081"/>
      <c r="L135" s="137">
        <v>1</v>
      </c>
      <c r="M135" s="1081"/>
      <c r="N135" s="137">
        <v>1</v>
      </c>
      <c r="O135" s="1081"/>
      <c r="P135" s="137">
        <v>1</v>
      </c>
      <c r="Q135" s="1081"/>
      <c r="R135" s="137">
        <v>1</v>
      </c>
      <c r="S135" s="1081"/>
      <c r="T135" s="139">
        <f t="shared" si="31"/>
        <v>4</v>
      </c>
      <c r="U135" s="148">
        <f t="shared" si="34"/>
        <v>100</v>
      </c>
      <c r="V135" s="139" t="s">
        <v>58</v>
      </c>
      <c r="W135" s="1081"/>
      <c r="X135" s="148"/>
      <c r="Y135" s="139"/>
      <c r="Z135" s="139">
        <f t="shared" si="29"/>
        <v>8</v>
      </c>
      <c r="AA135" s="1081"/>
      <c r="AB135" s="149">
        <f t="shared" si="35"/>
        <v>66.666666666666657</v>
      </c>
      <c r="AC135" s="143" t="s">
        <v>58</v>
      </c>
      <c r="AD135" s="1081"/>
      <c r="AE135" s="150"/>
      <c r="AF135" s="78"/>
      <c r="AG135" s="78"/>
      <c r="AH135" s="145"/>
      <c r="AI135" s="78"/>
      <c r="AJ135" s="78"/>
      <c r="AK135" s="78"/>
    </row>
    <row r="136" spans="1:37" customFormat="1" ht="34.5" customHeight="1">
      <c r="A136" s="151"/>
      <c r="B136" s="147" t="s">
        <v>312</v>
      </c>
      <c r="C136" s="153" t="s">
        <v>69</v>
      </c>
      <c r="D136" s="154" t="s">
        <v>211</v>
      </c>
      <c r="E136" s="155">
        <v>30</v>
      </c>
      <c r="F136" s="156" t="s">
        <v>55</v>
      </c>
      <c r="G136" s="157">
        <v>23062500</v>
      </c>
      <c r="H136" s="158">
        <v>10</v>
      </c>
      <c r="I136" s="157">
        <v>6000000</v>
      </c>
      <c r="J136" s="158">
        <v>10</v>
      </c>
      <c r="K136" s="157">
        <v>12150000</v>
      </c>
      <c r="L136" s="158">
        <v>4</v>
      </c>
      <c r="M136" s="157">
        <v>0</v>
      </c>
      <c r="N136" s="158">
        <v>1</v>
      </c>
      <c r="O136" s="157">
        <v>1495500</v>
      </c>
      <c r="P136" s="158">
        <v>3</v>
      </c>
      <c r="Q136" s="157">
        <f>2275000-O136</f>
        <v>779500</v>
      </c>
      <c r="R136" s="158">
        <v>2</v>
      </c>
      <c r="S136" s="157">
        <f>11280900-O136-Q136</f>
        <v>9005900</v>
      </c>
      <c r="T136" s="143">
        <f t="shared" si="31"/>
        <v>10</v>
      </c>
      <c r="U136" s="143">
        <f t="shared" si="34"/>
        <v>100</v>
      </c>
      <c r="V136" s="143" t="s">
        <v>58</v>
      </c>
      <c r="W136" s="159">
        <f t="shared" ref="W136:W137" si="36">SUM(M136,O136,Q136,S136)</f>
        <v>11280900</v>
      </c>
      <c r="X136" s="160">
        <f t="shared" ref="X136:X137" si="37">W136/K136*100</f>
        <v>92.84691358024692</v>
      </c>
      <c r="Y136" s="143" t="s">
        <v>58</v>
      </c>
      <c r="Z136" s="143">
        <f t="shared" si="29"/>
        <v>20</v>
      </c>
      <c r="AA136" s="159">
        <f t="shared" ref="AA136:AA139" si="38">SUM(I136,W136)</f>
        <v>17280900</v>
      </c>
      <c r="AB136" s="149">
        <f t="shared" si="35"/>
        <v>66.666666666666657</v>
      </c>
      <c r="AC136" s="143" t="s">
        <v>58</v>
      </c>
      <c r="AD136" s="161">
        <f t="shared" ref="AD136:AD137" si="39">AA136/G136*100</f>
        <v>74.930731707317079</v>
      </c>
      <c r="AE136" s="162"/>
      <c r="AF136" s="1"/>
      <c r="AG136" s="1"/>
      <c r="AH136" s="163"/>
      <c r="AI136" s="1"/>
      <c r="AJ136" s="1"/>
      <c r="AK136" s="1"/>
    </row>
    <row r="137" spans="1:37" customFormat="1" ht="34.5" customHeight="1">
      <c r="A137" s="151"/>
      <c r="B137" s="147" t="s">
        <v>313</v>
      </c>
      <c r="C137" s="153" t="s">
        <v>70</v>
      </c>
      <c r="D137" s="154" t="s">
        <v>212</v>
      </c>
      <c r="E137" s="155">
        <v>15</v>
      </c>
      <c r="F137" s="156" t="s">
        <v>55</v>
      </c>
      <c r="G137" s="157">
        <v>8899800</v>
      </c>
      <c r="H137" s="158">
        <v>5</v>
      </c>
      <c r="I137" s="157"/>
      <c r="J137" s="158">
        <v>5</v>
      </c>
      <c r="K137" s="157">
        <v>3900000</v>
      </c>
      <c r="L137" s="158">
        <v>1</v>
      </c>
      <c r="M137" s="157">
        <v>0</v>
      </c>
      <c r="N137" s="158">
        <v>1</v>
      </c>
      <c r="O137" s="157">
        <v>875000</v>
      </c>
      <c r="P137" s="158">
        <v>1</v>
      </c>
      <c r="Q137" s="157">
        <v>0</v>
      </c>
      <c r="R137" s="158">
        <v>1</v>
      </c>
      <c r="S137" s="157">
        <f>1237500-O137</f>
        <v>362500</v>
      </c>
      <c r="T137" s="143">
        <f t="shared" si="31"/>
        <v>4</v>
      </c>
      <c r="U137" s="143">
        <f t="shared" si="34"/>
        <v>80</v>
      </c>
      <c r="V137" s="143" t="s">
        <v>58</v>
      </c>
      <c r="W137" s="159">
        <f t="shared" si="36"/>
        <v>1237500</v>
      </c>
      <c r="X137" s="160">
        <f t="shared" si="37"/>
        <v>31.73076923076923</v>
      </c>
      <c r="Y137" s="143" t="s">
        <v>58</v>
      </c>
      <c r="Z137" s="143">
        <f t="shared" si="29"/>
        <v>9</v>
      </c>
      <c r="AA137" s="159">
        <f t="shared" si="38"/>
        <v>1237500</v>
      </c>
      <c r="AB137" s="149">
        <f t="shared" si="35"/>
        <v>60</v>
      </c>
      <c r="AC137" s="143" t="s">
        <v>58</v>
      </c>
      <c r="AD137" s="161">
        <f t="shared" si="39"/>
        <v>13.904806849592125</v>
      </c>
      <c r="AE137" s="162"/>
      <c r="AF137" s="1"/>
      <c r="AG137" s="1"/>
      <c r="AH137" s="163"/>
      <c r="AI137" s="1"/>
      <c r="AJ137" s="1"/>
      <c r="AK137" s="1"/>
    </row>
    <row r="138" spans="1:37" customFormat="1" ht="279.75" customHeight="1">
      <c r="A138" s="151"/>
      <c r="B138" s="147" t="s">
        <v>314</v>
      </c>
      <c r="C138" s="153" t="s">
        <v>315</v>
      </c>
      <c r="D138" s="154" t="s">
        <v>316</v>
      </c>
      <c r="E138" s="155">
        <v>10</v>
      </c>
      <c r="F138" s="156" t="s">
        <v>173</v>
      </c>
      <c r="G138" s="157">
        <v>0</v>
      </c>
      <c r="H138" s="158">
        <v>10</v>
      </c>
      <c r="I138" s="157">
        <v>4980000</v>
      </c>
      <c r="J138" s="158"/>
      <c r="K138" s="157"/>
      <c r="L138" s="158"/>
      <c r="M138" s="157"/>
      <c r="N138" s="158"/>
      <c r="O138" s="157"/>
      <c r="P138" s="158"/>
      <c r="Q138" s="157"/>
      <c r="R138" s="158"/>
      <c r="S138" s="157"/>
      <c r="T138" s="143"/>
      <c r="U138" s="143"/>
      <c r="V138" s="143"/>
      <c r="W138" s="159"/>
      <c r="X138" s="164"/>
      <c r="Y138" s="143"/>
      <c r="Z138" s="143">
        <f t="shared" si="29"/>
        <v>10</v>
      </c>
      <c r="AA138" s="159">
        <f t="shared" si="38"/>
        <v>4980000</v>
      </c>
      <c r="AB138" s="149">
        <f t="shared" si="35"/>
        <v>100</v>
      </c>
      <c r="AC138" s="143" t="s">
        <v>58</v>
      </c>
      <c r="AD138" s="143">
        <v>100</v>
      </c>
      <c r="AE138" s="162"/>
      <c r="AF138" s="1"/>
      <c r="AG138" s="1"/>
      <c r="AH138" s="163"/>
      <c r="AI138" s="1"/>
      <c r="AJ138" s="1"/>
      <c r="AK138" s="1"/>
    </row>
    <row r="139" spans="1:37" customFormat="1" ht="99" customHeight="1">
      <c r="A139" s="151"/>
      <c r="B139" s="1083" t="s">
        <v>317</v>
      </c>
      <c r="C139" s="1089" t="s">
        <v>71</v>
      </c>
      <c r="D139" s="132" t="s">
        <v>318</v>
      </c>
      <c r="E139" s="166">
        <f>12*3</f>
        <v>36</v>
      </c>
      <c r="F139" s="167" t="s">
        <v>55</v>
      </c>
      <c r="G139" s="1085">
        <f>SUM(G144)</f>
        <v>144315686612</v>
      </c>
      <c r="H139" s="166">
        <v>12</v>
      </c>
      <c r="I139" s="1085">
        <f>SUM(I144)</f>
        <v>66502507313</v>
      </c>
      <c r="J139" s="166">
        <v>12</v>
      </c>
      <c r="K139" s="1085">
        <f>SUM(K144)</f>
        <v>72941282950</v>
      </c>
      <c r="L139" s="137">
        <v>3</v>
      </c>
      <c r="M139" s="1085">
        <f>SUM(M144)</f>
        <v>11309675865</v>
      </c>
      <c r="N139" s="137">
        <v>5</v>
      </c>
      <c r="O139" s="1085">
        <f>O144</f>
        <v>18814626936</v>
      </c>
      <c r="P139" s="137">
        <v>3</v>
      </c>
      <c r="Q139" s="1085">
        <f>Q144</f>
        <v>17258487267</v>
      </c>
      <c r="R139" s="137">
        <v>3</v>
      </c>
      <c r="S139" s="1085">
        <v>15940520142</v>
      </c>
      <c r="T139" s="139">
        <f t="shared" ref="T139:T143" si="40">SUM(L139,N139,P139,R139)</f>
        <v>14</v>
      </c>
      <c r="U139" s="148">
        <f t="shared" ref="U139:U192" si="41">T139/J139*100</f>
        <v>116.66666666666667</v>
      </c>
      <c r="V139" s="139" t="s">
        <v>58</v>
      </c>
      <c r="W139" s="1086">
        <f>SUM(M139,O139,Q139,S139)</f>
        <v>63323310210</v>
      </c>
      <c r="X139" s="1087">
        <f>W139/K139*100</f>
        <v>86.814088879416957</v>
      </c>
      <c r="Y139" s="1088" t="s">
        <v>58</v>
      </c>
      <c r="Z139" s="169">
        <f t="shared" si="29"/>
        <v>26</v>
      </c>
      <c r="AA139" s="1086">
        <f t="shared" si="38"/>
        <v>129825817523</v>
      </c>
      <c r="AB139" s="149">
        <f t="shared" si="35"/>
        <v>72.222222222222214</v>
      </c>
      <c r="AC139" s="143" t="s">
        <v>58</v>
      </c>
      <c r="AD139" s="1079">
        <f>AA139/G139*100</f>
        <v>89.959602154714659</v>
      </c>
      <c r="AE139" s="144"/>
      <c r="AF139" s="78"/>
      <c r="AG139" s="78"/>
      <c r="AH139" s="145">
        <f>M139+O139+Q139+S139</f>
        <v>63323310210</v>
      </c>
      <c r="AI139" s="78"/>
      <c r="AJ139" s="78"/>
      <c r="AK139" s="78"/>
    </row>
    <row r="140" spans="1:37" customFormat="1" ht="99" customHeight="1">
      <c r="A140" s="151"/>
      <c r="B140" s="1080"/>
      <c r="C140" s="1080"/>
      <c r="D140" s="152" t="s">
        <v>319</v>
      </c>
      <c r="E140" s="166">
        <v>3</v>
      </c>
      <c r="F140" s="167" t="s">
        <v>55</v>
      </c>
      <c r="G140" s="1080"/>
      <c r="H140" s="166">
        <v>1</v>
      </c>
      <c r="I140" s="1080"/>
      <c r="J140" s="166">
        <v>1</v>
      </c>
      <c r="K140" s="1080"/>
      <c r="L140" s="137">
        <v>0</v>
      </c>
      <c r="M140" s="1080"/>
      <c r="N140" s="137">
        <v>0</v>
      </c>
      <c r="O140" s="1080"/>
      <c r="P140" s="137">
        <v>0</v>
      </c>
      <c r="Q140" s="1080"/>
      <c r="R140" s="137">
        <v>1</v>
      </c>
      <c r="S140" s="1080"/>
      <c r="T140" s="139">
        <f t="shared" si="40"/>
        <v>1</v>
      </c>
      <c r="U140" s="148">
        <f t="shared" si="41"/>
        <v>100</v>
      </c>
      <c r="V140" s="139" t="s">
        <v>58</v>
      </c>
      <c r="W140" s="1080"/>
      <c r="X140" s="1080"/>
      <c r="Y140" s="1080"/>
      <c r="Z140" s="169">
        <f t="shared" si="29"/>
        <v>2</v>
      </c>
      <c r="AA140" s="1080"/>
      <c r="AB140" s="149">
        <f t="shared" si="35"/>
        <v>66.666666666666657</v>
      </c>
      <c r="AC140" s="143" t="s">
        <v>58</v>
      </c>
      <c r="AD140" s="1080"/>
      <c r="AE140" s="144"/>
      <c r="AF140" s="78"/>
      <c r="AG140" s="78"/>
      <c r="AH140" s="145"/>
      <c r="AI140" s="78"/>
      <c r="AJ140" s="78"/>
      <c r="AK140" s="78"/>
    </row>
    <row r="141" spans="1:37" customFormat="1" ht="99" customHeight="1">
      <c r="A141" s="151"/>
      <c r="B141" s="1080"/>
      <c r="C141" s="1080"/>
      <c r="D141" s="152" t="s">
        <v>320</v>
      </c>
      <c r="E141" s="166">
        <f>16*3</f>
        <v>48</v>
      </c>
      <c r="F141" s="167" t="s">
        <v>55</v>
      </c>
      <c r="G141" s="1080"/>
      <c r="H141" s="166">
        <v>16</v>
      </c>
      <c r="I141" s="1080"/>
      <c r="J141" s="166">
        <v>16</v>
      </c>
      <c r="K141" s="1080"/>
      <c r="L141" s="137">
        <v>4</v>
      </c>
      <c r="M141" s="1080"/>
      <c r="N141" s="137">
        <v>4</v>
      </c>
      <c r="O141" s="1080"/>
      <c r="P141" s="137">
        <v>4</v>
      </c>
      <c r="Q141" s="1080"/>
      <c r="R141" s="137">
        <v>4</v>
      </c>
      <c r="S141" s="1080"/>
      <c r="T141" s="139">
        <f t="shared" si="40"/>
        <v>16</v>
      </c>
      <c r="U141" s="148">
        <f t="shared" si="41"/>
        <v>100</v>
      </c>
      <c r="V141" s="139" t="s">
        <v>58</v>
      </c>
      <c r="W141" s="1080"/>
      <c r="X141" s="1080"/>
      <c r="Y141" s="1080"/>
      <c r="Z141" s="169">
        <f t="shared" si="29"/>
        <v>32</v>
      </c>
      <c r="AA141" s="1080"/>
      <c r="AB141" s="149">
        <f t="shared" si="35"/>
        <v>66.666666666666657</v>
      </c>
      <c r="AC141" s="143" t="s">
        <v>58</v>
      </c>
      <c r="AD141" s="1080"/>
      <c r="AE141" s="144"/>
      <c r="AF141" s="78"/>
      <c r="AG141" s="78"/>
      <c r="AH141" s="145"/>
      <c r="AI141" s="78"/>
      <c r="AJ141" s="78"/>
      <c r="AK141" s="78"/>
    </row>
    <row r="142" spans="1:37" customFormat="1" ht="99" customHeight="1">
      <c r="A142" s="151"/>
      <c r="B142" s="1081"/>
      <c r="C142" s="1080"/>
      <c r="D142" s="152" t="s">
        <v>321</v>
      </c>
      <c r="E142" s="166">
        <v>3</v>
      </c>
      <c r="F142" s="167" t="s">
        <v>55</v>
      </c>
      <c r="G142" s="1080"/>
      <c r="H142" s="166">
        <v>1</v>
      </c>
      <c r="I142" s="1080"/>
      <c r="J142" s="166">
        <v>1</v>
      </c>
      <c r="K142" s="1080"/>
      <c r="L142" s="137">
        <v>0</v>
      </c>
      <c r="M142" s="1080"/>
      <c r="N142" s="137">
        <v>0</v>
      </c>
      <c r="O142" s="1080"/>
      <c r="P142" s="137">
        <v>0</v>
      </c>
      <c r="Q142" s="1080"/>
      <c r="R142" s="137">
        <v>1</v>
      </c>
      <c r="S142" s="1080"/>
      <c r="T142" s="139">
        <f t="shared" si="40"/>
        <v>1</v>
      </c>
      <c r="U142" s="148">
        <f t="shared" si="41"/>
        <v>100</v>
      </c>
      <c r="V142" s="139" t="s">
        <v>58</v>
      </c>
      <c r="W142" s="1080"/>
      <c r="X142" s="1080"/>
      <c r="Y142" s="1080"/>
      <c r="Z142" s="169">
        <f t="shared" si="29"/>
        <v>2</v>
      </c>
      <c r="AA142" s="1080"/>
      <c r="AB142" s="149">
        <f t="shared" si="35"/>
        <v>66.666666666666657</v>
      </c>
      <c r="AC142" s="143" t="s">
        <v>58</v>
      </c>
      <c r="AD142" s="1080"/>
      <c r="AE142" s="144"/>
      <c r="AF142" s="78"/>
      <c r="AG142" s="78"/>
      <c r="AH142" s="145"/>
      <c r="AI142" s="78"/>
      <c r="AJ142" s="78"/>
      <c r="AK142" s="78"/>
    </row>
    <row r="143" spans="1:37" customFormat="1" ht="99" customHeight="1">
      <c r="A143" s="151"/>
      <c r="B143" s="132" t="s">
        <v>322</v>
      </c>
      <c r="C143" s="1081"/>
      <c r="D143" s="152" t="s">
        <v>323</v>
      </c>
      <c r="E143" s="166">
        <v>36</v>
      </c>
      <c r="F143" s="167" t="s">
        <v>55</v>
      </c>
      <c r="G143" s="1081"/>
      <c r="H143" s="166">
        <v>12</v>
      </c>
      <c r="I143" s="1081"/>
      <c r="J143" s="166">
        <v>12</v>
      </c>
      <c r="K143" s="1081"/>
      <c r="L143" s="137">
        <v>3</v>
      </c>
      <c r="M143" s="1081"/>
      <c r="N143" s="137">
        <v>3</v>
      </c>
      <c r="O143" s="1081"/>
      <c r="P143" s="137">
        <v>3</v>
      </c>
      <c r="Q143" s="1081"/>
      <c r="R143" s="137">
        <v>3</v>
      </c>
      <c r="S143" s="1081"/>
      <c r="T143" s="139">
        <f t="shared" si="40"/>
        <v>12</v>
      </c>
      <c r="U143" s="148">
        <f t="shared" si="41"/>
        <v>100</v>
      </c>
      <c r="V143" s="139" t="s">
        <v>58</v>
      </c>
      <c r="W143" s="1081"/>
      <c r="X143" s="1081"/>
      <c r="Y143" s="1081"/>
      <c r="Z143" s="169">
        <f t="shared" si="29"/>
        <v>24</v>
      </c>
      <c r="AA143" s="1081"/>
      <c r="AB143" s="149">
        <f t="shared" si="35"/>
        <v>66.666666666666657</v>
      </c>
      <c r="AC143" s="143" t="s">
        <v>58</v>
      </c>
      <c r="AD143" s="1081"/>
      <c r="AE143" s="144"/>
      <c r="AF143" s="78"/>
      <c r="AG143" s="78"/>
      <c r="AH143" s="145"/>
      <c r="AI143" s="78"/>
      <c r="AJ143" s="78"/>
      <c r="AK143" s="78"/>
    </row>
    <row r="144" spans="1:37" customFormat="1" ht="75">
      <c r="A144" s="151"/>
      <c r="B144" s="132" t="s">
        <v>324</v>
      </c>
      <c r="C144" s="153" t="s">
        <v>72</v>
      </c>
      <c r="D144" s="153" t="s">
        <v>325</v>
      </c>
      <c r="E144" s="155">
        <v>733</v>
      </c>
      <c r="F144" s="156" t="s">
        <v>326</v>
      </c>
      <c r="G144" s="157">
        <v>144315686612</v>
      </c>
      <c r="H144" s="158">
        <v>694</v>
      </c>
      <c r="I144" s="157">
        <v>66502507313</v>
      </c>
      <c r="J144" s="158">
        <v>773</v>
      </c>
      <c r="K144" s="157">
        <v>72941282950</v>
      </c>
      <c r="L144" s="158">
        <v>671</v>
      </c>
      <c r="M144" s="157">
        <v>11309675865</v>
      </c>
      <c r="N144" s="158">
        <v>700</v>
      </c>
      <c r="O144" s="157">
        <f>30124302801-M144</f>
        <v>18814626936</v>
      </c>
      <c r="P144" s="158">
        <v>770</v>
      </c>
      <c r="Q144" s="157">
        <f>47382790068-M144-O144</f>
        <v>17258487267</v>
      </c>
      <c r="R144" s="158">
        <v>764</v>
      </c>
      <c r="S144" s="157">
        <f>63323310210-M144-O144-Q144</f>
        <v>15940520142</v>
      </c>
      <c r="T144" s="142">
        <f t="shared" ref="T144:T145" si="42">AVERAGE(L144,N144,P144,R144)</f>
        <v>726.25</v>
      </c>
      <c r="U144" s="164">
        <f t="shared" si="41"/>
        <v>93.952134540750322</v>
      </c>
      <c r="V144" s="143" t="s">
        <v>58</v>
      </c>
      <c r="W144" s="159">
        <f t="shared" ref="W144:W145" si="43">SUM(M144,O144,Q144,S144)</f>
        <v>63323310210</v>
      </c>
      <c r="X144" s="164">
        <f t="shared" ref="X144:X145" si="44">W144/K144*100</f>
        <v>86.814088879416957</v>
      </c>
      <c r="Y144" s="143" t="s">
        <v>58</v>
      </c>
      <c r="Z144" s="142">
        <f t="shared" ref="Z144:Z145" si="45">AVERAGE(H144,T144)</f>
        <v>710.125</v>
      </c>
      <c r="AA144" s="159">
        <f t="shared" ref="AA144:AA145" si="46">SUM(I144,W144)</f>
        <v>129825817523</v>
      </c>
      <c r="AB144" s="149">
        <f t="shared" si="35"/>
        <v>96.879263301500686</v>
      </c>
      <c r="AC144" s="143" t="s">
        <v>58</v>
      </c>
      <c r="AD144" s="161">
        <f t="shared" ref="AD144:AD145" si="47">AA144/G144*100</f>
        <v>89.959602154714659</v>
      </c>
      <c r="AE144" s="162"/>
      <c r="AF144" s="1"/>
      <c r="AG144" s="1"/>
      <c r="AH144" s="163">
        <f t="shared" ref="AH144:AH145" si="48">M144+O144+Q144+S144</f>
        <v>63323310210</v>
      </c>
      <c r="AI144" s="1"/>
      <c r="AJ144" s="1"/>
      <c r="AK144" s="1"/>
    </row>
    <row r="145" spans="1:37" customFormat="1" ht="94.5">
      <c r="A145" s="151"/>
      <c r="B145" s="132" t="s">
        <v>327</v>
      </c>
      <c r="C145" s="1083" t="s">
        <v>328</v>
      </c>
      <c r="D145" s="132" t="s">
        <v>329</v>
      </c>
      <c r="E145" s="166">
        <v>100</v>
      </c>
      <c r="F145" s="167" t="s">
        <v>58</v>
      </c>
      <c r="G145" s="1085">
        <f>SUM(G147)</f>
        <v>38925000</v>
      </c>
      <c r="H145" s="166">
        <v>100</v>
      </c>
      <c r="I145" s="1085">
        <f>SUM(I147)</f>
        <v>12975000</v>
      </c>
      <c r="J145" s="166">
        <v>100</v>
      </c>
      <c r="K145" s="1085">
        <f>SUM(K147)</f>
        <v>12975000</v>
      </c>
      <c r="L145" s="137">
        <v>100</v>
      </c>
      <c r="M145" s="1085">
        <f>SUM(M147)</f>
        <v>0</v>
      </c>
      <c r="N145" s="137">
        <v>100</v>
      </c>
      <c r="O145" s="1085">
        <f>O147</f>
        <v>0</v>
      </c>
      <c r="P145" s="137">
        <v>100</v>
      </c>
      <c r="Q145" s="1085">
        <f>Q147</f>
        <v>0</v>
      </c>
      <c r="R145" s="137">
        <v>100</v>
      </c>
      <c r="S145" s="1085">
        <v>0</v>
      </c>
      <c r="T145" s="139">
        <f t="shared" si="42"/>
        <v>100</v>
      </c>
      <c r="U145" s="148">
        <f t="shared" si="41"/>
        <v>100</v>
      </c>
      <c r="V145" s="139" t="s">
        <v>58</v>
      </c>
      <c r="W145" s="1086">
        <f t="shared" si="43"/>
        <v>0</v>
      </c>
      <c r="X145" s="1087">
        <f t="shared" si="44"/>
        <v>0</v>
      </c>
      <c r="Y145" s="1088" t="s">
        <v>58</v>
      </c>
      <c r="Z145" s="169">
        <f t="shared" si="45"/>
        <v>100</v>
      </c>
      <c r="AA145" s="1086">
        <f t="shared" si="46"/>
        <v>12975000</v>
      </c>
      <c r="AB145" s="149">
        <f t="shared" si="35"/>
        <v>100</v>
      </c>
      <c r="AC145" s="143" t="s">
        <v>58</v>
      </c>
      <c r="AD145" s="1084">
        <f t="shared" si="47"/>
        <v>33.333333333333329</v>
      </c>
      <c r="AE145" s="144"/>
      <c r="AF145" s="78"/>
      <c r="AG145" s="78"/>
      <c r="AH145" s="145">
        <f t="shared" si="48"/>
        <v>0</v>
      </c>
      <c r="AI145" s="78"/>
      <c r="AJ145" s="78"/>
      <c r="AK145" s="78"/>
    </row>
    <row r="146" spans="1:37" customFormat="1" ht="189">
      <c r="A146" s="151"/>
      <c r="B146" s="132" t="s">
        <v>330</v>
      </c>
      <c r="C146" s="1081"/>
      <c r="D146" s="152" t="s">
        <v>331</v>
      </c>
      <c r="E146" s="166">
        <v>36</v>
      </c>
      <c r="F146" s="167" t="s">
        <v>173</v>
      </c>
      <c r="G146" s="1081"/>
      <c r="H146" s="166">
        <v>12</v>
      </c>
      <c r="I146" s="1081"/>
      <c r="J146" s="170">
        <v>12</v>
      </c>
      <c r="K146" s="1081"/>
      <c r="L146" s="137">
        <v>3</v>
      </c>
      <c r="M146" s="1081"/>
      <c r="N146" s="137">
        <v>3</v>
      </c>
      <c r="O146" s="1081"/>
      <c r="P146" s="137">
        <v>3</v>
      </c>
      <c r="Q146" s="1081"/>
      <c r="R146" s="137">
        <v>3</v>
      </c>
      <c r="S146" s="1081"/>
      <c r="T146" s="139">
        <f t="shared" ref="T146:T169" si="49">SUM(L146,N146,P146,R146)</f>
        <v>12</v>
      </c>
      <c r="U146" s="148">
        <f t="shared" si="41"/>
        <v>100</v>
      </c>
      <c r="V146" s="139"/>
      <c r="W146" s="1081"/>
      <c r="X146" s="1081"/>
      <c r="Y146" s="1081"/>
      <c r="Z146" s="169">
        <f t="shared" ref="Z146:Z400" si="50">SUM(H146,T146)</f>
        <v>24</v>
      </c>
      <c r="AA146" s="1081"/>
      <c r="AB146" s="149">
        <f t="shared" si="35"/>
        <v>66.666666666666657</v>
      </c>
      <c r="AC146" s="143" t="s">
        <v>58</v>
      </c>
      <c r="AD146" s="1081"/>
      <c r="AE146" s="144"/>
      <c r="AF146" s="78"/>
      <c r="AG146" s="78"/>
      <c r="AH146" s="145"/>
      <c r="AI146" s="78"/>
      <c r="AJ146" s="78"/>
      <c r="AK146" s="78"/>
    </row>
    <row r="147" spans="1:37" customFormat="1" ht="94.5">
      <c r="A147" s="151"/>
      <c r="B147" s="132" t="s">
        <v>332</v>
      </c>
      <c r="C147" s="153" t="s">
        <v>333</v>
      </c>
      <c r="D147" s="153" t="s">
        <v>334</v>
      </c>
      <c r="E147" s="155">
        <f>4*3</f>
        <v>12</v>
      </c>
      <c r="F147" s="156" t="s">
        <v>55</v>
      </c>
      <c r="G147" s="157">
        <f>12975000*3</f>
        <v>38925000</v>
      </c>
      <c r="H147" s="158">
        <v>4</v>
      </c>
      <c r="I147" s="157">
        <v>12975000</v>
      </c>
      <c r="J147" s="158">
        <v>4</v>
      </c>
      <c r="K147" s="157">
        <v>12975000</v>
      </c>
      <c r="L147" s="158">
        <v>0</v>
      </c>
      <c r="M147" s="157">
        <v>0</v>
      </c>
      <c r="N147" s="158">
        <v>0</v>
      </c>
      <c r="O147" s="157">
        <v>0</v>
      </c>
      <c r="P147" s="158">
        <v>0</v>
      </c>
      <c r="Q147" s="157">
        <v>0</v>
      </c>
      <c r="R147" s="158">
        <v>0</v>
      </c>
      <c r="S147" s="157">
        <v>0</v>
      </c>
      <c r="T147" s="143">
        <f t="shared" si="49"/>
        <v>0</v>
      </c>
      <c r="U147" s="143">
        <f t="shared" si="41"/>
        <v>0</v>
      </c>
      <c r="V147" s="143" t="s">
        <v>58</v>
      </c>
      <c r="W147" s="159">
        <f t="shared" ref="W147:W148" si="51">SUM(M147,O147,Q147,S147)</f>
        <v>0</v>
      </c>
      <c r="X147" s="164">
        <f t="shared" ref="X147:X148" si="52">W147/K147*100</f>
        <v>0</v>
      </c>
      <c r="Y147" s="143" t="s">
        <v>58</v>
      </c>
      <c r="Z147" s="143">
        <f t="shared" si="50"/>
        <v>4</v>
      </c>
      <c r="AA147" s="159">
        <f t="shared" ref="AA147:AA148" si="53">SUM(I147,W147)</f>
        <v>12975000</v>
      </c>
      <c r="AB147" s="149">
        <f t="shared" si="35"/>
        <v>33.333333333333329</v>
      </c>
      <c r="AC147" s="143" t="s">
        <v>58</v>
      </c>
      <c r="AD147" s="143"/>
      <c r="AE147" s="162"/>
      <c r="AF147" s="1"/>
      <c r="AG147" s="1"/>
      <c r="AH147" s="163">
        <f>M147+O147+Q147+S147</f>
        <v>0</v>
      </c>
      <c r="AI147" s="1"/>
      <c r="AJ147" s="1"/>
      <c r="AK147" s="1"/>
    </row>
    <row r="148" spans="1:37" customFormat="1" ht="99" customHeight="1">
      <c r="A148" s="151"/>
      <c r="B148" s="147" t="s">
        <v>335</v>
      </c>
      <c r="C148" s="147" t="s">
        <v>76</v>
      </c>
      <c r="D148" s="132" t="s">
        <v>336</v>
      </c>
      <c r="E148" s="166">
        <v>100</v>
      </c>
      <c r="F148" s="167" t="s">
        <v>58</v>
      </c>
      <c r="G148" s="1085">
        <f>SUM(G153:G157)</f>
        <v>1175327935</v>
      </c>
      <c r="H148" s="166">
        <v>100</v>
      </c>
      <c r="I148" s="1085">
        <f>SUM(I153:I157)</f>
        <v>691486738</v>
      </c>
      <c r="J148" s="166">
        <v>100</v>
      </c>
      <c r="K148" s="1085">
        <f>SUM(K153:K157)</f>
        <v>589160050</v>
      </c>
      <c r="L148" s="166">
        <v>0</v>
      </c>
      <c r="M148" s="1085">
        <f>SUM(M153:M157)</f>
        <v>29938900</v>
      </c>
      <c r="N148" s="169">
        <v>100</v>
      </c>
      <c r="O148" s="1085">
        <f>SUM(O153:O157)</f>
        <v>146243050</v>
      </c>
      <c r="P148" s="169">
        <v>0</v>
      </c>
      <c r="Q148" s="1085">
        <f t="shared" ref="Q148:S148" si="54">SUM(Q153:Q157)</f>
        <v>41593013</v>
      </c>
      <c r="R148" s="171">
        <f t="shared" si="54"/>
        <v>12</v>
      </c>
      <c r="S148" s="1085">
        <f t="shared" si="54"/>
        <v>333123891</v>
      </c>
      <c r="T148" s="169">
        <f t="shared" si="49"/>
        <v>112</v>
      </c>
      <c r="U148" s="139">
        <f t="shared" si="41"/>
        <v>112.00000000000001</v>
      </c>
      <c r="V148" s="139" t="s">
        <v>58</v>
      </c>
      <c r="W148" s="1086">
        <f t="shared" si="51"/>
        <v>550898854</v>
      </c>
      <c r="X148" s="1087">
        <f t="shared" si="52"/>
        <v>93.505806104809722</v>
      </c>
      <c r="Y148" s="1088" t="s">
        <v>58</v>
      </c>
      <c r="Z148" s="169">
        <f t="shared" si="50"/>
        <v>212</v>
      </c>
      <c r="AA148" s="1086">
        <f t="shared" si="53"/>
        <v>1242385592</v>
      </c>
      <c r="AB148" s="149">
        <f t="shared" si="35"/>
        <v>212</v>
      </c>
      <c r="AC148" s="143" t="s">
        <v>58</v>
      </c>
      <c r="AD148" s="1088"/>
      <c r="AE148" s="150"/>
      <c r="AF148" s="78"/>
      <c r="AG148" s="78"/>
      <c r="AH148" s="145"/>
      <c r="AI148" s="78"/>
      <c r="AJ148" s="78"/>
      <c r="AK148" s="78"/>
    </row>
    <row r="149" spans="1:37" customFormat="1" ht="99" customHeight="1">
      <c r="A149" s="151"/>
      <c r="B149" s="147"/>
      <c r="C149" s="147"/>
      <c r="D149" s="132" t="s">
        <v>337</v>
      </c>
      <c r="E149" s="166">
        <v>100</v>
      </c>
      <c r="F149" s="167" t="s">
        <v>58</v>
      </c>
      <c r="G149" s="1080"/>
      <c r="H149" s="166">
        <v>100</v>
      </c>
      <c r="I149" s="1080"/>
      <c r="J149" s="166">
        <v>100</v>
      </c>
      <c r="K149" s="1080"/>
      <c r="L149" s="166">
        <v>25</v>
      </c>
      <c r="M149" s="1080"/>
      <c r="N149" s="169">
        <v>25</v>
      </c>
      <c r="O149" s="1080"/>
      <c r="P149" s="169">
        <v>46</v>
      </c>
      <c r="Q149" s="1080"/>
      <c r="R149" s="172">
        <v>3.8</v>
      </c>
      <c r="S149" s="1080"/>
      <c r="T149" s="148">
        <f t="shared" si="49"/>
        <v>99.8</v>
      </c>
      <c r="U149" s="139">
        <f t="shared" si="41"/>
        <v>99.8</v>
      </c>
      <c r="V149" s="139" t="s">
        <v>58</v>
      </c>
      <c r="W149" s="1080"/>
      <c r="X149" s="1080"/>
      <c r="Y149" s="1080"/>
      <c r="Z149" s="169">
        <f t="shared" si="50"/>
        <v>199.8</v>
      </c>
      <c r="AA149" s="1080"/>
      <c r="AB149" s="149">
        <f t="shared" si="35"/>
        <v>199.8</v>
      </c>
      <c r="AC149" s="143" t="s">
        <v>58</v>
      </c>
      <c r="AD149" s="1080"/>
      <c r="AE149" s="150"/>
      <c r="AF149" s="78"/>
      <c r="AG149" s="78"/>
      <c r="AH149" s="145"/>
      <c r="AI149" s="78"/>
      <c r="AJ149" s="78"/>
      <c r="AK149" s="78"/>
    </row>
    <row r="150" spans="1:37" customFormat="1" ht="99" customHeight="1">
      <c r="A150" s="151"/>
      <c r="B150" s="147"/>
      <c r="C150" s="147"/>
      <c r="D150" s="132" t="s">
        <v>338</v>
      </c>
      <c r="E150" s="166">
        <v>100</v>
      </c>
      <c r="F150" s="167" t="s">
        <v>58</v>
      </c>
      <c r="G150" s="1080"/>
      <c r="H150" s="166">
        <v>100</v>
      </c>
      <c r="I150" s="1080"/>
      <c r="J150" s="166">
        <v>100</v>
      </c>
      <c r="K150" s="1080"/>
      <c r="L150" s="173">
        <v>31.2</v>
      </c>
      <c r="M150" s="1080"/>
      <c r="N150" s="148">
        <v>29.5</v>
      </c>
      <c r="O150" s="1080"/>
      <c r="P150" s="148">
        <v>11.2</v>
      </c>
      <c r="Q150" s="1080"/>
      <c r="R150" s="171">
        <v>0</v>
      </c>
      <c r="S150" s="1080"/>
      <c r="T150" s="148">
        <f t="shared" si="49"/>
        <v>71.900000000000006</v>
      </c>
      <c r="U150" s="139">
        <f t="shared" si="41"/>
        <v>71.900000000000006</v>
      </c>
      <c r="V150" s="139" t="s">
        <v>58</v>
      </c>
      <c r="W150" s="1080"/>
      <c r="X150" s="1080"/>
      <c r="Y150" s="1080"/>
      <c r="Z150" s="169">
        <f t="shared" si="50"/>
        <v>171.9</v>
      </c>
      <c r="AA150" s="1080"/>
      <c r="AB150" s="149">
        <f t="shared" si="35"/>
        <v>171.9</v>
      </c>
      <c r="AC150" s="143" t="s">
        <v>58</v>
      </c>
      <c r="AD150" s="1080"/>
      <c r="AE150" s="150"/>
      <c r="AF150" s="78"/>
      <c r="AG150" s="78"/>
      <c r="AH150" s="145"/>
      <c r="AI150" s="78"/>
      <c r="AJ150" s="78"/>
      <c r="AK150" s="78"/>
    </row>
    <row r="151" spans="1:37" customFormat="1" ht="99" customHeight="1">
      <c r="A151" s="151"/>
      <c r="B151" s="147"/>
      <c r="C151" s="147"/>
      <c r="D151" s="132" t="s">
        <v>339</v>
      </c>
      <c r="E151" s="166">
        <v>100</v>
      </c>
      <c r="F151" s="167" t="s">
        <v>58</v>
      </c>
      <c r="G151" s="1080"/>
      <c r="H151" s="166">
        <v>100</v>
      </c>
      <c r="I151" s="1080"/>
      <c r="J151" s="166">
        <v>100</v>
      </c>
      <c r="K151" s="1080"/>
      <c r="L151" s="174">
        <v>4.2</v>
      </c>
      <c r="M151" s="1080"/>
      <c r="N151" s="148">
        <v>50.45</v>
      </c>
      <c r="O151" s="1080"/>
      <c r="P151" s="169">
        <v>0</v>
      </c>
      <c r="Q151" s="1080"/>
      <c r="R151" s="172">
        <v>4.7699999999999996</v>
      </c>
      <c r="S151" s="1080"/>
      <c r="T151" s="148">
        <f t="shared" si="49"/>
        <v>59.42</v>
      </c>
      <c r="U151" s="139">
        <f t="shared" si="41"/>
        <v>59.420000000000009</v>
      </c>
      <c r="V151" s="139" t="s">
        <v>58</v>
      </c>
      <c r="W151" s="1080"/>
      <c r="X151" s="1080"/>
      <c r="Y151" s="1080"/>
      <c r="Z151" s="169">
        <f t="shared" si="50"/>
        <v>159.42000000000002</v>
      </c>
      <c r="AA151" s="1080"/>
      <c r="AB151" s="149">
        <f t="shared" si="35"/>
        <v>159.42000000000002</v>
      </c>
      <c r="AC151" s="143" t="s">
        <v>58</v>
      </c>
      <c r="AD151" s="1080"/>
      <c r="AE151" s="150"/>
      <c r="AF151" s="78"/>
      <c r="AG151" s="78"/>
      <c r="AH151" s="145"/>
      <c r="AI151" s="78"/>
      <c r="AJ151" s="78"/>
      <c r="AK151" s="78"/>
    </row>
    <row r="152" spans="1:37" customFormat="1" ht="99" customHeight="1">
      <c r="A152" s="151"/>
      <c r="B152" s="147"/>
      <c r="C152" s="147"/>
      <c r="D152" s="132" t="s">
        <v>340</v>
      </c>
      <c r="E152" s="166">
        <v>100</v>
      </c>
      <c r="F152" s="167" t="s">
        <v>58</v>
      </c>
      <c r="G152" s="1081"/>
      <c r="H152" s="166">
        <v>100</v>
      </c>
      <c r="I152" s="1081"/>
      <c r="J152" s="166">
        <v>100</v>
      </c>
      <c r="K152" s="1081"/>
      <c r="L152" s="173">
        <v>11.97</v>
      </c>
      <c r="M152" s="1081"/>
      <c r="N152" s="148">
        <v>25.72</v>
      </c>
      <c r="O152" s="1081"/>
      <c r="P152" s="148">
        <v>7.07</v>
      </c>
      <c r="Q152" s="1081"/>
      <c r="R152" s="172">
        <v>52.88</v>
      </c>
      <c r="S152" s="1081"/>
      <c r="T152" s="148">
        <f t="shared" si="49"/>
        <v>97.64</v>
      </c>
      <c r="U152" s="139">
        <f t="shared" si="41"/>
        <v>97.64</v>
      </c>
      <c r="V152" s="139" t="s">
        <v>58</v>
      </c>
      <c r="W152" s="1081"/>
      <c r="X152" s="1081"/>
      <c r="Y152" s="1081"/>
      <c r="Z152" s="169">
        <f t="shared" si="50"/>
        <v>197.64</v>
      </c>
      <c r="AA152" s="1081"/>
      <c r="AB152" s="149">
        <f t="shared" si="35"/>
        <v>197.64</v>
      </c>
      <c r="AC152" s="143" t="s">
        <v>58</v>
      </c>
      <c r="AD152" s="1081"/>
      <c r="AE152" s="150"/>
      <c r="AF152" s="78"/>
      <c r="AG152" s="78"/>
      <c r="AH152" s="145"/>
      <c r="AI152" s="78"/>
      <c r="AJ152" s="78"/>
      <c r="AK152" s="78"/>
    </row>
    <row r="153" spans="1:37" customFormat="1" ht="117" customHeight="1">
      <c r="A153" s="151"/>
      <c r="B153" s="147" t="s">
        <v>341</v>
      </c>
      <c r="C153" s="154" t="s">
        <v>342</v>
      </c>
      <c r="D153" s="154" t="s">
        <v>343</v>
      </c>
      <c r="E153" s="155">
        <f t="shared" ref="E153:E157" si="55">12*3</f>
        <v>36</v>
      </c>
      <c r="F153" s="156" t="s">
        <v>59</v>
      </c>
      <c r="G153" s="157">
        <v>19800000</v>
      </c>
      <c r="H153" s="158">
        <v>12</v>
      </c>
      <c r="I153" s="157">
        <v>16294000</v>
      </c>
      <c r="J153" s="158">
        <v>12</v>
      </c>
      <c r="K153" s="157">
        <v>2400000</v>
      </c>
      <c r="L153" s="158">
        <v>0</v>
      </c>
      <c r="M153" s="157">
        <v>0</v>
      </c>
      <c r="N153" s="158">
        <v>12</v>
      </c>
      <c r="O153" s="157">
        <v>2400000</v>
      </c>
      <c r="P153" s="158">
        <v>0</v>
      </c>
      <c r="Q153" s="157">
        <v>0</v>
      </c>
      <c r="R153" s="158">
        <v>0</v>
      </c>
      <c r="S153" s="157">
        <v>0</v>
      </c>
      <c r="T153" s="143">
        <f t="shared" si="49"/>
        <v>12</v>
      </c>
      <c r="U153" s="143">
        <f t="shared" si="41"/>
        <v>100</v>
      </c>
      <c r="V153" s="143" t="s">
        <v>58</v>
      </c>
      <c r="W153" s="159">
        <f t="shared" ref="W153:W158" si="56">SUM(M153,O153,Q153,S153)</f>
        <v>2400000</v>
      </c>
      <c r="X153" s="164">
        <f t="shared" ref="X153:X158" si="57">W153/K153*100</f>
        <v>100</v>
      </c>
      <c r="Y153" s="143" t="s">
        <v>58</v>
      </c>
      <c r="Z153" s="143">
        <f t="shared" si="50"/>
        <v>24</v>
      </c>
      <c r="AA153" s="159">
        <f t="shared" ref="AA153:AA158" si="58">SUM(I153,W153)</f>
        <v>18694000</v>
      </c>
      <c r="AB153" s="149">
        <f t="shared" si="35"/>
        <v>66.666666666666657</v>
      </c>
      <c r="AC153" s="143" t="s">
        <v>58</v>
      </c>
      <c r="AD153" s="143"/>
      <c r="AE153" s="162"/>
      <c r="AF153" s="1"/>
      <c r="AG153" s="1"/>
      <c r="AH153" s="163"/>
      <c r="AI153" s="1"/>
      <c r="AJ153" s="1"/>
      <c r="AK153" s="1"/>
    </row>
    <row r="154" spans="1:37" customFormat="1" ht="117" customHeight="1">
      <c r="A154" s="151"/>
      <c r="B154" s="147" t="s">
        <v>344</v>
      </c>
      <c r="C154" s="154" t="s">
        <v>345</v>
      </c>
      <c r="D154" s="154" t="s">
        <v>217</v>
      </c>
      <c r="E154" s="155">
        <f t="shared" si="55"/>
        <v>36</v>
      </c>
      <c r="F154" s="156" t="s">
        <v>59</v>
      </c>
      <c r="G154" s="157">
        <v>423853408</v>
      </c>
      <c r="H154" s="158">
        <v>12</v>
      </c>
      <c r="I154" s="157">
        <v>316442450</v>
      </c>
      <c r="J154" s="158">
        <v>12</v>
      </c>
      <c r="K154" s="157">
        <v>132964800</v>
      </c>
      <c r="L154" s="158">
        <v>3</v>
      </c>
      <c r="M154" s="157">
        <v>18256200</v>
      </c>
      <c r="N154" s="158">
        <v>3</v>
      </c>
      <c r="O154" s="157">
        <f>22946750-M154</f>
        <v>4690550</v>
      </c>
      <c r="P154" s="158">
        <v>3</v>
      </c>
      <c r="Q154" s="157">
        <f>35863375-M154-O154</f>
        <v>12916625</v>
      </c>
      <c r="R154" s="158">
        <v>3</v>
      </c>
      <c r="S154" s="157">
        <f>124200361-M154-O154-Q154</f>
        <v>88336986</v>
      </c>
      <c r="T154" s="143">
        <f t="shared" si="49"/>
        <v>12</v>
      </c>
      <c r="U154" s="143">
        <f t="shared" si="41"/>
        <v>100</v>
      </c>
      <c r="V154" s="143" t="s">
        <v>58</v>
      </c>
      <c r="W154" s="159">
        <f t="shared" si="56"/>
        <v>124200361</v>
      </c>
      <c r="X154" s="164">
        <f t="shared" si="57"/>
        <v>93.408451710527899</v>
      </c>
      <c r="Y154" s="143" t="s">
        <v>58</v>
      </c>
      <c r="Z154" s="143">
        <f t="shared" si="50"/>
        <v>24</v>
      </c>
      <c r="AA154" s="159">
        <f t="shared" si="58"/>
        <v>440642811</v>
      </c>
      <c r="AB154" s="149">
        <f t="shared" si="35"/>
        <v>66.666666666666657</v>
      </c>
      <c r="AC154" s="143" t="s">
        <v>58</v>
      </c>
      <c r="AD154" s="143"/>
      <c r="AE154" s="162"/>
      <c r="AF154" s="1"/>
      <c r="AG154" s="1"/>
      <c r="AH154" s="163"/>
      <c r="AI154" s="1"/>
      <c r="AJ154" s="1"/>
      <c r="AK154" s="1"/>
    </row>
    <row r="155" spans="1:37" customFormat="1" ht="117" customHeight="1">
      <c r="A155" s="151"/>
      <c r="B155" s="147" t="s">
        <v>346</v>
      </c>
      <c r="C155" s="154" t="s">
        <v>347</v>
      </c>
      <c r="D155" s="153" t="s">
        <v>218</v>
      </c>
      <c r="E155" s="155">
        <f t="shared" si="55"/>
        <v>36</v>
      </c>
      <c r="F155" s="156" t="s">
        <v>59</v>
      </c>
      <c r="G155" s="175">
        <v>191120000</v>
      </c>
      <c r="H155" s="158">
        <v>12</v>
      </c>
      <c r="I155" s="175">
        <v>22361000</v>
      </c>
      <c r="J155" s="158">
        <v>12</v>
      </c>
      <c r="K155" s="157">
        <v>66830000</v>
      </c>
      <c r="L155" s="158">
        <v>3</v>
      </c>
      <c r="M155" s="157">
        <v>0</v>
      </c>
      <c r="N155" s="158">
        <v>3</v>
      </c>
      <c r="O155" s="157">
        <v>2870000</v>
      </c>
      <c r="P155" s="158">
        <v>3</v>
      </c>
      <c r="Q155" s="157">
        <f>4995000-O155</f>
        <v>2125000</v>
      </c>
      <c r="R155" s="158">
        <v>3</v>
      </c>
      <c r="S155" s="157">
        <f>51335500-M155-O155-Q155</f>
        <v>46340500</v>
      </c>
      <c r="T155" s="143">
        <f t="shared" si="49"/>
        <v>12</v>
      </c>
      <c r="U155" s="143">
        <f t="shared" si="41"/>
        <v>100</v>
      </c>
      <c r="V155" s="143" t="s">
        <v>58</v>
      </c>
      <c r="W155" s="159">
        <f t="shared" si="56"/>
        <v>51335500</v>
      </c>
      <c r="X155" s="164">
        <f t="shared" si="57"/>
        <v>76.815053119856344</v>
      </c>
      <c r="Y155" s="143" t="s">
        <v>58</v>
      </c>
      <c r="Z155" s="143">
        <f t="shared" si="50"/>
        <v>24</v>
      </c>
      <c r="AA155" s="159">
        <f t="shared" si="58"/>
        <v>73696500</v>
      </c>
      <c r="AB155" s="149">
        <f t="shared" si="35"/>
        <v>66.666666666666657</v>
      </c>
      <c r="AC155" s="143" t="s">
        <v>58</v>
      </c>
      <c r="AD155" s="143"/>
      <c r="AE155" s="162"/>
      <c r="AF155" s="1"/>
      <c r="AG155" s="1"/>
      <c r="AH155" s="163"/>
      <c r="AI155" s="1"/>
      <c r="AJ155" s="1"/>
      <c r="AK155" s="1"/>
    </row>
    <row r="156" spans="1:37" customFormat="1" ht="117" customHeight="1">
      <c r="A156" s="151"/>
      <c r="B156" s="147" t="s">
        <v>348</v>
      </c>
      <c r="C156" s="154" t="s">
        <v>349</v>
      </c>
      <c r="D156" s="153" t="s">
        <v>219</v>
      </c>
      <c r="E156" s="155">
        <f t="shared" si="55"/>
        <v>36</v>
      </c>
      <c r="F156" s="156" t="s">
        <v>59</v>
      </c>
      <c r="G156" s="157">
        <v>24804050</v>
      </c>
      <c r="H156" s="158">
        <v>12</v>
      </c>
      <c r="I156" s="157">
        <v>12224700</v>
      </c>
      <c r="J156" s="158">
        <v>12</v>
      </c>
      <c r="K156" s="157">
        <v>12579250</v>
      </c>
      <c r="L156" s="158">
        <v>3</v>
      </c>
      <c r="M156" s="157">
        <v>530000</v>
      </c>
      <c r="N156" s="158">
        <v>3</v>
      </c>
      <c r="O156" s="157">
        <v>6344800</v>
      </c>
      <c r="P156" s="158">
        <v>3</v>
      </c>
      <c r="Q156" s="157">
        <f>6874800-M156-O156</f>
        <v>0</v>
      </c>
      <c r="R156" s="158">
        <v>3</v>
      </c>
      <c r="S156" s="157">
        <f>7424800-M156-O156-Q156</f>
        <v>550000</v>
      </c>
      <c r="T156" s="143">
        <f t="shared" si="49"/>
        <v>12</v>
      </c>
      <c r="U156" s="143">
        <f t="shared" si="41"/>
        <v>100</v>
      </c>
      <c r="V156" s="143" t="s">
        <v>58</v>
      </c>
      <c r="W156" s="159">
        <f t="shared" si="56"/>
        <v>7424800</v>
      </c>
      <c r="X156" s="164">
        <f t="shared" si="57"/>
        <v>59.02418665659718</v>
      </c>
      <c r="Y156" s="143" t="s">
        <v>58</v>
      </c>
      <c r="Z156" s="143">
        <f t="shared" si="50"/>
        <v>24</v>
      </c>
      <c r="AA156" s="159">
        <f t="shared" si="58"/>
        <v>19649500</v>
      </c>
      <c r="AB156" s="149">
        <f t="shared" si="35"/>
        <v>66.666666666666657</v>
      </c>
      <c r="AC156" s="143" t="s">
        <v>58</v>
      </c>
      <c r="AD156" s="143"/>
      <c r="AE156" s="162"/>
      <c r="AF156" s="1"/>
      <c r="AG156" s="1"/>
      <c r="AH156" s="163"/>
      <c r="AI156" s="1"/>
      <c r="AJ156" s="1"/>
      <c r="AK156" s="1"/>
    </row>
    <row r="157" spans="1:37" customFormat="1" ht="117" customHeight="1">
      <c r="A157" s="151"/>
      <c r="B157" s="147" t="s">
        <v>350</v>
      </c>
      <c r="C157" s="154" t="s">
        <v>77</v>
      </c>
      <c r="D157" s="153" t="s">
        <v>220</v>
      </c>
      <c r="E157" s="155">
        <f t="shared" si="55"/>
        <v>36</v>
      </c>
      <c r="F157" s="156" t="s">
        <v>173</v>
      </c>
      <c r="G157" s="157">
        <v>515750477</v>
      </c>
      <c r="H157" s="158">
        <v>12</v>
      </c>
      <c r="I157" s="157">
        <v>324164588</v>
      </c>
      <c r="J157" s="158">
        <v>12</v>
      </c>
      <c r="K157" s="157">
        <v>374386000</v>
      </c>
      <c r="L157" s="158">
        <v>3</v>
      </c>
      <c r="M157" s="157">
        <v>11152700</v>
      </c>
      <c r="N157" s="158">
        <v>3</v>
      </c>
      <c r="O157" s="157">
        <f>141090400-M157</f>
        <v>129937700</v>
      </c>
      <c r="P157" s="158">
        <v>3</v>
      </c>
      <c r="Q157" s="157">
        <f>167641788-M157-O157</f>
        <v>26551388</v>
      </c>
      <c r="R157" s="158">
        <v>3</v>
      </c>
      <c r="S157" s="157">
        <f>365538193-M157-O157-Q157</f>
        <v>197896405</v>
      </c>
      <c r="T157" s="143">
        <f t="shared" si="49"/>
        <v>12</v>
      </c>
      <c r="U157" s="143">
        <f t="shared" si="41"/>
        <v>100</v>
      </c>
      <c r="V157" s="143" t="s">
        <v>58</v>
      </c>
      <c r="W157" s="159">
        <f t="shared" si="56"/>
        <v>365538193</v>
      </c>
      <c r="X157" s="164">
        <f t="shared" si="57"/>
        <v>97.636715315209429</v>
      </c>
      <c r="Y157" s="143" t="s">
        <v>58</v>
      </c>
      <c r="Z157" s="143">
        <f t="shared" si="50"/>
        <v>24</v>
      </c>
      <c r="AA157" s="159">
        <f t="shared" si="58"/>
        <v>689702781</v>
      </c>
      <c r="AB157" s="149">
        <f t="shared" si="35"/>
        <v>66.666666666666657</v>
      </c>
      <c r="AC157" s="143" t="s">
        <v>58</v>
      </c>
      <c r="AD157" s="143"/>
      <c r="AE157" s="162"/>
      <c r="AF157" s="1"/>
      <c r="AG157" s="1"/>
      <c r="AH157" s="163"/>
      <c r="AI157" s="1"/>
      <c r="AJ157" s="1"/>
      <c r="AK157" s="1"/>
    </row>
    <row r="158" spans="1:37" customFormat="1" ht="102" customHeight="1">
      <c r="A158" s="151"/>
      <c r="B158" s="147" t="s">
        <v>351</v>
      </c>
      <c r="C158" s="1083" t="s">
        <v>79</v>
      </c>
      <c r="D158" s="132" t="s">
        <v>352</v>
      </c>
      <c r="E158" s="146">
        <v>100</v>
      </c>
      <c r="F158" s="135" t="s">
        <v>58</v>
      </c>
      <c r="G158" s="1085">
        <f>SUM(G161:G163)</f>
        <v>3708012100</v>
      </c>
      <c r="H158" s="137">
        <v>100</v>
      </c>
      <c r="I158" s="1085">
        <f>SUM(I161:I163)</f>
        <v>1520845566</v>
      </c>
      <c r="J158" s="137">
        <v>100</v>
      </c>
      <c r="K158" s="1085">
        <f>SUM(K161:K163)</f>
        <v>1969094100</v>
      </c>
      <c r="L158" s="137">
        <v>0</v>
      </c>
      <c r="M158" s="1085">
        <f>SUM(M161:M163)</f>
        <v>225622928</v>
      </c>
      <c r="N158" s="169">
        <v>0</v>
      </c>
      <c r="O158" s="1085">
        <f>SUM(O161:O163)</f>
        <v>383839018</v>
      </c>
      <c r="P158" s="169">
        <v>0</v>
      </c>
      <c r="Q158" s="1085">
        <f t="shared" ref="Q158:S158" si="59">SUM(Q161:Q163)</f>
        <v>308220556</v>
      </c>
      <c r="R158" s="176">
        <v>83.11</v>
      </c>
      <c r="S158" s="1085">
        <f t="shared" si="59"/>
        <v>424698238</v>
      </c>
      <c r="T158" s="148">
        <f>SUM(L158,N158,P158,R158)</f>
        <v>83.11</v>
      </c>
      <c r="U158" s="139">
        <f t="shared" si="41"/>
        <v>83.11</v>
      </c>
      <c r="V158" s="139" t="s">
        <v>58</v>
      </c>
      <c r="W158" s="1086">
        <f t="shared" si="56"/>
        <v>1342380740</v>
      </c>
      <c r="X158" s="1088">
        <f t="shared" si="57"/>
        <v>68.172503284632256</v>
      </c>
      <c r="Y158" s="1088" t="s">
        <v>58</v>
      </c>
      <c r="Z158" s="139">
        <f t="shared" si="50"/>
        <v>183.11</v>
      </c>
      <c r="AA158" s="1086">
        <f t="shared" si="58"/>
        <v>2863226306</v>
      </c>
      <c r="AB158" s="149">
        <f t="shared" si="35"/>
        <v>183.11</v>
      </c>
      <c r="AC158" s="143" t="s">
        <v>58</v>
      </c>
      <c r="AD158" s="1084">
        <f>AA158/G158*100</f>
        <v>77.217285941434767</v>
      </c>
      <c r="AE158" s="150"/>
      <c r="AF158" s="78"/>
      <c r="AG158" s="78"/>
      <c r="AH158" s="145"/>
      <c r="AI158" s="78"/>
      <c r="AJ158" s="78"/>
      <c r="AK158" s="78"/>
    </row>
    <row r="159" spans="1:37" customFormat="1" ht="114.75" customHeight="1">
      <c r="A159" s="151"/>
      <c r="B159" s="147"/>
      <c r="C159" s="1080"/>
      <c r="D159" s="132" t="s">
        <v>353</v>
      </c>
      <c r="E159" s="146">
        <v>100</v>
      </c>
      <c r="F159" s="135" t="s">
        <v>58</v>
      </c>
      <c r="G159" s="1080"/>
      <c r="H159" s="137">
        <v>100</v>
      </c>
      <c r="I159" s="1080"/>
      <c r="J159" s="137">
        <v>100</v>
      </c>
      <c r="K159" s="1080"/>
      <c r="L159" s="137">
        <v>16.940000000000001</v>
      </c>
      <c r="M159" s="1080"/>
      <c r="N159" s="148">
        <v>17.829999999999998</v>
      </c>
      <c r="O159" s="1080"/>
      <c r="P159" s="148">
        <v>25.77</v>
      </c>
      <c r="Q159" s="1080"/>
      <c r="R159" s="176">
        <v>21.27</v>
      </c>
      <c r="S159" s="1080"/>
      <c r="T159" s="148">
        <f>SUM(L159,N159,P159,R159)</f>
        <v>81.809999999999988</v>
      </c>
      <c r="U159" s="139">
        <f t="shared" si="41"/>
        <v>81.809999999999988</v>
      </c>
      <c r="V159" s="139" t="s">
        <v>58</v>
      </c>
      <c r="W159" s="1080"/>
      <c r="X159" s="1080"/>
      <c r="Y159" s="1080"/>
      <c r="Z159" s="139">
        <f t="shared" si="50"/>
        <v>181.81</v>
      </c>
      <c r="AA159" s="1080"/>
      <c r="AB159" s="149">
        <f t="shared" si="35"/>
        <v>181.81</v>
      </c>
      <c r="AC159" s="143" t="s">
        <v>58</v>
      </c>
      <c r="AD159" s="1080"/>
      <c r="AE159" s="150"/>
      <c r="AF159" s="78"/>
      <c r="AG159" s="78"/>
      <c r="AH159" s="145"/>
      <c r="AI159" s="78"/>
      <c r="AJ159" s="78"/>
      <c r="AK159" s="78"/>
    </row>
    <row r="160" spans="1:37" customFormat="1" ht="102" customHeight="1">
      <c r="A160" s="151"/>
      <c r="B160" s="147"/>
      <c r="C160" s="1081"/>
      <c r="D160" s="132" t="s">
        <v>354</v>
      </c>
      <c r="E160" s="146">
        <v>100</v>
      </c>
      <c r="F160" s="135" t="s">
        <v>58</v>
      </c>
      <c r="G160" s="1081"/>
      <c r="H160" s="137">
        <v>100</v>
      </c>
      <c r="I160" s="1081"/>
      <c r="J160" s="137">
        <v>100</v>
      </c>
      <c r="K160" s="1081"/>
      <c r="L160" s="137">
        <v>17.760000000000002</v>
      </c>
      <c r="M160" s="1081"/>
      <c r="N160" s="148">
        <v>9.4600000000000009</v>
      </c>
      <c r="O160" s="1081"/>
      <c r="P160" s="148">
        <v>12.3</v>
      </c>
      <c r="Q160" s="1081"/>
      <c r="R160" s="176">
        <v>13.8</v>
      </c>
      <c r="S160" s="1081"/>
      <c r="T160" s="139">
        <f t="shared" si="49"/>
        <v>53.320000000000007</v>
      </c>
      <c r="U160" s="139">
        <f t="shared" si="41"/>
        <v>53.320000000000014</v>
      </c>
      <c r="V160" s="139" t="s">
        <v>58</v>
      </c>
      <c r="W160" s="1081"/>
      <c r="X160" s="1081"/>
      <c r="Y160" s="1081"/>
      <c r="Z160" s="139">
        <f t="shared" si="50"/>
        <v>153.32</v>
      </c>
      <c r="AA160" s="1081"/>
      <c r="AB160" s="149">
        <f t="shared" si="35"/>
        <v>153.32</v>
      </c>
      <c r="AC160" s="143" t="s">
        <v>58</v>
      </c>
      <c r="AD160" s="1081"/>
      <c r="AE160" s="150"/>
      <c r="AF160" s="78"/>
      <c r="AG160" s="78"/>
      <c r="AH160" s="145"/>
      <c r="AI160" s="78"/>
      <c r="AJ160" s="78"/>
      <c r="AK160" s="78"/>
    </row>
    <row r="161" spans="1:37" customFormat="1" ht="75">
      <c r="A161" s="151"/>
      <c r="B161" s="147" t="s">
        <v>355</v>
      </c>
      <c r="C161" s="154" t="s">
        <v>86</v>
      </c>
      <c r="D161" s="154" t="s">
        <v>222</v>
      </c>
      <c r="E161" s="155">
        <f t="shared" ref="E161:E163" si="60">12*3</f>
        <v>36</v>
      </c>
      <c r="F161" s="156" t="s">
        <v>173</v>
      </c>
      <c r="G161" s="157">
        <v>3815000</v>
      </c>
      <c r="H161" s="158">
        <v>12</v>
      </c>
      <c r="I161" s="157">
        <v>1890000</v>
      </c>
      <c r="J161" s="158">
        <v>12</v>
      </c>
      <c r="K161" s="157">
        <v>1925000</v>
      </c>
      <c r="L161" s="158">
        <v>3</v>
      </c>
      <c r="M161" s="157">
        <v>0</v>
      </c>
      <c r="N161" s="158">
        <v>3</v>
      </c>
      <c r="O161" s="157">
        <v>0</v>
      </c>
      <c r="P161" s="158">
        <v>3</v>
      </c>
      <c r="Q161" s="157">
        <v>0</v>
      </c>
      <c r="R161" s="158">
        <v>3</v>
      </c>
      <c r="S161" s="157">
        <v>1600000</v>
      </c>
      <c r="T161" s="143">
        <f t="shared" si="49"/>
        <v>12</v>
      </c>
      <c r="U161" s="143">
        <f t="shared" si="41"/>
        <v>100</v>
      </c>
      <c r="V161" s="143" t="s">
        <v>58</v>
      </c>
      <c r="W161" s="159">
        <f t="shared" ref="W161:W164" si="61">SUM(M161,O161,Q161,S161)</f>
        <v>1600000</v>
      </c>
      <c r="X161" s="143">
        <f t="shared" ref="X161:X164" si="62">W161/K161*100</f>
        <v>83.116883116883116</v>
      </c>
      <c r="Y161" s="143" t="s">
        <v>58</v>
      </c>
      <c r="Z161" s="143">
        <f t="shared" si="50"/>
        <v>24</v>
      </c>
      <c r="AA161" s="159">
        <f t="shared" ref="AA161:AA164" si="63">SUM(I161,W161)</f>
        <v>3490000</v>
      </c>
      <c r="AB161" s="149">
        <f t="shared" si="35"/>
        <v>66.666666666666657</v>
      </c>
      <c r="AC161" s="143" t="s">
        <v>58</v>
      </c>
      <c r="AD161" s="161">
        <f t="shared" ref="AD161:AD164" si="64">AA161/G161*100</f>
        <v>91.480996068152038</v>
      </c>
      <c r="AE161" s="162"/>
      <c r="AF161" s="1"/>
      <c r="AG161" s="1"/>
      <c r="AH161" s="163"/>
      <c r="AI161" s="1"/>
      <c r="AJ161" s="1"/>
      <c r="AK161" s="1"/>
    </row>
    <row r="162" spans="1:37" customFormat="1" ht="135">
      <c r="A162" s="151"/>
      <c r="B162" s="147" t="s">
        <v>356</v>
      </c>
      <c r="C162" s="154" t="s">
        <v>357</v>
      </c>
      <c r="D162" s="154" t="s">
        <v>223</v>
      </c>
      <c r="E162" s="155">
        <f t="shared" si="60"/>
        <v>36</v>
      </c>
      <c r="F162" s="156" t="s">
        <v>173</v>
      </c>
      <c r="G162" s="157">
        <v>1914420000</v>
      </c>
      <c r="H162" s="158">
        <v>12</v>
      </c>
      <c r="I162" s="157">
        <v>752950210</v>
      </c>
      <c r="J162" s="158">
        <v>12</v>
      </c>
      <c r="K162" s="157">
        <v>1018260000</v>
      </c>
      <c r="L162" s="158">
        <v>3</v>
      </c>
      <c r="M162" s="157">
        <v>117622928</v>
      </c>
      <c r="N162" s="158">
        <v>3</v>
      </c>
      <c r="O162" s="157">
        <f>349438010-M162</f>
        <v>231815082</v>
      </c>
      <c r="P162" s="158">
        <v>3</v>
      </c>
      <c r="Q162" s="157">
        <f>540924196-M162-O162</f>
        <v>191486186</v>
      </c>
      <c r="R162" s="158">
        <v>3</v>
      </c>
      <c r="S162" s="157">
        <f>833038588-M162-O162-Q162</f>
        <v>292114392</v>
      </c>
      <c r="T162" s="143">
        <f t="shared" si="49"/>
        <v>12</v>
      </c>
      <c r="U162" s="143">
        <f t="shared" si="41"/>
        <v>100</v>
      </c>
      <c r="V162" s="143" t="s">
        <v>58</v>
      </c>
      <c r="W162" s="159">
        <f t="shared" si="61"/>
        <v>833038588</v>
      </c>
      <c r="X162" s="164">
        <f t="shared" si="62"/>
        <v>81.81000805295308</v>
      </c>
      <c r="Y162" s="143" t="s">
        <v>58</v>
      </c>
      <c r="Z162" s="143">
        <f t="shared" si="50"/>
        <v>24</v>
      </c>
      <c r="AA162" s="159">
        <f t="shared" si="63"/>
        <v>1585988798</v>
      </c>
      <c r="AB162" s="149">
        <f t="shared" si="35"/>
        <v>66.666666666666657</v>
      </c>
      <c r="AC162" s="143" t="s">
        <v>58</v>
      </c>
      <c r="AD162" s="161">
        <f t="shared" si="64"/>
        <v>82.844349620250526</v>
      </c>
      <c r="AE162" s="162"/>
      <c r="AF162" s="1"/>
      <c r="AG162" s="1"/>
      <c r="AH162" s="163"/>
      <c r="AI162" s="1"/>
      <c r="AJ162" s="1"/>
      <c r="AK162" s="1"/>
    </row>
    <row r="163" spans="1:37" customFormat="1" ht="120">
      <c r="A163" s="151"/>
      <c r="B163" s="147" t="s">
        <v>358</v>
      </c>
      <c r="C163" s="154" t="s">
        <v>80</v>
      </c>
      <c r="D163" s="154" t="s">
        <v>224</v>
      </c>
      <c r="E163" s="155">
        <f t="shared" si="60"/>
        <v>36</v>
      </c>
      <c r="F163" s="156" t="s">
        <v>173</v>
      </c>
      <c r="G163" s="157">
        <v>1789777100</v>
      </c>
      <c r="H163" s="158">
        <v>12</v>
      </c>
      <c r="I163" s="157">
        <v>766005356</v>
      </c>
      <c r="J163" s="158">
        <v>12</v>
      </c>
      <c r="K163" s="157">
        <v>948909100</v>
      </c>
      <c r="L163" s="158">
        <v>3</v>
      </c>
      <c r="M163" s="157">
        <v>108000000</v>
      </c>
      <c r="N163" s="158">
        <v>3</v>
      </c>
      <c r="O163" s="157">
        <f>260023936-M163</f>
        <v>152023936</v>
      </c>
      <c r="P163" s="158">
        <v>3</v>
      </c>
      <c r="Q163" s="157">
        <f>376758306-M163-O163</f>
        <v>116734370</v>
      </c>
      <c r="R163" s="158">
        <v>3</v>
      </c>
      <c r="S163" s="157">
        <f>507742152-M163-O163-Q163</f>
        <v>130983846</v>
      </c>
      <c r="T163" s="143">
        <f t="shared" si="49"/>
        <v>12</v>
      </c>
      <c r="U163" s="143">
        <f t="shared" si="41"/>
        <v>100</v>
      </c>
      <c r="V163" s="143" t="s">
        <v>58</v>
      </c>
      <c r="W163" s="159">
        <f t="shared" si="61"/>
        <v>507742152</v>
      </c>
      <c r="X163" s="164">
        <f t="shared" si="62"/>
        <v>53.507986381414199</v>
      </c>
      <c r="Y163" s="143" t="s">
        <v>58</v>
      </c>
      <c r="Z163" s="143">
        <f t="shared" si="50"/>
        <v>24</v>
      </c>
      <c r="AA163" s="159">
        <f t="shared" si="63"/>
        <v>1273747508</v>
      </c>
      <c r="AB163" s="149">
        <f t="shared" si="35"/>
        <v>66.666666666666657</v>
      </c>
      <c r="AC163" s="143" t="s">
        <v>58</v>
      </c>
      <c r="AD163" s="161">
        <f t="shared" si="64"/>
        <v>71.167940856992757</v>
      </c>
      <c r="AE163" s="162"/>
      <c r="AF163" s="1"/>
      <c r="AG163" s="1"/>
      <c r="AH163" s="163"/>
      <c r="AI163" s="1"/>
      <c r="AJ163" s="1"/>
      <c r="AK163" s="1"/>
    </row>
    <row r="164" spans="1:37" customFormat="1" ht="111" customHeight="1">
      <c r="A164" s="151"/>
      <c r="B164" s="147" t="s">
        <v>359</v>
      </c>
      <c r="C164" s="1083" t="s">
        <v>81</v>
      </c>
      <c r="D164" s="132" t="s">
        <v>360</v>
      </c>
      <c r="E164" s="146">
        <v>100</v>
      </c>
      <c r="F164" s="135" t="s">
        <v>58</v>
      </c>
      <c r="G164" s="1085">
        <f>SUM(G167:G169)</f>
        <v>1566508000</v>
      </c>
      <c r="H164" s="137">
        <v>100</v>
      </c>
      <c r="I164" s="1085">
        <f>SUM(I167:I169)</f>
        <v>505430329</v>
      </c>
      <c r="J164" s="137">
        <v>100</v>
      </c>
      <c r="K164" s="1085">
        <f>SUM(K167:K169)</f>
        <v>716222000</v>
      </c>
      <c r="L164" s="137">
        <v>16.72</v>
      </c>
      <c r="M164" s="1085">
        <f>SUM(M167:M169)</f>
        <v>113736929</v>
      </c>
      <c r="N164" s="148">
        <v>11.65</v>
      </c>
      <c r="O164" s="1085">
        <f>SUM(O167:O169)</f>
        <v>75183591</v>
      </c>
      <c r="P164" s="148">
        <v>8.75</v>
      </c>
      <c r="Q164" s="1085">
        <f t="shared" ref="Q164:S164" si="65">SUM(Q167:Q169)</f>
        <v>97691709</v>
      </c>
      <c r="R164" s="176">
        <v>26.18</v>
      </c>
      <c r="S164" s="1085">
        <f t="shared" si="65"/>
        <v>204676642</v>
      </c>
      <c r="T164" s="148">
        <f t="shared" si="49"/>
        <v>63.3</v>
      </c>
      <c r="U164" s="139">
        <f t="shared" si="41"/>
        <v>63.3</v>
      </c>
      <c r="V164" s="139" t="s">
        <v>58</v>
      </c>
      <c r="W164" s="1086">
        <f t="shared" si="61"/>
        <v>491288871</v>
      </c>
      <c r="X164" s="1087">
        <f t="shared" si="62"/>
        <v>68.594495980296614</v>
      </c>
      <c r="Y164" s="1088" t="s">
        <v>58</v>
      </c>
      <c r="Z164" s="139">
        <f t="shared" si="50"/>
        <v>163.30000000000001</v>
      </c>
      <c r="AA164" s="1086">
        <f t="shared" si="63"/>
        <v>996719200</v>
      </c>
      <c r="AB164" s="149">
        <f t="shared" si="35"/>
        <v>163.30000000000001</v>
      </c>
      <c r="AC164" s="143" t="s">
        <v>58</v>
      </c>
      <c r="AD164" s="1084">
        <f t="shared" si="64"/>
        <v>63.626818375648256</v>
      </c>
      <c r="AE164" s="150"/>
      <c r="AF164" s="78"/>
      <c r="AG164" s="78"/>
      <c r="AH164" s="145"/>
      <c r="AI164" s="78"/>
      <c r="AJ164" s="78"/>
      <c r="AK164" s="78"/>
    </row>
    <row r="165" spans="1:37" customFormat="1" ht="111" customHeight="1">
      <c r="A165" s="151"/>
      <c r="B165" s="147"/>
      <c r="C165" s="1080"/>
      <c r="D165" s="132" t="s">
        <v>361</v>
      </c>
      <c r="E165" s="146">
        <v>100</v>
      </c>
      <c r="F165" s="135" t="s">
        <v>58</v>
      </c>
      <c r="G165" s="1080"/>
      <c r="H165" s="137">
        <v>100</v>
      </c>
      <c r="I165" s="1080"/>
      <c r="J165" s="137">
        <v>100</v>
      </c>
      <c r="K165" s="1080"/>
      <c r="L165" s="137">
        <v>14.01</v>
      </c>
      <c r="M165" s="1080"/>
      <c r="N165" s="148">
        <v>8.48</v>
      </c>
      <c r="O165" s="1080"/>
      <c r="P165" s="148">
        <v>11.09</v>
      </c>
      <c r="Q165" s="1080"/>
      <c r="R165" s="176">
        <v>52.25</v>
      </c>
      <c r="S165" s="1080"/>
      <c r="T165" s="139">
        <f t="shared" si="49"/>
        <v>85.83</v>
      </c>
      <c r="U165" s="139">
        <f t="shared" si="41"/>
        <v>85.83</v>
      </c>
      <c r="V165" s="139" t="s">
        <v>58</v>
      </c>
      <c r="W165" s="1080"/>
      <c r="X165" s="1080"/>
      <c r="Y165" s="1080"/>
      <c r="Z165" s="139">
        <f t="shared" si="50"/>
        <v>185.82999999999998</v>
      </c>
      <c r="AA165" s="1080"/>
      <c r="AB165" s="149">
        <f t="shared" si="35"/>
        <v>185.82999999999998</v>
      </c>
      <c r="AC165" s="143"/>
      <c r="AD165" s="1080"/>
      <c r="AE165" s="150"/>
      <c r="AF165" s="78"/>
      <c r="AG165" s="78"/>
      <c r="AH165" s="145"/>
      <c r="AI165" s="78"/>
      <c r="AJ165" s="78"/>
      <c r="AK165" s="78"/>
    </row>
    <row r="166" spans="1:37" customFormat="1" ht="111" customHeight="1">
      <c r="A166" s="151"/>
      <c r="B166" s="147"/>
      <c r="C166" s="1081"/>
      <c r="D166" s="132" t="s">
        <v>362</v>
      </c>
      <c r="E166" s="146">
        <v>100</v>
      </c>
      <c r="F166" s="135" t="s">
        <v>58</v>
      </c>
      <c r="G166" s="1081"/>
      <c r="H166" s="137">
        <v>100</v>
      </c>
      <c r="I166" s="1081"/>
      <c r="J166" s="137">
        <v>100</v>
      </c>
      <c r="K166" s="1081"/>
      <c r="L166" s="137">
        <v>11.06</v>
      </c>
      <c r="M166" s="1081"/>
      <c r="N166" s="169">
        <v>0</v>
      </c>
      <c r="O166" s="1081"/>
      <c r="P166" s="169">
        <v>0</v>
      </c>
      <c r="Q166" s="1081"/>
      <c r="R166" s="176">
        <v>49.3</v>
      </c>
      <c r="S166" s="1081"/>
      <c r="T166" s="139">
        <f t="shared" si="49"/>
        <v>60.36</v>
      </c>
      <c r="U166" s="139">
        <f t="shared" si="41"/>
        <v>60.36</v>
      </c>
      <c r="V166" s="139" t="s">
        <v>58</v>
      </c>
      <c r="W166" s="1081"/>
      <c r="X166" s="1081"/>
      <c r="Y166" s="1081"/>
      <c r="Z166" s="139">
        <f t="shared" si="50"/>
        <v>160.36000000000001</v>
      </c>
      <c r="AA166" s="1081"/>
      <c r="AB166" s="149">
        <f t="shared" si="35"/>
        <v>160.36000000000001</v>
      </c>
      <c r="AC166" s="143"/>
      <c r="AD166" s="1081"/>
      <c r="AE166" s="150"/>
      <c r="AF166" s="78"/>
      <c r="AG166" s="78"/>
      <c r="AH166" s="145"/>
      <c r="AI166" s="78"/>
      <c r="AJ166" s="78"/>
      <c r="AK166" s="78"/>
    </row>
    <row r="167" spans="1:37" customFormat="1" ht="180">
      <c r="A167" s="151"/>
      <c r="B167" s="147" t="s">
        <v>363</v>
      </c>
      <c r="C167" s="154" t="s">
        <v>82</v>
      </c>
      <c r="D167" s="154" t="s">
        <v>226</v>
      </c>
      <c r="E167" s="155">
        <v>24</v>
      </c>
      <c r="F167" s="156" t="s">
        <v>138</v>
      </c>
      <c r="G167" s="157">
        <v>1303836000</v>
      </c>
      <c r="H167" s="158">
        <v>8</v>
      </c>
      <c r="I167" s="157">
        <v>391594426</v>
      </c>
      <c r="J167" s="158">
        <v>8</v>
      </c>
      <c r="K167" s="157">
        <v>520550000</v>
      </c>
      <c r="L167" s="158">
        <v>0</v>
      </c>
      <c r="M167" s="157">
        <v>87036929</v>
      </c>
      <c r="N167" s="158">
        <v>2</v>
      </c>
      <c r="O167" s="157">
        <f>147700941-M167</f>
        <v>60664012</v>
      </c>
      <c r="P167" s="158">
        <v>1</v>
      </c>
      <c r="Q167" s="157">
        <v>78696837</v>
      </c>
      <c r="R167" s="158">
        <v>5</v>
      </c>
      <c r="S167" s="157">
        <v>103149334</v>
      </c>
      <c r="T167" s="143">
        <f t="shared" si="49"/>
        <v>8</v>
      </c>
      <c r="U167" s="143">
        <f t="shared" si="41"/>
        <v>100</v>
      </c>
      <c r="V167" s="143" t="s">
        <v>58</v>
      </c>
      <c r="W167" s="159">
        <f t="shared" ref="W167:W173" si="66">SUM(M167,O167,Q167,S167)</f>
        <v>329547112</v>
      </c>
      <c r="X167" s="164">
        <f t="shared" ref="X167:X173" si="67">W167/K167*100</f>
        <v>63.307484775717995</v>
      </c>
      <c r="Y167" s="143" t="s">
        <v>58</v>
      </c>
      <c r="Z167" s="143">
        <f t="shared" si="50"/>
        <v>16</v>
      </c>
      <c r="AA167" s="159">
        <f t="shared" ref="AA167:AA173" si="68">SUM(I167,W167)</f>
        <v>721141538</v>
      </c>
      <c r="AB167" s="149">
        <f t="shared" si="35"/>
        <v>66.666666666666657</v>
      </c>
      <c r="AC167" s="143" t="s">
        <v>58</v>
      </c>
      <c r="AD167" s="161">
        <f t="shared" ref="AD167:AD173" si="69">AA167/G167*100</f>
        <v>55.309221251752518</v>
      </c>
      <c r="AE167" s="162"/>
      <c r="AF167" s="1"/>
      <c r="AG167" s="1"/>
      <c r="AH167" s="163"/>
      <c r="AI167" s="1"/>
      <c r="AJ167" s="1"/>
      <c r="AK167" s="1"/>
    </row>
    <row r="168" spans="1:37" customFormat="1" ht="110.25">
      <c r="A168" s="151"/>
      <c r="B168" s="147" t="s">
        <v>364</v>
      </c>
      <c r="C168" s="153" t="s">
        <v>83</v>
      </c>
      <c r="D168" s="154" t="s">
        <v>365</v>
      </c>
      <c r="E168" s="155">
        <v>2</v>
      </c>
      <c r="F168" s="156" t="s">
        <v>138</v>
      </c>
      <c r="G168" s="157">
        <v>233664000</v>
      </c>
      <c r="H168" s="158">
        <v>1</v>
      </c>
      <c r="I168" s="157">
        <v>104450903</v>
      </c>
      <c r="J168" s="158">
        <v>1</v>
      </c>
      <c r="K168" s="157">
        <v>171264000</v>
      </c>
      <c r="L168" s="158">
        <v>0</v>
      </c>
      <c r="M168" s="157">
        <v>24000000</v>
      </c>
      <c r="N168" s="158">
        <v>0</v>
      </c>
      <c r="O168" s="157">
        <f>38519579-M168</f>
        <v>14519579</v>
      </c>
      <c r="P168" s="158">
        <v>1</v>
      </c>
      <c r="Q168" s="157">
        <f>57514451-M168-O168</f>
        <v>18994872</v>
      </c>
      <c r="R168" s="158">
        <v>0</v>
      </c>
      <c r="S168" s="157">
        <v>89492308</v>
      </c>
      <c r="T168" s="143">
        <f t="shared" si="49"/>
        <v>1</v>
      </c>
      <c r="U168" s="143">
        <f t="shared" si="41"/>
        <v>100</v>
      </c>
      <c r="V168" s="143" t="s">
        <v>58</v>
      </c>
      <c r="W168" s="159">
        <f t="shared" si="66"/>
        <v>147006759</v>
      </c>
      <c r="X168" s="164">
        <f t="shared" si="67"/>
        <v>85.836345641816152</v>
      </c>
      <c r="Y168" s="143" t="s">
        <v>58</v>
      </c>
      <c r="Z168" s="143">
        <f t="shared" si="50"/>
        <v>2</v>
      </c>
      <c r="AA168" s="159">
        <f t="shared" si="68"/>
        <v>251457662</v>
      </c>
      <c r="AB168" s="149">
        <f t="shared" si="35"/>
        <v>100</v>
      </c>
      <c r="AC168" s="143" t="s">
        <v>58</v>
      </c>
      <c r="AD168" s="161">
        <f t="shared" si="69"/>
        <v>107.61506350999726</v>
      </c>
      <c r="AE168" s="162"/>
      <c r="AF168" s="1"/>
      <c r="AG168" s="1"/>
      <c r="AH168" s="163"/>
      <c r="AI168" s="1"/>
      <c r="AJ168" s="1"/>
      <c r="AK168" s="1"/>
    </row>
    <row r="169" spans="1:37" customFormat="1" ht="141.75">
      <c r="A169" s="151"/>
      <c r="B169" s="147" t="s">
        <v>366</v>
      </c>
      <c r="C169" s="153" t="s">
        <v>84</v>
      </c>
      <c r="D169" s="177" t="s">
        <v>228</v>
      </c>
      <c r="E169" s="155">
        <f>101+H169+J169</f>
        <v>220</v>
      </c>
      <c r="F169" s="156" t="s">
        <v>138</v>
      </c>
      <c r="G169" s="157">
        <v>29008000</v>
      </c>
      <c r="H169" s="158">
        <v>51</v>
      </c>
      <c r="I169" s="157">
        <v>9385000</v>
      </c>
      <c r="J169" s="158">
        <v>68</v>
      </c>
      <c r="K169" s="157">
        <v>24408000</v>
      </c>
      <c r="L169" s="158">
        <v>0</v>
      </c>
      <c r="M169" s="157">
        <v>2700000</v>
      </c>
      <c r="N169" s="158">
        <v>18</v>
      </c>
      <c r="O169" s="157"/>
      <c r="P169" s="158">
        <v>15</v>
      </c>
      <c r="Q169" s="157">
        <f>2700000-M169-O169</f>
        <v>0</v>
      </c>
      <c r="R169" s="158">
        <v>27</v>
      </c>
      <c r="S169" s="157">
        <v>12035000</v>
      </c>
      <c r="T169" s="143">
        <f t="shared" si="49"/>
        <v>60</v>
      </c>
      <c r="U169" s="164">
        <f t="shared" si="41"/>
        <v>88.235294117647058</v>
      </c>
      <c r="V169" s="143" t="s">
        <v>58</v>
      </c>
      <c r="W169" s="178">
        <f t="shared" si="66"/>
        <v>14735000</v>
      </c>
      <c r="X169" s="179">
        <f t="shared" si="67"/>
        <v>60.369550966896099</v>
      </c>
      <c r="Y169" s="180" t="s">
        <v>58</v>
      </c>
      <c r="Z169" s="180">
        <f t="shared" si="50"/>
        <v>111</v>
      </c>
      <c r="AA169" s="178">
        <f t="shared" si="68"/>
        <v>24120000</v>
      </c>
      <c r="AB169" s="149">
        <f t="shared" si="35"/>
        <v>50.454545454545453</v>
      </c>
      <c r="AC169" s="143" t="s">
        <v>58</v>
      </c>
      <c r="AD169" s="161">
        <f t="shared" si="69"/>
        <v>83.149476006618855</v>
      </c>
      <c r="AE169" s="162"/>
      <c r="AF169" s="1"/>
      <c r="AG169" s="1"/>
      <c r="AH169" s="163"/>
      <c r="AI169" s="1"/>
      <c r="AJ169" s="1"/>
      <c r="AK169" s="1"/>
    </row>
    <row r="170" spans="1:37" customFormat="1" ht="111" customHeight="1">
      <c r="A170" s="151"/>
      <c r="B170" s="147"/>
      <c r="C170" s="132" t="s">
        <v>367</v>
      </c>
      <c r="D170" s="132"/>
      <c r="E170" s="146">
        <v>100</v>
      </c>
      <c r="F170" s="135" t="s">
        <v>58</v>
      </c>
      <c r="G170" s="171">
        <f>SUM(G171:G172)</f>
        <v>9571674296</v>
      </c>
      <c r="H170" s="137">
        <v>100</v>
      </c>
      <c r="I170" s="171">
        <f>SUM(I171:I172)</f>
        <v>2957032422</v>
      </c>
      <c r="J170" s="137">
        <v>100</v>
      </c>
      <c r="K170" s="171">
        <f>SUM(K171:K172)</f>
        <v>3963705771.4499998</v>
      </c>
      <c r="L170" s="137">
        <v>100</v>
      </c>
      <c r="M170" s="171">
        <f>SUM(M171:M172)</f>
        <v>512400733</v>
      </c>
      <c r="N170" s="169">
        <v>100</v>
      </c>
      <c r="O170" s="171">
        <f>SUM(O171:O172)</f>
        <v>642174977</v>
      </c>
      <c r="P170" s="169">
        <v>100</v>
      </c>
      <c r="Q170" s="171">
        <f>SUM(Q171:Q172)</f>
        <v>664029176</v>
      </c>
      <c r="R170" s="171">
        <f t="shared" ref="R170:S170" si="70">SUM(R171:R173)</f>
        <v>102</v>
      </c>
      <c r="S170" s="171">
        <f t="shared" si="70"/>
        <v>60628668238.699997</v>
      </c>
      <c r="T170" s="169">
        <f t="shared" ref="T170:T173" si="71">AVERAGE(L170,N170,P170,R170)</f>
        <v>100.5</v>
      </c>
      <c r="U170" s="139">
        <f t="shared" si="41"/>
        <v>100.49999999999999</v>
      </c>
      <c r="V170" s="139" t="s">
        <v>58</v>
      </c>
      <c r="W170" s="181">
        <f t="shared" si="66"/>
        <v>62447273124.699997</v>
      </c>
      <c r="X170" s="148">
        <f t="shared" si="67"/>
        <v>1575.4770087754416</v>
      </c>
      <c r="Y170" s="139" t="s">
        <v>58</v>
      </c>
      <c r="Z170" s="139">
        <f t="shared" si="50"/>
        <v>200.5</v>
      </c>
      <c r="AA170" s="181">
        <f t="shared" si="68"/>
        <v>65404305546.699997</v>
      </c>
      <c r="AB170" s="149">
        <f t="shared" si="35"/>
        <v>200.5</v>
      </c>
      <c r="AC170" s="143" t="s">
        <v>58</v>
      </c>
      <c r="AD170" s="161">
        <f t="shared" si="69"/>
        <v>683.31102296316578</v>
      </c>
      <c r="AE170" s="150"/>
      <c r="AF170" s="78"/>
      <c r="AG170" s="78"/>
      <c r="AH170" s="145"/>
      <c r="AI170" s="78"/>
      <c r="AJ170" s="78"/>
      <c r="AK170" s="78"/>
    </row>
    <row r="171" spans="1:37" customFormat="1" ht="105">
      <c r="A171" s="151"/>
      <c r="B171" s="147"/>
      <c r="C171" s="154" t="s">
        <v>368</v>
      </c>
      <c r="D171" s="154" t="s">
        <v>369</v>
      </c>
      <c r="E171" s="155">
        <v>1</v>
      </c>
      <c r="F171" s="182" t="s">
        <v>370</v>
      </c>
      <c r="G171" s="157">
        <v>5763162296</v>
      </c>
      <c r="H171" s="158">
        <v>1</v>
      </c>
      <c r="I171" s="157">
        <v>1522278698</v>
      </c>
      <c r="J171" s="158">
        <v>1</v>
      </c>
      <c r="K171" s="157">
        <v>2344273464</v>
      </c>
      <c r="L171" s="158">
        <v>1</v>
      </c>
      <c r="M171" s="157">
        <v>286635205</v>
      </c>
      <c r="N171" s="158">
        <v>1</v>
      </c>
      <c r="O171" s="157">
        <v>393022560</v>
      </c>
      <c r="P171" s="158">
        <v>1</v>
      </c>
      <c r="Q171" s="157">
        <v>332014588</v>
      </c>
      <c r="R171" s="158">
        <v>1</v>
      </c>
      <c r="S171" s="183">
        <v>946319322</v>
      </c>
      <c r="T171" s="143">
        <f t="shared" si="71"/>
        <v>1</v>
      </c>
      <c r="U171" s="143">
        <f t="shared" si="41"/>
        <v>100</v>
      </c>
      <c r="V171" s="143" t="s">
        <v>58</v>
      </c>
      <c r="W171" s="159">
        <f t="shared" si="66"/>
        <v>1957991675</v>
      </c>
      <c r="X171" s="164">
        <f t="shared" si="67"/>
        <v>83.522323869976631</v>
      </c>
      <c r="Y171" s="143" t="s">
        <v>58</v>
      </c>
      <c r="Z171" s="143">
        <f t="shared" si="50"/>
        <v>2</v>
      </c>
      <c r="AA171" s="159">
        <f t="shared" si="68"/>
        <v>3480270373</v>
      </c>
      <c r="AB171" s="149">
        <f t="shared" si="35"/>
        <v>200</v>
      </c>
      <c r="AC171" s="143" t="s">
        <v>58</v>
      </c>
      <c r="AD171" s="161">
        <f t="shared" si="69"/>
        <v>60.388206929649172</v>
      </c>
      <c r="AE171" s="162"/>
      <c r="AF171" s="1"/>
      <c r="AG171" s="1"/>
      <c r="AH171" s="163"/>
      <c r="AI171" s="1"/>
      <c r="AJ171" s="1"/>
      <c r="AK171" s="1"/>
    </row>
    <row r="172" spans="1:37" customFormat="1" ht="105">
      <c r="A172" s="151"/>
      <c r="B172" s="147"/>
      <c r="C172" s="153" t="s">
        <v>371</v>
      </c>
      <c r="D172" s="154" t="s">
        <v>369</v>
      </c>
      <c r="E172" s="155">
        <v>1</v>
      </c>
      <c r="F172" s="182" t="s">
        <v>370</v>
      </c>
      <c r="G172" s="157">
        <v>3808512000</v>
      </c>
      <c r="H172" s="158">
        <v>1</v>
      </c>
      <c r="I172" s="157">
        <v>1434753724</v>
      </c>
      <c r="J172" s="158">
        <v>1</v>
      </c>
      <c r="K172" s="157">
        <v>1619432307.45</v>
      </c>
      <c r="L172" s="158">
        <v>1</v>
      </c>
      <c r="M172" s="157">
        <v>225765528</v>
      </c>
      <c r="N172" s="158">
        <v>1</v>
      </c>
      <c r="O172" s="157">
        <v>249152417</v>
      </c>
      <c r="P172" s="158">
        <v>1</v>
      </c>
      <c r="Q172" s="157">
        <v>332014588</v>
      </c>
      <c r="R172" s="158">
        <v>1</v>
      </c>
      <c r="S172" s="157">
        <v>562001517</v>
      </c>
      <c r="T172" s="143">
        <f t="shared" si="71"/>
        <v>1</v>
      </c>
      <c r="U172" s="143">
        <f t="shared" si="41"/>
        <v>100</v>
      </c>
      <c r="V172" s="143" t="s">
        <v>58</v>
      </c>
      <c r="W172" s="159">
        <f t="shared" si="66"/>
        <v>1368934050</v>
      </c>
      <c r="X172" s="164">
        <f t="shared" si="67"/>
        <v>84.531724092596306</v>
      </c>
      <c r="Y172" s="143" t="s">
        <v>58</v>
      </c>
      <c r="Z172" s="143">
        <f t="shared" si="50"/>
        <v>2</v>
      </c>
      <c r="AA172" s="159">
        <f t="shared" si="68"/>
        <v>2803687774</v>
      </c>
      <c r="AB172" s="149">
        <f t="shared" si="35"/>
        <v>200</v>
      </c>
      <c r="AC172" s="143" t="s">
        <v>58</v>
      </c>
      <c r="AD172" s="161">
        <f t="shared" si="69"/>
        <v>73.616356571805468</v>
      </c>
      <c r="AE172" s="162"/>
      <c r="AF172" s="1"/>
      <c r="AG172" s="1"/>
      <c r="AH172" s="163"/>
      <c r="AI172" s="1"/>
      <c r="AJ172" s="1"/>
      <c r="AK172" s="1"/>
    </row>
    <row r="173" spans="1:37" customFormat="1" ht="136.5" customHeight="1">
      <c r="A173" s="151"/>
      <c r="B173" s="147" t="s">
        <v>372</v>
      </c>
      <c r="C173" s="133" t="s">
        <v>373</v>
      </c>
      <c r="D173" s="132" t="s">
        <v>374</v>
      </c>
      <c r="E173" s="146">
        <v>100</v>
      </c>
      <c r="F173" s="135" t="s">
        <v>58</v>
      </c>
      <c r="G173" s="136">
        <f>G182+G194+G579+G582</f>
        <v>233864817207</v>
      </c>
      <c r="H173" s="184">
        <v>98.78</v>
      </c>
      <c r="I173" s="136">
        <f>I182+I194+I579+I582</f>
        <v>100099990513</v>
      </c>
      <c r="J173" s="137">
        <v>100</v>
      </c>
      <c r="K173" s="136">
        <f>K182+K194+K579+K582</f>
        <v>105671909477</v>
      </c>
      <c r="L173" s="137">
        <v>100</v>
      </c>
      <c r="M173" s="136">
        <f>M182+M194+M579+M582</f>
        <v>19060726696</v>
      </c>
      <c r="N173" s="136">
        <v>100</v>
      </c>
      <c r="O173" s="136">
        <f>O182+O194+O579+O582</f>
        <v>25365866413</v>
      </c>
      <c r="P173" s="136">
        <v>100</v>
      </c>
      <c r="Q173" s="136">
        <f t="shared" ref="Q173:S173" si="72">Q182+Q194+Q579+Q582</f>
        <v>11626259053</v>
      </c>
      <c r="R173" s="136">
        <v>100</v>
      </c>
      <c r="S173" s="136">
        <f t="shared" si="72"/>
        <v>59120347399.699997</v>
      </c>
      <c r="T173" s="169">
        <f t="shared" si="71"/>
        <v>100</v>
      </c>
      <c r="U173" s="139">
        <f t="shared" si="41"/>
        <v>100</v>
      </c>
      <c r="V173" s="139" t="s">
        <v>58</v>
      </c>
      <c r="W173" s="140">
        <f t="shared" si="66"/>
        <v>115173199561.7</v>
      </c>
      <c r="X173" s="168">
        <f t="shared" si="67"/>
        <v>108.99131106055012</v>
      </c>
      <c r="Y173" s="131" t="s">
        <v>58</v>
      </c>
      <c r="Z173" s="148">
        <f t="shared" si="50"/>
        <v>198.78</v>
      </c>
      <c r="AA173" s="140">
        <f t="shared" si="68"/>
        <v>215273190074.70001</v>
      </c>
      <c r="AB173" s="149">
        <f t="shared" si="35"/>
        <v>198.78</v>
      </c>
      <c r="AC173" s="143" t="s">
        <v>58</v>
      </c>
      <c r="AD173" s="1079">
        <f t="shared" si="69"/>
        <v>92.05026760573223</v>
      </c>
      <c r="AE173" s="150"/>
      <c r="AF173" s="78"/>
      <c r="AG173" s="78"/>
      <c r="AH173" s="145"/>
      <c r="AI173" s="78"/>
      <c r="AJ173" s="78"/>
      <c r="AK173" s="78"/>
    </row>
    <row r="174" spans="1:37" customFormat="1" ht="117" customHeight="1">
      <c r="A174" s="151"/>
      <c r="B174" s="147" t="s">
        <v>375</v>
      </c>
      <c r="C174" s="147"/>
      <c r="D174" s="132" t="s">
        <v>376</v>
      </c>
      <c r="E174" s="146">
        <v>15</v>
      </c>
      <c r="F174" s="135" t="s">
        <v>58</v>
      </c>
      <c r="G174" s="185"/>
      <c r="H174" s="184">
        <v>12</v>
      </c>
      <c r="I174" s="185"/>
      <c r="J174" s="137">
        <v>18</v>
      </c>
      <c r="K174" s="186"/>
      <c r="L174" s="137">
        <v>2.44</v>
      </c>
      <c r="M174" s="187"/>
      <c r="N174" s="137">
        <v>2.56</v>
      </c>
      <c r="O174" s="187"/>
      <c r="P174" s="184">
        <v>11.86</v>
      </c>
      <c r="Q174" s="187"/>
      <c r="R174" s="184">
        <v>6.21</v>
      </c>
      <c r="S174" s="187"/>
      <c r="T174" s="148">
        <f>SUM(L174,N174,P174,R174)</f>
        <v>23.07</v>
      </c>
      <c r="U174" s="148">
        <f t="shared" si="41"/>
        <v>128.16666666666669</v>
      </c>
      <c r="V174" s="139" t="s">
        <v>58</v>
      </c>
      <c r="W174" s="188"/>
      <c r="X174" s="189"/>
      <c r="Y174" s="151"/>
      <c r="Z174" s="148">
        <f t="shared" si="50"/>
        <v>35.07</v>
      </c>
      <c r="AA174" s="188"/>
      <c r="AB174" s="149">
        <f t="shared" si="35"/>
        <v>233.8</v>
      </c>
      <c r="AC174" s="143" t="s">
        <v>58</v>
      </c>
      <c r="AD174" s="1080"/>
      <c r="AE174" s="150"/>
      <c r="AF174" s="78"/>
      <c r="AG174" s="78"/>
      <c r="AH174" s="145"/>
      <c r="AI174" s="78"/>
      <c r="AJ174" s="78"/>
      <c r="AK174" s="78"/>
    </row>
    <row r="175" spans="1:37" customFormat="1" ht="117" customHeight="1">
      <c r="A175" s="151"/>
      <c r="B175" s="147" t="s">
        <v>377</v>
      </c>
      <c r="C175" s="147"/>
      <c r="D175" s="133" t="s">
        <v>378</v>
      </c>
      <c r="E175" s="190">
        <v>100</v>
      </c>
      <c r="F175" s="191" t="s">
        <v>58</v>
      </c>
      <c r="G175" s="185"/>
      <c r="H175" s="192">
        <v>99.78</v>
      </c>
      <c r="I175" s="185"/>
      <c r="J175" s="165">
        <v>100</v>
      </c>
      <c r="K175" s="186"/>
      <c r="L175" s="165">
        <v>100</v>
      </c>
      <c r="M175" s="187"/>
      <c r="N175" s="190">
        <v>100</v>
      </c>
      <c r="O175" s="187"/>
      <c r="P175" s="190">
        <v>100</v>
      </c>
      <c r="Q175" s="187"/>
      <c r="R175" s="192">
        <v>100</v>
      </c>
      <c r="S175" s="187"/>
      <c r="T175" s="169">
        <f>AVERAGE(L175,N175,P175,R175)</f>
        <v>100</v>
      </c>
      <c r="U175" s="148">
        <f t="shared" si="41"/>
        <v>100</v>
      </c>
      <c r="V175" s="139" t="s">
        <v>58</v>
      </c>
      <c r="W175" s="188"/>
      <c r="X175" s="189"/>
      <c r="Y175" s="151"/>
      <c r="Z175" s="148">
        <f t="shared" si="50"/>
        <v>199.78</v>
      </c>
      <c r="AA175" s="188"/>
      <c r="AB175" s="149">
        <f t="shared" si="35"/>
        <v>199.78</v>
      </c>
      <c r="AC175" s="143" t="s">
        <v>58</v>
      </c>
      <c r="AD175" s="1080"/>
      <c r="AE175" s="150"/>
      <c r="AF175" s="78"/>
      <c r="AG175" s="78"/>
      <c r="AH175" s="145"/>
      <c r="AI175" s="78"/>
      <c r="AJ175" s="78"/>
      <c r="AK175" s="78"/>
    </row>
    <row r="176" spans="1:37" customFormat="1" ht="74.25" customHeight="1">
      <c r="A176" s="151"/>
      <c r="B176" s="1082" t="s">
        <v>379</v>
      </c>
      <c r="C176" s="147"/>
      <c r="D176" s="133" t="s">
        <v>380</v>
      </c>
      <c r="E176" s="190">
        <v>100</v>
      </c>
      <c r="F176" s="191" t="s">
        <v>58</v>
      </c>
      <c r="G176" s="185"/>
      <c r="H176" s="192">
        <v>93.72</v>
      </c>
      <c r="I176" s="185"/>
      <c r="J176" s="165">
        <v>100</v>
      </c>
      <c r="K176" s="186"/>
      <c r="L176" s="165">
        <v>20.21</v>
      </c>
      <c r="M176" s="187"/>
      <c r="N176" s="192">
        <v>23.51</v>
      </c>
      <c r="O176" s="187"/>
      <c r="P176" s="192">
        <v>7.62</v>
      </c>
      <c r="Q176" s="187"/>
      <c r="R176" s="192">
        <v>35.799999999999997</v>
      </c>
      <c r="S176" s="187"/>
      <c r="T176" s="148">
        <f t="shared" ref="T176:T192" si="73">SUM(L176,N176,P176,R176)</f>
        <v>87.139999999999986</v>
      </c>
      <c r="U176" s="148">
        <f t="shared" si="41"/>
        <v>87.139999999999986</v>
      </c>
      <c r="V176" s="139" t="s">
        <v>58</v>
      </c>
      <c r="W176" s="188"/>
      <c r="X176" s="189"/>
      <c r="Y176" s="151"/>
      <c r="Z176" s="148">
        <f t="shared" si="50"/>
        <v>180.85999999999999</v>
      </c>
      <c r="AA176" s="188"/>
      <c r="AB176" s="149">
        <f t="shared" si="35"/>
        <v>180.85999999999999</v>
      </c>
      <c r="AC176" s="143" t="s">
        <v>58</v>
      </c>
      <c r="AD176" s="1080"/>
      <c r="AE176" s="150"/>
      <c r="AF176" s="78"/>
      <c r="AG176" s="78"/>
      <c r="AH176" s="145"/>
      <c r="AI176" s="78"/>
      <c r="AJ176" s="78"/>
      <c r="AK176" s="78"/>
    </row>
    <row r="177" spans="1:37" customFormat="1" ht="31.5">
      <c r="A177" s="151"/>
      <c r="B177" s="1080"/>
      <c r="C177" s="147"/>
      <c r="D177" s="133" t="s">
        <v>381</v>
      </c>
      <c r="E177" s="190">
        <v>80</v>
      </c>
      <c r="F177" s="191" t="s">
        <v>58</v>
      </c>
      <c r="G177" s="185"/>
      <c r="H177" s="165">
        <v>69.59</v>
      </c>
      <c r="I177" s="185"/>
      <c r="J177" s="165">
        <v>80</v>
      </c>
      <c r="K177" s="187"/>
      <c r="L177" s="165">
        <v>20</v>
      </c>
      <c r="M177" s="187"/>
      <c r="N177" s="193">
        <v>20</v>
      </c>
      <c r="O177" s="187"/>
      <c r="P177" s="192">
        <v>41.42</v>
      </c>
      <c r="Q177" s="187"/>
      <c r="R177" s="192">
        <v>14.03</v>
      </c>
      <c r="S177" s="187"/>
      <c r="T177" s="148">
        <f t="shared" si="73"/>
        <v>95.45</v>
      </c>
      <c r="U177" s="148">
        <f t="shared" si="41"/>
        <v>119.3125</v>
      </c>
      <c r="V177" s="139" t="s">
        <v>58</v>
      </c>
      <c r="W177" s="188"/>
      <c r="X177" s="189"/>
      <c r="Y177" s="151"/>
      <c r="Z177" s="168">
        <f t="shared" si="50"/>
        <v>165.04000000000002</v>
      </c>
      <c r="AA177" s="188"/>
      <c r="AB177" s="149">
        <f t="shared" si="35"/>
        <v>206.3</v>
      </c>
      <c r="AC177" s="143" t="s">
        <v>58</v>
      </c>
      <c r="AD177" s="1080"/>
      <c r="AE177" s="150"/>
      <c r="AF177" s="78"/>
      <c r="AG177" s="78"/>
      <c r="AH177" s="145"/>
      <c r="AI177" s="78"/>
      <c r="AJ177" s="78"/>
      <c r="AK177" s="78"/>
    </row>
    <row r="178" spans="1:37" customFormat="1" ht="63">
      <c r="A178" s="151"/>
      <c r="B178" s="1080"/>
      <c r="C178" s="147"/>
      <c r="D178" s="133" t="s">
        <v>382</v>
      </c>
      <c r="E178" s="190">
        <v>90</v>
      </c>
      <c r="F178" s="191" t="s">
        <v>58</v>
      </c>
      <c r="G178" s="185"/>
      <c r="H178" s="165">
        <v>87.49</v>
      </c>
      <c r="I178" s="185"/>
      <c r="J178" s="165">
        <v>85</v>
      </c>
      <c r="K178" s="187"/>
      <c r="L178" s="165">
        <v>19.5</v>
      </c>
      <c r="M178" s="187"/>
      <c r="N178" s="193">
        <v>17.75</v>
      </c>
      <c r="O178" s="187"/>
      <c r="P178" s="192">
        <v>37.75</v>
      </c>
      <c r="Q178" s="187"/>
      <c r="R178" s="192">
        <f>94.6-L178-N178-P178</f>
        <v>19.599999999999994</v>
      </c>
      <c r="S178" s="187"/>
      <c r="T178" s="148">
        <f t="shared" si="73"/>
        <v>94.6</v>
      </c>
      <c r="U178" s="148">
        <f t="shared" si="41"/>
        <v>111.29411764705881</v>
      </c>
      <c r="V178" s="139" t="s">
        <v>58</v>
      </c>
      <c r="W178" s="188"/>
      <c r="X178" s="189"/>
      <c r="Y178" s="151"/>
      <c r="Z178" s="168">
        <f t="shared" si="50"/>
        <v>182.08999999999997</v>
      </c>
      <c r="AA178" s="188"/>
      <c r="AB178" s="149">
        <f t="shared" si="35"/>
        <v>202.32222222222219</v>
      </c>
      <c r="AC178" s="143" t="s">
        <v>58</v>
      </c>
      <c r="AD178" s="1080"/>
      <c r="AE178" s="150"/>
      <c r="AF178" s="78"/>
      <c r="AG178" s="78"/>
      <c r="AH178" s="145"/>
      <c r="AI178" s="78"/>
      <c r="AJ178" s="78"/>
      <c r="AK178" s="78"/>
    </row>
    <row r="179" spans="1:37" customFormat="1" ht="63">
      <c r="A179" s="151"/>
      <c r="B179" s="147" t="s">
        <v>383</v>
      </c>
      <c r="C179" s="147"/>
      <c r="D179" s="133" t="s">
        <v>384</v>
      </c>
      <c r="E179" s="190">
        <v>6</v>
      </c>
      <c r="F179" s="191" t="s">
        <v>58</v>
      </c>
      <c r="G179" s="185"/>
      <c r="H179" s="165">
        <v>5.29</v>
      </c>
      <c r="I179" s="185"/>
      <c r="J179" s="165">
        <v>8</v>
      </c>
      <c r="K179" s="187"/>
      <c r="L179" s="165">
        <v>1.5</v>
      </c>
      <c r="M179" s="187"/>
      <c r="N179" s="193">
        <f>3.8-L179</f>
        <v>2.2999999999999998</v>
      </c>
      <c r="O179" s="187"/>
      <c r="P179" s="193">
        <v>1.2</v>
      </c>
      <c r="Q179" s="187"/>
      <c r="R179" s="192">
        <v>0</v>
      </c>
      <c r="S179" s="187"/>
      <c r="T179" s="148">
        <f t="shared" si="73"/>
        <v>5</v>
      </c>
      <c r="U179" s="148">
        <f t="shared" si="41"/>
        <v>62.5</v>
      </c>
      <c r="V179" s="139" t="s">
        <v>58</v>
      </c>
      <c r="W179" s="188"/>
      <c r="X179" s="189"/>
      <c r="Y179" s="151"/>
      <c r="Z179" s="168">
        <f t="shared" si="50"/>
        <v>10.29</v>
      </c>
      <c r="AA179" s="188"/>
      <c r="AB179" s="149">
        <f t="shared" si="35"/>
        <v>171.5</v>
      </c>
      <c r="AC179" s="143" t="s">
        <v>58</v>
      </c>
      <c r="AD179" s="1080"/>
      <c r="AE179" s="150"/>
      <c r="AF179" s="78"/>
      <c r="AG179" s="78"/>
      <c r="AH179" s="145"/>
      <c r="AI179" s="78"/>
      <c r="AJ179" s="78"/>
      <c r="AK179" s="78"/>
    </row>
    <row r="180" spans="1:37" customFormat="1" ht="63">
      <c r="A180" s="151"/>
      <c r="B180" s="147" t="s">
        <v>385</v>
      </c>
      <c r="C180" s="147"/>
      <c r="D180" s="133" t="s">
        <v>386</v>
      </c>
      <c r="E180" s="190">
        <v>10</v>
      </c>
      <c r="F180" s="191" t="s">
        <v>58</v>
      </c>
      <c r="G180" s="185"/>
      <c r="H180" s="165">
        <v>8.02</v>
      </c>
      <c r="I180" s="185"/>
      <c r="J180" s="165">
        <v>11</v>
      </c>
      <c r="K180" s="187"/>
      <c r="L180" s="165">
        <v>2.9</v>
      </c>
      <c r="M180" s="187"/>
      <c r="N180" s="193">
        <v>1.8</v>
      </c>
      <c r="O180" s="187"/>
      <c r="P180" s="193">
        <v>0.6</v>
      </c>
      <c r="Q180" s="187"/>
      <c r="R180" s="192">
        <v>2.41</v>
      </c>
      <c r="S180" s="187"/>
      <c r="T180" s="148">
        <f t="shared" si="73"/>
        <v>7.71</v>
      </c>
      <c r="U180" s="148">
        <f t="shared" si="41"/>
        <v>70.090909090909093</v>
      </c>
      <c r="V180" s="139" t="s">
        <v>58</v>
      </c>
      <c r="W180" s="188"/>
      <c r="X180" s="189"/>
      <c r="Y180" s="151"/>
      <c r="Z180" s="168">
        <f t="shared" si="50"/>
        <v>15.73</v>
      </c>
      <c r="AA180" s="188"/>
      <c r="AB180" s="149">
        <f t="shared" si="35"/>
        <v>157.29999999999998</v>
      </c>
      <c r="AC180" s="143" t="s">
        <v>58</v>
      </c>
      <c r="AD180" s="1080"/>
      <c r="AE180" s="150"/>
      <c r="AF180" s="78"/>
      <c r="AG180" s="78"/>
      <c r="AH180" s="145"/>
      <c r="AI180" s="78"/>
      <c r="AJ180" s="78"/>
      <c r="AK180" s="78"/>
    </row>
    <row r="181" spans="1:37" customFormat="1" ht="94.5">
      <c r="A181" s="151"/>
      <c r="B181" s="147" t="s">
        <v>387</v>
      </c>
      <c r="C181" s="147"/>
      <c r="D181" s="133" t="s">
        <v>388</v>
      </c>
      <c r="E181" s="190">
        <v>100</v>
      </c>
      <c r="F181" s="191" t="s">
        <v>58</v>
      </c>
      <c r="G181" s="185"/>
      <c r="H181" s="165">
        <v>100</v>
      </c>
      <c r="I181" s="185"/>
      <c r="J181" s="165">
        <v>100</v>
      </c>
      <c r="K181" s="187"/>
      <c r="L181" s="165">
        <v>20.85</v>
      </c>
      <c r="M181" s="187"/>
      <c r="N181" s="192">
        <v>26.81</v>
      </c>
      <c r="O181" s="187"/>
      <c r="P181" s="192">
        <f>71.89-N181-L181</f>
        <v>24.229999999999997</v>
      </c>
      <c r="Q181" s="187"/>
      <c r="R181" s="192">
        <f>92.48-P181-N181-L181</f>
        <v>20.589999999999996</v>
      </c>
      <c r="S181" s="187"/>
      <c r="T181" s="148">
        <f t="shared" si="73"/>
        <v>92.47999999999999</v>
      </c>
      <c r="U181" s="148">
        <f t="shared" si="41"/>
        <v>92.47999999999999</v>
      </c>
      <c r="V181" s="139" t="s">
        <v>58</v>
      </c>
      <c r="W181" s="188"/>
      <c r="X181" s="189"/>
      <c r="Y181" s="151"/>
      <c r="Z181" s="168">
        <f t="shared" si="50"/>
        <v>192.48</v>
      </c>
      <c r="AA181" s="188"/>
      <c r="AB181" s="149">
        <f t="shared" si="35"/>
        <v>192.48</v>
      </c>
      <c r="AC181" s="143" t="s">
        <v>58</v>
      </c>
      <c r="AD181" s="1081"/>
      <c r="AE181" s="150"/>
      <c r="AF181" s="78"/>
      <c r="AG181" s="78"/>
      <c r="AH181" s="145"/>
      <c r="AI181" s="78"/>
      <c r="AJ181" s="78"/>
      <c r="AK181" s="78"/>
    </row>
    <row r="182" spans="1:37" customFormat="1" ht="167.25" customHeight="1">
      <c r="A182" s="151"/>
      <c r="B182" s="147" t="s">
        <v>389</v>
      </c>
      <c r="C182" s="132" t="s">
        <v>390</v>
      </c>
      <c r="D182" s="132" t="s">
        <v>391</v>
      </c>
      <c r="E182" s="146">
        <v>4</v>
      </c>
      <c r="F182" s="135" t="s">
        <v>138</v>
      </c>
      <c r="G182" s="171">
        <f>SUM(G183:G193)</f>
        <v>45759959972</v>
      </c>
      <c r="H182" s="137">
        <v>0</v>
      </c>
      <c r="I182" s="171">
        <f>SUM(I183:I193)</f>
        <v>19705698343</v>
      </c>
      <c r="J182" s="137">
        <v>4</v>
      </c>
      <c r="K182" s="171">
        <f>SUM(K183:K193)</f>
        <v>17378582866</v>
      </c>
      <c r="L182" s="137">
        <f>SUM(L183:L185)</f>
        <v>0</v>
      </c>
      <c r="M182" s="171">
        <f>SUM(M183:M191)</f>
        <v>0</v>
      </c>
      <c r="N182" s="171">
        <v>0</v>
      </c>
      <c r="O182" s="171">
        <f>SUM(O183:O191)</f>
        <v>1292089500</v>
      </c>
      <c r="P182" s="171">
        <v>0</v>
      </c>
      <c r="Q182" s="171">
        <f>SUM(Q183:Q191)</f>
        <v>2455233470</v>
      </c>
      <c r="R182" s="171">
        <f t="shared" ref="R182:S182" si="74">SUM(R183:R190)</f>
        <v>113</v>
      </c>
      <c r="S182" s="171">
        <f t="shared" si="74"/>
        <v>11154260777</v>
      </c>
      <c r="T182" s="139">
        <f t="shared" si="73"/>
        <v>113</v>
      </c>
      <c r="U182" s="139">
        <f t="shared" si="41"/>
        <v>2825</v>
      </c>
      <c r="V182" s="139" t="s">
        <v>58</v>
      </c>
      <c r="W182" s="181">
        <f t="shared" ref="W182:W192" si="75">SUM(M182,O182,Q182,S182)</f>
        <v>14901583747</v>
      </c>
      <c r="X182" s="148">
        <f t="shared" ref="X182:X192" si="76">W182/K182*100</f>
        <v>85.746829082099225</v>
      </c>
      <c r="Y182" s="139" t="s">
        <v>58</v>
      </c>
      <c r="Z182" s="139">
        <f t="shared" si="50"/>
        <v>113</v>
      </c>
      <c r="AA182" s="181">
        <f t="shared" ref="AA182:AA194" si="77">SUM(I182,W182)</f>
        <v>34607282090</v>
      </c>
      <c r="AB182" s="149">
        <f t="shared" si="35"/>
        <v>2825</v>
      </c>
      <c r="AC182" s="143" t="s">
        <v>58</v>
      </c>
      <c r="AD182" s="194">
        <f t="shared" ref="AD182:AD194" si="78">AA182/G182*100</f>
        <v>75.62786792465684</v>
      </c>
      <c r="AE182" s="150"/>
      <c r="AF182" s="78"/>
      <c r="AG182" s="78"/>
      <c r="AH182" s="145"/>
      <c r="AI182" s="78"/>
      <c r="AJ182" s="78"/>
      <c r="AK182" s="78"/>
    </row>
    <row r="183" spans="1:37" customFormat="1" ht="75">
      <c r="A183" s="151"/>
      <c r="B183" s="147" t="s">
        <v>392</v>
      </c>
      <c r="C183" s="153" t="s">
        <v>393</v>
      </c>
      <c r="D183" s="154" t="s">
        <v>394</v>
      </c>
      <c r="E183" s="155">
        <v>2</v>
      </c>
      <c r="F183" s="156" t="s">
        <v>138</v>
      </c>
      <c r="G183" s="195"/>
      <c r="H183" s="196">
        <v>1</v>
      </c>
      <c r="I183" s="157"/>
      <c r="J183" s="158">
        <v>1</v>
      </c>
      <c r="K183" s="157">
        <v>391350000</v>
      </c>
      <c r="L183" s="158">
        <v>0</v>
      </c>
      <c r="M183" s="157">
        <v>0</v>
      </c>
      <c r="N183" s="158">
        <v>0</v>
      </c>
      <c r="O183" s="157">
        <v>0</v>
      </c>
      <c r="P183" s="158">
        <v>0</v>
      </c>
      <c r="Q183" s="157">
        <v>0</v>
      </c>
      <c r="R183" s="158">
        <v>2</v>
      </c>
      <c r="S183" s="157">
        <v>163626000</v>
      </c>
      <c r="T183" s="143">
        <f t="shared" si="73"/>
        <v>2</v>
      </c>
      <c r="U183" s="143">
        <f t="shared" si="41"/>
        <v>200</v>
      </c>
      <c r="V183" s="143" t="s">
        <v>58</v>
      </c>
      <c r="W183" s="159">
        <f t="shared" si="75"/>
        <v>163626000</v>
      </c>
      <c r="X183" s="164">
        <f t="shared" si="76"/>
        <v>41.810655423533923</v>
      </c>
      <c r="Y183" s="143" t="s">
        <v>58</v>
      </c>
      <c r="Z183" s="164">
        <f t="shared" si="50"/>
        <v>3</v>
      </c>
      <c r="AA183" s="159">
        <f t="shared" si="77"/>
        <v>163626000</v>
      </c>
      <c r="AB183" s="149">
        <f t="shared" si="35"/>
        <v>150</v>
      </c>
      <c r="AC183" s="143" t="s">
        <v>58</v>
      </c>
      <c r="AD183" s="194" t="e">
        <f t="shared" si="78"/>
        <v>#DIV/0!</v>
      </c>
      <c r="AE183" s="162"/>
      <c r="AF183" s="1"/>
      <c r="AG183" s="1"/>
      <c r="AH183" s="163"/>
      <c r="AI183" s="1"/>
      <c r="AJ183" s="1"/>
      <c r="AK183" s="1"/>
    </row>
    <row r="184" spans="1:37" customFormat="1" ht="201" customHeight="1">
      <c r="A184" s="151"/>
      <c r="B184" s="147" t="s">
        <v>395</v>
      </c>
      <c r="C184" s="153" t="s">
        <v>396</v>
      </c>
      <c r="D184" s="154" t="s">
        <v>397</v>
      </c>
      <c r="E184" s="155">
        <v>7</v>
      </c>
      <c r="F184" s="156" t="s">
        <v>138</v>
      </c>
      <c r="G184" s="195">
        <v>8145490000</v>
      </c>
      <c r="H184" s="155">
        <v>5</v>
      </c>
      <c r="I184" s="157">
        <v>1225135350</v>
      </c>
      <c r="J184" s="158">
        <v>2</v>
      </c>
      <c r="K184" s="157">
        <v>6032640000</v>
      </c>
      <c r="L184" s="158">
        <v>0</v>
      </c>
      <c r="M184" s="157">
        <v>0</v>
      </c>
      <c r="N184" s="158">
        <v>1</v>
      </c>
      <c r="O184" s="157">
        <v>987000000</v>
      </c>
      <c r="P184" s="158">
        <v>1</v>
      </c>
      <c r="Q184" s="157">
        <f>2441876750-O184</f>
        <v>1454876750</v>
      </c>
      <c r="R184" s="158">
        <v>0</v>
      </c>
      <c r="S184" s="157">
        <f>5901822700-O184-Q184</f>
        <v>3459945950</v>
      </c>
      <c r="T184" s="143">
        <f t="shared" si="73"/>
        <v>2</v>
      </c>
      <c r="U184" s="143">
        <f t="shared" si="41"/>
        <v>100</v>
      </c>
      <c r="V184" s="143" t="s">
        <v>58</v>
      </c>
      <c r="W184" s="159">
        <f t="shared" si="75"/>
        <v>5901822700</v>
      </c>
      <c r="X184" s="164">
        <f t="shared" si="76"/>
        <v>97.831508261722902</v>
      </c>
      <c r="Y184" s="143" t="s">
        <v>58</v>
      </c>
      <c r="Z184" s="142">
        <f t="shared" si="50"/>
        <v>7</v>
      </c>
      <c r="AA184" s="159">
        <f t="shared" si="77"/>
        <v>7126958050</v>
      </c>
      <c r="AB184" s="149">
        <f t="shared" si="35"/>
        <v>100</v>
      </c>
      <c r="AC184" s="143" t="s">
        <v>58</v>
      </c>
      <c r="AD184" s="194">
        <f t="shared" si="78"/>
        <v>87.495755933651637</v>
      </c>
      <c r="AE184" s="162"/>
      <c r="AF184" s="1"/>
      <c r="AG184" s="1"/>
      <c r="AH184" s="163"/>
      <c r="AI184" s="1"/>
      <c r="AJ184" s="1"/>
      <c r="AK184" s="1"/>
    </row>
    <row r="185" spans="1:37" customFormat="1" ht="210">
      <c r="A185" s="151"/>
      <c r="B185" s="147" t="s">
        <v>398</v>
      </c>
      <c r="C185" s="153" t="s">
        <v>399</v>
      </c>
      <c r="D185" s="154" t="s">
        <v>400</v>
      </c>
      <c r="E185" s="155">
        <v>39</v>
      </c>
      <c r="F185" s="156" t="s">
        <v>138</v>
      </c>
      <c r="G185" s="195">
        <v>6535250000</v>
      </c>
      <c r="H185" s="158">
        <v>16</v>
      </c>
      <c r="I185" s="157">
        <v>3964412500</v>
      </c>
      <c r="J185" s="158">
        <v>13</v>
      </c>
      <c r="K185" s="157">
        <v>2281400000</v>
      </c>
      <c r="L185" s="158">
        <v>0</v>
      </c>
      <c r="M185" s="157">
        <v>0</v>
      </c>
      <c r="N185" s="158">
        <v>1</v>
      </c>
      <c r="O185" s="157">
        <v>269500000</v>
      </c>
      <c r="P185" s="158">
        <v>9</v>
      </c>
      <c r="Q185" s="157">
        <v>969050000</v>
      </c>
      <c r="R185" s="158">
        <v>3</v>
      </c>
      <c r="S185" s="157">
        <f>2233300000-O185-Q185</f>
        <v>994750000</v>
      </c>
      <c r="T185" s="143">
        <f t="shared" si="73"/>
        <v>13</v>
      </c>
      <c r="U185" s="143">
        <f t="shared" si="41"/>
        <v>100</v>
      </c>
      <c r="V185" s="143" t="s">
        <v>58</v>
      </c>
      <c r="W185" s="159">
        <f t="shared" si="75"/>
        <v>2233300000</v>
      </c>
      <c r="X185" s="164">
        <f t="shared" si="76"/>
        <v>97.891645480845085</v>
      </c>
      <c r="Y185" s="143" t="s">
        <v>58</v>
      </c>
      <c r="Z185" s="143">
        <f t="shared" si="50"/>
        <v>29</v>
      </c>
      <c r="AA185" s="159">
        <f t="shared" si="77"/>
        <v>6197712500</v>
      </c>
      <c r="AB185" s="149">
        <f t="shared" si="35"/>
        <v>74.358974358974365</v>
      </c>
      <c r="AC185" s="143" t="s">
        <v>58</v>
      </c>
      <c r="AD185" s="194">
        <f t="shared" si="78"/>
        <v>94.835124899583036</v>
      </c>
      <c r="AE185" s="162"/>
      <c r="AF185" s="1"/>
      <c r="AG185" s="1"/>
      <c r="AH185" s="163"/>
      <c r="AI185" s="1"/>
      <c r="AJ185" s="1"/>
      <c r="AK185" s="1"/>
    </row>
    <row r="186" spans="1:37" customFormat="1" ht="182.25" customHeight="1">
      <c r="A186" s="151"/>
      <c r="B186" s="147" t="s">
        <v>401</v>
      </c>
      <c r="C186" s="153" t="s">
        <v>402</v>
      </c>
      <c r="D186" s="154" t="s">
        <v>403</v>
      </c>
      <c r="E186" s="155">
        <v>12</v>
      </c>
      <c r="F186" s="156" t="s">
        <v>138</v>
      </c>
      <c r="G186" s="195">
        <v>100000000</v>
      </c>
      <c r="H186" s="158">
        <v>12</v>
      </c>
      <c r="I186" s="157">
        <v>36380000</v>
      </c>
      <c r="J186" s="158">
        <v>1</v>
      </c>
      <c r="K186" s="157">
        <v>50000000</v>
      </c>
      <c r="L186" s="158">
        <v>0</v>
      </c>
      <c r="M186" s="157">
        <v>0</v>
      </c>
      <c r="N186" s="158">
        <v>0</v>
      </c>
      <c r="O186" s="157">
        <v>0</v>
      </c>
      <c r="P186" s="158">
        <v>0</v>
      </c>
      <c r="Q186" s="157">
        <v>0</v>
      </c>
      <c r="R186" s="158">
        <v>1</v>
      </c>
      <c r="S186" s="157">
        <v>47195000</v>
      </c>
      <c r="T186" s="143">
        <f t="shared" si="73"/>
        <v>1</v>
      </c>
      <c r="U186" s="143">
        <f t="shared" si="41"/>
        <v>100</v>
      </c>
      <c r="V186" s="143" t="s">
        <v>58</v>
      </c>
      <c r="W186" s="159">
        <f t="shared" si="75"/>
        <v>47195000</v>
      </c>
      <c r="X186" s="143">
        <f t="shared" si="76"/>
        <v>94.39</v>
      </c>
      <c r="Y186" s="143" t="s">
        <v>58</v>
      </c>
      <c r="Z186" s="143">
        <f t="shared" si="50"/>
        <v>13</v>
      </c>
      <c r="AA186" s="159">
        <f t="shared" si="77"/>
        <v>83575000</v>
      </c>
      <c r="AB186" s="149">
        <f t="shared" si="35"/>
        <v>108.33333333333333</v>
      </c>
      <c r="AC186" s="143" t="s">
        <v>58</v>
      </c>
      <c r="AD186" s="194">
        <f t="shared" si="78"/>
        <v>83.575000000000003</v>
      </c>
      <c r="AE186" s="162"/>
      <c r="AF186" s="1"/>
      <c r="AG186" s="1"/>
      <c r="AH186" s="163"/>
      <c r="AI186" s="1"/>
      <c r="AJ186" s="1"/>
      <c r="AK186" s="1"/>
    </row>
    <row r="187" spans="1:37" customFormat="1" ht="135">
      <c r="A187" s="151"/>
      <c r="B187" s="147" t="s">
        <v>404</v>
      </c>
      <c r="C187" s="153" t="s">
        <v>405</v>
      </c>
      <c r="D187" s="154" t="s">
        <v>406</v>
      </c>
      <c r="E187" s="155">
        <v>43</v>
      </c>
      <c r="F187" s="156" t="s">
        <v>138</v>
      </c>
      <c r="G187" s="195">
        <v>8711542105</v>
      </c>
      <c r="H187" s="155">
        <v>12</v>
      </c>
      <c r="I187" s="157">
        <v>3586290968</v>
      </c>
      <c r="J187" s="158">
        <v>15</v>
      </c>
      <c r="K187" s="157">
        <v>4319436266</v>
      </c>
      <c r="L187" s="158">
        <v>0</v>
      </c>
      <c r="M187" s="157">
        <v>0</v>
      </c>
      <c r="N187" s="158">
        <v>0</v>
      </c>
      <c r="O187" s="157">
        <v>0</v>
      </c>
      <c r="P187" s="158">
        <v>11</v>
      </c>
      <c r="Q187" s="157">
        <v>0</v>
      </c>
      <c r="R187" s="158">
        <v>4</v>
      </c>
      <c r="S187" s="157">
        <v>3760703272</v>
      </c>
      <c r="T187" s="143">
        <f t="shared" si="73"/>
        <v>15</v>
      </c>
      <c r="U187" s="143">
        <f t="shared" si="41"/>
        <v>100</v>
      </c>
      <c r="V187" s="143" t="s">
        <v>58</v>
      </c>
      <c r="W187" s="159">
        <f t="shared" si="75"/>
        <v>3760703272</v>
      </c>
      <c r="X187" s="143">
        <f t="shared" si="76"/>
        <v>87.06467789794678</v>
      </c>
      <c r="Y187" s="143" t="s">
        <v>58</v>
      </c>
      <c r="Z187" s="142">
        <f t="shared" si="50"/>
        <v>27</v>
      </c>
      <c r="AA187" s="159">
        <f t="shared" si="77"/>
        <v>7346994240</v>
      </c>
      <c r="AB187" s="149">
        <f t="shared" si="35"/>
        <v>62.790697674418603</v>
      </c>
      <c r="AC187" s="143" t="s">
        <v>58</v>
      </c>
      <c r="AD187" s="194">
        <f t="shared" si="78"/>
        <v>84.336322449537192</v>
      </c>
      <c r="AE187" s="162"/>
      <c r="AF187" s="1"/>
      <c r="AG187" s="1"/>
      <c r="AH187" s="163"/>
      <c r="AI187" s="1"/>
      <c r="AJ187" s="1"/>
      <c r="AK187" s="1"/>
    </row>
    <row r="188" spans="1:37" customFormat="1" ht="81.75" customHeight="1">
      <c r="A188" s="151"/>
      <c r="B188" s="132" t="s">
        <v>407</v>
      </c>
      <c r="C188" s="153" t="s">
        <v>408</v>
      </c>
      <c r="D188" s="154" t="s">
        <v>409</v>
      </c>
      <c r="E188" s="155">
        <v>45</v>
      </c>
      <c r="F188" s="156" t="s">
        <v>59</v>
      </c>
      <c r="G188" s="157">
        <v>4831273223</v>
      </c>
      <c r="H188" s="158">
        <v>45</v>
      </c>
      <c r="I188" s="157">
        <v>628732213</v>
      </c>
      <c r="J188" s="158">
        <v>45</v>
      </c>
      <c r="K188" s="157">
        <v>1852802723</v>
      </c>
      <c r="L188" s="158"/>
      <c r="M188" s="157">
        <v>0</v>
      </c>
      <c r="N188" s="158">
        <v>2</v>
      </c>
      <c r="O188" s="157">
        <v>5502500</v>
      </c>
      <c r="P188" s="158">
        <v>24</v>
      </c>
      <c r="Q188" s="157">
        <v>0</v>
      </c>
      <c r="R188" s="158">
        <f>45-N188-P188</f>
        <v>19</v>
      </c>
      <c r="S188" s="157">
        <f>1246676655-O188</f>
        <v>1241174155</v>
      </c>
      <c r="T188" s="143">
        <f t="shared" si="73"/>
        <v>45</v>
      </c>
      <c r="U188" s="143">
        <f t="shared" si="41"/>
        <v>100</v>
      </c>
      <c r="V188" s="143" t="s">
        <v>58</v>
      </c>
      <c r="W188" s="159">
        <f t="shared" si="75"/>
        <v>1246676655</v>
      </c>
      <c r="X188" s="164">
        <f t="shared" si="76"/>
        <v>67.285990004452302</v>
      </c>
      <c r="Y188" s="143" t="s">
        <v>58</v>
      </c>
      <c r="Z188" s="143">
        <f t="shared" si="50"/>
        <v>90</v>
      </c>
      <c r="AA188" s="159">
        <f t="shared" si="77"/>
        <v>1875408868</v>
      </c>
      <c r="AB188" s="149">
        <f t="shared" si="35"/>
        <v>200</v>
      </c>
      <c r="AC188" s="143" t="s">
        <v>58</v>
      </c>
      <c r="AD188" s="194">
        <f t="shared" si="78"/>
        <v>38.818108217764106</v>
      </c>
      <c r="AE188" s="162"/>
      <c r="AF188" s="1"/>
      <c r="AG188" s="1"/>
      <c r="AH188" s="163"/>
      <c r="AI188" s="1"/>
      <c r="AJ188" s="1"/>
      <c r="AK188" s="1"/>
    </row>
    <row r="189" spans="1:37" customFormat="1" ht="60">
      <c r="A189" s="151"/>
      <c r="B189" s="132" t="s">
        <v>410</v>
      </c>
      <c r="C189" s="153" t="s">
        <v>411</v>
      </c>
      <c r="D189" s="154" t="s">
        <v>412</v>
      </c>
      <c r="E189" s="155">
        <v>90</v>
      </c>
      <c r="F189" s="156" t="s">
        <v>59</v>
      </c>
      <c r="G189" s="195">
        <v>7326591677</v>
      </c>
      <c r="H189" s="158">
        <v>80</v>
      </c>
      <c r="I189" s="157">
        <v>2804070519</v>
      </c>
      <c r="J189" s="158">
        <v>85</v>
      </c>
      <c r="K189" s="157">
        <v>2002356777</v>
      </c>
      <c r="L189" s="158"/>
      <c r="M189" s="157">
        <v>0</v>
      </c>
      <c r="N189" s="158">
        <v>0</v>
      </c>
      <c r="O189" s="157">
        <v>0</v>
      </c>
      <c r="P189" s="158">
        <v>1</v>
      </c>
      <c r="Q189" s="157">
        <v>0</v>
      </c>
      <c r="R189" s="158">
        <v>84</v>
      </c>
      <c r="S189" s="157">
        <f>1477176400</f>
        <v>1477176400</v>
      </c>
      <c r="T189" s="143">
        <f t="shared" si="73"/>
        <v>85</v>
      </c>
      <c r="U189" s="143">
        <f t="shared" si="41"/>
        <v>100</v>
      </c>
      <c r="V189" s="143" t="s">
        <v>58</v>
      </c>
      <c r="W189" s="159">
        <f t="shared" si="75"/>
        <v>1477176400</v>
      </c>
      <c r="X189" s="164">
        <f t="shared" si="76"/>
        <v>73.771888055492113</v>
      </c>
      <c r="Y189" s="143" t="s">
        <v>58</v>
      </c>
      <c r="Z189" s="143">
        <f t="shared" si="50"/>
        <v>165</v>
      </c>
      <c r="AA189" s="159">
        <f t="shared" si="77"/>
        <v>4281246919</v>
      </c>
      <c r="AB189" s="149">
        <f t="shared" si="35"/>
        <v>183.33333333333331</v>
      </c>
      <c r="AC189" s="143" t="s">
        <v>58</v>
      </c>
      <c r="AD189" s="194">
        <f t="shared" si="78"/>
        <v>58.43435949132941</v>
      </c>
      <c r="AE189" s="162"/>
      <c r="AF189" s="1"/>
      <c r="AG189" s="1"/>
      <c r="AH189" s="163"/>
      <c r="AI189" s="1"/>
      <c r="AJ189" s="1"/>
      <c r="AK189" s="1"/>
    </row>
    <row r="190" spans="1:37" customFormat="1" ht="165">
      <c r="A190" s="151"/>
      <c r="B190" s="132" t="s">
        <v>413</v>
      </c>
      <c r="C190" s="154" t="s">
        <v>414</v>
      </c>
      <c r="D190" s="154" t="s">
        <v>415</v>
      </c>
      <c r="E190" s="155">
        <v>8</v>
      </c>
      <c r="F190" s="156" t="s">
        <v>138</v>
      </c>
      <c r="G190" s="197">
        <v>190575000</v>
      </c>
      <c r="H190" s="158">
        <v>7</v>
      </c>
      <c r="I190" s="198">
        <v>26448316</v>
      </c>
      <c r="J190" s="158">
        <v>8</v>
      </c>
      <c r="K190" s="157">
        <v>100000000</v>
      </c>
      <c r="L190" s="158">
        <v>0</v>
      </c>
      <c r="M190" s="157">
        <v>0</v>
      </c>
      <c r="N190" s="158">
        <v>0</v>
      </c>
      <c r="O190" s="157">
        <v>0</v>
      </c>
      <c r="P190" s="158">
        <v>2</v>
      </c>
      <c r="Q190" s="157">
        <v>456000</v>
      </c>
      <c r="R190" s="158">
        <v>0</v>
      </c>
      <c r="S190" s="157">
        <f>10146000-Q190</f>
        <v>9690000</v>
      </c>
      <c r="T190" s="143">
        <f t="shared" si="73"/>
        <v>2</v>
      </c>
      <c r="U190" s="143">
        <f t="shared" si="41"/>
        <v>25</v>
      </c>
      <c r="V190" s="143" t="s">
        <v>58</v>
      </c>
      <c r="W190" s="159">
        <f t="shared" si="75"/>
        <v>10146000</v>
      </c>
      <c r="X190" s="164">
        <f t="shared" si="76"/>
        <v>10.145999999999999</v>
      </c>
      <c r="Y190" s="143" t="s">
        <v>58</v>
      </c>
      <c r="Z190" s="143">
        <f t="shared" si="50"/>
        <v>9</v>
      </c>
      <c r="AA190" s="159">
        <f t="shared" si="77"/>
        <v>36594316</v>
      </c>
      <c r="AB190" s="149">
        <f t="shared" si="35"/>
        <v>112.5</v>
      </c>
      <c r="AC190" s="143" t="s">
        <v>58</v>
      </c>
      <c r="AD190" s="194">
        <f t="shared" si="78"/>
        <v>19.202054834054834</v>
      </c>
      <c r="AE190" s="162"/>
      <c r="AF190" s="1"/>
      <c r="AG190" s="1"/>
      <c r="AH190" s="163"/>
      <c r="AI190" s="1"/>
      <c r="AJ190" s="1"/>
      <c r="AK190" s="1"/>
    </row>
    <row r="191" spans="1:37" customFormat="1" ht="215.25" customHeight="1">
      <c r="A191" s="151"/>
      <c r="B191" s="132" t="s">
        <v>416</v>
      </c>
      <c r="C191" s="154" t="s">
        <v>417</v>
      </c>
      <c r="D191" s="154" t="s">
        <v>418</v>
      </c>
      <c r="E191" s="155">
        <v>44</v>
      </c>
      <c r="F191" s="156" t="s">
        <v>59</v>
      </c>
      <c r="G191" s="197">
        <v>257106000</v>
      </c>
      <c r="H191" s="158">
        <v>44</v>
      </c>
      <c r="I191" s="198">
        <v>50720932</v>
      </c>
      <c r="J191" s="158">
        <v>44</v>
      </c>
      <c r="K191" s="157">
        <v>164997000</v>
      </c>
      <c r="L191" s="158">
        <v>0</v>
      </c>
      <c r="M191" s="157">
        <v>0</v>
      </c>
      <c r="N191" s="158">
        <v>22</v>
      </c>
      <c r="O191" s="157">
        <v>30087000</v>
      </c>
      <c r="P191" s="158">
        <v>11</v>
      </c>
      <c r="Q191" s="157">
        <f>60937720-O191</f>
        <v>30850720</v>
      </c>
      <c r="R191" s="158">
        <v>11</v>
      </c>
      <c r="S191" s="157">
        <f>104160290-O191-Q191</f>
        <v>43222570</v>
      </c>
      <c r="T191" s="143">
        <f t="shared" si="73"/>
        <v>44</v>
      </c>
      <c r="U191" s="143">
        <f t="shared" si="41"/>
        <v>100</v>
      </c>
      <c r="V191" s="143" t="s">
        <v>58</v>
      </c>
      <c r="W191" s="159">
        <f t="shared" si="75"/>
        <v>104160290</v>
      </c>
      <c r="X191" s="143">
        <f t="shared" si="76"/>
        <v>63.128596277508073</v>
      </c>
      <c r="Y191" s="143" t="s">
        <v>58</v>
      </c>
      <c r="Z191" s="143">
        <f t="shared" si="50"/>
        <v>88</v>
      </c>
      <c r="AA191" s="159">
        <f t="shared" si="77"/>
        <v>154881222</v>
      </c>
      <c r="AB191" s="149">
        <f t="shared" si="35"/>
        <v>200</v>
      </c>
      <c r="AC191" s="143" t="s">
        <v>58</v>
      </c>
      <c r="AD191" s="194">
        <f t="shared" si="78"/>
        <v>60.240220764976314</v>
      </c>
      <c r="AE191" s="162"/>
      <c r="AF191" s="1"/>
      <c r="AG191" s="1"/>
      <c r="AH191" s="163"/>
      <c r="AI191" s="1"/>
      <c r="AJ191" s="1"/>
      <c r="AK191" s="1"/>
    </row>
    <row r="192" spans="1:37" customFormat="1" ht="90">
      <c r="A192" s="151"/>
      <c r="B192" s="132" t="s">
        <v>419</v>
      </c>
      <c r="C192" s="153" t="s">
        <v>420</v>
      </c>
      <c r="D192" s="154" t="s">
        <v>421</v>
      </c>
      <c r="E192" s="155">
        <v>1</v>
      </c>
      <c r="F192" s="156" t="s">
        <v>138</v>
      </c>
      <c r="G192" s="195">
        <v>8641631967</v>
      </c>
      <c r="H192" s="155">
        <v>1</v>
      </c>
      <c r="I192" s="157">
        <v>7042037545</v>
      </c>
      <c r="J192" s="158">
        <v>2</v>
      </c>
      <c r="K192" s="157">
        <v>183600100</v>
      </c>
      <c r="L192" s="158"/>
      <c r="M192" s="157"/>
      <c r="N192" s="158"/>
      <c r="O192" s="157"/>
      <c r="P192" s="158"/>
      <c r="Q192" s="157"/>
      <c r="R192" s="158">
        <v>2</v>
      </c>
      <c r="S192" s="157">
        <v>179400000</v>
      </c>
      <c r="T192" s="143">
        <f t="shared" si="73"/>
        <v>2</v>
      </c>
      <c r="U192" s="143">
        <f t="shared" si="41"/>
        <v>100</v>
      </c>
      <c r="V192" s="143" t="s">
        <v>58</v>
      </c>
      <c r="W192" s="159">
        <f t="shared" si="75"/>
        <v>179400000</v>
      </c>
      <c r="X192" s="143">
        <f t="shared" si="76"/>
        <v>97.712365080411175</v>
      </c>
      <c r="Y192" s="143" t="s">
        <v>58</v>
      </c>
      <c r="Z192" s="142">
        <f t="shared" si="50"/>
        <v>3</v>
      </c>
      <c r="AA192" s="159">
        <f t="shared" si="77"/>
        <v>7221437545</v>
      </c>
      <c r="AB192" s="149">
        <f t="shared" si="35"/>
        <v>300</v>
      </c>
      <c r="AC192" s="143" t="s">
        <v>58</v>
      </c>
      <c r="AD192" s="194">
        <f t="shared" si="78"/>
        <v>83.565668759982728</v>
      </c>
      <c r="AE192" s="162"/>
      <c r="AF192" s="1"/>
      <c r="AG192" s="1"/>
      <c r="AH192" s="163"/>
      <c r="AI192" s="1"/>
      <c r="AJ192" s="1"/>
      <c r="AK192" s="1"/>
    </row>
    <row r="193" spans="1:37" customFormat="1" ht="105">
      <c r="A193" s="151"/>
      <c r="B193" s="132" t="s">
        <v>422</v>
      </c>
      <c r="C193" s="153" t="s">
        <v>423</v>
      </c>
      <c r="D193" s="154" t="s">
        <v>424</v>
      </c>
      <c r="E193" s="155">
        <v>5</v>
      </c>
      <c r="F193" s="156" t="s">
        <v>138</v>
      </c>
      <c r="G193" s="195">
        <v>1020500000</v>
      </c>
      <c r="H193" s="155">
        <v>5</v>
      </c>
      <c r="I193" s="157">
        <v>341470000</v>
      </c>
      <c r="J193" s="158"/>
      <c r="K193" s="157"/>
      <c r="L193" s="158"/>
      <c r="M193" s="157"/>
      <c r="N193" s="158"/>
      <c r="O193" s="157"/>
      <c r="P193" s="158"/>
      <c r="Q193" s="157"/>
      <c r="R193" s="158"/>
      <c r="S193" s="157"/>
      <c r="T193" s="143"/>
      <c r="U193" s="143"/>
      <c r="V193" s="143"/>
      <c r="W193" s="159"/>
      <c r="X193" s="164"/>
      <c r="Y193" s="143"/>
      <c r="Z193" s="142">
        <f t="shared" si="50"/>
        <v>5</v>
      </c>
      <c r="AA193" s="159">
        <f t="shared" si="77"/>
        <v>341470000</v>
      </c>
      <c r="AB193" s="149">
        <f t="shared" si="35"/>
        <v>100</v>
      </c>
      <c r="AC193" s="143" t="s">
        <v>58</v>
      </c>
      <c r="AD193" s="194">
        <f t="shared" si="78"/>
        <v>33.461048505634494</v>
      </c>
      <c r="AE193" s="162"/>
      <c r="AF193" s="1"/>
      <c r="AG193" s="1"/>
      <c r="AH193" s="163"/>
      <c r="AI193" s="1"/>
      <c r="AJ193" s="1"/>
      <c r="AK193" s="1"/>
    </row>
    <row r="194" spans="1:37" customFormat="1" ht="149.25" customHeight="1">
      <c r="A194" s="151"/>
      <c r="B194" s="1083" t="s">
        <v>425</v>
      </c>
      <c r="C194" s="1083" t="s">
        <v>426</v>
      </c>
      <c r="D194" s="132" t="s">
        <v>427</v>
      </c>
      <c r="E194" s="146">
        <v>50</v>
      </c>
      <c r="F194" s="199" t="s">
        <v>58</v>
      </c>
      <c r="G194" s="200">
        <f>SUM(G206:G578)</f>
        <v>186167703686</v>
      </c>
      <c r="H194" s="137">
        <v>50</v>
      </c>
      <c r="I194" s="200">
        <f>SUM(I206:I578)</f>
        <v>79487942220</v>
      </c>
      <c r="J194" s="137">
        <v>50</v>
      </c>
      <c r="K194" s="200">
        <f>SUM(K206:K578)</f>
        <v>87643713837</v>
      </c>
      <c r="L194" s="137"/>
      <c r="M194" s="200">
        <f>SUM(M206:M577)</f>
        <v>19060726696</v>
      </c>
      <c r="N194" s="184"/>
      <c r="O194" s="200">
        <f>SUM(O206:O577)</f>
        <v>24020036913</v>
      </c>
      <c r="P194" s="184"/>
      <c r="Q194" s="200">
        <f>SUM(Q206:Q577)</f>
        <v>8985317023</v>
      </c>
      <c r="R194" s="184">
        <v>23.81</v>
      </c>
      <c r="S194" s="200">
        <f>SUM(S206:S577)</f>
        <v>47726638062.699997</v>
      </c>
      <c r="T194" s="139">
        <f t="shared" ref="T194:T197" si="79">SUM(L194,N194,P194,R194)</f>
        <v>23.81</v>
      </c>
      <c r="U194" s="139">
        <f t="shared" ref="U194:U196" si="80">T194/J194*100</f>
        <v>47.62</v>
      </c>
      <c r="V194" s="139" t="s">
        <v>58</v>
      </c>
      <c r="W194" s="140">
        <f>SUM(M194,O194,Q194,S194)</f>
        <v>99792718694.699997</v>
      </c>
      <c r="X194" s="168">
        <f>W194/K194*100</f>
        <v>113.86180973605791</v>
      </c>
      <c r="Y194" s="131" t="s">
        <v>58</v>
      </c>
      <c r="Z194" s="139">
        <f t="shared" si="50"/>
        <v>73.81</v>
      </c>
      <c r="AA194" s="140">
        <f t="shared" si="77"/>
        <v>179280660914.70001</v>
      </c>
      <c r="AB194" s="149">
        <f t="shared" si="35"/>
        <v>147.62</v>
      </c>
      <c r="AC194" s="143" t="s">
        <v>58</v>
      </c>
      <c r="AD194" s="194">
        <f t="shared" si="78"/>
        <v>96.30062431080097</v>
      </c>
      <c r="AE194" s="150"/>
      <c r="AF194" s="78"/>
      <c r="AG194" s="78"/>
      <c r="AH194" s="145"/>
      <c r="AI194" s="78"/>
      <c r="AJ194" s="78"/>
      <c r="AK194" s="78"/>
    </row>
    <row r="195" spans="1:37" customFormat="1" ht="132" customHeight="1">
      <c r="A195" s="151"/>
      <c r="B195" s="1081"/>
      <c r="C195" s="1080"/>
      <c r="D195" s="132" t="s">
        <v>428</v>
      </c>
      <c r="E195" s="146">
        <v>30</v>
      </c>
      <c r="F195" s="199" t="s">
        <v>58</v>
      </c>
      <c r="G195" s="200"/>
      <c r="H195" s="137">
        <v>9.52</v>
      </c>
      <c r="I195" s="200"/>
      <c r="J195" s="137">
        <v>30</v>
      </c>
      <c r="K195" s="200"/>
      <c r="L195" s="137"/>
      <c r="M195" s="200"/>
      <c r="N195" s="184"/>
      <c r="O195" s="200"/>
      <c r="P195" s="184"/>
      <c r="Q195" s="200"/>
      <c r="R195" s="184">
        <v>23.81</v>
      </c>
      <c r="S195" s="200"/>
      <c r="T195" s="139">
        <f t="shared" si="79"/>
        <v>23.81</v>
      </c>
      <c r="U195" s="148">
        <f t="shared" si="80"/>
        <v>79.36666666666666</v>
      </c>
      <c r="V195" s="139" t="s">
        <v>58</v>
      </c>
      <c r="W195" s="140"/>
      <c r="X195" s="168"/>
      <c r="Y195" s="131"/>
      <c r="Z195" s="139">
        <f t="shared" si="50"/>
        <v>33.33</v>
      </c>
      <c r="AA195" s="140"/>
      <c r="AB195" s="149">
        <f t="shared" si="35"/>
        <v>111.1</v>
      </c>
      <c r="AC195" s="143" t="s">
        <v>58</v>
      </c>
      <c r="AD195" s="194"/>
      <c r="AE195" s="150"/>
      <c r="AF195" s="78"/>
      <c r="AG195" s="78"/>
      <c r="AH195" s="145"/>
      <c r="AI195" s="78"/>
      <c r="AJ195" s="78"/>
      <c r="AK195" s="78"/>
    </row>
    <row r="196" spans="1:37" customFormat="1" ht="57" customHeight="1">
      <c r="A196" s="151"/>
      <c r="B196" s="132" t="s">
        <v>429</v>
      </c>
      <c r="C196" s="1080"/>
      <c r="D196" s="132" t="s">
        <v>430</v>
      </c>
      <c r="E196" s="146">
        <v>100</v>
      </c>
      <c r="F196" s="199" t="s">
        <v>58</v>
      </c>
      <c r="G196" s="200"/>
      <c r="H196" s="137">
        <v>86.7</v>
      </c>
      <c r="I196" s="200"/>
      <c r="J196" s="137">
        <v>100</v>
      </c>
      <c r="K196" s="200"/>
      <c r="L196" s="137">
        <v>24.69</v>
      </c>
      <c r="M196" s="200"/>
      <c r="N196" s="184">
        <f>48.76-L196</f>
        <v>24.069999999999997</v>
      </c>
      <c r="O196" s="200"/>
      <c r="P196" s="184">
        <f>72.09-L196-N196</f>
        <v>23.330000000000009</v>
      </c>
      <c r="Q196" s="200"/>
      <c r="R196" s="184">
        <f>95.49-L196-N196-P196</f>
        <v>23.399999999999995</v>
      </c>
      <c r="S196" s="200"/>
      <c r="T196" s="139">
        <f t="shared" si="79"/>
        <v>95.49</v>
      </c>
      <c r="U196" s="139">
        <f t="shared" si="80"/>
        <v>95.49</v>
      </c>
      <c r="V196" s="139" t="s">
        <v>58</v>
      </c>
      <c r="W196" s="140"/>
      <c r="X196" s="168"/>
      <c r="Y196" s="131"/>
      <c r="Z196" s="139">
        <f t="shared" si="50"/>
        <v>182.19</v>
      </c>
      <c r="AA196" s="140"/>
      <c r="AB196" s="149">
        <f t="shared" si="35"/>
        <v>182.19</v>
      </c>
      <c r="AC196" s="143" t="s">
        <v>58</v>
      </c>
      <c r="AD196" s="194"/>
      <c r="AE196" s="150"/>
      <c r="AF196" s="78"/>
      <c r="AG196" s="78"/>
      <c r="AH196" s="145"/>
      <c r="AI196" s="78"/>
      <c r="AJ196" s="78"/>
      <c r="AK196" s="78"/>
    </row>
    <row r="197" spans="1:37" customFormat="1" ht="94.5" customHeight="1">
      <c r="A197" s="151"/>
      <c r="B197" s="1083" t="s">
        <v>431</v>
      </c>
      <c r="C197" s="1080"/>
      <c r="D197" s="132" t="s">
        <v>432</v>
      </c>
      <c r="E197" s="146">
        <v>0</v>
      </c>
      <c r="F197" s="199" t="s">
        <v>58</v>
      </c>
      <c r="G197" s="200"/>
      <c r="H197" s="137">
        <v>0.3</v>
      </c>
      <c r="I197" s="200"/>
      <c r="J197" s="137">
        <v>0</v>
      </c>
      <c r="K197" s="200"/>
      <c r="L197" s="201">
        <v>0</v>
      </c>
      <c r="M197" s="129"/>
      <c r="N197" s="202">
        <v>0.06</v>
      </c>
      <c r="O197" s="129"/>
      <c r="P197" s="202">
        <v>0.01</v>
      </c>
      <c r="Q197" s="129"/>
      <c r="R197" s="202">
        <f>0.15-N197-P197</f>
        <v>0.08</v>
      </c>
      <c r="S197" s="200"/>
      <c r="T197" s="139">
        <f t="shared" si="79"/>
        <v>0.15</v>
      </c>
      <c r="U197" s="139">
        <v>0</v>
      </c>
      <c r="V197" s="139" t="s">
        <v>58</v>
      </c>
      <c r="W197" s="140"/>
      <c r="X197" s="168"/>
      <c r="Y197" s="131"/>
      <c r="Z197" s="139">
        <f t="shared" si="50"/>
        <v>0.44999999999999996</v>
      </c>
      <c r="AA197" s="140"/>
      <c r="AB197" s="149">
        <v>0</v>
      </c>
      <c r="AC197" s="143" t="s">
        <v>58</v>
      </c>
      <c r="AD197" s="194"/>
      <c r="AE197" s="150"/>
      <c r="AF197" s="78"/>
      <c r="AG197" s="78"/>
      <c r="AH197" s="145"/>
      <c r="AI197" s="78"/>
      <c r="AJ197" s="78"/>
      <c r="AK197" s="78"/>
    </row>
    <row r="198" spans="1:37" customFormat="1" ht="94.5" customHeight="1">
      <c r="A198" s="151"/>
      <c r="B198" s="1081"/>
      <c r="C198" s="1080"/>
      <c r="D198" s="132" t="s">
        <v>433</v>
      </c>
      <c r="E198" s="146">
        <v>100</v>
      </c>
      <c r="F198" s="199" t="s">
        <v>58</v>
      </c>
      <c r="G198" s="200"/>
      <c r="H198" s="137">
        <v>100</v>
      </c>
      <c r="I198" s="200"/>
      <c r="J198" s="137">
        <v>100</v>
      </c>
      <c r="K198" s="200"/>
      <c r="L198" s="137">
        <v>100</v>
      </c>
      <c r="M198" s="200"/>
      <c r="N198" s="184">
        <v>100</v>
      </c>
      <c r="O198" s="200"/>
      <c r="P198" s="184">
        <v>100</v>
      </c>
      <c r="Q198" s="200"/>
      <c r="R198" s="184">
        <v>100</v>
      </c>
      <c r="S198" s="200"/>
      <c r="T198" s="148">
        <f>AVERAGE(L198,N198,P198,R198)</f>
        <v>100</v>
      </c>
      <c r="U198" s="139">
        <f t="shared" ref="U198:U261" si="81">T198/J198*100</f>
        <v>100</v>
      </c>
      <c r="V198" s="139" t="s">
        <v>58</v>
      </c>
      <c r="W198" s="140"/>
      <c r="X198" s="168"/>
      <c r="Y198" s="131"/>
      <c r="Z198" s="139">
        <f t="shared" si="50"/>
        <v>200</v>
      </c>
      <c r="AA198" s="140"/>
      <c r="AB198" s="149">
        <v>0</v>
      </c>
      <c r="AC198" s="143" t="s">
        <v>58</v>
      </c>
      <c r="AD198" s="194"/>
      <c r="AE198" s="150"/>
      <c r="AF198" s="78"/>
      <c r="AG198" s="78"/>
      <c r="AH198" s="145"/>
      <c r="AI198" s="78"/>
      <c r="AJ198" s="78"/>
      <c r="AK198" s="78"/>
    </row>
    <row r="199" spans="1:37" customFormat="1" ht="94.5" customHeight="1">
      <c r="A199" s="151"/>
      <c r="B199" s="132" t="s">
        <v>434</v>
      </c>
      <c r="C199" s="1080"/>
      <c r="D199" s="132" t="s">
        <v>435</v>
      </c>
      <c r="E199" s="146">
        <v>55</v>
      </c>
      <c r="F199" s="199" t="s">
        <v>58</v>
      </c>
      <c r="G199" s="200"/>
      <c r="H199" s="137">
        <v>60.97</v>
      </c>
      <c r="I199" s="200"/>
      <c r="J199" s="137">
        <v>50</v>
      </c>
      <c r="K199" s="200"/>
      <c r="L199" s="203">
        <v>10.66</v>
      </c>
      <c r="M199" s="130"/>
      <c r="N199" s="204">
        <v>11.33</v>
      </c>
      <c r="O199" s="130"/>
      <c r="P199" s="204">
        <v>11.42</v>
      </c>
      <c r="Q199" s="130"/>
      <c r="R199" s="204">
        <v>16.54</v>
      </c>
      <c r="S199" s="200"/>
      <c r="T199" s="148">
        <f t="shared" ref="T199:T356" si="82">SUM(L199,N199,P199,R199)</f>
        <v>49.95</v>
      </c>
      <c r="U199" s="139">
        <f t="shared" si="81"/>
        <v>99.9</v>
      </c>
      <c r="V199" s="139" t="s">
        <v>58</v>
      </c>
      <c r="W199" s="140"/>
      <c r="X199" s="168"/>
      <c r="Y199" s="131"/>
      <c r="Z199" s="139">
        <f t="shared" si="50"/>
        <v>110.92</v>
      </c>
      <c r="AA199" s="140"/>
      <c r="AB199" s="149">
        <v>0</v>
      </c>
      <c r="AC199" s="143" t="s">
        <v>58</v>
      </c>
      <c r="AD199" s="194"/>
      <c r="AE199" s="150"/>
      <c r="AF199" s="78"/>
      <c r="AG199" s="78"/>
      <c r="AH199" s="145"/>
      <c r="AI199" s="78"/>
      <c r="AJ199" s="78"/>
      <c r="AK199" s="78"/>
    </row>
    <row r="200" spans="1:37" customFormat="1" ht="94.5" customHeight="1">
      <c r="A200" s="151"/>
      <c r="B200" s="1083" t="s">
        <v>436</v>
      </c>
      <c r="C200" s="1080"/>
      <c r="D200" s="132" t="s">
        <v>437</v>
      </c>
      <c r="E200" s="146">
        <v>100</v>
      </c>
      <c r="F200" s="199" t="s">
        <v>58</v>
      </c>
      <c r="G200" s="200"/>
      <c r="H200" s="137">
        <v>86.7</v>
      </c>
      <c r="I200" s="200"/>
      <c r="J200" s="137">
        <v>100</v>
      </c>
      <c r="K200" s="200"/>
      <c r="L200" s="203">
        <v>23.23</v>
      </c>
      <c r="M200" s="130"/>
      <c r="N200" s="204">
        <v>22.87</v>
      </c>
      <c r="O200" s="130"/>
      <c r="P200" s="204">
        <v>22.39</v>
      </c>
      <c r="Q200" s="130"/>
      <c r="R200" s="204">
        <v>22.14</v>
      </c>
      <c r="S200" s="200"/>
      <c r="T200" s="148">
        <f t="shared" si="82"/>
        <v>90.63000000000001</v>
      </c>
      <c r="U200" s="139">
        <f t="shared" si="81"/>
        <v>90.63000000000001</v>
      </c>
      <c r="V200" s="139" t="s">
        <v>58</v>
      </c>
      <c r="W200" s="140"/>
      <c r="X200" s="168"/>
      <c r="Y200" s="131"/>
      <c r="Z200" s="139">
        <f t="shared" si="50"/>
        <v>177.33</v>
      </c>
      <c r="AA200" s="140"/>
      <c r="AB200" s="149">
        <v>0</v>
      </c>
      <c r="AC200" s="143" t="s">
        <v>58</v>
      </c>
      <c r="AD200" s="194"/>
      <c r="AE200" s="150"/>
      <c r="AF200" s="78"/>
      <c r="AG200" s="78"/>
      <c r="AH200" s="145"/>
      <c r="AI200" s="78"/>
      <c r="AJ200" s="78"/>
      <c r="AK200" s="78"/>
    </row>
    <row r="201" spans="1:37" customFormat="1" ht="94.5" customHeight="1">
      <c r="A201" s="151"/>
      <c r="B201" s="1080"/>
      <c r="C201" s="1080"/>
      <c r="D201" s="132" t="s">
        <v>438</v>
      </c>
      <c r="E201" s="146">
        <v>100</v>
      </c>
      <c r="F201" s="199" t="s">
        <v>58</v>
      </c>
      <c r="G201" s="200"/>
      <c r="H201" s="137">
        <v>69.900000000000006</v>
      </c>
      <c r="I201" s="200"/>
      <c r="J201" s="137">
        <v>100</v>
      </c>
      <c r="K201" s="200"/>
      <c r="L201" s="203">
        <v>26.99</v>
      </c>
      <c r="M201" s="130"/>
      <c r="N201" s="204">
        <f>50.73-L201</f>
        <v>23.74</v>
      </c>
      <c r="O201" s="130"/>
      <c r="P201" s="204">
        <f>74.74-L201-N201</f>
        <v>24.01</v>
      </c>
      <c r="Q201" s="130"/>
      <c r="R201" s="204">
        <f>95.29-L201-N201-P201</f>
        <v>20.550000000000015</v>
      </c>
      <c r="S201" s="200"/>
      <c r="T201" s="148">
        <f t="shared" si="82"/>
        <v>95.29</v>
      </c>
      <c r="U201" s="139">
        <f t="shared" si="81"/>
        <v>95.29</v>
      </c>
      <c r="V201" s="139" t="s">
        <v>58</v>
      </c>
      <c r="W201" s="140"/>
      <c r="X201" s="168"/>
      <c r="Y201" s="131"/>
      <c r="Z201" s="139">
        <f t="shared" si="50"/>
        <v>165.19</v>
      </c>
      <c r="AA201" s="140"/>
      <c r="AB201" s="149">
        <v>0</v>
      </c>
      <c r="AC201" s="143" t="s">
        <v>58</v>
      </c>
      <c r="AD201" s="194"/>
      <c r="AE201" s="150"/>
      <c r="AF201" s="78"/>
      <c r="AG201" s="78"/>
      <c r="AH201" s="145"/>
      <c r="AI201" s="78"/>
      <c r="AJ201" s="78"/>
      <c r="AK201" s="78"/>
    </row>
    <row r="202" spans="1:37" customFormat="1" ht="94.5" customHeight="1">
      <c r="A202" s="151"/>
      <c r="B202" s="1081"/>
      <c r="C202" s="1080"/>
      <c r="D202" s="132" t="s">
        <v>439</v>
      </c>
      <c r="E202" s="146">
        <v>14</v>
      </c>
      <c r="F202" s="199" t="s">
        <v>58</v>
      </c>
      <c r="G202" s="200"/>
      <c r="H202" s="137">
        <v>14.94</v>
      </c>
      <c r="I202" s="200"/>
      <c r="J202" s="137">
        <v>15</v>
      </c>
      <c r="K202" s="200"/>
      <c r="L202" s="203">
        <v>4.5199999999999996</v>
      </c>
      <c r="M202" s="130"/>
      <c r="N202" s="204">
        <v>8.67</v>
      </c>
      <c r="O202" s="130"/>
      <c r="P202" s="204">
        <v>13.02</v>
      </c>
      <c r="Q202" s="130"/>
      <c r="R202" s="204">
        <v>16.559999999999999</v>
      </c>
      <c r="S202" s="200"/>
      <c r="T202" s="148">
        <f t="shared" si="82"/>
        <v>42.769999999999996</v>
      </c>
      <c r="U202" s="148">
        <f t="shared" si="81"/>
        <v>285.13333333333333</v>
      </c>
      <c r="V202" s="139" t="s">
        <v>58</v>
      </c>
      <c r="W202" s="140"/>
      <c r="X202" s="168"/>
      <c r="Y202" s="131"/>
      <c r="Z202" s="139">
        <f t="shared" si="50"/>
        <v>57.709999999999994</v>
      </c>
      <c r="AA202" s="140"/>
      <c r="AB202" s="149">
        <v>0</v>
      </c>
      <c r="AC202" s="143" t="s">
        <v>58</v>
      </c>
      <c r="AD202" s="194"/>
      <c r="AE202" s="150"/>
      <c r="AF202" s="78"/>
      <c r="AG202" s="78"/>
      <c r="AH202" s="145"/>
      <c r="AI202" s="78"/>
      <c r="AJ202" s="78"/>
      <c r="AK202" s="78"/>
    </row>
    <row r="203" spans="1:37" customFormat="1" ht="94.5" customHeight="1">
      <c r="A203" s="151"/>
      <c r="B203" s="132" t="s">
        <v>440</v>
      </c>
      <c r="C203" s="1080"/>
      <c r="D203" s="132" t="s">
        <v>441</v>
      </c>
      <c r="E203" s="146">
        <v>100</v>
      </c>
      <c r="F203" s="199" t="s">
        <v>58</v>
      </c>
      <c r="G203" s="200"/>
      <c r="H203" s="137">
        <v>100</v>
      </c>
      <c r="I203" s="200"/>
      <c r="J203" s="137">
        <v>100</v>
      </c>
      <c r="K203" s="200"/>
      <c r="L203" s="137">
        <v>25</v>
      </c>
      <c r="M203" s="200"/>
      <c r="N203" s="184">
        <v>25</v>
      </c>
      <c r="O203" s="200"/>
      <c r="P203" s="184">
        <v>25</v>
      </c>
      <c r="Q203" s="200"/>
      <c r="R203" s="184">
        <v>25</v>
      </c>
      <c r="S203" s="200"/>
      <c r="T203" s="148">
        <f t="shared" si="82"/>
        <v>100</v>
      </c>
      <c r="U203" s="139">
        <f t="shared" si="81"/>
        <v>100</v>
      </c>
      <c r="V203" s="139" t="s">
        <v>58</v>
      </c>
      <c r="W203" s="140"/>
      <c r="X203" s="168"/>
      <c r="Y203" s="131"/>
      <c r="Z203" s="139">
        <f t="shared" si="50"/>
        <v>200</v>
      </c>
      <c r="AA203" s="140"/>
      <c r="AB203" s="149">
        <v>1</v>
      </c>
      <c r="AC203" s="143" t="s">
        <v>58</v>
      </c>
      <c r="AD203" s="194"/>
      <c r="AE203" s="150"/>
      <c r="AF203" s="78"/>
      <c r="AG203" s="78"/>
      <c r="AH203" s="145"/>
      <c r="AI203" s="78"/>
      <c r="AJ203" s="78"/>
      <c r="AK203" s="78"/>
    </row>
    <row r="204" spans="1:37" customFormat="1" ht="94.5" customHeight="1">
      <c r="A204" s="151"/>
      <c r="B204" s="132" t="s">
        <v>442</v>
      </c>
      <c r="C204" s="1080"/>
      <c r="D204" s="132" t="s">
        <v>443</v>
      </c>
      <c r="E204" s="146">
        <v>0</v>
      </c>
      <c r="F204" s="199" t="s">
        <v>58</v>
      </c>
      <c r="G204" s="200"/>
      <c r="H204" s="137">
        <v>0</v>
      </c>
      <c r="I204" s="200"/>
      <c r="J204" s="137">
        <v>0</v>
      </c>
      <c r="K204" s="200"/>
      <c r="L204" s="137">
        <v>0</v>
      </c>
      <c r="M204" s="200"/>
      <c r="N204" s="184">
        <v>0</v>
      </c>
      <c r="O204" s="200"/>
      <c r="P204" s="184">
        <v>0</v>
      </c>
      <c r="Q204" s="200"/>
      <c r="R204" s="184">
        <v>0</v>
      </c>
      <c r="S204" s="200"/>
      <c r="T204" s="148">
        <f t="shared" si="82"/>
        <v>0</v>
      </c>
      <c r="U204" s="139">
        <v>0</v>
      </c>
      <c r="V204" s="139" t="s">
        <v>58</v>
      </c>
      <c r="W204" s="140"/>
      <c r="X204" s="168"/>
      <c r="Y204" s="131"/>
      <c r="Z204" s="139">
        <f t="shared" si="50"/>
        <v>0</v>
      </c>
      <c r="AA204" s="140"/>
      <c r="AB204" s="149">
        <v>2</v>
      </c>
      <c r="AC204" s="143" t="s">
        <v>58</v>
      </c>
      <c r="AD204" s="194"/>
      <c r="AE204" s="150"/>
      <c r="AF204" s="78"/>
      <c r="AG204" s="78"/>
      <c r="AH204" s="145"/>
      <c r="AI204" s="78"/>
      <c r="AJ204" s="78"/>
      <c r="AK204" s="78"/>
    </row>
    <row r="205" spans="1:37" customFormat="1" ht="94.5" customHeight="1">
      <c r="A205" s="151"/>
      <c r="B205" s="132" t="s">
        <v>444</v>
      </c>
      <c r="C205" s="1081"/>
      <c r="D205" s="132" t="s">
        <v>445</v>
      </c>
      <c r="E205" s="146">
        <v>65</v>
      </c>
      <c r="F205" s="199" t="s">
        <v>58</v>
      </c>
      <c r="G205" s="200"/>
      <c r="H205" s="137">
        <v>59</v>
      </c>
      <c r="I205" s="200"/>
      <c r="J205" s="137">
        <v>63</v>
      </c>
      <c r="K205" s="200"/>
      <c r="L205" s="137"/>
      <c r="M205" s="200"/>
      <c r="N205" s="184"/>
      <c r="O205" s="200"/>
      <c r="P205" s="184"/>
      <c r="Q205" s="200"/>
      <c r="R205" s="184">
        <v>61</v>
      </c>
      <c r="S205" s="200"/>
      <c r="T205" s="148">
        <f t="shared" si="82"/>
        <v>61</v>
      </c>
      <c r="U205" s="148">
        <f t="shared" si="81"/>
        <v>96.825396825396822</v>
      </c>
      <c r="V205" s="139" t="s">
        <v>58</v>
      </c>
      <c r="W205" s="140"/>
      <c r="X205" s="168"/>
      <c r="Y205" s="131"/>
      <c r="Z205" s="139">
        <f t="shared" si="50"/>
        <v>120</v>
      </c>
      <c r="AA205" s="140"/>
      <c r="AB205" s="149">
        <v>3</v>
      </c>
      <c r="AC205" s="143" t="s">
        <v>58</v>
      </c>
      <c r="AD205" s="194"/>
      <c r="AE205" s="150"/>
      <c r="AF205" s="78"/>
      <c r="AG205" s="78"/>
      <c r="AH205" s="145"/>
      <c r="AI205" s="78"/>
      <c r="AJ205" s="78"/>
      <c r="AK205" s="78"/>
    </row>
    <row r="206" spans="1:37" customFormat="1" ht="105">
      <c r="A206" s="151"/>
      <c r="B206" s="1"/>
      <c r="C206" s="153" t="s">
        <v>446</v>
      </c>
      <c r="D206" s="154" t="s">
        <v>447</v>
      </c>
      <c r="E206" s="155">
        <v>11896</v>
      </c>
      <c r="F206" s="182" t="s">
        <v>57</v>
      </c>
      <c r="G206" s="195">
        <v>911289850</v>
      </c>
      <c r="H206" s="205">
        <f>4311+3215</f>
        <v>7526</v>
      </c>
      <c r="I206" s="157">
        <v>148424265</v>
      </c>
      <c r="J206" s="158">
        <v>3586</v>
      </c>
      <c r="K206" s="157">
        <v>696425100</v>
      </c>
      <c r="L206" s="142">
        <v>820</v>
      </c>
      <c r="M206" s="157">
        <v>0</v>
      </c>
      <c r="N206" s="158">
        <v>833</v>
      </c>
      <c r="O206" s="157">
        <v>19812500</v>
      </c>
      <c r="P206" s="155">
        <v>516</v>
      </c>
      <c r="Q206" s="157">
        <f>136710450-M206-O206</f>
        <v>116897950</v>
      </c>
      <c r="R206" s="205">
        <v>1068</v>
      </c>
      <c r="S206" s="157">
        <f>502782000-O206-Q206</f>
        <v>366071550</v>
      </c>
      <c r="T206" s="206">
        <f t="shared" si="82"/>
        <v>3237</v>
      </c>
      <c r="U206" s="164">
        <f t="shared" si="81"/>
        <v>90.267707752370328</v>
      </c>
      <c r="V206" s="143" t="s">
        <v>58</v>
      </c>
      <c r="W206" s="159">
        <f t="shared" ref="W206:W275" si="83">SUM(M206,O206,Q206,S206)</f>
        <v>502782000</v>
      </c>
      <c r="X206" s="164">
        <f t="shared" ref="X206:X460" si="84">W206/K206*100</f>
        <v>72.194698324342426</v>
      </c>
      <c r="Y206" s="143" t="s">
        <v>58</v>
      </c>
      <c r="Z206" s="206">
        <f t="shared" si="50"/>
        <v>10763</v>
      </c>
      <c r="AA206" s="159">
        <f t="shared" ref="AA206:AA460" si="85">SUM(I206,W206)</f>
        <v>651206265</v>
      </c>
      <c r="AB206" s="149">
        <f t="shared" ref="AB206:AB460" si="86">Z206/E206*100</f>
        <v>90.475790181573629</v>
      </c>
      <c r="AC206" s="143" t="s">
        <v>58</v>
      </c>
      <c r="AD206" s="194">
        <f t="shared" ref="AD206:AD460" si="87">AA206/G206*100</f>
        <v>71.459839588907954</v>
      </c>
      <c r="AE206" s="162"/>
      <c r="AF206" s="1"/>
      <c r="AG206" s="1"/>
      <c r="AH206" s="163"/>
      <c r="AI206" s="1"/>
      <c r="AJ206" s="1"/>
      <c r="AK206" s="1"/>
    </row>
    <row r="207" spans="1:37" customFormat="1" ht="105">
      <c r="A207" s="151"/>
      <c r="B207" s="147"/>
      <c r="C207" s="153" t="s">
        <v>448</v>
      </c>
      <c r="D207" s="154" t="s">
        <v>447</v>
      </c>
      <c r="E207" s="155">
        <v>602</v>
      </c>
      <c r="F207" s="182" t="s">
        <v>57</v>
      </c>
      <c r="G207" s="195">
        <v>61539500</v>
      </c>
      <c r="H207" s="205">
        <v>186</v>
      </c>
      <c r="I207" s="157">
        <v>27605000</v>
      </c>
      <c r="J207" s="158">
        <v>134</v>
      </c>
      <c r="K207" s="157">
        <v>33784500</v>
      </c>
      <c r="L207" s="142">
        <v>26</v>
      </c>
      <c r="M207" s="207" t="s">
        <v>449</v>
      </c>
      <c r="N207" s="158">
        <v>37</v>
      </c>
      <c r="O207" s="157">
        <v>11342000</v>
      </c>
      <c r="P207" s="158">
        <v>71</v>
      </c>
      <c r="Q207" s="157">
        <v>11569000</v>
      </c>
      <c r="R207" s="205">
        <v>52</v>
      </c>
      <c r="S207" s="157">
        <v>10463500</v>
      </c>
      <c r="T207" s="206">
        <f t="shared" si="82"/>
        <v>186</v>
      </c>
      <c r="U207" s="164">
        <f t="shared" si="81"/>
        <v>138.80597014925374</v>
      </c>
      <c r="V207" s="143" t="s">
        <v>58</v>
      </c>
      <c r="W207" s="159">
        <f t="shared" si="83"/>
        <v>33374500</v>
      </c>
      <c r="X207" s="164">
        <f t="shared" si="84"/>
        <v>98.786425727774571</v>
      </c>
      <c r="Y207" s="143" t="s">
        <v>58</v>
      </c>
      <c r="Z207" s="206">
        <f t="shared" si="50"/>
        <v>372</v>
      </c>
      <c r="AA207" s="159">
        <f t="shared" si="85"/>
        <v>60979500</v>
      </c>
      <c r="AB207" s="149">
        <f t="shared" si="86"/>
        <v>61.794019933554821</v>
      </c>
      <c r="AC207" s="143" t="s">
        <v>58</v>
      </c>
      <c r="AD207" s="194">
        <f t="shared" si="87"/>
        <v>99.090015355990872</v>
      </c>
      <c r="AE207" s="162"/>
      <c r="AF207" s="1"/>
      <c r="AG207" s="1"/>
      <c r="AH207" s="163"/>
      <c r="AI207" s="1"/>
      <c r="AJ207" s="1"/>
      <c r="AK207" s="1"/>
    </row>
    <row r="208" spans="1:37" customFormat="1" ht="105">
      <c r="A208" s="151"/>
      <c r="B208" s="147"/>
      <c r="C208" s="153" t="s">
        <v>450</v>
      </c>
      <c r="D208" s="154" t="s">
        <v>447</v>
      </c>
      <c r="E208" s="155">
        <v>388</v>
      </c>
      <c r="F208" s="182" t="s">
        <v>57</v>
      </c>
      <c r="G208" s="195">
        <v>239469100</v>
      </c>
      <c r="H208" s="205">
        <v>139</v>
      </c>
      <c r="I208" s="157">
        <v>18349500</v>
      </c>
      <c r="J208" s="158">
        <v>129</v>
      </c>
      <c r="K208" s="157">
        <v>108381400</v>
      </c>
      <c r="L208" s="142">
        <v>29</v>
      </c>
      <c r="M208" s="207" t="s">
        <v>449</v>
      </c>
      <c r="N208" s="158">
        <v>26</v>
      </c>
      <c r="O208" s="157">
        <v>25062500</v>
      </c>
      <c r="P208" s="158"/>
      <c r="Q208" s="157">
        <v>31050000</v>
      </c>
      <c r="R208" s="205">
        <v>29</v>
      </c>
      <c r="S208" s="157">
        <v>27309300</v>
      </c>
      <c r="T208" s="206">
        <f t="shared" si="82"/>
        <v>84</v>
      </c>
      <c r="U208" s="164">
        <f t="shared" si="81"/>
        <v>65.116279069767444</v>
      </c>
      <c r="V208" s="143" t="s">
        <v>58</v>
      </c>
      <c r="W208" s="159">
        <f t="shared" si="83"/>
        <v>83421800</v>
      </c>
      <c r="X208" s="164">
        <f t="shared" si="84"/>
        <v>76.970587204077461</v>
      </c>
      <c r="Y208" s="143" t="s">
        <v>58</v>
      </c>
      <c r="Z208" s="206">
        <f t="shared" si="50"/>
        <v>223</v>
      </c>
      <c r="AA208" s="159">
        <f t="shared" si="85"/>
        <v>101771300</v>
      </c>
      <c r="AB208" s="149">
        <f t="shared" si="86"/>
        <v>57.47422680412371</v>
      </c>
      <c r="AC208" s="143" t="s">
        <v>58</v>
      </c>
      <c r="AD208" s="194">
        <f t="shared" si="87"/>
        <v>42.498719041412855</v>
      </c>
      <c r="AE208" s="162"/>
      <c r="AF208" s="1"/>
      <c r="AG208" s="1"/>
      <c r="AH208" s="163"/>
      <c r="AI208" s="1"/>
      <c r="AJ208" s="1"/>
      <c r="AK208" s="1"/>
    </row>
    <row r="209" spans="1:37" customFormat="1" ht="105">
      <c r="A209" s="151"/>
      <c r="B209" s="147"/>
      <c r="C209" s="153" t="s">
        <v>451</v>
      </c>
      <c r="D209" s="154" t="s">
        <v>447</v>
      </c>
      <c r="E209" s="155">
        <v>294</v>
      </c>
      <c r="F209" s="182" t="s">
        <v>57</v>
      </c>
      <c r="G209" s="195">
        <v>129439200</v>
      </c>
      <c r="H209" s="205">
        <v>88</v>
      </c>
      <c r="I209" s="157">
        <v>17595000</v>
      </c>
      <c r="J209" s="158">
        <v>98</v>
      </c>
      <c r="K209" s="157">
        <v>55922100</v>
      </c>
      <c r="L209" s="142">
        <v>0</v>
      </c>
      <c r="M209" s="207" t="s">
        <v>449</v>
      </c>
      <c r="N209" s="158">
        <v>43</v>
      </c>
      <c r="O209" s="157">
        <v>10520000</v>
      </c>
      <c r="P209" s="158">
        <v>43</v>
      </c>
      <c r="Q209" s="157">
        <v>22950000</v>
      </c>
      <c r="R209" s="205">
        <v>12</v>
      </c>
      <c r="S209" s="157">
        <v>21892100</v>
      </c>
      <c r="T209" s="206">
        <f t="shared" si="82"/>
        <v>98</v>
      </c>
      <c r="U209" s="164">
        <f t="shared" si="81"/>
        <v>100</v>
      </c>
      <c r="V209" s="143" t="s">
        <v>58</v>
      </c>
      <c r="W209" s="159">
        <f t="shared" si="83"/>
        <v>55362100</v>
      </c>
      <c r="X209" s="164">
        <f t="shared" si="84"/>
        <v>98.998606990796119</v>
      </c>
      <c r="Y209" s="143" t="s">
        <v>58</v>
      </c>
      <c r="Z209" s="206">
        <f t="shared" si="50"/>
        <v>186</v>
      </c>
      <c r="AA209" s="159">
        <f t="shared" si="85"/>
        <v>72957100</v>
      </c>
      <c r="AB209" s="149">
        <f t="shared" si="86"/>
        <v>63.265306122448983</v>
      </c>
      <c r="AC209" s="143" t="s">
        <v>58</v>
      </c>
      <c r="AD209" s="194">
        <f t="shared" si="87"/>
        <v>56.363991742841421</v>
      </c>
      <c r="AE209" s="162"/>
      <c r="AF209" s="1"/>
      <c r="AG209" s="1"/>
      <c r="AH209" s="163"/>
      <c r="AI209" s="1"/>
      <c r="AJ209" s="1"/>
      <c r="AK209" s="1"/>
    </row>
    <row r="210" spans="1:37" customFormat="1" ht="105">
      <c r="A210" s="151"/>
      <c r="B210" s="147"/>
      <c r="C210" s="153" t="s">
        <v>452</v>
      </c>
      <c r="D210" s="154" t="s">
        <v>447</v>
      </c>
      <c r="E210" s="155">
        <v>756</v>
      </c>
      <c r="F210" s="182" t="s">
        <v>57</v>
      </c>
      <c r="G210" s="195">
        <v>75020000</v>
      </c>
      <c r="H210" s="205">
        <v>210</v>
      </c>
      <c r="I210" s="157">
        <v>15368600</v>
      </c>
      <c r="J210" s="158">
        <v>252</v>
      </c>
      <c r="K210" s="157">
        <v>29766000</v>
      </c>
      <c r="L210" s="142">
        <v>47</v>
      </c>
      <c r="M210" s="207" t="s">
        <v>449</v>
      </c>
      <c r="N210" s="158">
        <v>48</v>
      </c>
      <c r="O210" s="157">
        <v>8860000</v>
      </c>
      <c r="P210" s="158">
        <v>55</v>
      </c>
      <c r="Q210" s="157">
        <v>3110000</v>
      </c>
      <c r="R210" s="205">
        <v>61</v>
      </c>
      <c r="S210" s="157">
        <v>11170000</v>
      </c>
      <c r="T210" s="206">
        <f t="shared" si="82"/>
        <v>211</v>
      </c>
      <c r="U210" s="164">
        <f t="shared" si="81"/>
        <v>83.730158730158735</v>
      </c>
      <c r="V210" s="143" t="s">
        <v>58</v>
      </c>
      <c r="W210" s="159">
        <f t="shared" si="83"/>
        <v>23140000</v>
      </c>
      <c r="X210" s="164">
        <f t="shared" si="84"/>
        <v>77.73970301686488</v>
      </c>
      <c r="Y210" s="143" t="s">
        <v>58</v>
      </c>
      <c r="Z210" s="206">
        <f t="shared" si="50"/>
        <v>421</v>
      </c>
      <c r="AA210" s="159">
        <f t="shared" si="85"/>
        <v>38508600</v>
      </c>
      <c r="AB210" s="149">
        <f t="shared" si="86"/>
        <v>55.687830687830683</v>
      </c>
      <c r="AC210" s="143" t="s">
        <v>58</v>
      </c>
      <c r="AD210" s="194">
        <f t="shared" si="87"/>
        <v>51.331111703545716</v>
      </c>
      <c r="AE210" s="162"/>
      <c r="AF210" s="1"/>
      <c r="AG210" s="1"/>
      <c r="AH210" s="163"/>
      <c r="AI210" s="1"/>
      <c r="AJ210" s="1"/>
      <c r="AK210" s="1"/>
    </row>
    <row r="211" spans="1:37" customFormat="1" ht="105">
      <c r="A211" s="151"/>
      <c r="B211" s="147"/>
      <c r="C211" s="153" t="s">
        <v>453</v>
      </c>
      <c r="D211" s="154" t="s">
        <v>447</v>
      </c>
      <c r="E211" s="155">
        <v>343</v>
      </c>
      <c r="F211" s="182" t="s">
        <v>57</v>
      </c>
      <c r="G211" s="195">
        <v>97519000</v>
      </c>
      <c r="H211" s="205">
        <v>119</v>
      </c>
      <c r="I211" s="157">
        <v>10921000</v>
      </c>
      <c r="J211" s="158">
        <v>112</v>
      </c>
      <c r="K211" s="157">
        <v>43299000</v>
      </c>
      <c r="L211" s="142">
        <v>25</v>
      </c>
      <c r="M211" s="207" t="s">
        <v>449</v>
      </c>
      <c r="N211" s="158">
        <v>13</v>
      </c>
      <c r="O211" s="157">
        <v>10731000</v>
      </c>
      <c r="P211" s="158">
        <v>48</v>
      </c>
      <c r="Q211" s="157">
        <v>22538000</v>
      </c>
      <c r="R211" s="205">
        <v>2</v>
      </c>
      <c r="S211" s="157">
        <v>9950000</v>
      </c>
      <c r="T211" s="206">
        <f t="shared" si="82"/>
        <v>88</v>
      </c>
      <c r="U211" s="164">
        <f t="shared" si="81"/>
        <v>78.571428571428569</v>
      </c>
      <c r="V211" s="143" t="s">
        <v>58</v>
      </c>
      <c r="W211" s="159">
        <f t="shared" si="83"/>
        <v>43219000</v>
      </c>
      <c r="X211" s="164">
        <f t="shared" si="84"/>
        <v>99.815238227210784</v>
      </c>
      <c r="Y211" s="143" t="s">
        <v>58</v>
      </c>
      <c r="Z211" s="206">
        <f t="shared" si="50"/>
        <v>207</v>
      </c>
      <c r="AA211" s="159">
        <f t="shared" si="85"/>
        <v>54140000</v>
      </c>
      <c r="AB211" s="149">
        <f t="shared" si="86"/>
        <v>60.349854227405253</v>
      </c>
      <c r="AC211" s="143" t="s">
        <v>58</v>
      </c>
      <c r="AD211" s="194">
        <f t="shared" si="87"/>
        <v>55.517386355479445</v>
      </c>
      <c r="AE211" s="162"/>
      <c r="AF211" s="1"/>
      <c r="AG211" s="1"/>
      <c r="AH211" s="163"/>
      <c r="AI211" s="1"/>
      <c r="AJ211" s="1"/>
      <c r="AK211" s="1"/>
    </row>
    <row r="212" spans="1:37" customFormat="1" ht="105">
      <c r="A212" s="151"/>
      <c r="B212" s="147"/>
      <c r="C212" s="153" t="s">
        <v>454</v>
      </c>
      <c r="D212" s="154" t="s">
        <v>447</v>
      </c>
      <c r="E212" s="155">
        <v>589</v>
      </c>
      <c r="F212" s="182" t="s">
        <v>57</v>
      </c>
      <c r="G212" s="195">
        <v>272397000</v>
      </c>
      <c r="H212" s="205">
        <v>200</v>
      </c>
      <c r="I212" s="157">
        <v>69615000</v>
      </c>
      <c r="J212" s="158">
        <v>196</v>
      </c>
      <c r="K212" s="157">
        <v>98961000</v>
      </c>
      <c r="L212" s="142">
        <v>55</v>
      </c>
      <c r="M212" s="207" t="s">
        <v>449</v>
      </c>
      <c r="N212" s="158">
        <v>56</v>
      </c>
      <c r="O212" s="157">
        <v>32018500</v>
      </c>
      <c r="P212" s="158">
        <v>50</v>
      </c>
      <c r="Q212" s="157">
        <v>23452500</v>
      </c>
      <c r="R212" s="205">
        <v>35</v>
      </c>
      <c r="S212" s="157">
        <v>35670000</v>
      </c>
      <c r="T212" s="206">
        <f t="shared" si="82"/>
        <v>196</v>
      </c>
      <c r="U212" s="164">
        <f t="shared" si="81"/>
        <v>100</v>
      </c>
      <c r="V212" s="143" t="s">
        <v>58</v>
      </c>
      <c r="W212" s="159">
        <f t="shared" si="83"/>
        <v>91141000</v>
      </c>
      <c r="X212" s="164">
        <f t="shared" si="84"/>
        <v>92.097897151403075</v>
      </c>
      <c r="Y212" s="143" t="s">
        <v>58</v>
      </c>
      <c r="Z212" s="206">
        <f t="shared" si="50"/>
        <v>396</v>
      </c>
      <c r="AA212" s="159">
        <f t="shared" si="85"/>
        <v>160756000</v>
      </c>
      <c r="AB212" s="149">
        <f t="shared" si="86"/>
        <v>67.232597623089987</v>
      </c>
      <c r="AC212" s="143" t="s">
        <v>58</v>
      </c>
      <c r="AD212" s="194">
        <f t="shared" si="87"/>
        <v>59.015334236426973</v>
      </c>
      <c r="AE212" s="162"/>
      <c r="AF212" s="1"/>
      <c r="AG212" s="1"/>
      <c r="AH212" s="163"/>
      <c r="AI212" s="1"/>
      <c r="AJ212" s="1"/>
      <c r="AK212" s="1"/>
    </row>
    <row r="213" spans="1:37" customFormat="1" ht="105">
      <c r="A213" s="151"/>
      <c r="B213" s="147"/>
      <c r="C213" s="153" t="s">
        <v>455</v>
      </c>
      <c r="D213" s="154" t="s">
        <v>447</v>
      </c>
      <c r="E213" s="155">
        <v>309</v>
      </c>
      <c r="F213" s="182" t="s">
        <v>57</v>
      </c>
      <c r="G213" s="195">
        <v>143652600</v>
      </c>
      <c r="H213" s="205">
        <v>95</v>
      </c>
      <c r="I213" s="157">
        <v>16819000</v>
      </c>
      <c r="J213" s="158">
        <v>103</v>
      </c>
      <c r="K213" s="157">
        <v>63199800</v>
      </c>
      <c r="L213" s="142">
        <v>21</v>
      </c>
      <c r="M213" s="207" t="s">
        <v>449</v>
      </c>
      <c r="N213" s="158">
        <v>21</v>
      </c>
      <c r="O213" s="157">
        <v>5717500</v>
      </c>
      <c r="P213" s="158">
        <v>24</v>
      </c>
      <c r="Q213" s="157">
        <v>28559800</v>
      </c>
      <c r="R213" s="205">
        <v>19</v>
      </c>
      <c r="S213" s="157">
        <v>11000000</v>
      </c>
      <c r="T213" s="206">
        <f t="shared" si="82"/>
        <v>85</v>
      </c>
      <c r="U213" s="164">
        <f t="shared" si="81"/>
        <v>82.524271844660191</v>
      </c>
      <c r="V213" s="143" t="s">
        <v>58</v>
      </c>
      <c r="W213" s="159">
        <f t="shared" si="83"/>
        <v>45277300</v>
      </c>
      <c r="X213" s="164">
        <f t="shared" si="84"/>
        <v>71.641524182038552</v>
      </c>
      <c r="Y213" s="143" t="s">
        <v>58</v>
      </c>
      <c r="Z213" s="206">
        <f t="shared" si="50"/>
        <v>180</v>
      </c>
      <c r="AA213" s="159">
        <f t="shared" si="85"/>
        <v>62096300</v>
      </c>
      <c r="AB213" s="149">
        <f t="shared" si="86"/>
        <v>58.252427184466015</v>
      </c>
      <c r="AC213" s="143" t="s">
        <v>58</v>
      </c>
      <c r="AD213" s="194">
        <f t="shared" si="87"/>
        <v>43.226715005506335</v>
      </c>
      <c r="AE213" s="162"/>
      <c r="AF213" s="1"/>
      <c r="AG213" s="1"/>
      <c r="AH213" s="163"/>
      <c r="AI213" s="1"/>
      <c r="AJ213" s="1"/>
      <c r="AK213" s="1"/>
    </row>
    <row r="214" spans="1:37" customFormat="1" ht="105">
      <c r="A214" s="151"/>
      <c r="B214" s="147"/>
      <c r="C214" s="153" t="s">
        <v>456</v>
      </c>
      <c r="D214" s="154" t="s">
        <v>447</v>
      </c>
      <c r="E214" s="155">
        <v>1031</v>
      </c>
      <c r="F214" s="182" t="s">
        <v>57</v>
      </c>
      <c r="G214" s="195">
        <v>182713700</v>
      </c>
      <c r="H214" s="205">
        <v>329</v>
      </c>
      <c r="I214" s="157">
        <v>35712000</v>
      </c>
      <c r="J214" s="158">
        <v>343</v>
      </c>
      <c r="K214" s="157">
        <v>59911700</v>
      </c>
      <c r="L214" s="142">
        <v>68</v>
      </c>
      <c r="M214" s="207" t="s">
        <v>449</v>
      </c>
      <c r="N214" s="158">
        <v>56</v>
      </c>
      <c r="O214" s="157">
        <v>13080000</v>
      </c>
      <c r="P214" s="158">
        <v>66</v>
      </c>
      <c r="Q214" s="157">
        <v>27035000</v>
      </c>
      <c r="R214" s="205">
        <v>61</v>
      </c>
      <c r="S214" s="157">
        <v>19353000</v>
      </c>
      <c r="T214" s="206">
        <f t="shared" si="82"/>
        <v>251</v>
      </c>
      <c r="U214" s="164">
        <f t="shared" si="81"/>
        <v>73.177842565597672</v>
      </c>
      <c r="V214" s="143" t="s">
        <v>58</v>
      </c>
      <c r="W214" s="159">
        <f t="shared" si="83"/>
        <v>59468000</v>
      </c>
      <c r="X214" s="164">
        <f t="shared" si="84"/>
        <v>99.259410098528335</v>
      </c>
      <c r="Y214" s="143" t="s">
        <v>58</v>
      </c>
      <c r="Z214" s="206">
        <f t="shared" si="50"/>
        <v>580</v>
      </c>
      <c r="AA214" s="159">
        <f t="shared" si="85"/>
        <v>95180000</v>
      </c>
      <c r="AB214" s="149">
        <f t="shared" si="86"/>
        <v>56.256062075654697</v>
      </c>
      <c r="AC214" s="143" t="s">
        <v>58</v>
      </c>
      <c r="AD214" s="194">
        <f t="shared" si="87"/>
        <v>52.092426566809166</v>
      </c>
      <c r="AE214" s="162"/>
      <c r="AF214" s="1"/>
      <c r="AG214" s="1"/>
      <c r="AH214" s="163"/>
      <c r="AI214" s="1"/>
      <c r="AJ214" s="1"/>
      <c r="AK214" s="1"/>
    </row>
    <row r="215" spans="1:37" customFormat="1" ht="105">
      <c r="A215" s="151"/>
      <c r="B215" s="147"/>
      <c r="C215" s="153" t="s">
        <v>457</v>
      </c>
      <c r="D215" s="154" t="s">
        <v>447</v>
      </c>
      <c r="E215" s="155">
        <v>501</v>
      </c>
      <c r="F215" s="182" t="s">
        <v>57</v>
      </c>
      <c r="G215" s="195">
        <v>148841200</v>
      </c>
      <c r="H215" s="205">
        <v>167</v>
      </c>
      <c r="I215" s="157">
        <v>33170000</v>
      </c>
      <c r="J215" s="158">
        <v>196</v>
      </c>
      <c r="K215" s="157">
        <v>57423600</v>
      </c>
      <c r="L215" s="142">
        <v>24</v>
      </c>
      <c r="M215" s="207" t="s">
        <v>449</v>
      </c>
      <c r="N215" s="158">
        <v>68</v>
      </c>
      <c r="O215" s="157">
        <v>13480000</v>
      </c>
      <c r="P215" s="158">
        <v>32</v>
      </c>
      <c r="Q215" s="157">
        <v>6112500</v>
      </c>
      <c r="R215" s="205">
        <v>72</v>
      </c>
      <c r="S215" s="157">
        <v>25397050</v>
      </c>
      <c r="T215" s="206">
        <f t="shared" si="82"/>
        <v>196</v>
      </c>
      <c r="U215" s="164">
        <f t="shared" si="81"/>
        <v>100</v>
      </c>
      <c r="V215" s="143" t="s">
        <v>58</v>
      </c>
      <c r="W215" s="159">
        <f t="shared" si="83"/>
        <v>44989550</v>
      </c>
      <c r="X215" s="164">
        <f t="shared" si="84"/>
        <v>78.346794697650452</v>
      </c>
      <c r="Y215" s="143" t="s">
        <v>58</v>
      </c>
      <c r="Z215" s="206">
        <f t="shared" si="50"/>
        <v>363</v>
      </c>
      <c r="AA215" s="159">
        <f t="shared" si="85"/>
        <v>78159550</v>
      </c>
      <c r="AB215" s="149">
        <f t="shared" si="86"/>
        <v>72.455089820359291</v>
      </c>
      <c r="AC215" s="143" t="s">
        <v>58</v>
      </c>
      <c r="AD215" s="194">
        <f t="shared" si="87"/>
        <v>52.512039677186152</v>
      </c>
      <c r="AE215" s="162"/>
      <c r="AF215" s="1"/>
      <c r="AG215" s="1"/>
      <c r="AH215" s="163"/>
      <c r="AI215" s="1"/>
      <c r="AJ215" s="1"/>
      <c r="AK215" s="1"/>
    </row>
    <row r="216" spans="1:37" customFormat="1" ht="105">
      <c r="A216" s="151"/>
      <c r="B216" s="147"/>
      <c r="C216" s="153" t="s">
        <v>458</v>
      </c>
      <c r="D216" s="154" t="s">
        <v>447</v>
      </c>
      <c r="E216" s="155">
        <v>336</v>
      </c>
      <c r="F216" s="182" t="s">
        <v>57</v>
      </c>
      <c r="G216" s="195">
        <v>133317000</v>
      </c>
      <c r="H216" s="205">
        <v>110</v>
      </c>
      <c r="I216" s="157">
        <v>29012000</v>
      </c>
      <c r="J216" s="158">
        <v>112</v>
      </c>
      <c r="K216" s="157">
        <v>52152500</v>
      </c>
      <c r="L216" s="142">
        <v>16</v>
      </c>
      <c r="M216" s="207" t="s">
        <v>449</v>
      </c>
      <c r="N216" s="158">
        <v>13</v>
      </c>
      <c r="O216" s="157">
        <v>10257500</v>
      </c>
      <c r="P216" s="158">
        <v>60</v>
      </c>
      <c r="Q216" s="157">
        <v>6797500</v>
      </c>
      <c r="R216" s="205">
        <v>20</v>
      </c>
      <c r="S216" s="157">
        <v>28250000</v>
      </c>
      <c r="T216" s="206">
        <f t="shared" si="82"/>
        <v>109</v>
      </c>
      <c r="U216" s="164">
        <f t="shared" si="81"/>
        <v>97.321428571428569</v>
      </c>
      <c r="V216" s="143" t="s">
        <v>58</v>
      </c>
      <c r="W216" s="159">
        <f t="shared" si="83"/>
        <v>45305000</v>
      </c>
      <c r="X216" s="164">
        <f t="shared" si="84"/>
        <v>86.87023632615886</v>
      </c>
      <c r="Y216" s="143" t="s">
        <v>58</v>
      </c>
      <c r="Z216" s="206">
        <f t="shared" si="50"/>
        <v>219</v>
      </c>
      <c r="AA216" s="159">
        <f t="shared" si="85"/>
        <v>74317000</v>
      </c>
      <c r="AB216" s="149">
        <f t="shared" si="86"/>
        <v>65.178571428571431</v>
      </c>
      <c r="AC216" s="143" t="s">
        <v>58</v>
      </c>
      <c r="AD216" s="194">
        <f t="shared" si="87"/>
        <v>55.744578710892092</v>
      </c>
      <c r="AE216" s="162"/>
      <c r="AF216" s="1"/>
      <c r="AG216" s="1"/>
      <c r="AH216" s="163"/>
      <c r="AI216" s="1"/>
      <c r="AJ216" s="1"/>
      <c r="AK216" s="1"/>
    </row>
    <row r="217" spans="1:37" customFormat="1" ht="105">
      <c r="A217" s="151"/>
      <c r="B217" s="147"/>
      <c r="C217" s="153" t="s">
        <v>459</v>
      </c>
      <c r="D217" s="154" t="s">
        <v>447</v>
      </c>
      <c r="E217" s="155">
        <v>1114</v>
      </c>
      <c r="F217" s="182" t="s">
        <v>57</v>
      </c>
      <c r="G217" s="195">
        <v>119007000</v>
      </c>
      <c r="H217" s="205">
        <v>318</v>
      </c>
      <c r="I217" s="157">
        <v>25798000</v>
      </c>
      <c r="J217" s="158">
        <v>371</v>
      </c>
      <c r="K217" s="157">
        <v>46384500</v>
      </c>
      <c r="L217" s="142">
        <v>75</v>
      </c>
      <c r="M217" s="207" t="s">
        <v>449</v>
      </c>
      <c r="N217" s="158">
        <v>74</v>
      </c>
      <c r="O217" s="157">
        <v>14772500</v>
      </c>
      <c r="P217" s="158">
        <v>73</v>
      </c>
      <c r="Q217" s="157">
        <v>9817500</v>
      </c>
      <c r="R217" s="205">
        <v>73</v>
      </c>
      <c r="S217" s="157">
        <v>17625000</v>
      </c>
      <c r="T217" s="206">
        <f t="shared" si="82"/>
        <v>295</v>
      </c>
      <c r="U217" s="164">
        <f t="shared" si="81"/>
        <v>79.514824797843659</v>
      </c>
      <c r="V217" s="143" t="s">
        <v>58</v>
      </c>
      <c r="W217" s="159">
        <f t="shared" si="83"/>
        <v>42215000</v>
      </c>
      <c r="X217" s="164">
        <f t="shared" si="84"/>
        <v>91.011005831689459</v>
      </c>
      <c r="Y217" s="143" t="s">
        <v>58</v>
      </c>
      <c r="Z217" s="206">
        <f t="shared" si="50"/>
        <v>613</v>
      </c>
      <c r="AA217" s="159">
        <f t="shared" si="85"/>
        <v>68013000</v>
      </c>
      <c r="AB217" s="149">
        <f t="shared" si="86"/>
        <v>55.026929982046681</v>
      </c>
      <c r="AC217" s="143" t="s">
        <v>58</v>
      </c>
      <c r="AD217" s="194">
        <f t="shared" si="87"/>
        <v>57.150419723209552</v>
      </c>
      <c r="AE217" s="162"/>
      <c r="AF217" s="1"/>
      <c r="AG217" s="1"/>
      <c r="AH217" s="163"/>
      <c r="AI217" s="1"/>
      <c r="AJ217" s="1"/>
      <c r="AK217" s="1"/>
    </row>
    <row r="218" spans="1:37" customFormat="1" ht="105">
      <c r="A218" s="151"/>
      <c r="B218" s="147"/>
      <c r="C218" s="153" t="s">
        <v>460</v>
      </c>
      <c r="D218" s="154" t="s">
        <v>447</v>
      </c>
      <c r="E218" s="155">
        <v>276</v>
      </c>
      <c r="F218" s="182" t="s">
        <v>57</v>
      </c>
      <c r="G218" s="195">
        <v>97637100</v>
      </c>
      <c r="H218" s="205">
        <v>55</v>
      </c>
      <c r="I218" s="157">
        <v>40271600</v>
      </c>
      <c r="J218" s="158">
        <v>88</v>
      </c>
      <c r="K218" s="157">
        <v>27187500</v>
      </c>
      <c r="L218" s="208">
        <v>7</v>
      </c>
      <c r="M218" s="209" t="s">
        <v>449</v>
      </c>
      <c r="N218" s="210">
        <v>38</v>
      </c>
      <c r="O218" s="209">
        <v>11737500</v>
      </c>
      <c r="P218" s="210">
        <v>47</v>
      </c>
      <c r="Q218" s="209">
        <v>20777500</v>
      </c>
      <c r="R218" s="211">
        <v>66</v>
      </c>
      <c r="S218" s="209">
        <v>25257500</v>
      </c>
      <c r="T218" s="206">
        <f t="shared" si="82"/>
        <v>158</v>
      </c>
      <c r="U218" s="164">
        <f t="shared" si="81"/>
        <v>179.54545454545453</v>
      </c>
      <c r="V218" s="143" t="s">
        <v>58</v>
      </c>
      <c r="W218" s="159">
        <f t="shared" si="83"/>
        <v>57772500</v>
      </c>
      <c r="X218" s="164">
        <f t="shared" si="84"/>
        <v>212.49655172413796</v>
      </c>
      <c r="Y218" s="143" t="s">
        <v>58</v>
      </c>
      <c r="Z218" s="206">
        <f t="shared" si="50"/>
        <v>213</v>
      </c>
      <c r="AA218" s="159">
        <f t="shared" si="85"/>
        <v>98044100</v>
      </c>
      <c r="AB218" s="149">
        <f t="shared" si="86"/>
        <v>77.173913043478265</v>
      </c>
      <c r="AC218" s="143" t="s">
        <v>58</v>
      </c>
      <c r="AD218" s="194">
        <f t="shared" si="87"/>
        <v>100.41684974256712</v>
      </c>
      <c r="AE218" s="162"/>
      <c r="AF218" s="1"/>
      <c r="AG218" s="1"/>
      <c r="AH218" s="163"/>
      <c r="AI218" s="1"/>
      <c r="AJ218" s="1"/>
      <c r="AK218" s="1"/>
    </row>
    <row r="219" spans="1:37" customFormat="1" ht="105">
      <c r="A219" s="151"/>
      <c r="B219" s="147"/>
      <c r="C219" s="153" t="s">
        <v>461</v>
      </c>
      <c r="D219" s="154" t="s">
        <v>447</v>
      </c>
      <c r="E219" s="155">
        <v>184</v>
      </c>
      <c r="F219" s="182" t="s">
        <v>57</v>
      </c>
      <c r="G219" s="195">
        <v>179460900</v>
      </c>
      <c r="H219" s="205">
        <v>62</v>
      </c>
      <c r="I219" s="157">
        <v>30685000</v>
      </c>
      <c r="J219" s="158">
        <v>61</v>
      </c>
      <c r="K219" s="157">
        <v>87947200</v>
      </c>
      <c r="L219" s="142">
        <v>17</v>
      </c>
      <c r="M219" s="207" t="s">
        <v>449</v>
      </c>
      <c r="N219" s="158">
        <v>16</v>
      </c>
      <c r="O219" s="157">
        <v>27030000</v>
      </c>
      <c r="P219" s="158">
        <v>16</v>
      </c>
      <c r="Q219" s="157">
        <v>25942500</v>
      </c>
      <c r="R219" s="212">
        <v>15</v>
      </c>
      <c r="S219" s="209">
        <v>16895800</v>
      </c>
      <c r="T219" s="206">
        <f t="shared" si="82"/>
        <v>64</v>
      </c>
      <c r="U219" s="164">
        <f t="shared" si="81"/>
        <v>104.91803278688525</v>
      </c>
      <c r="V219" s="143" t="s">
        <v>58</v>
      </c>
      <c r="W219" s="159">
        <f t="shared" si="83"/>
        <v>69868300</v>
      </c>
      <c r="X219" s="164">
        <f t="shared" si="84"/>
        <v>79.443461531464337</v>
      </c>
      <c r="Y219" s="143" t="s">
        <v>58</v>
      </c>
      <c r="Z219" s="206">
        <f t="shared" si="50"/>
        <v>126</v>
      </c>
      <c r="AA219" s="159">
        <f t="shared" si="85"/>
        <v>100553300</v>
      </c>
      <c r="AB219" s="149">
        <f t="shared" si="86"/>
        <v>68.478260869565219</v>
      </c>
      <c r="AC219" s="143" t="s">
        <v>58</v>
      </c>
      <c r="AD219" s="194">
        <f t="shared" si="87"/>
        <v>56.030756560342674</v>
      </c>
      <c r="AE219" s="162"/>
      <c r="AF219" s="1"/>
      <c r="AG219" s="1"/>
      <c r="AH219" s="163"/>
      <c r="AI219" s="1"/>
      <c r="AJ219" s="1"/>
      <c r="AK219" s="1"/>
    </row>
    <row r="220" spans="1:37" customFormat="1" ht="105">
      <c r="A220" s="151"/>
      <c r="B220" s="147"/>
      <c r="C220" s="153" t="s">
        <v>462</v>
      </c>
      <c r="D220" s="154" t="s">
        <v>447</v>
      </c>
      <c r="E220" s="155">
        <v>1047</v>
      </c>
      <c r="F220" s="182" t="s">
        <v>57</v>
      </c>
      <c r="G220" s="195">
        <v>152316000</v>
      </c>
      <c r="H220" s="205">
        <v>349</v>
      </c>
      <c r="I220" s="157">
        <v>54775000</v>
      </c>
      <c r="J220" s="158">
        <v>349</v>
      </c>
      <c r="K220" s="157">
        <v>44950500</v>
      </c>
      <c r="L220" s="142">
        <v>91</v>
      </c>
      <c r="M220" s="207" t="s">
        <v>449</v>
      </c>
      <c r="N220" s="158">
        <v>102</v>
      </c>
      <c r="O220" s="157">
        <v>18759000</v>
      </c>
      <c r="P220" s="158">
        <v>68</v>
      </c>
      <c r="Q220" s="157">
        <v>16890000</v>
      </c>
      <c r="R220" s="212">
        <v>46</v>
      </c>
      <c r="S220" s="209">
        <v>8990000</v>
      </c>
      <c r="T220" s="206">
        <f t="shared" si="82"/>
        <v>307</v>
      </c>
      <c r="U220" s="164">
        <f t="shared" si="81"/>
        <v>87.96561604584528</v>
      </c>
      <c r="V220" s="143" t="s">
        <v>58</v>
      </c>
      <c r="W220" s="159">
        <f t="shared" si="83"/>
        <v>44639000</v>
      </c>
      <c r="X220" s="164">
        <f t="shared" si="84"/>
        <v>99.307015494822082</v>
      </c>
      <c r="Y220" s="143" t="s">
        <v>58</v>
      </c>
      <c r="Z220" s="206">
        <f t="shared" si="50"/>
        <v>656</v>
      </c>
      <c r="AA220" s="159">
        <f t="shared" si="85"/>
        <v>99414000</v>
      </c>
      <c r="AB220" s="149">
        <f t="shared" si="86"/>
        <v>62.655205348615098</v>
      </c>
      <c r="AC220" s="143" t="s">
        <v>58</v>
      </c>
      <c r="AD220" s="194">
        <f t="shared" si="87"/>
        <v>65.268258095012996</v>
      </c>
      <c r="AE220" s="162"/>
      <c r="AF220" s="1"/>
      <c r="AG220" s="1"/>
      <c r="AH220" s="163"/>
      <c r="AI220" s="1"/>
      <c r="AJ220" s="1"/>
      <c r="AK220" s="1"/>
    </row>
    <row r="221" spans="1:37" customFormat="1" ht="105">
      <c r="A221" s="151"/>
      <c r="B221" s="147"/>
      <c r="C221" s="153" t="s">
        <v>463</v>
      </c>
      <c r="D221" s="154" t="s">
        <v>447</v>
      </c>
      <c r="E221" s="155">
        <v>429</v>
      </c>
      <c r="F221" s="182" t="s">
        <v>57</v>
      </c>
      <c r="G221" s="195">
        <v>146143000</v>
      </c>
      <c r="H221" s="205">
        <v>143</v>
      </c>
      <c r="I221" s="157">
        <v>57383000</v>
      </c>
      <c r="J221" s="158">
        <v>143</v>
      </c>
      <c r="K221" s="157">
        <v>44380000</v>
      </c>
      <c r="L221" s="142">
        <v>32</v>
      </c>
      <c r="M221" s="207" t="s">
        <v>449</v>
      </c>
      <c r="N221" s="155">
        <v>30</v>
      </c>
      <c r="O221" s="157">
        <v>5420000</v>
      </c>
      <c r="P221" s="155">
        <v>33</v>
      </c>
      <c r="Q221" s="157">
        <v>20400000</v>
      </c>
      <c r="R221" s="212">
        <v>48</v>
      </c>
      <c r="S221" s="209">
        <v>5420000</v>
      </c>
      <c r="T221" s="206">
        <f t="shared" si="82"/>
        <v>143</v>
      </c>
      <c r="U221" s="164">
        <f t="shared" si="81"/>
        <v>100</v>
      </c>
      <c r="V221" s="143" t="s">
        <v>58</v>
      </c>
      <c r="W221" s="159">
        <f t="shared" si="83"/>
        <v>31240000</v>
      </c>
      <c r="X221" s="164">
        <f t="shared" si="84"/>
        <v>70.392068499324026</v>
      </c>
      <c r="Y221" s="143" t="s">
        <v>58</v>
      </c>
      <c r="Z221" s="206">
        <f t="shared" si="50"/>
        <v>286</v>
      </c>
      <c r="AA221" s="159">
        <f t="shared" si="85"/>
        <v>88623000</v>
      </c>
      <c r="AB221" s="149">
        <f t="shared" si="86"/>
        <v>66.666666666666657</v>
      </c>
      <c r="AC221" s="143" t="s">
        <v>58</v>
      </c>
      <c r="AD221" s="194">
        <f t="shared" si="87"/>
        <v>60.641289695708998</v>
      </c>
      <c r="AE221" s="162"/>
      <c r="AF221" s="1"/>
      <c r="AG221" s="1"/>
      <c r="AH221" s="163"/>
      <c r="AI221" s="1"/>
      <c r="AJ221" s="1"/>
      <c r="AK221" s="1"/>
    </row>
    <row r="222" spans="1:37" customFormat="1" ht="105">
      <c r="A222" s="151"/>
      <c r="B222" s="147"/>
      <c r="C222" s="153" t="s">
        <v>464</v>
      </c>
      <c r="D222" s="154" t="s">
        <v>447</v>
      </c>
      <c r="E222" s="155">
        <v>655</v>
      </c>
      <c r="F222" s="182" t="s">
        <v>57</v>
      </c>
      <c r="G222" s="195">
        <v>243108400</v>
      </c>
      <c r="H222" s="205">
        <v>216</v>
      </c>
      <c r="I222" s="157">
        <v>16340100</v>
      </c>
      <c r="J222" s="158">
        <v>218</v>
      </c>
      <c r="K222" s="157">
        <v>109884000</v>
      </c>
      <c r="L222" s="213">
        <v>69</v>
      </c>
      <c r="M222" s="214">
        <v>0</v>
      </c>
      <c r="N222" s="215">
        <v>51</v>
      </c>
      <c r="O222" s="209">
        <v>34780500</v>
      </c>
      <c r="P222" s="215">
        <v>63</v>
      </c>
      <c r="Q222" s="209">
        <v>36158600</v>
      </c>
      <c r="R222" s="216">
        <v>36</v>
      </c>
      <c r="S222" s="209">
        <v>32365000</v>
      </c>
      <c r="T222" s="206">
        <f t="shared" si="82"/>
        <v>219</v>
      </c>
      <c r="U222" s="164">
        <f t="shared" si="81"/>
        <v>100.45871559633028</v>
      </c>
      <c r="V222" s="143" t="s">
        <v>58</v>
      </c>
      <c r="W222" s="159">
        <f t="shared" si="83"/>
        <v>103304100</v>
      </c>
      <c r="X222" s="164">
        <f t="shared" si="84"/>
        <v>94.011958064868409</v>
      </c>
      <c r="Y222" s="143" t="s">
        <v>58</v>
      </c>
      <c r="Z222" s="206">
        <f t="shared" si="50"/>
        <v>435</v>
      </c>
      <c r="AA222" s="159">
        <f t="shared" si="85"/>
        <v>119644200</v>
      </c>
      <c r="AB222" s="149">
        <f t="shared" si="86"/>
        <v>66.412213740458014</v>
      </c>
      <c r="AC222" s="143" t="s">
        <v>58</v>
      </c>
      <c r="AD222" s="194">
        <f t="shared" si="87"/>
        <v>49.21434224403599</v>
      </c>
      <c r="AE222" s="162"/>
      <c r="AF222" s="1"/>
      <c r="AG222" s="1"/>
      <c r="AH222" s="163"/>
      <c r="AI222" s="1"/>
      <c r="AJ222" s="1"/>
      <c r="AK222" s="1"/>
    </row>
    <row r="223" spans="1:37" customFormat="1" ht="105">
      <c r="A223" s="151"/>
      <c r="B223" s="147"/>
      <c r="C223" s="153" t="s">
        <v>465</v>
      </c>
      <c r="D223" s="154" t="s">
        <v>447</v>
      </c>
      <c r="E223" s="155">
        <v>438</v>
      </c>
      <c r="F223" s="182" t="s">
        <v>57</v>
      </c>
      <c r="G223" s="195">
        <v>121392500</v>
      </c>
      <c r="H223" s="205">
        <v>108</v>
      </c>
      <c r="I223" s="157">
        <v>15500000</v>
      </c>
      <c r="J223" s="158">
        <v>136</v>
      </c>
      <c r="K223" s="157">
        <v>51644500</v>
      </c>
      <c r="L223" s="142">
        <v>45</v>
      </c>
      <c r="M223" s="157">
        <v>0</v>
      </c>
      <c r="N223" s="158">
        <v>35</v>
      </c>
      <c r="O223" s="157">
        <v>11900000</v>
      </c>
      <c r="P223" s="158">
        <v>23</v>
      </c>
      <c r="Q223" s="157">
        <v>23872500</v>
      </c>
      <c r="R223" s="212">
        <v>14</v>
      </c>
      <c r="S223" s="183">
        <v>9590000</v>
      </c>
      <c r="T223" s="206">
        <f t="shared" si="82"/>
        <v>117</v>
      </c>
      <c r="U223" s="164">
        <f t="shared" si="81"/>
        <v>86.029411764705884</v>
      </c>
      <c r="V223" s="143" t="s">
        <v>58</v>
      </c>
      <c r="W223" s="159">
        <f t="shared" si="83"/>
        <v>45362500</v>
      </c>
      <c r="X223" s="164">
        <f t="shared" si="84"/>
        <v>87.836071604914366</v>
      </c>
      <c r="Y223" s="143" t="s">
        <v>58</v>
      </c>
      <c r="Z223" s="206">
        <f t="shared" si="50"/>
        <v>225</v>
      </c>
      <c r="AA223" s="159">
        <f t="shared" si="85"/>
        <v>60862500</v>
      </c>
      <c r="AB223" s="149">
        <f t="shared" si="86"/>
        <v>51.369863013698634</v>
      </c>
      <c r="AC223" s="143" t="s">
        <v>58</v>
      </c>
      <c r="AD223" s="194">
        <f t="shared" si="87"/>
        <v>50.136952447638862</v>
      </c>
      <c r="AE223" s="162"/>
      <c r="AF223" s="1"/>
      <c r="AG223" s="1"/>
      <c r="AH223" s="163"/>
      <c r="AI223" s="1"/>
      <c r="AJ223" s="1"/>
      <c r="AK223" s="1"/>
    </row>
    <row r="224" spans="1:37" customFormat="1" ht="105">
      <c r="A224" s="151"/>
      <c r="B224" s="147"/>
      <c r="C224" s="153" t="s">
        <v>466</v>
      </c>
      <c r="D224" s="154" t="s">
        <v>447</v>
      </c>
      <c r="E224" s="155">
        <v>756</v>
      </c>
      <c r="F224" s="182" t="s">
        <v>57</v>
      </c>
      <c r="G224" s="195">
        <v>199867000</v>
      </c>
      <c r="H224" s="205">
        <v>225</v>
      </c>
      <c r="I224" s="157">
        <v>26831000</v>
      </c>
      <c r="J224" s="158">
        <v>242</v>
      </c>
      <c r="K224" s="157">
        <v>86363000</v>
      </c>
      <c r="L224" s="142">
        <v>61</v>
      </c>
      <c r="M224" s="207" t="s">
        <v>449</v>
      </c>
      <c r="N224" s="158">
        <v>61</v>
      </c>
      <c r="O224" s="157">
        <v>47597500</v>
      </c>
      <c r="P224" s="158">
        <v>61</v>
      </c>
      <c r="Q224" s="157">
        <v>16590000</v>
      </c>
      <c r="R224" s="212">
        <v>59</v>
      </c>
      <c r="S224" s="209">
        <v>20140000</v>
      </c>
      <c r="T224" s="206">
        <f t="shared" si="82"/>
        <v>242</v>
      </c>
      <c r="U224" s="164">
        <f t="shared" si="81"/>
        <v>100</v>
      </c>
      <c r="V224" s="143" t="s">
        <v>58</v>
      </c>
      <c r="W224" s="159">
        <f t="shared" si="83"/>
        <v>84327500</v>
      </c>
      <c r="X224" s="164">
        <f t="shared" si="84"/>
        <v>97.643087896437137</v>
      </c>
      <c r="Y224" s="143" t="s">
        <v>58</v>
      </c>
      <c r="Z224" s="206">
        <f t="shared" si="50"/>
        <v>467</v>
      </c>
      <c r="AA224" s="159">
        <f t="shared" si="85"/>
        <v>111158500</v>
      </c>
      <c r="AB224" s="149">
        <f t="shared" si="86"/>
        <v>61.772486772486765</v>
      </c>
      <c r="AC224" s="143" t="s">
        <v>58</v>
      </c>
      <c r="AD224" s="194">
        <f t="shared" si="87"/>
        <v>55.61623479613943</v>
      </c>
      <c r="AE224" s="162"/>
      <c r="AF224" s="1"/>
      <c r="AG224" s="1"/>
      <c r="AH224" s="163"/>
      <c r="AI224" s="1"/>
      <c r="AJ224" s="1"/>
      <c r="AK224" s="1"/>
    </row>
    <row r="225" spans="1:37" customFormat="1" ht="105">
      <c r="A225" s="151"/>
      <c r="B225" s="147"/>
      <c r="C225" s="153" t="s">
        <v>467</v>
      </c>
      <c r="D225" s="154" t="s">
        <v>447</v>
      </c>
      <c r="E225" s="155">
        <v>567</v>
      </c>
      <c r="F225" s="182" t="s">
        <v>57</v>
      </c>
      <c r="G225" s="195">
        <v>110528700</v>
      </c>
      <c r="H225" s="205">
        <v>151</v>
      </c>
      <c r="I225" s="157">
        <v>19477500</v>
      </c>
      <c r="J225" s="158">
        <v>189</v>
      </c>
      <c r="K225" s="157">
        <v>50655600</v>
      </c>
      <c r="L225" s="142">
        <v>0</v>
      </c>
      <c r="M225" s="207" t="s">
        <v>449</v>
      </c>
      <c r="N225" s="158">
        <v>80</v>
      </c>
      <c r="O225" s="157">
        <v>6247500</v>
      </c>
      <c r="P225" s="158">
        <v>80</v>
      </c>
      <c r="Q225" s="157">
        <v>18502200</v>
      </c>
      <c r="R225" s="212">
        <v>29</v>
      </c>
      <c r="S225" s="209">
        <v>43221900</v>
      </c>
      <c r="T225" s="206">
        <f t="shared" si="82"/>
        <v>189</v>
      </c>
      <c r="U225" s="164">
        <f t="shared" si="81"/>
        <v>100</v>
      </c>
      <c r="V225" s="143" t="s">
        <v>58</v>
      </c>
      <c r="W225" s="159">
        <f t="shared" si="83"/>
        <v>67971600</v>
      </c>
      <c r="X225" s="164">
        <f t="shared" si="84"/>
        <v>134.18378224717503</v>
      </c>
      <c r="Y225" s="143" t="s">
        <v>58</v>
      </c>
      <c r="Z225" s="206">
        <f t="shared" si="50"/>
        <v>340</v>
      </c>
      <c r="AA225" s="159">
        <f t="shared" si="85"/>
        <v>87449100</v>
      </c>
      <c r="AB225" s="149">
        <f t="shared" si="86"/>
        <v>59.964726631393297</v>
      </c>
      <c r="AC225" s="143" t="s">
        <v>58</v>
      </c>
      <c r="AD225" s="194">
        <f t="shared" si="87"/>
        <v>79.11890757785082</v>
      </c>
      <c r="AE225" s="162"/>
      <c r="AF225" s="1"/>
      <c r="AG225" s="1"/>
      <c r="AH225" s="163"/>
      <c r="AI225" s="1"/>
      <c r="AJ225" s="1"/>
      <c r="AK225" s="1"/>
    </row>
    <row r="226" spans="1:37" customFormat="1" ht="105">
      <c r="A226" s="151"/>
      <c r="B226" s="147"/>
      <c r="C226" s="153" t="s">
        <v>468</v>
      </c>
      <c r="D226" s="154" t="s">
        <v>447</v>
      </c>
      <c r="E226" s="155">
        <v>514</v>
      </c>
      <c r="F226" s="182" t="s">
        <v>57</v>
      </c>
      <c r="G226" s="195">
        <v>183521050</v>
      </c>
      <c r="H226" s="205">
        <v>156</v>
      </c>
      <c r="I226" s="157">
        <v>26847050</v>
      </c>
      <c r="J226" s="158">
        <v>171</v>
      </c>
      <c r="K226" s="157">
        <v>79692000</v>
      </c>
      <c r="L226" s="142">
        <v>47</v>
      </c>
      <c r="M226" s="207" t="s">
        <v>449</v>
      </c>
      <c r="N226" s="158">
        <v>66</v>
      </c>
      <c r="O226" s="157">
        <v>18124000</v>
      </c>
      <c r="P226" s="158">
        <v>66</v>
      </c>
      <c r="Q226" s="157">
        <v>24462000</v>
      </c>
      <c r="R226" s="205">
        <v>0</v>
      </c>
      <c r="S226" s="157">
        <v>15580000</v>
      </c>
      <c r="T226" s="206">
        <f t="shared" si="82"/>
        <v>179</v>
      </c>
      <c r="U226" s="164">
        <f t="shared" si="81"/>
        <v>104.67836257309942</v>
      </c>
      <c r="V226" s="143" t="s">
        <v>58</v>
      </c>
      <c r="W226" s="159">
        <f t="shared" si="83"/>
        <v>58166000</v>
      </c>
      <c r="X226" s="164">
        <f t="shared" si="84"/>
        <v>72.988505747126439</v>
      </c>
      <c r="Y226" s="143" t="s">
        <v>58</v>
      </c>
      <c r="Z226" s="206">
        <f t="shared" si="50"/>
        <v>335</v>
      </c>
      <c r="AA226" s="159">
        <f t="shared" si="85"/>
        <v>85013050</v>
      </c>
      <c r="AB226" s="149">
        <f t="shared" si="86"/>
        <v>65.175097276264594</v>
      </c>
      <c r="AC226" s="143" t="s">
        <v>58</v>
      </c>
      <c r="AD226" s="194">
        <f t="shared" si="87"/>
        <v>46.323323673224408</v>
      </c>
      <c r="AE226" s="162"/>
      <c r="AF226" s="1"/>
      <c r="AG226" s="1"/>
      <c r="AH226" s="163"/>
      <c r="AI226" s="1"/>
      <c r="AJ226" s="1"/>
      <c r="AK226" s="1"/>
    </row>
    <row r="227" spans="1:37" customFormat="1" ht="105">
      <c r="A227" s="151"/>
      <c r="B227" s="147"/>
      <c r="C227" s="153" t="s">
        <v>469</v>
      </c>
      <c r="D227" s="154" t="s">
        <v>447</v>
      </c>
      <c r="E227" s="155">
        <v>275</v>
      </c>
      <c r="F227" s="182" t="s">
        <v>57</v>
      </c>
      <c r="G227" s="195">
        <v>69193000</v>
      </c>
      <c r="H227" s="205">
        <v>71</v>
      </c>
      <c r="I227" s="157">
        <v>23930000</v>
      </c>
      <c r="J227" s="158">
        <v>102</v>
      </c>
      <c r="K227" s="157">
        <v>22631500</v>
      </c>
      <c r="L227" s="142">
        <v>18</v>
      </c>
      <c r="M227" s="207" t="s">
        <v>449</v>
      </c>
      <c r="N227" s="158">
        <v>16</v>
      </c>
      <c r="O227" s="157">
        <v>9012500</v>
      </c>
      <c r="P227" s="158">
        <v>39</v>
      </c>
      <c r="Q227" s="157">
        <v>4665000</v>
      </c>
      <c r="R227" s="212">
        <v>29</v>
      </c>
      <c r="S227" s="209">
        <v>6015000</v>
      </c>
      <c r="T227" s="206">
        <f t="shared" si="82"/>
        <v>102</v>
      </c>
      <c r="U227" s="164">
        <f t="shared" si="81"/>
        <v>100</v>
      </c>
      <c r="V227" s="143" t="s">
        <v>58</v>
      </c>
      <c r="W227" s="159">
        <f t="shared" si="83"/>
        <v>19692500</v>
      </c>
      <c r="X227" s="164">
        <f t="shared" si="84"/>
        <v>87.01367562910103</v>
      </c>
      <c r="Y227" s="143" t="s">
        <v>58</v>
      </c>
      <c r="Z227" s="206">
        <f t="shared" si="50"/>
        <v>173</v>
      </c>
      <c r="AA227" s="159">
        <f t="shared" si="85"/>
        <v>43622500</v>
      </c>
      <c r="AB227" s="149">
        <f t="shared" si="86"/>
        <v>62.909090909090914</v>
      </c>
      <c r="AC227" s="143" t="s">
        <v>58</v>
      </c>
      <c r="AD227" s="194">
        <f t="shared" si="87"/>
        <v>63.044672148916803</v>
      </c>
      <c r="AE227" s="162"/>
      <c r="AF227" s="1"/>
      <c r="AG227" s="1"/>
      <c r="AH227" s="163"/>
      <c r="AI227" s="1"/>
      <c r="AJ227" s="1"/>
      <c r="AK227" s="1"/>
    </row>
    <row r="228" spans="1:37" customFormat="1" ht="105">
      <c r="A228" s="151"/>
      <c r="B228" s="147"/>
      <c r="C228" s="153" t="s">
        <v>470</v>
      </c>
      <c r="D228" s="154" t="s">
        <v>471</v>
      </c>
      <c r="E228" s="155">
        <v>300</v>
      </c>
      <c r="F228" s="182" t="s">
        <v>57</v>
      </c>
      <c r="G228" s="195">
        <v>125000000</v>
      </c>
      <c r="H228" s="155">
        <v>325</v>
      </c>
      <c r="I228" s="157">
        <v>49100000</v>
      </c>
      <c r="J228" s="158">
        <v>3359</v>
      </c>
      <c r="K228" s="157">
        <v>60000000</v>
      </c>
      <c r="L228" s="142">
        <v>886</v>
      </c>
      <c r="M228" s="157"/>
      <c r="N228" s="158">
        <v>823</v>
      </c>
      <c r="O228" s="157"/>
      <c r="P228" s="158">
        <v>639</v>
      </c>
      <c r="Q228" s="157">
        <v>25800000</v>
      </c>
      <c r="R228" s="158">
        <v>1011</v>
      </c>
      <c r="S228" s="157">
        <f>32800000-Q228</f>
        <v>7000000</v>
      </c>
      <c r="T228" s="142">
        <f t="shared" si="82"/>
        <v>3359</v>
      </c>
      <c r="U228" s="143">
        <f t="shared" si="81"/>
        <v>100</v>
      </c>
      <c r="V228" s="143" t="s">
        <v>58</v>
      </c>
      <c r="W228" s="159">
        <f t="shared" si="83"/>
        <v>32800000</v>
      </c>
      <c r="X228" s="164">
        <f t="shared" si="84"/>
        <v>54.666666666666664</v>
      </c>
      <c r="Y228" s="143" t="s">
        <v>58</v>
      </c>
      <c r="Z228" s="142">
        <f t="shared" si="50"/>
        <v>3684</v>
      </c>
      <c r="AA228" s="159">
        <f t="shared" si="85"/>
        <v>81900000</v>
      </c>
      <c r="AB228" s="149">
        <f t="shared" si="86"/>
        <v>1228</v>
      </c>
      <c r="AC228" s="143" t="s">
        <v>58</v>
      </c>
      <c r="AD228" s="194">
        <f t="shared" si="87"/>
        <v>65.52</v>
      </c>
      <c r="AE228" s="162"/>
      <c r="AF228" s="1"/>
      <c r="AG228" s="1"/>
      <c r="AH228" s="163"/>
      <c r="AI228" s="1"/>
      <c r="AJ228" s="1"/>
      <c r="AK228" s="1"/>
    </row>
    <row r="229" spans="1:37" customFormat="1" ht="90" customHeight="1">
      <c r="A229" s="151"/>
      <c r="B229" s="147"/>
      <c r="C229" s="153" t="s">
        <v>472</v>
      </c>
      <c r="D229" s="154" t="s">
        <v>473</v>
      </c>
      <c r="E229" s="155">
        <v>224</v>
      </c>
      <c r="F229" s="182" t="s">
        <v>57</v>
      </c>
      <c r="G229" s="195">
        <v>1562000</v>
      </c>
      <c r="H229" s="205">
        <v>180</v>
      </c>
      <c r="I229" s="157">
        <v>656000</v>
      </c>
      <c r="J229" s="158">
        <v>149</v>
      </c>
      <c r="K229" s="157">
        <v>680000</v>
      </c>
      <c r="L229" s="142">
        <v>32</v>
      </c>
      <c r="M229" s="207" t="s">
        <v>449</v>
      </c>
      <c r="N229" s="158">
        <v>41</v>
      </c>
      <c r="O229" s="157">
        <v>160000</v>
      </c>
      <c r="P229" s="158">
        <v>76</v>
      </c>
      <c r="Q229" s="157">
        <v>160000</v>
      </c>
      <c r="R229" s="205">
        <v>60</v>
      </c>
      <c r="S229" s="157">
        <v>320000</v>
      </c>
      <c r="T229" s="206">
        <f t="shared" si="82"/>
        <v>209</v>
      </c>
      <c r="U229" s="164">
        <f t="shared" si="81"/>
        <v>140.26845637583892</v>
      </c>
      <c r="V229" s="143" t="s">
        <v>58</v>
      </c>
      <c r="W229" s="159">
        <f t="shared" si="83"/>
        <v>640000</v>
      </c>
      <c r="X229" s="164">
        <f t="shared" si="84"/>
        <v>94.117647058823522</v>
      </c>
      <c r="Y229" s="143" t="s">
        <v>58</v>
      </c>
      <c r="Z229" s="206">
        <f t="shared" si="50"/>
        <v>389</v>
      </c>
      <c r="AA229" s="159">
        <f t="shared" si="85"/>
        <v>1296000</v>
      </c>
      <c r="AB229" s="149">
        <f t="shared" si="86"/>
        <v>173.66071428571428</v>
      </c>
      <c r="AC229" s="143" t="s">
        <v>58</v>
      </c>
      <c r="AD229" s="194">
        <f t="shared" si="87"/>
        <v>82.97055057618438</v>
      </c>
      <c r="AE229" s="162"/>
      <c r="AF229" s="1"/>
      <c r="AG229" s="1"/>
      <c r="AH229" s="163"/>
      <c r="AI229" s="1"/>
      <c r="AJ229" s="1"/>
      <c r="AK229" s="1"/>
    </row>
    <row r="230" spans="1:37" customFormat="1" ht="90" customHeight="1">
      <c r="A230" s="151"/>
      <c r="B230" s="147"/>
      <c r="C230" s="153" t="s">
        <v>474</v>
      </c>
      <c r="D230" s="154" t="s">
        <v>473</v>
      </c>
      <c r="E230" s="155">
        <v>288</v>
      </c>
      <c r="F230" s="182" t="s">
        <v>57</v>
      </c>
      <c r="G230" s="195">
        <v>51400000</v>
      </c>
      <c r="H230" s="205">
        <v>87</v>
      </c>
      <c r="I230" s="157">
        <v>19555000</v>
      </c>
      <c r="J230" s="158">
        <v>96</v>
      </c>
      <c r="K230" s="157">
        <v>19555000</v>
      </c>
      <c r="L230" s="142">
        <v>21</v>
      </c>
      <c r="M230" s="207" t="s">
        <v>449</v>
      </c>
      <c r="N230" s="158">
        <v>17</v>
      </c>
      <c r="O230" s="157">
        <v>6720000</v>
      </c>
      <c r="P230" s="158">
        <v>17</v>
      </c>
      <c r="Q230" s="157">
        <v>4000000</v>
      </c>
      <c r="R230" s="205">
        <v>41</v>
      </c>
      <c r="S230" s="157">
        <v>8835000</v>
      </c>
      <c r="T230" s="206">
        <f t="shared" si="82"/>
        <v>96</v>
      </c>
      <c r="U230" s="164">
        <f t="shared" si="81"/>
        <v>100</v>
      </c>
      <c r="V230" s="143" t="s">
        <v>58</v>
      </c>
      <c r="W230" s="159">
        <f t="shared" si="83"/>
        <v>19555000</v>
      </c>
      <c r="X230" s="164">
        <f t="shared" si="84"/>
        <v>100</v>
      </c>
      <c r="Y230" s="143" t="s">
        <v>58</v>
      </c>
      <c r="Z230" s="206">
        <f t="shared" si="50"/>
        <v>183</v>
      </c>
      <c r="AA230" s="159">
        <f t="shared" si="85"/>
        <v>39110000</v>
      </c>
      <c r="AB230" s="149">
        <f t="shared" si="86"/>
        <v>63.541666666666664</v>
      </c>
      <c r="AC230" s="143" t="s">
        <v>58</v>
      </c>
      <c r="AD230" s="194">
        <f t="shared" si="87"/>
        <v>76.089494163424121</v>
      </c>
      <c r="AE230" s="162"/>
      <c r="AF230" s="1"/>
      <c r="AG230" s="1"/>
      <c r="AH230" s="163"/>
      <c r="AI230" s="1"/>
      <c r="AJ230" s="1"/>
      <c r="AK230" s="1"/>
    </row>
    <row r="231" spans="1:37" customFormat="1" ht="90" customHeight="1">
      <c r="A231" s="151"/>
      <c r="B231" s="147"/>
      <c r="C231" s="153" t="s">
        <v>475</v>
      </c>
      <c r="D231" s="154" t="s">
        <v>473</v>
      </c>
      <c r="E231" s="155">
        <v>302</v>
      </c>
      <c r="F231" s="182" t="s">
        <v>57</v>
      </c>
      <c r="G231" s="195">
        <v>119010000</v>
      </c>
      <c r="H231" s="205">
        <v>88</v>
      </c>
      <c r="I231" s="157">
        <v>14980000</v>
      </c>
      <c r="J231" s="158">
        <v>107</v>
      </c>
      <c r="K231" s="157">
        <v>52015000</v>
      </c>
      <c r="L231" s="142">
        <v>19</v>
      </c>
      <c r="M231" s="207" t="s">
        <v>449</v>
      </c>
      <c r="N231" s="158">
        <v>13</v>
      </c>
      <c r="O231" s="157">
        <v>13460000</v>
      </c>
      <c r="P231" s="158">
        <v>38</v>
      </c>
      <c r="Q231" s="157">
        <v>5640000</v>
      </c>
      <c r="R231" s="205">
        <v>9</v>
      </c>
      <c r="S231" s="157">
        <v>13640000</v>
      </c>
      <c r="T231" s="206">
        <f t="shared" si="82"/>
        <v>79</v>
      </c>
      <c r="U231" s="164">
        <f t="shared" si="81"/>
        <v>73.831775700934571</v>
      </c>
      <c r="V231" s="143" t="s">
        <v>58</v>
      </c>
      <c r="W231" s="159">
        <f t="shared" si="83"/>
        <v>32740000</v>
      </c>
      <c r="X231" s="164">
        <f t="shared" si="84"/>
        <v>62.943381716812461</v>
      </c>
      <c r="Y231" s="143" t="s">
        <v>58</v>
      </c>
      <c r="Z231" s="206">
        <f t="shared" si="50"/>
        <v>167</v>
      </c>
      <c r="AA231" s="159">
        <f t="shared" si="85"/>
        <v>47720000</v>
      </c>
      <c r="AB231" s="149">
        <f t="shared" si="86"/>
        <v>55.298013245033118</v>
      </c>
      <c r="AC231" s="143" t="s">
        <v>58</v>
      </c>
      <c r="AD231" s="194">
        <f t="shared" si="87"/>
        <v>40.097470800773046</v>
      </c>
      <c r="AE231" s="162"/>
      <c r="AF231" s="1"/>
      <c r="AG231" s="1"/>
      <c r="AH231" s="163"/>
      <c r="AI231" s="1"/>
      <c r="AJ231" s="1"/>
      <c r="AK231" s="1"/>
    </row>
    <row r="232" spans="1:37" customFormat="1" ht="90" customHeight="1">
      <c r="A232" s="151"/>
      <c r="B232" s="147"/>
      <c r="C232" s="153" t="s">
        <v>476</v>
      </c>
      <c r="D232" s="154" t="s">
        <v>473</v>
      </c>
      <c r="E232" s="155">
        <v>294</v>
      </c>
      <c r="F232" s="182" t="s">
        <v>57</v>
      </c>
      <c r="G232" s="195">
        <v>48322400</v>
      </c>
      <c r="H232" s="205">
        <v>104</v>
      </c>
      <c r="I232" s="157">
        <v>9129200</v>
      </c>
      <c r="J232" s="158">
        <v>98</v>
      </c>
      <c r="K232" s="157">
        <v>18835000</v>
      </c>
      <c r="L232" s="142">
        <v>26</v>
      </c>
      <c r="M232" s="207" t="s">
        <v>449</v>
      </c>
      <c r="N232" s="158">
        <v>26</v>
      </c>
      <c r="O232" s="157">
        <v>2690000</v>
      </c>
      <c r="P232" s="158">
        <v>30</v>
      </c>
      <c r="Q232" s="157">
        <v>4145000</v>
      </c>
      <c r="R232" s="205">
        <v>19</v>
      </c>
      <c r="S232" s="157">
        <v>1290000</v>
      </c>
      <c r="T232" s="206">
        <f t="shared" si="82"/>
        <v>101</v>
      </c>
      <c r="U232" s="164">
        <f t="shared" si="81"/>
        <v>103.0612244897959</v>
      </c>
      <c r="V232" s="143" t="s">
        <v>58</v>
      </c>
      <c r="W232" s="159">
        <f t="shared" si="83"/>
        <v>8125000</v>
      </c>
      <c r="X232" s="164">
        <f t="shared" si="84"/>
        <v>43.137775418104589</v>
      </c>
      <c r="Y232" s="143" t="s">
        <v>58</v>
      </c>
      <c r="Z232" s="206">
        <f t="shared" si="50"/>
        <v>205</v>
      </c>
      <c r="AA232" s="159">
        <f t="shared" si="85"/>
        <v>17254200</v>
      </c>
      <c r="AB232" s="149">
        <f t="shared" si="86"/>
        <v>69.72789115646259</v>
      </c>
      <c r="AC232" s="143" t="s">
        <v>58</v>
      </c>
      <c r="AD232" s="194">
        <f t="shared" si="87"/>
        <v>35.706421866463586</v>
      </c>
      <c r="AE232" s="162"/>
      <c r="AF232" s="1"/>
      <c r="AG232" s="1"/>
      <c r="AH232" s="163"/>
      <c r="AI232" s="1"/>
      <c r="AJ232" s="1"/>
      <c r="AK232" s="1"/>
    </row>
    <row r="233" spans="1:37" customFormat="1" ht="90" customHeight="1">
      <c r="A233" s="151"/>
      <c r="B233" s="147"/>
      <c r="C233" s="153" t="s">
        <v>477</v>
      </c>
      <c r="D233" s="154" t="s">
        <v>473</v>
      </c>
      <c r="E233" s="155">
        <v>983</v>
      </c>
      <c r="F233" s="182" t="s">
        <v>57</v>
      </c>
      <c r="G233" s="195">
        <v>64852500</v>
      </c>
      <c r="H233" s="205">
        <v>335</v>
      </c>
      <c r="I233" s="157">
        <v>13123600</v>
      </c>
      <c r="J233" s="158">
        <v>327</v>
      </c>
      <c r="K233" s="157">
        <v>27608900</v>
      </c>
      <c r="L233" s="142">
        <v>82</v>
      </c>
      <c r="M233" s="207" t="s">
        <v>449</v>
      </c>
      <c r="N233" s="158">
        <v>64</v>
      </c>
      <c r="O233" s="157">
        <v>13600000</v>
      </c>
      <c r="P233" s="158">
        <v>81</v>
      </c>
      <c r="Q233" s="157">
        <v>4950000</v>
      </c>
      <c r="R233" s="205">
        <v>65</v>
      </c>
      <c r="S233" s="157">
        <v>7272500</v>
      </c>
      <c r="T233" s="206">
        <f t="shared" si="82"/>
        <v>292</v>
      </c>
      <c r="U233" s="164">
        <f t="shared" si="81"/>
        <v>89.296636085626915</v>
      </c>
      <c r="V233" s="143" t="s">
        <v>58</v>
      </c>
      <c r="W233" s="159">
        <f t="shared" si="83"/>
        <v>25822500</v>
      </c>
      <c r="X233" s="164">
        <f t="shared" si="84"/>
        <v>93.529622694131248</v>
      </c>
      <c r="Y233" s="143" t="s">
        <v>58</v>
      </c>
      <c r="Z233" s="206">
        <f t="shared" si="50"/>
        <v>627</v>
      </c>
      <c r="AA233" s="159">
        <f t="shared" si="85"/>
        <v>38946100</v>
      </c>
      <c r="AB233" s="149">
        <f t="shared" si="86"/>
        <v>63.784333672431337</v>
      </c>
      <c r="AC233" s="143" t="s">
        <v>58</v>
      </c>
      <c r="AD233" s="194">
        <f t="shared" si="87"/>
        <v>60.053351836860571</v>
      </c>
      <c r="AE233" s="162"/>
      <c r="AF233" s="1"/>
      <c r="AG233" s="1"/>
      <c r="AH233" s="163"/>
      <c r="AI233" s="1"/>
      <c r="AJ233" s="1"/>
      <c r="AK233" s="1"/>
    </row>
    <row r="234" spans="1:37" customFormat="1" ht="90" customHeight="1">
      <c r="A234" s="151"/>
      <c r="B234" s="147"/>
      <c r="C234" s="153" t="s">
        <v>478</v>
      </c>
      <c r="D234" s="154" t="s">
        <v>473</v>
      </c>
      <c r="E234" s="155">
        <v>546</v>
      </c>
      <c r="F234" s="182" t="s">
        <v>57</v>
      </c>
      <c r="G234" s="195">
        <v>104426200</v>
      </c>
      <c r="H234" s="205">
        <v>182</v>
      </c>
      <c r="I234" s="157">
        <v>21480000</v>
      </c>
      <c r="J234" s="158">
        <v>187</v>
      </c>
      <c r="K234" s="157">
        <v>41323100</v>
      </c>
      <c r="L234" s="142">
        <v>36</v>
      </c>
      <c r="M234" s="207" t="s">
        <v>449</v>
      </c>
      <c r="N234" s="158">
        <v>54</v>
      </c>
      <c r="O234" s="157">
        <v>13440000</v>
      </c>
      <c r="P234" s="158">
        <v>38</v>
      </c>
      <c r="Q234" s="157">
        <v>11195100</v>
      </c>
      <c r="R234" s="205">
        <v>59</v>
      </c>
      <c r="S234" s="157">
        <v>14805600</v>
      </c>
      <c r="T234" s="206">
        <f t="shared" si="82"/>
        <v>187</v>
      </c>
      <c r="U234" s="164">
        <f t="shared" si="81"/>
        <v>100</v>
      </c>
      <c r="V234" s="143" t="s">
        <v>58</v>
      </c>
      <c r="W234" s="159">
        <f t="shared" si="83"/>
        <v>39440700</v>
      </c>
      <c r="X234" s="164">
        <f t="shared" si="84"/>
        <v>95.444678642212224</v>
      </c>
      <c r="Y234" s="143" t="s">
        <v>58</v>
      </c>
      <c r="Z234" s="206">
        <f t="shared" si="50"/>
        <v>369</v>
      </c>
      <c r="AA234" s="159">
        <f t="shared" si="85"/>
        <v>60920700</v>
      </c>
      <c r="AB234" s="149">
        <f t="shared" si="86"/>
        <v>67.582417582417591</v>
      </c>
      <c r="AC234" s="143" t="s">
        <v>58</v>
      </c>
      <c r="AD234" s="194">
        <f t="shared" si="87"/>
        <v>58.338520409629005</v>
      </c>
      <c r="AE234" s="162"/>
      <c r="AF234" s="1"/>
      <c r="AG234" s="1"/>
      <c r="AH234" s="163"/>
      <c r="AI234" s="1"/>
      <c r="AJ234" s="1"/>
      <c r="AK234" s="1"/>
    </row>
    <row r="235" spans="1:37" customFormat="1" ht="90" customHeight="1">
      <c r="A235" s="151"/>
      <c r="B235" s="147"/>
      <c r="C235" s="153" t="s">
        <v>479</v>
      </c>
      <c r="D235" s="154" t="s">
        <v>473</v>
      </c>
      <c r="E235" s="155">
        <v>559</v>
      </c>
      <c r="F235" s="182" t="s">
        <v>57</v>
      </c>
      <c r="G235" s="195">
        <v>23046000</v>
      </c>
      <c r="H235" s="205">
        <v>105</v>
      </c>
      <c r="I235" s="157">
        <v>22830000</v>
      </c>
      <c r="J235" s="158">
        <v>107</v>
      </c>
      <c r="K235" s="157">
        <v>108000</v>
      </c>
      <c r="L235" s="142">
        <v>13</v>
      </c>
      <c r="M235" s="207" t="s">
        <v>449</v>
      </c>
      <c r="N235" s="158">
        <v>6</v>
      </c>
      <c r="O235" s="157">
        <v>108000</v>
      </c>
      <c r="P235" s="158">
        <v>41</v>
      </c>
      <c r="Q235" s="157">
        <v>0</v>
      </c>
      <c r="R235" s="205">
        <v>48</v>
      </c>
      <c r="S235" s="207" t="s">
        <v>449</v>
      </c>
      <c r="T235" s="206">
        <f t="shared" si="82"/>
        <v>108</v>
      </c>
      <c r="U235" s="164">
        <f t="shared" si="81"/>
        <v>100.93457943925233</v>
      </c>
      <c r="V235" s="143" t="s">
        <v>58</v>
      </c>
      <c r="W235" s="159">
        <f t="shared" si="83"/>
        <v>108000</v>
      </c>
      <c r="X235" s="164">
        <f t="shared" si="84"/>
        <v>100</v>
      </c>
      <c r="Y235" s="143" t="s">
        <v>58</v>
      </c>
      <c r="Z235" s="206">
        <f t="shared" si="50"/>
        <v>213</v>
      </c>
      <c r="AA235" s="159">
        <f t="shared" si="85"/>
        <v>22938000</v>
      </c>
      <c r="AB235" s="149">
        <f t="shared" si="86"/>
        <v>38.103756708407872</v>
      </c>
      <c r="AC235" s="143" t="s">
        <v>58</v>
      </c>
      <c r="AD235" s="194">
        <f t="shared" si="87"/>
        <v>99.531372038531629</v>
      </c>
      <c r="AE235" s="162"/>
      <c r="AF235" s="1"/>
      <c r="AG235" s="1"/>
      <c r="AH235" s="163"/>
      <c r="AI235" s="1"/>
      <c r="AJ235" s="1"/>
      <c r="AK235" s="1"/>
    </row>
    <row r="236" spans="1:37" customFormat="1" ht="90" customHeight="1">
      <c r="A236" s="151"/>
      <c r="B236" s="147"/>
      <c r="C236" s="153" t="s">
        <v>480</v>
      </c>
      <c r="D236" s="154" t="s">
        <v>473</v>
      </c>
      <c r="E236" s="155">
        <v>1068</v>
      </c>
      <c r="F236" s="182" t="s">
        <v>57</v>
      </c>
      <c r="G236" s="195">
        <v>20529000</v>
      </c>
      <c r="H236" s="205">
        <v>347</v>
      </c>
      <c r="I236" s="157">
        <v>11190000</v>
      </c>
      <c r="J236" s="158">
        <v>356</v>
      </c>
      <c r="K236" s="157">
        <v>3664500</v>
      </c>
      <c r="L236" s="142">
        <v>71</v>
      </c>
      <c r="M236" s="207" t="s">
        <v>449</v>
      </c>
      <c r="N236" s="158">
        <v>88</v>
      </c>
      <c r="O236" s="157">
        <v>250000</v>
      </c>
      <c r="P236" s="158">
        <v>97</v>
      </c>
      <c r="Q236" s="157">
        <v>1330000</v>
      </c>
      <c r="R236" s="205">
        <v>66</v>
      </c>
      <c r="S236" s="157">
        <v>1197500</v>
      </c>
      <c r="T236" s="206">
        <f t="shared" si="82"/>
        <v>322</v>
      </c>
      <c r="U236" s="164">
        <f t="shared" si="81"/>
        <v>90.449438202247194</v>
      </c>
      <c r="V236" s="143" t="s">
        <v>58</v>
      </c>
      <c r="W236" s="159">
        <f t="shared" si="83"/>
        <v>2777500</v>
      </c>
      <c r="X236" s="164">
        <f t="shared" si="84"/>
        <v>75.794787829171781</v>
      </c>
      <c r="Y236" s="143" t="s">
        <v>58</v>
      </c>
      <c r="Z236" s="206">
        <f t="shared" si="50"/>
        <v>669</v>
      </c>
      <c r="AA236" s="159">
        <f t="shared" si="85"/>
        <v>13967500</v>
      </c>
      <c r="AB236" s="149">
        <f t="shared" si="86"/>
        <v>62.640449438202253</v>
      </c>
      <c r="AC236" s="143" t="s">
        <v>58</v>
      </c>
      <c r="AD236" s="194">
        <f t="shared" si="87"/>
        <v>68.037897608261488</v>
      </c>
      <c r="AE236" s="162"/>
      <c r="AF236" s="1"/>
      <c r="AG236" s="1"/>
      <c r="AH236" s="163"/>
      <c r="AI236" s="1"/>
      <c r="AJ236" s="1"/>
      <c r="AK236" s="1"/>
    </row>
    <row r="237" spans="1:37" customFormat="1" ht="90" customHeight="1">
      <c r="A237" s="151"/>
      <c r="B237" s="147"/>
      <c r="C237" s="153" t="s">
        <v>481</v>
      </c>
      <c r="D237" s="154" t="s">
        <v>473</v>
      </c>
      <c r="E237" s="155">
        <v>264</v>
      </c>
      <c r="F237" s="182" t="s">
        <v>57</v>
      </c>
      <c r="G237" s="195">
        <v>133244000</v>
      </c>
      <c r="H237" s="205">
        <v>57</v>
      </c>
      <c r="I237" s="157">
        <v>4480000</v>
      </c>
      <c r="J237" s="158">
        <v>84</v>
      </c>
      <c r="K237" s="157">
        <v>62947000</v>
      </c>
      <c r="L237" s="208">
        <v>7</v>
      </c>
      <c r="M237" s="209" t="s">
        <v>449</v>
      </c>
      <c r="N237" s="210">
        <v>31</v>
      </c>
      <c r="O237" s="209">
        <v>22560000</v>
      </c>
      <c r="P237" s="210">
        <v>41</v>
      </c>
      <c r="Q237" s="209">
        <v>32580000</v>
      </c>
      <c r="R237" s="211">
        <v>51</v>
      </c>
      <c r="S237" s="209">
        <v>57520000</v>
      </c>
      <c r="T237" s="206">
        <f t="shared" si="82"/>
        <v>130</v>
      </c>
      <c r="U237" s="164">
        <f t="shared" si="81"/>
        <v>154.76190476190476</v>
      </c>
      <c r="V237" s="143" t="s">
        <v>58</v>
      </c>
      <c r="W237" s="159">
        <f t="shared" si="83"/>
        <v>112660000</v>
      </c>
      <c r="X237" s="164">
        <f t="shared" si="84"/>
        <v>178.97596390614325</v>
      </c>
      <c r="Y237" s="143" t="s">
        <v>58</v>
      </c>
      <c r="Z237" s="206">
        <f t="shared" si="50"/>
        <v>187</v>
      </c>
      <c r="AA237" s="159">
        <f t="shared" si="85"/>
        <v>117140000</v>
      </c>
      <c r="AB237" s="149">
        <f t="shared" si="86"/>
        <v>70.833333333333343</v>
      </c>
      <c r="AC237" s="143" t="s">
        <v>58</v>
      </c>
      <c r="AD237" s="194">
        <f t="shared" si="87"/>
        <v>87.913902314550754</v>
      </c>
      <c r="AE237" s="162"/>
      <c r="AF237" s="1"/>
      <c r="AG237" s="1"/>
      <c r="AH237" s="163"/>
      <c r="AI237" s="1"/>
      <c r="AJ237" s="1"/>
      <c r="AK237" s="1"/>
    </row>
    <row r="238" spans="1:37" customFormat="1" ht="90" customHeight="1">
      <c r="A238" s="151"/>
      <c r="B238" s="147"/>
      <c r="C238" s="153" t="s">
        <v>482</v>
      </c>
      <c r="D238" s="154" t="s">
        <v>473</v>
      </c>
      <c r="E238" s="155">
        <v>177</v>
      </c>
      <c r="F238" s="182" t="s">
        <v>57</v>
      </c>
      <c r="G238" s="195">
        <v>12855000</v>
      </c>
      <c r="H238" s="205">
        <v>59</v>
      </c>
      <c r="I238" s="157">
        <v>9755000</v>
      </c>
      <c r="J238" s="158">
        <v>59</v>
      </c>
      <c r="K238" s="157">
        <v>600000</v>
      </c>
      <c r="L238" s="142">
        <v>13</v>
      </c>
      <c r="M238" s="207" t="s">
        <v>449</v>
      </c>
      <c r="N238" s="158">
        <v>18</v>
      </c>
      <c r="O238" s="157">
        <v>0</v>
      </c>
      <c r="P238" s="158">
        <v>0</v>
      </c>
      <c r="Q238" s="157">
        <v>0</v>
      </c>
      <c r="R238" s="212">
        <v>5</v>
      </c>
      <c r="S238" s="209">
        <v>600000</v>
      </c>
      <c r="T238" s="206">
        <f t="shared" si="82"/>
        <v>36</v>
      </c>
      <c r="U238" s="164">
        <f t="shared" si="81"/>
        <v>61.016949152542374</v>
      </c>
      <c r="V238" s="143" t="s">
        <v>58</v>
      </c>
      <c r="W238" s="159">
        <f t="shared" si="83"/>
        <v>600000</v>
      </c>
      <c r="X238" s="164">
        <f t="shared" si="84"/>
        <v>100</v>
      </c>
      <c r="Y238" s="143" t="s">
        <v>58</v>
      </c>
      <c r="Z238" s="206">
        <f t="shared" si="50"/>
        <v>95</v>
      </c>
      <c r="AA238" s="159">
        <f t="shared" si="85"/>
        <v>10355000</v>
      </c>
      <c r="AB238" s="149">
        <f t="shared" si="86"/>
        <v>53.672316384180796</v>
      </c>
      <c r="AC238" s="143" t="s">
        <v>58</v>
      </c>
      <c r="AD238" s="194">
        <f t="shared" si="87"/>
        <v>80.552314274601315</v>
      </c>
      <c r="AE238" s="162"/>
      <c r="AF238" s="1"/>
      <c r="AG238" s="1"/>
      <c r="AH238" s="163"/>
      <c r="AI238" s="1"/>
      <c r="AJ238" s="1"/>
      <c r="AK238" s="1"/>
    </row>
    <row r="239" spans="1:37" customFormat="1" ht="90">
      <c r="A239" s="151"/>
      <c r="B239" s="147"/>
      <c r="C239" s="153" t="s">
        <v>483</v>
      </c>
      <c r="D239" s="154" t="s">
        <v>473</v>
      </c>
      <c r="E239" s="155">
        <v>1002</v>
      </c>
      <c r="F239" s="182" t="s">
        <v>57</v>
      </c>
      <c r="G239" s="195">
        <v>20211100</v>
      </c>
      <c r="H239" s="205">
        <v>341</v>
      </c>
      <c r="I239" s="157">
        <v>12531100</v>
      </c>
      <c r="J239" s="158">
        <v>334</v>
      </c>
      <c r="K239" s="157">
        <v>2160000</v>
      </c>
      <c r="L239" s="142">
        <v>97</v>
      </c>
      <c r="M239" s="207" t="s">
        <v>449</v>
      </c>
      <c r="N239" s="155">
        <v>96</v>
      </c>
      <c r="O239" s="157">
        <v>0</v>
      </c>
      <c r="P239" s="155">
        <v>95</v>
      </c>
      <c r="Q239" s="157">
        <v>320000</v>
      </c>
      <c r="R239" s="212">
        <v>43</v>
      </c>
      <c r="S239" s="209">
        <v>320000</v>
      </c>
      <c r="T239" s="206">
        <f t="shared" si="82"/>
        <v>331</v>
      </c>
      <c r="U239" s="164">
        <f t="shared" si="81"/>
        <v>99.101796407185631</v>
      </c>
      <c r="V239" s="143" t="s">
        <v>58</v>
      </c>
      <c r="W239" s="159">
        <f t="shared" si="83"/>
        <v>640000</v>
      </c>
      <c r="X239" s="164">
        <f t="shared" si="84"/>
        <v>29.629629629629626</v>
      </c>
      <c r="Y239" s="143" t="s">
        <v>58</v>
      </c>
      <c r="Z239" s="206">
        <f t="shared" si="50"/>
        <v>672</v>
      </c>
      <c r="AA239" s="159">
        <f t="shared" si="85"/>
        <v>13171100</v>
      </c>
      <c r="AB239" s="149">
        <f t="shared" si="86"/>
        <v>67.06586826347305</v>
      </c>
      <c r="AC239" s="143" t="s">
        <v>58</v>
      </c>
      <c r="AD239" s="194">
        <f t="shared" si="87"/>
        <v>65.167655397281692</v>
      </c>
      <c r="AE239" s="162"/>
      <c r="AF239" s="1"/>
      <c r="AG239" s="1"/>
      <c r="AH239" s="163"/>
      <c r="AI239" s="1"/>
      <c r="AJ239" s="1"/>
      <c r="AK239" s="1"/>
    </row>
    <row r="240" spans="1:37" customFormat="1" ht="90" customHeight="1">
      <c r="A240" s="151"/>
      <c r="B240" s="147"/>
      <c r="C240" s="153" t="s">
        <v>484</v>
      </c>
      <c r="D240" s="154" t="s">
        <v>473</v>
      </c>
      <c r="E240" s="155">
        <v>411</v>
      </c>
      <c r="F240" s="182" t="s">
        <v>57</v>
      </c>
      <c r="G240" s="195">
        <v>43451200</v>
      </c>
      <c r="H240" s="205">
        <v>137</v>
      </c>
      <c r="I240" s="157">
        <v>20180000</v>
      </c>
      <c r="J240" s="158">
        <v>137</v>
      </c>
      <c r="K240" s="157">
        <v>11635600</v>
      </c>
      <c r="L240" s="142">
        <v>44</v>
      </c>
      <c r="M240" s="207" t="s">
        <v>449</v>
      </c>
      <c r="N240" s="158">
        <v>18</v>
      </c>
      <c r="O240" s="157">
        <v>950700</v>
      </c>
      <c r="P240" s="158">
        <v>43</v>
      </c>
      <c r="Q240" s="157">
        <v>6473777</v>
      </c>
      <c r="R240" s="212">
        <v>32</v>
      </c>
      <c r="S240" s="209">
        <v>3531223</v>
      </c>
      <c r="T240" s="206">
        <f t="shared" si="82"/>
        <v>137</v>
      </c>
      <c r="U240" s="164">
        <f t="shared" si="81"/>
        <v>100</v>
      </c>
      <c r="V240" s="143" t="s">
        <v>58</v>
      </c>
      <c r="W240" s="159">
        <f t="shared" si="83"/>
        <v>10955700</v>
      </c>
      <c r="X240" s="164">
        <f t="shared" si="84"/>
        <v>94.156725910137851</v>
      </c>
      <c r="Y240" s="143" t="s">
        <v>58</v>
      </c>
      <c r="Z240" s="206">
        <f t="shared" si="50"/>
        <v>274</v>
      </c>
      <c r="AA240" s="159">
        <f t="shared" si="85"/>
        <v>31135700</v>
      </c>
      <c r="AB240" s="149">
        <f t="shared" si="86"/>
        <v>66.666666666666657</v>
      </c>
      <c r="AC240" s="143" t="s">
        <v>58</v>
      </c>
      <c r="AD240" s="194">
        <f t="shared" si="87"/>
        <v>71.656709135766107</v>
      </c>
      <c r="AE240" s="162"/>
      <c r="AF240" s="1"/>
      <c r="AG240" s="1"/>
      <c r="AH240" s="163"/>
      <c r="AI240" s="1"/>
      <c r="AJ240" s="1"/>
      <c r="AK240" s="1"/>
    </row>
    <row r="241" spans="1:37" customFormat="1" ht="90">
      <c r="A241" s="151"/>
      <c r="B241" s="147"/>
      <c r="C241" s="153" t="s">
        <v>485</v>
      </c>
      <c r="D241" s="154" t="s">
        <v>473</v>
      </c>
      <c r="E241" s="155">
        <v>397</v>
      </c>
      <c r="F241" s="182" t="s">
        <v>57</v>
      </c>
      <c r="G241" s="195">
        <v>32654000</v>
      </c>
      <c r="H241" s="205">
        <v>109</v>
      </c>
      <c r="I241" s="157">
        <v>17100000</v>
      </c>
      <c r="J241" s="158">
        <v>109</v>
      </c>
      <c r="K241" s="157">
        <v>5684000</v>
      </c>
      <c r="L241" s="142">
        <v>30</v>
      </c>
      <c r="M241" s="157">
        <v>0</v>
      </c>
      <c r="N241" s="158">
        <v>34</v>
      </c>
      <c r="O241" s="157">
        <v>510000</v>
      </c>
      <c r="P241" s="158">
        <v>36</v>
      </c>
      <c r="Q241" s="157">
        <v>170000</v>
      </c>
      <c r="R241" s="212">
        <v>27</v>
      </c>
      <c r="S241" s="183">
        <v>3770000</v>
      </c>
      <c r="T241" s="206">
        <f t="shared" si="82"/>
        <v>127</v>
      </c>
      <c r="U241" s="164">
        <f t="shared" si="81"/>
        <v>116.51376146788989</v>
      </c>
      <c r="V241" s="143" t="s">
        <v>58</v>
      </c>
      <c r="W241" s="159">
        <f t="shared" si="83"/>
        <v>4450000</v>
      </c>
      <c r="X241" s="164">
        <f t="shared" si="84"/>
        <v>78.289936664320905</v>
      </c>
      <c r="Y241" s="143" t="s">
        <v>58</v>
      </c>
      <c r="Z241" s="206">
        <f t="shared" si="50"/>
        <v>236</v>
      </c>
      <c r="AA241" s="159">
        <f t="shared" si="85"/>
        <v>21550000</v>
      </c>
      <c r="AB241" s="149">
        <f t="shared" si="86"/>
        <v>59.445843828715361</v>
      </c>
      <c r="AC241" s="143" t="s">
        <v>58</v>
      </c>
      <c r="AD241" s="194">
        <f t="shared" si="87"/>
        <v>65.994977644392733</v>
      </c>
      <c r="AE241" s="162"/>
      <c r="AF241" s="1"/>
      <c r="AG241" s="1"/>
      <c r="AH241" s="163"/>
      <c r="AI241" s="1"/>
      <c r="AJ241" s="1"/>
      <c r="AK241" s="1"/>
    </row>
    <row r="242" spans="1:37" customFormat="1" ht="90" customHeight="1">
      <c r="A242" s="151"/>
      <c r="B242" s="147"/>
      <c r="C242" s="153" t="s">
        <v>486</v>
      </c>
      <c r="D242" s="154" t="s">
        <v>473</v>
      </c>
      <c r="E242" s="155">
        <v>490</v>
      </c>
      <c r="F242" s="182" t="s">
        <v>57</v>
      </c>
      <c r="G242" s="195">
        <v>36520000</v>
      </c>
      <c r="H242" s="205">
        <v>163</v>
      </c>
      <c r="I242" s="157">
        <v>15340000</v>
      </c>
      <c r="J242" s="158">
        <v>163</v>
      </c>
      <c r="K242" s="157">
        <v>7700000</v>
      </c>
      <c r="L242" s="142">
        <v>41</v>
      </c>
      <c r="M242" s="207" t="s">
        <v>449</v>
      </c>
      <c r="N242" s="158">
        <v>66</v>
      </c>
      <c r="O242" s="157">
        <v>140000</v>
      </c>
      <c r="P242" s="158">
        <v>66</v>
      </c>
      <c r="Q242" s="157">
        <v>3780000</v>
      </c>
      <c r="R242" s="205">
        <v>0</v>
      </c>
      <c r="S242" s="157">
        <v>2940000</v>
      </c>
      <c r="T242" s="206">
        <f t="shared" si="82"/>
        <v>173</v>
      </c>
      <c r="U242" s="164">
        <f t="shared" si="81"/>
        <v>106.13496932515338</v>
      </c>
      <c r="V242" s="143" t="s">
        <v>58</v>
      </c>
      <c r="W242" s="159">
        <f t="shared" si="83"/>
        <v>6860000</v>
      </c>
      <c r="X242" s="164">
        <f t="shared" si="84"/>
        <v>89.090909090909093</v>
      </c>
      <c r="Y242" s="143" t="s">
        <v>58</v>
      </c>
      <c r="Z242" s="206">
        <f t="shared" si="50"/>
        <v>336</v>
      </c>
      <c r="AA242" s="159">
        <f t="shared" si="85"/>
        <v>22200000</v>
      </c>
      <c r="AB242" s="149">
        <f t="shared" si="86"/>
        <v>68.571428571428569</v>
      </c>
      <c r="AC242" s="143" t="s">
        <v>58</v>
      </c>
      <c r="AD242" s="194">
        <f t="shared" si="87"/>
        <v>60.788608981380065</v>
      </c>
      <c r="AE242" s="162"/>
      <c r="AF242" s="1"/>
      <c r="AG242" s="1"/>
      <c r="AH242" s="163"/>
      <c r="AI242" s="1"/>
      <c r="AJ242" s="1"/>
      <c r="AK242" s="1"/>
    </row>
    <row r="243" spans="1:37" customFormat="1" ht="120">
      <c r="A243" s="151"/>
      <c r="B243" s="147"/>
      <c r="C243" s="153" t="s">
        <v>487</v>
      </c>
      <c r="D243" s="154" t="s">
        <v>488</v>
      </c>
      <c r="E243" s="155">
        <v>459</v>
      </c>
      <c r="F243" s="182" t="s">
        <v>57</v>
      </c>
      <c r="G243" s="195">
        <v>42836200</v>
      </c>
      <c r="H243" s="205">
        <v>180</v>
      </c>
      <c r="I243" s="157">
        <v>15700000</v>
      </c>
      <c r="J243" s="158">
        <v>179</v>
      </c>
      <c r="K243" s="157">
        <v>27136200</v>
      </c>
      <c r="L243" s="142">
        <v>28</v>
      </c>
      <c r="M243" s="207" t="s">
        <v>449</v>
      </c>
      <c r="N243" s="158">
        <v>40</v>
      </c>
      <c r="O243" s="157">
        <v>7840000</v>
      </c>
      <c r="P243" s="158">
        <v>76</v>
      </c>
      <c r="Q243" s="157">
        <v>8897000</v>
      </c>
      <c r="R243" s="205">
        <v>50</v>
      </c>
      <c r="S243" s="157">
        <v>10220000</v>
      </c>
      <c r="T243" s="206">
        <f t="shared" si="82"/>
        <v>194</v>
      </c>
      <c r="U243" s="164">
        <f t="shared" si="81"/>
        <v>108.37988826815644</v>
      </c>
      <c r="V243" s="143" t="s">
        <v>58</v>
      </c>
      <c r="W243" s="159">
        <f t="shared" si="83"/>
        <v>26957000</v>
      </c>
      <c r="X243" s="164">
        <f t="shared" si="84"/>
        <v>99.339627508641598</v>
      </c>
      <c r="Y243" s="143" t="s">
        <v>58</v>
      </c>
      <c r="Z243" s="206">
        <f t="shared" si="50"/>
        <v>374</v>
      </c>
      <c r="AA243" s="159">
        <f t="shared" si="85"/>
        <v>42657000</v>
      </c>
      <c r="AB243" s="149">
        <f t="shared" si="86"/>
        <v>81.481481481481481</v>
      </c>
      <c r="AC243" s="143" t="s">
        <v>58</v>
      </c>
      <c r="AD243" s="194">
        <f t="shared" si="87"/>
        <v>99.58166223894743</v>
      </c>
      <c r="AE243" s="162"/>
      <c r="AF243" s="1"/>
      <c r="AG243" s="1"/>
      <c r="AH243" s="163"/>
      <c r="AI243" s="1"/>
      <c r="AJ243" s="1"/>
      <c r="AK243" s="1"/>
    </row>
    <row r="244" spans="1:37" customFormat="1" ht="120">
      <c r="A244" s="151"/>
      <c r="B244" s="147"/>
      <c r="C244" s="153" t="s">
        <v>489</v>
      </c>
      <c r="D244" s="154" t="s">
        <v>488</v>
      </c>
      <c r="E244" s="155">
        <v>348</v>
      </c>
      <c r="F244" s="182" t="s">
        <v>57</v>
      </c>
      <c r="G244" s="195">
        <v>2793800</v>
      </c>
      <c r="H244" s="205">
        <v>145</v>
      </c>
      <c r="I244" s="157">
        <v>1100000</v>
      </c>
      <c r="J244" s="158">
        <v>116</v>
      </c>
      <c r="K244" s="157">
        <v>800000</v>
      </c>
      <c r="L244" s="142">
        <v>31</v>
      </c>
      <c r="M244" s="207" t="s">
        <v>449</v>
      </c>
      <c r="N244" s="158">
        <v>28</v>
      </c>
      <c r="O244" s="157">
        <v>0</v>
      </c>
      <c r="P244" s="158"/>
      <c r="Q244" s="157">
        <v>0</v>
      </c>
      <c r="R244" s="205">
        <v>29</v>
      </c>
      <c r="S244" s="157">
        <v>280000</v>
      </c>
      <c r="T244" s="206">
        <f t="shared" si="82"/>
        <v>88</v>
      </c>
      <c r="U244" s="164">
        <f t="shared" si="81"/>
        <v>75.862068965517238</v>
      </c>
      <c r="V244" s="143" t="s">
        <v>58</v>
      </c>
      <c r="W244" s="159">
        <f t="shared" si="83"/>
        <v>280000</v>
      </c>
      <c r="X244" s="164">
        <f t="shared" si="84"/>
        <v>35</v>
      </c>
      <c r="Y244" s="143" t="s">
        <v>58</v>
      </c>
      <c r="Z244" s="206">
        <f t="shared" si="50"/>
        <v>233</v>
      </c>
      <c r="AA244" s="159">
        <f t="shared" si="85"/>
        <v>1380000</v>
      </c>
      <c r="AB244" s="149">
        <f t="shared" si="86"/>
        <v>66.954022988505741</v>
      </c>
      <c r="AC244" s="143" t="s">
        <v>58</v>
      </c>
      <c r="AD244" s="194">
        <f t="shared" si="87"/>
        <v>49.395089125921679</v>
      </c>
      <c r="AE244" s="162"/>
      <c r="AF244" s="1"/>
      <c r="AG244" s="1"/>
      <c r="AH244" s="163"/>
      <c r="AI244" s="1"/>
      <c r="AJ244" s="1"/>
      <c r="AK244" s="1"/>
    </row>
    <row r="245" spans="1:37" customFormat="1" ht="120">
      <c r="A245" s="151"/>
      <c r="B245" s="147"/>
      <c r="C245" s="153" t="s">
        <v>490</v>
      </c>
      <c r="D245" s="154" t="s">
        <v>488</v>
      </c>
      <c r="E245" s="155">
        <v>276</v>
      </c>
      <c r="F245" s="182" t="s">
        <v>57</v>
      </c>
      <c r="G245" s="195">
        <v>3570400</v>
      </c>
      <c r="H245" s="205">
        <v>87</v>
      </c>
      <c r="I245" s="157">
        <v>278400</v>
      </c>
      <c r="J245" s="158">
        <v>92</v>
      </c>
      <c r="K245" s="157">
        <v>1646000</v>
      </c>
      <c r="L245" s="142">
        <v>21</v>
      </c>
      <c r="M245" s="207" t="s">
        <v>449</v>
      </c>
      <c r="N245" s="158">
        <v>17</v>
      </c>
      <c r="O245" s="207" t="s">
        <v>449</v>
      </c>
      <c r="P245" s="158">
        <v>17</v>
      </c>
      <c r="Q245" s="157">
        <v>320000</v>
      </c>
      <c r="R245" s="205">
        <v>6</v>
      </c>
      <c r="S245" s="157">
        <v>686000</v>
      </c>
      <c r="T245" s="206">
        <f t="shared" si="82"/>
        <v>61</v>
      </c>
      <c r="U245" s="164">
        <f t="shared" si="81"/>
        <v>66.304347826086953</v>
      </c>
      <c r="V245" s="143" t="s">
        <v>58</v>
      </c>
      <c r="W245" s="159">
        <f t="shared" si="83"/>
        <v>1006000</v>
      </c>
      <c r="X245" s="164">
        <f t="shared" si="84"/>
        <v>61.117861482381528</v>
      </c>
      <c r="Y245" s="143" t="s">
        <v>58</v>
      </c>
      <c r="Z245" s="206">
        <f t="shared" si="50"/>
        <v>148</v>
      </c>
      <c r="AA245" s="159">
        <f t="shared" si="85"/>
        <v>1284400</v>
      </c>
      <c r="AB245" s="149">
        <f t="shared" si="86"/>
        <v>53.623188405797109</v>
      </c>
      <c r="AC245" s="143" t="s">
        <v>58</v>
      </c>
      <c r="AD245" s="194">
        <f t="shared" si="87"/>
        <v>35.973560385390989</v>
      </c>
      <c r="AE245" s="162"/>
      <c r="AF245" s="1"/>
      <c r="AG245" s="1"/>
      <c r="AH245" s="163"/>
      <c r="AI245" s="1"/>
      <c r="AJ245" s="1"/>
      <c r="AK245" s="1"/>
    </row>
    <row r="246" spans="1:37" customFormat="1" ht="120">
      <c r="A246" s="151"/>
      <c r="B246" s="147"/>
      <c r="C246" s="153" t="s">
        <v>491</v>
      </c>
      <c r="D246" s="154" t="s">
        <v>488</v>
      </c>
      <c r="E246" s="155">
        <v>687</v>
      </c>
      <c r="F246" s="182" t="s">
        <v>57</v>
      </c>
      <c r="G246" s="195">
        <v>30719600</v>
      </c>
      <c r="H246" s="205">
        <v>232</v>
      </c>
      <c r="I246" s="157">
        <v>1440000</v>
      </c>
      <c r="J246" s="158">
        <v>229</v>
      </c>
      <c r="K246" s="157">
        <v>44208400</v>
      </c>
      <c r="L246" s="142">
        <v>64</v>
      </c>
      <c r="M246" s="207" t="s">
        <v>449</v>
      </c>
      <c r="N246" s="158">
        <v>43</v>
      </c>
      <c r="O246" s="157">
        <v>4660000</v>
      </c>
      <c r="P246" s="158">
        <v>62</v>
      </c>
      <c r="Q246" s="157">
        <v>3468000</v>
      </c>
      <c r="R246" s="205">
        <v>69</v>
      </c>
      <c r="S246" s="157">
        <v>28770000</v>
      </c>
      <c r="T246" s="206">
        <f t="shared" si="82"/>
        <v>238</v>
      </c>
      <c r="U246" s="164">
        <f t="shared" si="81"/>
        <v>103.93013100436681</v>
      </c>
      <c r="V246" s="143" t="s">
        <v>58</v>
      </c>
      <c r="W246" s="159">
        <f t="shared" si="83"/>
        <v>36898000</v>
      </c>
      <c r="X246" s="164">
        <f t="shared" si="84"/>
        <v>83.463776114946484</v>
      </c>
      <c r="Y246" s="143" t="s">
        <v>58</v>
      </c>
      <c r="Z246" s="206">
        <f t="shared" si="50"/>
        <v>470</v>
      </c>
      <c r="AA246" s="159">
        <f t="shared" si="85"/>
        <v>38338000</v>
      </c>
      <c r="AB246" s="149">
        <f t="shared" si="86"/>
        <v>68.413391557496368</v>
      </c>
      <c r="AC246" s="143" t="s">
        <v>58</v>
      </c>
      <c r="AD246" s="194">
        <f t="shared" si="87"/>
        <v>124.79980208075625</v>
      </c>
      <c r="AE246" s="162"/>
      <c r="AF246" s="1"/>
      <c r="AG246" s="1"/>
      <c r="AH246" s="163"/>
      <c r="AI246" s="1"/>
      <c r="AJ246" s="1"/>
      <c r="AK246" s="1"/>
    </row>
    <row r="247" spans="1:37" customFormat="1" ht="120">
      <c r="A247" s="151"/>
      <c r="B247" s="147"/>
      <c r="C247" s="153" t="s">
        <v>492</v>
      </c>
      <c r="D247" s="154" t="s">
        <v>488</v>
      </c>
      <c r="E247" s="155">
        <v>320</v>
      </c>
      <c r="F247" s="182" t="s">
        <v>57</v>
      </c>
      <c r="G247" s="195">
        <v>1360000</v>
      </c>
      <c r="H247" s="205">
        <v>116</v>
      </c>
      <c r="I247" s="157">
        <v>400000</v>
      </c>
      <c r="J247" s="158">
        <v>102</v>
      </c>
      <c r="K247" s="157">
        <v>480000</v>
      </c>
      <c r="L247" s="142">
        <v>19</v>
      </c>
      <c r="M247" s="207" t="s">
        <v>449</v>
      </c>
      <c r="N247" s="158">
        <v>14</v>
      </c>
      <c r="O247" s="157">
        <v>0</v>
      </c>
      <c r="P247" s="158">
        <v>37</v>
      </c>
      <c r="Q247" s="157">
        <v>150000</v>
      </c>
      <c r="R247" s="205">
        <v>9</v>
      </c>
      <c r="S247" s="157">
        <v>0</v>
      </c>
      <c r="T247" s="206">
        <f t="shared" si="82"/>
        <v>79</v>
      </c>
      <c r="U247" s="164">
        <f t="shared" si="81"/>
        <v>77.450980392156865</v>
      </c>
      <c r="V247" s="143" t="s">
        <v>58</v>
      </c>
      <c r="W247" s="159">
        <f t="shared" si="83"/>
        <v>150000</v>
      </c>
      <c r="X247" s="164">
        <f t="shared" si="84"/>
        <v>31.25</v>
      </c>
      <c r="Y247" s="143" t="s">
        <v>58</v>
      </c>
      <c r="Z247" s="206">
        <f t="shared" si="50"/>
        <v>195</v>
      </c>
      <c r="AA247" s="159">
        <f t="shared" si="85"/>
        <v>550000</v>
      </c>
      <c r="AB247" s="149">
        <f t="shared" si="86"/>
        <v>60.9375</v>
      </c>
      <c r="AC247" s="143" t="s">
        <v>58</v>
      </c>
      <c r="AD247" s="194">
        <f t="shared" si="87"/>
        <v>40.441176470588239</v>
      </c>
      <c r="AE247" s="162"/>
      <c r="AF247" s="1"/>
      <c r="AG247" s="1"/>
      <c r="AH247" s="163"/>
      <c r="AI247" s="1"/>
      <c r="AJ247" s="1"/>
      <c r="AK247" s="1"/>
    </row>
    <row r="248" spans="1:37" customFormat="1" ht="120">
      <c r="A248" s="151"/>
      <c r="B248" s="147"/>
      <c r="C248" s="153" t="s">
        <v>493</v>
      </c>
      <c r="D248" s="154" t="s">
        <v>488</v>
      </c>
      <c r="E248" s="155">
        <v>535</v>
      </c>
      <c r="F248" s="182" t="s">
        <v>57</v>
      </c>
      <c r="G248" s="195">
        <v>56332000</v>
      </c>
      <c r="H248" s="205">
        <v>199</v>
      </c>
      <c r="I248" s="157">
        <v>13521000</v>
      </c>
      <c r="J248" s="158">
        <v>178</v>
      </c>
      <c r="K248" s="157">
        <v>25435500</v>
      </c>
      <c r="L248" s="142">
        <v>58</v>
      </c>
      <c r="M248" s="207" t="s">
        <v>449</v>
      </c>
      <c r="N248" s="158">
        <v>48</v>
      </c>
      <c r="O248" s="157">
        <v>6033000</v>
      </c>
      <c r="P248" s="158">
        <v>37</v>
      </c>
      <c r="Q248" s="157">
        <v>5667500</v>
      </c>
      <c r="R248" s="205">
        <v>35</v>
      </c>
      <c r="S248" s="157">
        <v>12945000</v>
      </c>
      <c r="T248" s="206">
        <f t="shared" si="82"/>
        <v>178</v>
      </c>
      <c r="U248" s="164">
        <f t="shared" si="81"/>
        <v>100</v>
      </c>
      <c r="V248" s="143" t="s">
        <v>58</v>
      </c>
      <c r="W248" s="159">
        <f t="shared" si="83"/>
        <v>24645500</v>
      </c>
      <c r="X248" s="164">
        <f t="shared" si="84"/>
        <v>96.894104696192329</v>
      </c>
      <c r="Y248" s="143" t="s">
        <v>58</v>
      </c>
      <c r="Z248" s="206">
        <f t="shared" si="50"/>
        <v>377</v>
      </c>
      <c r="AA248" s="159">
        <f t="shared" si="85"/>
        <v>38166500</v>
      </c>
      <c r="AB248" s="149">
        <f t="shared" si="86"/>
        <v>70.467289719626166</v>
      </c>
      <c r="AC248" s="143" t="s">
        <v>58</v>
      </c>
      <c r="AD248" s="194">
        <f t="shared" si="87"/>
        <v>67.752787048214159</v>
      </c>
      <c r="AE248" s="162"/>
      <c r="AF248" s="1"/>
      <c r="AG248" s="1"/>
      <c r="AH248" s="163"/>
      <c r="AI248" s="1"/>
      <c r="AJ248" s="1"/>
      <c r="AK248" s="1"/>
    </row>
    <row r="249" spans="1:37" customFormat="1" ht="120">
      <c r="A249" s="151"/>
      <c r="B249" s="147"/>
      <c r="C249" s="153" t="s">
        <v>494</v>
      </c>
      <c r="D249" s="154" t="s">
        <v>488</v>
      </c>
      <c r="E249" s="155">
        <v>279</v>
      </c>
      <c r="F249" s="182" t="s">
        <v>57</v>
      </c>
      <c r="G249" s="195">
        <v>2218300</v>
      </c>
      <c r="H249" s="205">
        <v>101</v>
      </c>
      <c r="I249" s="157">
        <v>1602500</v>
      </c>
      <c r="J249" s="158">
        <v>93</v>
      </c>
      <c r="K249" s="157">
        <v>295400</v>
      </c>
      <c r="L249" s="142">
        <v>26</v>
      </c>
      <c r="M249" s="207" t="s">
        <v>449</v>
      </c>
      <c r="N249" s="158">
        <v>26</v>
      </c>
      <c r="O249" s="157"/>
      <c r="P249" s="158">
        <v>28</v>
      </c>
      <c r="Q249" s="157">
        <v>295400</v>
      </c>
      <c r="R249" s="205">
        <v>21</v>
      </c>
      <c r="S249" s="157">
        <v>0</v>
      </c>
      <c r="T249" s="206">
        <f t="shared" si="82"/>
        <v>101</v>
      </c>
      <c r="U249" s="164">
        <f t="shared" si="81"/>
        <v>108.6021505376344</v>
      </c>
      <c r="V249" s="143" t="s">
        <v>58</v>
      </c>
      <c r="W249" s="159">
        <f t="shared" si="83"/>
        <v>295400</v>
      </c>
      <c r="X249" s="164">
        <f t="shared" si="84"/>
        <v>100</v>
      </c>
      <c r="Y249" s="143" t="s">
        <v>58</v>
      </c>
      <c r="Z249" s="206">
        <f t="shared" si="50"/>
        <v>202</v>
      </c>
      <c r="AA249" s="159">
        <f t="shared" si="85"/>
        <v>1897900</v>
      </c>
      <c r="AB249" s="149">
        <f t="shared" si="86"/>
        <v>72.401433691756267</v>
      </c>
      <c r="AC249" s="143" t="s">
        <v>58</v>
      </c>
      <c r="AD249" s="194">
        <f t="shared" si="87"/>
        <v>85.556507235270246</v>
      </c>
      <c r="AE249" s="162"/>
      <c r="AF249" s="1"/>
      <c r="AG249" s="1"/>
      <c r="AH249" s="163"/>
      <c r="AI249" s="1"/>
      <c r="AJ249" s="1"/>
      <c r="AK249" s="1"/>
    </row>
    <row r="250" spans="1:37" customFormat="1" ht="120">
      <c r="A250" s="151"/>
      <c r="B250" s="147"/>
      <c r="C250" s="153" t="s">
        <v>495</v>
      </c>
      <c r="D250" s="154" t="s">
        <v>488</v>
      </c>
      <c r="E250" s="155">
        <v>938</v>
      </c>
      <c r="F250" s="182" t="s">
        <v>57</v>
      </c>
      <c r="G250" s="195">
        <v>6656500</v>
      </c>
      <c r="H250" s="205">
        <v>314</v>
      </c>
      <c r="I250" s="157">
        <v>360000</v>
      </c>
      <c r="J250" s="158">
        <v>312</v>
      </c>
      <c r="K250" s="157">
        <v>6178000</v>
      </c>
      <c r="L250" s="142">
        <v>83</v>
      </c>
      <c r="M250" s="207" t="s">
        <v>449</v>
      </c>
      <c r="N250" s="158">
        <v>60</v>
      </c>
      <c r="O250" s="157">
        <v>980000</v>
      </c>
      <c r="P250" s="158">
        <v>76</v>
      </c>
      <c r="Q250" s="157">
        <v>1960000</v>
      </c>
      <c r="R250" s="205">
        <v>68</v>
      </c>
      <c r="S250" s="157">
        <v>3105000</v>
      </c>
      <c r="T250" s="206">
        <f t="shared" si="82"/>
        <v>287</v>
      </c>
      <c r="U250" s="164">
        <f t="shared" si="81"/>
        <v>91.987179487179489</v>
      </c>
      <c r="V250" s="143" t="s">
        <v>58</v>
      </c>
      <c r="W250" s="159">
        <f t="shared" si="83"/>
        <v>6045000</v>
      </c>
      <c r="X250" s="164">
        <f t="shared" si="84"/>
        <v>97.84719974101651</v>
      </c>
      <c r="Y250" s="143" t="s">
        <v>58</v>
      </c>
      <c r="Z250" s="206">
        <f t="shared" si="50"/>
        <v>601</v>
      </c>
      <c r="AA250" s="159">
        <f t="shared" si="85"/>
        <v>6405000</v>
      </c>
      <c r="AB250" s="149">
        <f t="shared" si="86"/>
        <v>64.072494669509595</v>
      </c>
      <c r="AC250" s="143" t="s">
        <v>58</v>
      </c>
      <c r="AD250" s="194">
        <f t="shared" si="87"/>
        <v>96.221738150679798</v>
      </c>
      <c r="AE250" s="162"/>
      <c r="AF250" s="1"/>
      <c r="AG250" s="1"/>
      <c r="AH250" s="163"/>
      <c r="AI250" s="1"/>
      <c r="AJ250" s="1"/>
      <c r="AK250" s="1"/>
    </row>
    <row r="251" spans="1:37" customFormat="1" ht="120">
      <c r="A251" s="151"/>
      <c r="B251" s="147"/>
      <c r="C251" s="153" t="s">
        <v>496</v>
      </c>
      <c r="D251" s="154" t="s">
        <v>488</v>
      </c>
      <c r="E251" s="155">
        <v>522</v>
      </c>
      <c r="F251" s="182" t="s">
        <v>57</v>
      </c>
      <c r="G251" s="195">
        <v>13938800</v>
      </c>
      <c r="H251" s="205">
        <v>174</v>
      </c>
      <c r="I251" s="157">
        <v>850000</v>
      </c>
      <c r="J251" s="158">
        <v>178</v>
      </c>
      <c r="K251" s="157">
        <v>6374400</v>
      </c>
      <c r="L251" s="142">
        <v>34</v>
      </c>
      <c r="M251" s="207" t="s">
        <v>449</v>
      </c>
      <c r="N251" s="158">
        <v>51</v>
      </c>
      <c r="O251" s="157">
        <v>0</v>
      </c>
      <c r="P251" s="158">
        <v>48</v>
      </c>
      <c r="Q251" s="157">
        <v>2374400</v>
      </c>
      <c r="R251" s="205">
        <v>45</v>
      </c>
      <c r="S251" s="157">
        <v>2240000</v>
      </c>
      <c r="T251" s="206">
        <f t="shared" si="82"/>
        <v>178</v>
      </c>
      <c r="U251" s="164">
        <f t="shared" si="81"/>
        <v>100</v>
      </c>
      <c r="V251" s="143" t="s">
        <v>58</v>
      </c>
      <c r="W251" s="159">
        <f t="shared" si="83"/>
        <v>4614400</v>
      </c>
      <c r="X251" s="164">
        <f t="shared" si="84"/>
        <v>72.389558232931734</v>
      </c>
      <c r="Y251" s="143" t="s">
        <v>58</v>
      </c>
      <c r="Z251" s="206">
        <f t="shared" si="50"/>
        <v>352</v>
      </c>
      <c r="AA251" s="159">
        <f t="shared" si="85"/>
        <v>5464400</v>
      </c>
      <c r="AB251" s="149">
        <f t="shared" si="86"/>
        <v>67.432950191570882</v>
      </c>
      <c r="AC251" s="143" t="s">
        <v>58</v>
      </c>
      <c r="AD251" s="194">
        <f t="shared" si="87"/>
        <v>39.202800814991242</v>
      </c>
      <c r="AE251" s="162"/>
      <c r="AF251" s="1"/>
      <c r="AG251" s="1"/>
      <c r="AH251" s="163"/>
      <c r="AI251" s="1"/>
      <c r="AJ251" s="1"/>
      <c r="AK251" s="1"/>
    </row>
    <row r="252" spans="1:37" customFormat="1" ht="120">
      <c r="A252" s="151"/>
      <c r="B252" s="147"/>
      <c r="C252" s="153" t="s">
        <v>497</v>
      </c>
      <c r="D252" s="154" t="s">
        <v>488</v>
      </c>
      <c r="E252" s="155">
        <v>306</v>
      </c>
      <c r="F252" s="182" t="s">
        <v>57</v>
      </c>
      <c r="G252" s="195">
        <v>33440000</v>
      </c>
      <c r="H252" s="205">
        <v>101</v>
      </c>
      <c r="I252" s="157">
        <v>1440000</v>
      </c>
      <c r="J252" s="158">
        <v>102</v>
      </c>
      <c r="K252" s="157">
        <v>16000000</v>
      </c>
      <c r="L252" s="142">
        <v>15</v>
      </c>
      <c r="M252" s="207" t="s">
        <v>449</v>
      </c>
      <c r="N252" s="158">
        <v>15</v>
      </c>
      <c r="O252" s="157">
        <v>0</v>
      </c>
      <c r="P252" s="158">
        <v>35</v>
      </c>
      <c r="Q252" s="157">
        <v>160000</v>
      </c>
      <c r="R252" s="205">
        <v>41</v>
      </c>
      <c r="S252" s="207" t="s">
        <v>449</v>
      </c>
      <c r="T252" s="206">
        <f t="shared" si="82"/>
        <v>106</v>
      </c>
      <c r="U252" s="164">
        <f t="shared" si="81"/>
        <v>103.92156862745099</v>
      </c>
      <c r="V252" s="143" t="s">
        <v>58</v>
      </c>
      <c r="W252" s="159">
        <f t="shared" si="83"/>
        <v>160000</v>
      </c>
      <c r="X252" s="164">
        <f t="shared" si="84"/>
        <v>1</v>
      </c>
      <c r="Y252" s="143" t="s">
        <v>58</v>
      </c>
      <c r="Z252" s="206">
        <f t="shared" si="50"/>
        <v>207</v>
      </c>
      <c r="AA252" s="159">
        <f t="shared" si="85"/>
        <v>1600000</v>
      </c>
      <c r="AB252" s="149">
        <f t="shared" si="86"/>
        <v>67.64705882352942</v>
      </c>
      <c r="AC252" s="143" t="s">
        <v>58</v>
      </c>
      <c r="AD252" s="194">
        <f t="shared" si="87"/>
        <v>4.7846889952153111</v>
      </c>
      <c r="AE252" s="162"/>
      <c r="AF252" s="1"/>
      <c r="AG252" s="1"/>
      <c r="AH252" s="163"/>
      <c r="AI252" s="1"/>
      <c r="AJ252" s="1"/>
      <c r="AK252" s="1"/>
    </row>
    <row r="253" spans="1:37" customFormat="1" ht="120">
      <c r="A253" s="151"/>
      <c r="B253" s="147"/>
      <c r="C253" s="153" t="s">
        <v>498</v>
      </c>
      <c r="D253" s="154" t="s">
        <v>488</v>
      </c>
      <c r="E253" s="155">
        <v>171</v>
      </c>
      <c r="F253" s="182" t="s">
        <v>57</v>
      </c>
      <c r="G253" s="195">
        <v>10148500</v>
      </c>
      <c r="H253" s="205">
        <v>72</v>
      </c>
      <c r="I253" s="157">
        <v>0</v>
      </c>
      <c r="J253" s="158">
        <v>80</v>
      </c>
      <c r="K253" s="157">
        <v>4894000</v>
      </c>
      <c r="L253" s="208">
        <v>23</v>
      </c>
      <c r="M253" s="209" t="s">
        <v>449</v>
      </c>
      <c r="N253" s="210">
        <v>44</v>
      </c>
      <c r="O253" s="209">
        <v>900</v>
      </c>
      <c r="P253" s="210">
        <v>62</v>
      </c>
      <c r="Q253" s="209">
        <v>2700000</v>
      </c>
      <c r="R253" s="211">
        <v>78</v>
      </c>
      <c r="S253" s="209">
        <v>3010000</v>
      </c>
      <c r="T253" s="206">
        <f t="shared" si="82"/>
        <v>207</v>
      </c>
      <c r="U253" s="164">
        <f t="shared" si="81"/>
        <v>258.75</v>
      </c>
      <c r="V253" s="143" t="s">
        <v>58</v>
      </c>
      <c r="W253" s="159">
        <f t="shared" si="83"/>
        <v>5710900</v>
      </c>
      <c r="X253" s="164">
        <f t="shared" si="84"/>
        <v>116.69186759297099</v>
      </c>
      <c r="Y253" s="143" t="s">
        <v>58</v>
      </c>
      <c r="Z253" s="206">
        <f t="shared" si="50"/>
        <v>279</v>
      </c>
      <c r="AA253" s="159">
        <f t="shared" si="85"/>
        <v>5710900</v>
      </c>
      <c r="AB253" s="149">
        <f t="shared" si="86"/>
        <v>163.15789473684211</v>
      </c>
      <c r="AC253" s="143" t="s">
        <v>58</v>
      </c>
      <c r="AD253" s="194">
        <f t="shared" si="87"/>
        <v>56.273340887815934</v>
      </c>
      <c r="AE253" s="162"/>
      <c r="AF253" s="1"/>
      <c r="AG253" s="1"/>
      <c r="AH253" s="163"/>
      <c r="AI253" s="1"/>
      <c r="AJ253" s="1"/>
      <c r="AK253" s="1"/>
    </row>
    <row r="254" spans="1:37" customFormat="1" ht="120">
      <c r="A254" s="151"/>
      <c r="B254" s="147"/>
      <c r="C254" s="153" t="s">
        <v>499</v>
      </c>
      <c r="D254" s="154" t="s">
        <v>488</v>
      </c>
      <c r="E254" s="155">
        <v>168</v>
      </c>
      <c r="F254" s="182" t="s">
        <v>57</v>
      </c>
      <c r="G254" s="195">
        <v>4593900</v>
      </c>
      <c r="H254" s="205">
        <v>56</v>
      </c>
      <c r="I254" s="157">
        <v>995000</v>
      </c>
      <c r="J254" s="158">
        <v>56</v>
      </c>
      <c r="K254" s="157">
        <v>1511200</v>
      </c>
      <c r="L254" s="142">
        <v>12</v>
      </c>
      <c r="M254" s="207" t="s">
        <v>449</v>
      </c>
      <c r="N254" s="158">
        <v>27</v>
      </c>
      <c r="O254" s="157">
        <v>140000</v>
      </c>
      <c r="P254" s="158">
        <v>21</v>
      </c>
      <c r="Q254" s="157">
        <v>140000</v>
      </c>
      <c r="R254" s="212">
        <v>11</v>
      </c>
      <c r="S254" s="209">
        <v>951.2</v>
      </c>
      <c r="T254" s="206">
        <f t="shared" si="82"/>
        <v>71</v>
      </c>
      <c r="U254" s="164">
        <f t="shared" si="81"/>
        <v>126.78571428571428</v>
      </c>
      <c r="V254" s="143" t="s">
        <v>58</v>
      </c>
      <c r="W254" s="159">
        <f t="shared" si="83"/>
        <v>280951.2</v>
      </c>
      <c r="X254" s="164">
        <f t="shared" si="84"/>
        <v>18.591265219692961</v>
      </c>
      <c r="Y254" s="143" t="s">
        <v>58</v>
      </c>
      <c r="Z254" s="206">
        <f t="shared" si="50"/>
        <v>127</v>
      </c>
      <c r="AA254" s="159">
        <f t="shared" si="85"/>
        <v>1275951.2</v>
      </c>
      <c r="AB254" s="149">
        <f t="shared" si="86"/>
        <v>75.595238095238088</v>
      </c>
      <c r="AC254" s="143" t="s">
        <v>58</v>
      </c>
      <c r="AD254" s="194">
        <f t="shared" si="87"/>
        <v>27.77490149981497</v>
      </c>
      <c r="AE254" s="162"/>
      <c r="AF254" s="1"/>
      <c r="AG254" s="1"/>
      <c r="AH254" s="163"/>
      <c r="AI254" s="1"/>
      <c r="AJ254" s="1"/>
      <c r="AK254" s="1"/>
    </row>
    <row r="255" spans="1:37" customFormat="1" ht="120">
      <c r="A255" s="151"/>
      <c r="B255" s="147"/>
      <c r="C255" s="153" t="s">
        <v>500</v>
      </c>
      <c r="D255" s="154" t="s">
        <v>488</v>
      </c>
      <c r="E255" s="155">
        <v>951</v>
      </c>
      <c r="F255" s="182" t="s">
        <v>57</v>
      </c>
      <c r="G255" s="195">
        <v>39280000</v>
      </c>
      <c r="H255" s="205">
        <v>340</v>
      </c>
      <c r="I255" s="157">
        <v>2320000</v>
      </c>
      <c r="J255" s="158">
        <v>317</v>
      </c>
      <c r="K255" s="157">
        <v>18480000</v>
      </c>
      <c r="L255" s="142">
        <v>89</v>
      </c>
      <c r="M255" s="207" t="s">
        <v>449</v>
      </c>
      <c r="N255" s="158">
        <v>95</v>
      </c>
      <c r="O255" s="157">
        <v>6720000</v>
      </c>
      <c r="P255" s="158">
        <v>93</v>
      </c>
      <c r="Q255" s="157">
        <v>5760000</v>
      </c>
      <c r="R255" s="212">
        <v>42</v>
      </c>
      <c r="S255" s="209">
        <v>6000000</v>
      </c>
      <c r="T255" s="206">
        <f t="shared" si="82"/>
        <v>319</v>
      </c>
      <c r="U255" s="164">
        <f t="shared" si="81"/>
        <v>100.63091482649841</v>
      </c>
      <c r="V255" s="143" t="s">
        <v>58</v>
      </c>
      <c r="W255" s="159">
        <f t="shared" si="83"/>
        <v>18480000</v>
      </c>
      <c r="X255" s="164">
        <f t="shared" si="84"/>
        <v>100</v>
      </c>
      <c r="Y255" s="143" t="s">
        <v>58</v>
      </c>
      <c r="Z255" s="206">
        <f t="shared" si="50"/>
        <v>659</v>
      </c>
      <c r="AA255" s="159">
        <f t="shared" si="85"/>
        <v>20800000</v>
      </c>
      <c r="AB255" s="149">
        <f t="shared" si="86"/>
        <v>69.295478443743434</v>
      </c>
      <c r="AC255" s="143" t="s">
        <v>58</v>
      </c>
      <c r="AD255" s="194">
        <f t="shared" si="87"/>
        <v>52.953156822810584</v>
      </c>
      <c r="AE255" s="162"/>
      <c r="AF255" s="1"/>
      <c r="AG255" s="1"/>
      <c r="AH255" s="163"/>
      <c r="AI255" s="1"/>
      <c r="AJ255" s="1"/>
      <c r="AK255" s="1"/>
    </row>
    <row r="256" spans="1:37" customFormat="1" ht="120">
      <c r="A256" s="151"/>
      <c r="B256" s="147"/>
      <c r="C256" s="153" t="s">
        <v>501</v>
      </c>
      <c r="D256" s="154" t="s">
        <v>488</v>
      </c>
      <c r="E256" s="155">
        <v>595</v>
      </c>
      <c r="F256" s="182" t="s">
        <v>57</v>
      </c>
      <c r="G256" s="195">
        <v>53044000</v>
      </c>
      <c r="H256" s="205">
        <v>252</v>
      </c>
      <c r="I256" s="157">
        <v>0</v>
      </c>
      <c r="J256" s="158">
        <v>170</v>
      </c>
      <c r="K256" s="157">
        <v>27402000</v>
      </c>
      <c r="L256" s="213">
        <v>57</v>
      </c>
      <c r="M256" s="214">
        <v>0</v>
      </c>
      <c r="N256" s="215">
        <v>46</v>
      </c>
      <c r="O256" s="209">
        <v>9345500</v>
      </c>
      <c r="P256" s="215">
        <v>58</v>
      </c>
      <c r="Q256" s="209">
        <v>9349200</v>
      </c>
      <c r="R256" s="216">
        <v>39</v>
      </c>
      <c r="S256" s="209">
        <v>6930000</v>
      </c>
      <c r="T256" s="206">
        <f t="shared" si="82"/>
        <v>200</v>
      </c>
      <c r="U256" s="164">
        <f t="shared" si="81"/>
        <v>117.64705882352942</v>
      </c>
      <c r="V256" s="143" t="s">
        <v>58</v>
      </c>
      <c r="W256" s="159">
        <f t="shared" si="83"/>
        <v>25624700</v>
      </c>
      <c r="X256" s="164">
        <f t="shared" si="84"/>
        <v>93.513977081964811</v>
      </c>
      <c r="Y256" s="143" t="s">
        <v>58</v>
      </c>
      <c r="Z256" s="206">
        <f t="shared" si="50"/>
        <v>452</v>
      </c>
      <c r="AA256" s="159">
        <f t="shared" si="85"/>
        <v>25624700</v>
      </c>
      <c r="AB256" s="149">
        <f t="shared" si="86"/>
        <v>75.966386554621849</v>
      </c>
      <c r="AC256" s="143" t="s">
        <v>58</v>
      </c>
      <c r="AD256" s="194">
        <f t="shared" si="87"/>
        <v>48.308385491290252</v>
      </c>
      <c r="AE256" s="162"/>
      <c r="AF256" s="1"/>
      <c r="AG256" s="1"/>
      <c r="AH256" s="163"/>
      <c r="AI256" s="1"/>
      <c r="AJ256" s="1"/>
      <c r="AK256" s="1"/>
    </row>
    <row r="257" spans="1:37" customFormat="1" ht="120">
      <c r="A257" s="151"/>
      <c r="B257" s="147"/>
      <c r="C257" s="153" t="s">
        <v>502</v>
      </c>
      <c r="D257" s="154" t="s">
        <v>488</v>
      </c>
      <c r="E257" s="155">
        <v>513</v>
      </c>
      <c r="F257" s="182" t="s">
        <v>57</v>
      </c>
      <c r="G257" s="195">
        <v>18669800</v>
      </c>
      <c r="H257" s="205">
        <v>168</v>
      </c>
      <c r="I257" s="157">
        <v>957800</v>
      </c>
      <c r="J257" s="158">
        <v>171</v>
      </c>
      <c r="K257" s="157">
        <v>8856000</v>
      </c>
      <c r="L257" s="142">
        <v>0</v>
      </c>
      <c r="M257" s="207" t="s">
        <v>449</v>
      </c>
      <c r="N257" s="158">
        <v>57</v>
      </c>
      <c r="O257" s="157">
        <v>0</v>
      </c>
      <c r="P257" s="158">
        <v>57</v>
      </c>
      <c r="Q257" s="157">
        <v>1920000</v>
      </c>
      <c r="R257" s="212">
        <v>57</v>
      </c>
      <c r="S257" s="209">
        <v>4320000</v>
      </c>
      <c r="T257" s="206">
        <f t="shared" si="82"/>
        <v>171</v>
      </c>
      <c r="U257" s="164">
        <f t="shared" si="81"/>
        <v>100</v>
      </c>
      <c r="V257" s="143" t="s">
        <v>58</v>
      </c>
      <c r="W257" s="159">
        <f t="shared" si="83"/>
        <v>6240000</v>
      </c>
      <c r="X257" s="164">
        <f t="shared" si="84"/>
        <v>70.460704607046068</v>
      </c>
      <c r="Y257" s="143" t="s">
        <v>58</v>
      </c>
      <c r="Z257" s="206">
        <f t="shared" si="50"/>
        <v>339</v>
      </c>
      <c r="AA257" s="159">
        <f t="shared" si="85"/>
        <v>7197800</v>
      </c>
      <c r="AB257" s="149">
        <f t="shared" si="86"/>
        <v>66.081871345029242</v>
      </c>
      <c r="AC257" s="143" t="s">
        <v>58</v>
      </c>
      <c r="AD257" s="194">
        <f t="shared" si="87"/>
        <v>38.55317143193821</v>
      </c>
      <c r="AE257" s="162"/>
      <c r="AF257" s="1"/>
      <c r="AG257" s="1"/>
      <c r="AH257" s="163"/>
      <c r="AI257" s="1"/>
      <c r="AJ257" s="1"/>
      <c r="AK257" s="1"/>
    </row>
    <row r="258" spans="1:37" customFormat="1" ht="120">
      <c r="A258" s="151"/>
      <c r="B258" s="147"/>
      <c r="C258" s="153" t="s">
        <v>503</v>
      </c>
      <c r="D258" s="154" t="s">
        <v>488</v>
      </c>
      <c r="E258" s="155">
        <v>276</v>
      </c>
      <c r="F258" s="182" t="s">
        <v>57</v>
      </c>
      <c r="G258" s="195">
        <v>41330000</v>
      </c>
      <c r="H258" s="205">
        <v>92</v>
      </c>
      <c r="I258" s="157">
        <v>11280000</v>
      </c>
      <c r="J258" s="158">
        <v>92</v>
      </c>
      <c r="K258" s="157">
        <v>50005000</v>
      </c>
      <c r="L258" s="142">
        <v>16</v>
      </c>
      <c r="M258" s="207" t="s">
        <v>449</v>
      </c>
      <c r="N258" s="158">
        <v>30</v>
      </c>
      <c r="O258" s="157">
        <v>3080000</v>
      </c>
      <c r="P258" s="158">
        <v>23</v>
      </c>
      <c r="Q258" s="157">
        <v>350000</v>
      </c>
      <c r="R258" s="212">
        <v>23</v>
      </c>
      <c r="S258" s="209">
        <v>38948000</v>
      </c>
      <c r="T258" s="206">
        <f t="shared" si="82"/>
        <v>92</v>
      </c>
      <c r="U258" s="164">
        <f t="shared" si="81"/>
        <v>100</v>
      </c>
      <c r="V258" s="143" t="s">
        <v>58</v>
      </c>
      <c r="W258" s="159">
        <f t="shared" si="83"/>
        <v>42378000</v>
      </c>
      <c r="X258" s="164">
        <f t="shared" si="84"/>
        <v>84.747525247475252</v>
      </c>
      <c r="Y258" s="143" t="s">
        <v>58</v>
      </c>
      <c r="Z258" s="206">
        <f t="shared" si="50"/>
        <v>184</v>
      </c>
      <c r="AA258" s="159">
        <f t="shared" si="85"/>
        <v>53658000</v>
      </c>
      <c r="AB258" s="149">
        <f t="shared" si="86"/>
        <v>66.666666666666657</v>
      </c>
      <c r="AC258" s="143" t="s">
        <v>58</v>
      </c>
      <c r="AD258" s="194">
        <f t="shared" si="87"/>
        <v>129.82821195257682</v>
      </c>
      <c r="AE258" s="162"/>
      <c r="AF258" s="1"/>
      <c r="AG258" s="1"/>
      <c r="AH258" s="163"/>
      <c r="AI258" s="1"/>
      <c r="AJ258" s="1"/>
      <c r="AK258" s="1"/>
    </row>
    <row r="259" spans="1:37" customFormat="1" ht="105">
      <c r="A259" s="151"/>
      <c r="B259" s="147"/>
      <c r="C259" s="153" t="s">
        <v>504</v>
      </c>
      <c r="D259" s="154" t="s">
        <v>505</v>
      </c>
      <c r="E259" s="155">
        <f>H259+J259+J259</f>
        <v>28948</v>
      </c>
      <c r="F259" s="182" t="s">
        <v>57</v>
      </c>
      <c r="G259" s="195">
        <v>473307500</v>
      </c>
      <c r="H259" s="155">
        <v>100</v>
      </c>
      <c r="I259" s="157">
        <v>16140000</v>
      </c>
      <c r="J259" s="158">
        <v>14424</v>
      </c>
      <c r="K259" s="157">
        <v>456927500</v>
      </c>
      <c r="L259" s="142">
        <v>2878</v>
      </c>
      <c r="M259" s="157">
        <v>0</v>
      </c>
      <c r="N259" s="158">
        <v>3534</v>
      </c>
      <c r="O259" s="157">
        <v>10800000</v>
      </c>
      <c r="P259" s="158">
        <v>2760</v>
      </c>
      <c r="Q259" s="157">
        <v>236584900</v>
      </c>
      <c r="R259" s="158">
        <v>3788</v>
      </c>
      <c r="S259" s="157">
        <f>404378500-O259-Q259</f>
        <v>156993600</v>
      </c>
      <c r="T259" s="142">
        <f t="shared" si="82"/>
        <v>12960</v>
      </c>
      <c r="U259" s="164">
        <f t="shared" si="81"/>
        <v>89.850249584026614</v>
      </c>
      <c r="V259" s="143" t="s">
        <v>58</v>
      </c>
      <c r="W259" s="159">
        <f t="shared" si="83"/>
        <v>404378500</v>
      </c>
      <c r="X259" s="164">
        <f t="shared" si="84"/>
        <v>88.499488430877989</v>
      </c>
      <c r="Y259" s="143" t="s">
        <v>58</v>
      </c>
      <c r="Z259" s="142">
        <f t="shared" si="50"/>
        <v>13060</v>
      </c>
      <c r="AA259" s="159">
        <f t="shared" si="85"/>
        <v>420518500</v>
      </c>
      <c r="AB259" s="149">
        <f t="shared" si="86"/>
        <v>45.115379300815256</v>
      </c>
      <c r="AC259" s="143" t="s">
        <v>58</v>
      </c>
      <c r="AD259" s="194">
        <f t="shared" si="87"/>
        <v>88.846785652033816</v>
      </c>
      <c r="AE259" s="162"/>
      <c r="AF259" s="1"/>
      <c r="AG259" s="1"/>
      <c r="AH259" s="163"/>
      <c r="AI259" s="1"/>
      <c r="AJ259" s="1"/>
      <c r="AK259" s="1"/>
    </row>
    <row r="260" spans="1:37" customFormat="1" ht="105">
      <c r="A260" s="151"/>
      <c r="B260" s="147"/>
      <c r="C260" s="153" t="s">
        <v>506</v>
      </c>
      <c r="D260" s="154" t="s">
        <v>505</v>
      </c>
      <c r="E260" s="155">
        <v>1065</v>
      </c>
      <c r="F260" s="182" t="s">
        <v>57</v>
      </c>
      <c r="G260" s="195">
        <v>162398500</v>
      </c>
      <c r="H260" s="205">
        <v>876</v>
      </c>
      <c r="I260" s="157">
        <v>68615000</v>
      </c>
      <c r="J260" s="158">
        <v>826</v>
      </c>
      <c r="K260" s="157">
        <v>92063500</v>
      </c>
      <c r="L260" s="142">
        <v>174</v>
      </c>
      <c r="M260" s="207" t="s">
        <v>449</v>
      </c>
      <c r="N260" s="158">
        <v>167</v>
      </c>
      <c r="O260" s="157">
        <v>42585000</v>
      </c>
      <c r="P260" s="158">
        <v>273</v>
      </c>
      <c r="Q260" s="157">
        <v>27155000</v>
      </c>
      <c r="R260" s="205">
        <v>4</v>
      </c>
      <c r="S260" s="157">
        <v>21280000</v>
      </c>
      <c r="T260" s="206">
        <f t="shared" si="82"/>
        <v>618</v>
      </c>
      <c r="U260" s="164">
        <f t="shared" si="81"/>
        <v>74.818401937046005</v>
      </c>
      <c r="V260" s="143" t="s">
        <v>58</v>
      </c>
      <c r="W260" s="159">
        <f t="shared" si="83"/>
        <v>91020000</v>
      </c>
      <c r="X260" s="164">
        <f t="shared" si="84"/>
        <v>98.86654320116007</v>
      </c>
      <c r="Y260" s="143" t="s">
        <v>58</v>
      </c>
      <c r="Z260" s="206">
        <f t="shared" si="50"/>
        <v>1494</v>
      </c>
      <c r="AA260" s="159">
        <f t="shared" si="85"/>
        <v>159635000</v>
      </c>
      <c r="AB260" s="149">
        <f t="shared" si="86"/>
        <v>140.28169014084506</v>
      </c>
      <c r="AC260" s="143" t="s">
        <v>58</v>
      </c>
      <c r="AD260" s="194">
        <f t="shared" si="87"/>
        <v>98.298321720951847</v>
      </c>
      <c r="AE260" s="162"/>
      <c r="AF260" s="1"/>
      <c r="AG260" s="1"/>
      <c r="AH260" s="163"/>
      <c r="AI260" s="1"/>
      <c r="AJ260" s="1"/>
      <c r="AK260" s="1"/>
    </row>
    <row r="261" spans="1:37" customFormat="1" ht="105">
      <c r="A261" s="151"/>
      <c r="B261" s="147"/>
      <c r="C261" s="153" t="s">
        <v>507</v>
      </c>
      <c r="D261" s="154" t="s">
        <v>505</v>
      </c>
      <c r="E261" s="155">
        <v>1812</v>
      </c>
      <c r="F261" s="182" t="s">
        <v>57</v>
      </c>
      <c r="G261" s="195">
        <v>225216350</v>
      </c>
      <c r="H261" s="205">
        <v>578</v>
      </c>
      <c r="I261" s="157">
        <v>56281250</v>
      </c>
      <c r="J261" s="158">
        <v>604</v>
      </c>
      <c r="K261" s="157">
        <v>83180000</v>
      </c>
      <c r="L261" s="142">
        <v>131</v>
      </c>
      <c r="M261" s="207" t="s">
        <v>449</v>
      </c>
      <c r="N261" s="158">
        <v>418</v>
      </c>
      <c r="O261" s="157">
        <v>32980000</v>
      </c>
      <c r="P261" s="158"/>
      <c r="Q261" s="157">
        <v>31335000</v>
      </c>
      <c r="R261" s="205">
        <v>34</v>
      </c>
      <c r="S261" s="157">
        <v>18495000</v>
      </c>
      <c r="T261" s="206">
        <f t="shared" si="82"/>
        <v>583</v>
      </c>
      <c r="U261" s="164">
        <f t="shared" si="81"/>
        <v>96.523178807947019</v>
      </c>
      <c r="V261" s="143" t="s">
        <v>58</v>
      </c>
      <c r="W261" s="159">
        <f t="shared" si="83"/>
        <v>82810000</v>
      </c>
      <c r="X261" s="164">
        <f t="shared" si="84"/>
        <v>99.555181534022594</v>
      </c>
      <c r="Y261" s="143" t="s">
        <v>58</v>
      </c>
      <c r="Z261" s="206">
        <f t="shared" si="50"/>
        <v>1161</v>
      </c>
      <c r="AA261" s="159">
        <f t="shared" si="85"/>
        <v>139091250</v>
      </c>
      <c r="AB261" s="149">
        <f t="shared" si="86"/>
        <v>64.072847682119203</v>
      </c>
      <c r="AC261" s="143" t="s">
        <v>58</v>
      </c>
      <c r="AD261" s="194">
        <f t="shared" si="87"/>
        <v>61.758948673131407</v>
      </c>
      <c r="AE261" s="162"/>
      <c r="AF261" s="1"/>
      <c r="AG261" s="1"/>
      <c r="AH261" s="163"/>
      <c r="AI261" s="1"/>
      <c r="AJ261" s="1"/>
      <c r="AK261" s="1"/>
    </row>
    <row r="262" spans="1:37" customFormat="1" ht="105">
      <c r="A262" s="151"/>
      <c r="B262" s="147"/>
      <c r="C262" s="153" t="s">
        <v>508</v>
      </c>
      <c r="D262" s="154" t="s">
        <v>505</v>
      </c>
      <c r="E262" s="155">
        <v>1074</v>
      </c>
      <c r="F262" s="182" t="s">
        <v>57</v>
      </c>
      <c r="G262" s="195">
        <v>115619000</v>
      </c>
      <c r="H262" s="205">
        <v>425</v>
      </c>
      <c r="I262" s="157">
        <v>7595000</v>
      </c>
      <c r="J262" s="158">
        <v>358</v>
      </c>
      <c r="K262" s="157">
        <v>54048000</v>
      </c>
      <c r="L262" s="142">
        <v>45</v>
      </c>
      <c r="M262" s="207" t="s">
        <v>449</v>
      </c>
      <c r="N262" s="158">
        <v>319</v>
      </c>
      <c r="O262" s="157">
        <v>17920000</v>
      </c>
      <c r="P262" s="158">
        <v>319</v>
      </c>
      <c r="Q262" s="157">
        <v>12380000</v>
      </c>
      <c r="R262" s="205">
        <v>113</v>
      </c>
      <c r="S262" s="157">
        <v>23748000</v>
      </c>
      <c r="T262" s="206">
        <f t="shared" si="82"/>
        <v>796</v>
      </c>
      <c r="U262" s="164">
        <f t="shared" ref="U262:U449" si="88">T262/J262*100</f>
        <v>222.34636871508383</v>
      </c>
      <c r="V262" s="143" t="s">
        <v>58</v>
      </c>
      <c r="W262" s="159">
        <f t="shared" si="83"/>
        <v>54048000</v>
      </c>
      <c r="X262" s="164">
        <f t="shared" si="84"/>
        <v>100</v>
      </c>
      <c r="Y262" s="143" t="s">
        <v>58</v>
      </c>
      <c r="Z262" s="206">
        <f t="shared" si="50"/>
        <v>1221</v>
      </c>
      <c r="AA262" s="159">
        <f t="shared" si="85"/>
        <v>61643000</v>
      </c>
      <c r="AB262" s="149">
        <f t="shared" si="86"/>
        <v>113.68715083798884</v>
      </c>
      <c r="AC262" s="143" t="s">
        <v>58</v>
      </c>
      <c r="AD262" s="194">
        <f t="shared" si="87"/>
        <v>53.315631513851528</v>
      </c>
      <c r="AE262" s="162"/>
      <c r="AF262" s="1"/>
      <c r="AG262" s="1"/>
      <c r="AH262" s="163"/>
      <c r="AI262" s="1"/>
      <c r="AJ262" s="1"/>
      <c r="AK262" s="1"/>
    </row>
    <row r="263" spans="1:37" customFormat="1" ht="105">
      <c r="A263" s="151"/>
      <c r="B263" s="147"/>
      <c r="C263" s="153" t="s">
        <v>509</v>
      </c>
      <c r="D263" s="154" t="s">
        <v>505</v>
      </c>
      <c r="E263" s="155">
        <v>3306</v>
      </c>
      <c r="F263" s="182" t="s">
        <v>57</v>
      </c>
      <c r="G263" s="195">
        <v>219545000</v>
      </c>
      <c r="H263" s="205">
        <v>939</v>
      </c>
      <c r="I263" s="157">
        <v>58665000</v>
      </c>
      <c r="J263" s="158">
        <v>1102</v>
      </c>
      <c r="K263" s="157">
        <v>79910000</v>
      </c>
      <c r="L263" s="142">
        <v>234</v>
      </c>
      <c r="M263" s="207" t="s">
        <v>449</v>
      </c>
      <c r="N263" s="158">
        <v>157</v>
      </c>
      <c r="O263" s="157">
        <v>25600000</v>
      </c>
      <c r="P263" s="158">
        <v>381</v>
      </c>
      <c r="Q263" s="157">
        <v>28590000</v>
      </c>
      <c r="R263" s="205">
        <v>69</v>
      </c>
      <c r="S263" s="157">
        <v>25600000</v>
      </c>
      <c r="T263" s="206">
        <f t="shared" si="82"/>
        <v>841</v>
      </c>
      <c r="U263" s="164">
        <f t="shared" si="88"/>
        <v>76.31578947368422</v>
      </c>
      <c r="V263" s="143" t="s">
        <v>58</v>
      </c>
      <c r="W263" s="159">
        <f t="shared" si="83"/>
        <v>79790000</v>
      </c>
      <c r="X263" s="164">
        <f t="shared" si="84"/>
        <v>99.849831059942446</v>
      </c>
      <c r="Y263" s="143" t="s">
        <v>58</v>
      </c>
      <c r="Z263" s="206">
        <f t="shared" si="50"/>
        <v>1780</v>
      </c>
      <c r="AA263" s="159">
        <f t="shared" si="85"/>
        <v>138455000</v>
      </c>
      <c r="AB263" s="149">
        <f t="shared" si="86"/>
        <v>53.841500302480341</v>
      </c>
      <c r="AC263" s="143" t="s">
        <v>58</v>
      </c>
      <c r="AD263" s="194">
        <f t="shared" si="87"/>
        <v>63.064519802318429</v>
      </c>
      <c r="AE263" s="162"/>
      <c r="AF263" s="1"/>
      <c r="AG263" s="1"/>
      <c r="AH263" s="163"/>
      <c r="AI263" s="1"/>
      <c r="AJ263" s="1"/>
      <c r="AK263" s="1"/>
    </row>
    <row r="264" spans="1:37" customFormat="1" ht="105">
      <c r="A264" s="151"/>
      <c r="B264" s="147"/>
      <c r="C264" s="153" t="s">
        <v>510</v>
      </c>
      <c r="D264" s="154" t="s">
        <v>505</v>
      </c>
      <c r="E264" s="155">
        <v>1413</v>
      </c>
      <c r="F264" s="182" t="s">
        <v>57</v>
      </c>
      <c r="G264" s="195">
        <v>247746000</v>
      </c>
      <c r="H264" s="205">
        <v>541</v>
      </c>
      <c r="I264" s="157">
        <v>63857000</v>
      </c>
      <c r="J264" s="158">
        <v>436</v>
      </c>
      <c r="K264" s="157">
        <v>91944500</v>
      </c>
      <c r="L264" s="142">
        <v>229</v>
      </c>
      <c r="M264" s="207" t="s">
        <v>449</v>
      </c>
      <c r="N264" s="158">
        <v>14</v>
      </c>
      <c r="O264" s="157">
        <v>37001000</v>
      </c>
      <c r="P264" s="158">
        <v>259</v>
      </c>
      <c r="Q264" s="157">
        <v>25950000</v>
      </c>
      <c r="R264" s="205">
        <v>48</v>
      </c>
      <c r="S264" s="157">
        <v>27700000</v>
      </c>
      <c r="T264" s="206">
        <f t="shared" si="82"/>
        <v>550</v>
      </c>
      <c r="U264" s="164">
        <f t="shared" si="88"/>
        <v>126.1467889908257</v>
      </c>
      <c r="V264" s="143" t="s">
        <v>58</v>
      </c>
      <c r="W264" s="159">
        <f t="shared" si="83"/>
        <v>90651000</v>
      </c>
      <c r="X264" s="164">
        <f t="shared" si="84"/>
        <v>98.593173055484556</v>
      </c>
      <c r="Y264" s="143" t="s">
        <v>58</v>
      </c>
      <c r="Z264" s="206">
        <f t="shared" si="50"/>
        <v>1091</v>
      </c>
      <c r="AA264" s="159">
        <f t="shared" si="85"/>
        <v>154508000</v>
      </c>
      <c r="AB264" s="149">
        <f t="shared" si="86"/>
        <v>77.21160651096956</v>
      </c>
      <c r="AC264" s="143" t="s">
        <v>58</v>
      </c>
      <c r="AD264" s="194">
        <f t="shared" si="87"/>
        <v>62.365487232891745</v>
      </c>
      <c r="AE264" s="162"/>
      <c r="AF264" s="1"/>
      <c r="AG264" s="1"/>
      <c r="AH264" s="163"/>
      <c r="AI264" s="1"/>
      <c r="AJ264" s="1"/>
      <c r="AK264" s="1"/>
    </row>
    <row r="265" spans="1:37" customFormat="1" ht="105">
      <c r="A265" s="151"/>
      <c r="B265" s="147"/>
      <c r="C265" s="153" t="s">
        <v>511</v>
      </c>
      <c r="D265" s="154" t="s">
        <v>505</v>
      </c>
      <c r="E265" s="155">
        <v>2697</v>
      </c>
      <c r="F265" s="182" t="s">
        <v>57</v>
      </c>
      <c r="G265" s="195">
        <v>284509000</v>
      </c>
      <c r="H265" s="205">
        <v>787</v>
      </c>
      <c r="I265" s="157">
        <v>71720000</v>
      </c>
      <c r="J265" s="158">
        <v>894</v>
      </c>
      <c r="K265" s="157">
        <v>105784500</v>
      </c>
      <c r="L265" s="142">
        <v>144</v>
      </c>
      <c r="M265" s="207" t="s">
        <v>449</v>
      </c>
      <c r="N265" s="158">
        <v>223</v>
      </c>
      <c r="O265" s="157">
        <v>22077500</v>
      </c>
      <c r="P265" s="158">
        <v>324</v>
      </c>
      <c r="Q265" s="157">
        <v>40020000</v>
      </c>
      <c r="R265" s="205">
        <v>192</v>
      </c>
      <c r="S265" s="157">
        <v>38067000</v>
      </c>
      <c r="T265" s="206">
        <f t="shared" si="82"/>
        <v>883</v>
      </c>
      <c r="U265" s="164">
        <f t="shared" si="88"/>
        <v>98.769574944071593</v>
      </c>
      <c r="V265" s="143" t="s">
        <v>58</v>
      </c>
      <c r="W265" s="159">
        <f t="shared" si="83"/>
        <v>100164500</v>
      </c>
      <c r="X265" s="164">
        <f t="shared" si="84"/>
        <v>94.687312413444317</v>
      </c>
      <c r="Y265" s="143" t="s">
        <v>58</v>
      </c>
      <c r="Z265" s="206">
        <f t="shared" si="50"/>
        <v>1670</v>
      </c>
      <c r="AA265" s="159">
        <f t="shared" si="85"/>
        <v>171884500</v>
      </c>
      <c r="AB265" s="149">
        <f t="shared" si="86"/>
        <v>61.920652576937343</v>
      </c>
      <c r="AC265" s="143" t="s">
        <v>58</v>
      </c>
      <c r="AD265" s="194">
        <f t="shared" si="87"/>
        <v>60.414433286820454</v>
      </c>
      <c r="AE265" s="162"/>
      <c r="AF265" s="1"/>
      <c r="AG265" s="1"/>
      <c r="AH265" s="163"/>
      <c r="AI265" s="1"/>
      <c r="AJ265" s="1"/>
      <c r="AK265" s="1"/>
    </row>
    <row r="266" spans="1:37" customFormat="1" ht="105">
      <c r="A266" s="151"/>
      <c r="B266" s="147"/>
      <c r="C266" s="153" t="s">
        <v>512</v>
      </c>
      <c r="D266" s="154" t="s">
        <v>505</v>
      </c>
      <c r="E266" s="155">
        <v>1512</v>
      </c>
      <c r="F266" s="182" t="s">
        <v>57</v>
      </c>
      <c r="G266" s="195">
        <v>99134750</v>
      </c>
      <c r="H266" s="205">
        <v>287</v>
      </c>
      <c r="I266" s="157">
        <v>41782750</v>
      </c>
      <c r="J266" s="158">
        <v>504</v>
      </c>
      <c r="K266" s="157">
        <v>28096000</v>
      </c>
      <c r="L266" s="142">
        <v>28</v>
      </c>
      <c r="M266" s="207" t="s">
        <v>449</v>
      </c>
      <c r="N266" s="158">
        <v>28</v>
      </c>
      <c r="O266" s="157">
        <v>7490000</v>
      </c>
      <c r="P266" s="158">
        <v>24</v>
      </c>
      <c r="Q266" s="157">
        <v>13894000</v>
      </c>
      <c r="R266" s="205">
        <v>20</v>
      </c>
      <c r="S266" s="157">
        <v>6002000</v>
      </c>
      <c r="T266" s="206">
        <f t="shared" si="82"/>
        <v>100</v>
      </c>
      <c r="U266" s="164">
        <f t="shared" si="88"/>
        <v>19.841269841269842</v>
      </c>
      <c r="V266" s="143" t="s">
        <v>58</v>
      </c>
      <c r="W266" s="159">
        <f t="shared" si="83"/>
        <v>27386000</v>
      </c>
      <c r="X266" s="164">
        <f t="shared" si="84"/>
        <v>97.472949886104786</v>
      </c>
      <c r="Y266" s="143" t="s">
        <v>58</v>
      </c>
      <c r="Z266" s="206">
        <f t="shared" si="50"/>
        <v>387</v>
      </c>
      <c r="AA266" s="159">
        <f t="shared" si="85"/>
        <v>69168750</v>
      </c>
      <c r="AB266" s="149">
        <f t="shared" si="86"/>
        <v>25.595238095238095</v>
      </c>
      <c r="AC266" s="143" t="s">
        <v>58</v>
      </c>
      <c r="AD266" s="194">
        <f t="shared" si="87"/>
        <v>69.772456177072115</v>
      </c>
      <c r="AE266" s="162"/>
      <c r="AF266" s="1"/>
      <c r="AG266" s="1"/>
      <c r="AH266" s="163"/>
      <c r="AI266" s="1"/>
      <c r="AJ266" s="1"/>
      <c r="AK266" s="1"/>
    </row>
    <row r="267" spans="1:37" customFormat="1" ht="105">
      <c r="A267" s="151"/>
      <c r="B267" s="147"/>
      <c r="C267" s="153" t="s">
        <v>513</v>
      </c>
      <c r="D267" s="154" t="s">
        <v>505</v>
      </c>
      <c r="E267" s="155">
        <v>4412</v>
      </c>
      <c r="F267" s="182" t="s">
        <v>57</v>
      </c>
      <c r="G267" s="195">
        <v>139852400</v>
      </c>
      <c r="H267" s="205">
        <v>1203</v>
      </c>
      <c r="I267" s="157">
        <v>91827400</v>
      </c>
      <c r="J267" s="158">
        <v>1280</v>
      </c>
      <c r="K267" s="157">
        <v>21231000</v>
      </c>
      <c r="L267" s="142">
        <v>311</v>
      </c>
      <c r="M267" s="207" t="s">
        <v>449</v>
      </c>
      <c r="N267" s="158">
        <v>417</v>
      </c>
      <c r="O267" s="157">
        <v>6925000</v>
      </c>
      <c r="P267" s="158">
        <v>258</v>
      </c>
      <c r="Q267" s="157">
        <v>6737500</v>
      </c>
      <c r="R267" s="205">
        <v>289</v>
      </c>
      <c r="S267" s="157">
        <v>7300000</v>
      </c>
      <c r="T267" s="206">
        <f t="shared" si="82"/>
        <v>1275</v>
      </c>
      <c r="U267" s="164">
        <f t="shared" si="88"/>
        <v>99.609375</v>
      </c>
      <c r="V267" s="143" t="s">
        <v>58</v>
      </c>
      <c r="W267" s="159">
        <f t="shared" si="83"/>
        <v>20962500</v>
      </c>
      <c r="X267" s="164">
        <f t="shared" si="84"/>
        <v>98.735339833262685</v>
      </c>
      <c r="Y267" s="143" t="s">
        <v>58</v>
      </c>
      <c r="Z267" s="206">
        <f t="shared" si="50"/>
        <v>2478</v>
      </c>
      <c r="AA267" s="159">
        <f t="shared" si="85"/>
        <v>112789900</v>
      </c>
      <c r="AB267" s="149">
        <f t="shared" si="86"/>
        <v>56.165004533091569</v>
      </c>
      <c r="AC267" s="143" t="s">
        <v>58</v>
      </c>
      <c r="AD267" s="194">
        <f t="shared" si="87"/>
        <v>80.649241629031749</v>
      </c>
      <c r="AE267" s="162"/>
      <c r="AF267" s="1"/>
      <c r="AG267" s="1"/>
      <c r="AH267" s="163"/>
      <c r="AI267" s="1"/>
      <c r="AJ267" s="1"/>
      <c r="AK267" s="1"/>
    </row>
    <row r="268" spans="1:37" customFormat="1" ht="105">
      <c r="A268" s="151"/>
      <c r="B268" s="147"/>
      <c r="C268" s="153" t="s">
        <v>514</v>
      </c>
      <c r="D268" s="154" t="s">
        <v>505</v>
      </c>
      <c r="E268" s="155">
        <v>2487</v>
      </c>
      <c r="F268" s="182" t="s">
        <v>57</v>
      </c>
      <c r="G268" s="195">
        <v>254564000</v>
      </c>
      <c r="H268" s="205">
        <v>829</v>
      </c>
      <c r="I268" s="157">
        <v>41595000</v>
      </c>
      <c r="J268" s="158">
        <v>733</v>
      </c>
      <c r="K268" s="157">
        <v>94456750</v>
      </c>
      <c r="L268" s="142">
        <v>152</v>
      </c>
      <c r="M268" s="207" t="s">
        <v>449</v>
      </c>
      <c r="N268" s="158">
        <v>170</v>
      </c>
      <c r="O268" s="157">
        <v>24170000</v>
      </c>
      <c r="P268" s="158">
        <v>184</v>
      </c>
      <c r="Q268" s="157">
        <v>28390750</v>
      </c>
      <c r="R268" s="205">
        <v>227</v>
      </c>
      <c r="S268" s="157">
        <v>38736000</v>
      </c>
      <c r="T268" s="206">
        <f t="shared" si="82"/>
        <v>733</v>
      </c>
      <c r="U268" s="164">
        <f t="shared" si="88"/>
        <v>100</v>
      </c>
      <c r="V268" s="143" t="s">
        <v>58</v>
      </c>
      <c r="W268" s="159">
        <f t="shared" si="83"/>
        <v>91296750</v>
      </c>
      <c r="X268" s="164">
        <f t="shared" si="84"/>
        <v>96.654553539053595</v>
      </c>
      <c r="Y268" s="143" t="s">
        <v>58</v>
      </c>
      <c r="Z268" s="206">
        <f t="shared" si="50"/>
        <v>1562</v>
      </c>
      <c r="AA268" s="159">
        <f t="shared" si="85"/>
        <v>132891750</v>
      </c>
      <c r="AB268" s="149">
        <f t="shared" si="86"/>
        <v>62.806594290309611</v>
      </c>
      <c r="AC268" s="143" t="s">
        <v>58</v>
      </c>
      <c r="AD268" s="194">
        <f t="shared" si="87"/>
        <v>52.203669804057128</v>
      </c>
      <c r="AE268" s="162"/>
      <c r="AF268" s="1"/>
      <c r="AG268" s="1"/>
      <c r="AH268" s="163"/>
      <c r="AI268" s="1"/>
      <c r="AJ268" s="1"/>
      <c r="AK268" s="1"/>
    </row>
    <row r="269" spans="1:37" customFormat="1" ht="105">
      <c r="A269" s="151"/>
      <c r="B269" s="147"/>
      <c r="C269" s="153" t="s">
        <v>515</v>
      </c>
      <c r="D269" s="154" t="s">
        <v>505</v>
      </c>
      <c r="E269" s="155">
        <v>1542</v>
      </c>
      <c r="F269" s="182" t="s">
        <v>57</v>
      </c>
      <c r="G269" s="195">
        <v>211431000</v>
      </c>
      <c r="H269" s="205">
        <v>512</v>
      </c>
      <c r="I269" s="157">
        <v>39600000</v>
      </c>
      <c r="J269" s="158">
        <v>514</v>
      </c>
      <c r="K269" s="157">
        <v>85915500</v>
      </c>
      <c r="L269" s="142">
        <v>58</v>
      </c>
      <c r="M269" s="157"/>
      <c r="N269" s="158">
        <v>50</v>
      </c>
      <c r="O269" s="157">
        <v>8935500</v>
      </c>
      <c r="P269" s="158">
        <v>78</v>
      </c>
      <c r="Q269" s="157">
        <v>24860000</v>
      </c>
      <c r="R269" s="205">
        <v>94</v>
      </c>
      <c r="S269" s="157">
        <v>31520000</v>
      </c>
      <c r="T269" s="206">
        <f t="shared" si="82"/>
        <v>280</v>
      </c>
      <c r="U269" s="164">
        <f t="shared" si="88"/>
        <v>54.474708171206224</v>
      </c>
      <c r="V269" s="143" t="s">
        <v>58</v>
      </c>
      <c r="W269" s="159">
        <f t="shared" si="83"/>
        <v>65315500</v>
      </c>
      <c r="X269" s="164">
        <f t="shared" si="84"/>
        <v>76.022952785003866</v>
      </c>
      <c r="Y269" s="143" t="s">
        <v>58</v>
      </c>
      <c r="Z269" s="206">
        <f t="shared" si="50"/>
        <v>792</v>
      </c>
      <c r="AA269" s="159">
        <f t="shared" si="85"/>
        <v>104915500</v>
      </c>
      <c r="AB269" s="149">
        <f t="shared" si="86"/>
        <v>51.361867704280151</v>
      </c>
      <c r="AC269" s="143" t="s">
        <v>58</v>
      </c>
      <c r="AD269" s="194">
        <f t="shared" si="87"/>
        <v>49.621625967809827</v>
      </c>
      <c r="AE269" s="162"/>
      <c r="AF269" s="1"/>
      <c r="AG269" s="1"/>
      <c r="AH269" s="163"/>
      <c r="AI269" s="1"/>
      <c r="AJ269" s="1"/>
      <c r="AK269" s="1"/>
    </row>
    <row r="270" spans="1:37" customFormat="1" ht="105">
      <c r="A270" s="151"/>
      <c r="B270" s="147"/>
      <c r="C270" s="153" t="s">
        <v>516</v>
      </c>
      <c r="D270" s="154" t="s">
        <v>505</v>
      </c>
      <c r="E270" s="155">
        <v>4894</v>
      </c>
      <c r="F270" s="182" t="s">
        <v>57</v>
      </c>
      <c r="G270" s="195">
        <v>281763000</v>
      </c>
      <c r="H270" s="205">
        <v>1119</v>
      </c>
      <c r="I270" s="157">
        <v>71621000</v>
      </c>
      <c r="J270" s="158">
        <v>1640</v>
      </c>
      <c r="K270" s="157">
        <v>102012500</v>
      </c>
      <c r="L270" s="142">
        <v>196</v>
      </c>
      <c r="M270" s="207" t="s">
        <v>449</v>
      </c>
      <c r="N270" s="158">
        <v>468</v>
      </c>
      <c r="O270" s="157">
        <v>40530000</v>
      </c>
      <c r="P270" s="158">
        <v>449</v>
      </c>
      <c r="Q270" s="157">
        <v>31840000</v>
      </c>
      <c r="R270" s="205">
        <v>233</v>
      </c>
      <c r="S270" s="157">
        <v>28550000</v>
      </c>
      <c r="T270" s="206">
        <f t="shared" si="82"/>
        <v>1346</v>
      </c>
      <c r="U270" s="164">
        <f t="shared" si="88"/>
        <v>82.073170731707307</v>
      </c>
      <c r="V270" s="143" t="s">
        <v>58</v>
      </c>
      <c r="W270" s="159">
        <f t="shared" si="83"/>
        <v>100920000</v>
      </c>
      <c r="X270" s="164">
        <f t="shared" si="84"/>
        <v>98.929052812155376</v>
      </c>
      <c r="Y270" s="143" t="s">
        <v>58</v>
      </c>
      <c r="Z270" s="206">
        <f t="shared" si="50"/>
        <v>2465</v>
      </c>
      <c r="AA270" s="159">
        <f t="shared" si="85"/>
        <v>172541000</v>
      </c>
      <c r="AB270" s="149">
        <f t="shared" si="86"/>
        <v>50.367797302819781</v>
      </c>
      <c r="AC270" s="143" t="s">
        <v>58</v>
      </c>
      <c r="AD270" s="194">
        <f t="shared" si="87"/>
        <v>61.236216252666239</v>
      </c>
      <c r="AE270" s="162"/>
      <c r="AF270" s="1"/>
      <c r="AG270" s="1"/>
      <c r="AH270" s="163"/>
      <c r="AI270" s="1"/>
      <c r="AJ270" s="1"/>
      <c r="AK270" s="1"/>
    </row>
    <row r="271" spans="1:37" customFormat="1" ht="105">
      <c r="A271" s="151"/>
      <c r="B271" s="147"/>
      <c r="C271" s="153" t="s">
        <v>517</v>
      </c>
      <c r="D271" s="154" t="s">
        <v>505</v>
      </c>
      <c r="E271" s="155">
        <v>1263</v>
      </c>
      <c r="F271" s="182" t="s">
        <v>57</v>
      </c>
      <c r="G271" s="195">
        <v>158009250</v>
      </c>
      <c r="H271" s="205">
        <v>379</v>
      </c>
      <c r="I271" s="157">
        <v>41549250</v>
      </c>
      <c r="J271" s="158">
        <v>404</v>
      </c>
      <c r="K271" s="157">
        <v>55314500</v>
      </c>
      <c r="L271" s="208">
        <v>35</v>
      </c>
      <c r="M271" s="209" t="s">
        <v>449</v>
      </c>
      <c r="N271" s="210">
        <v>100</v>
      </c>
      <c r="O271" s="209">
        <v>21485500</v>
      </c>
      <c r="P271" s="210">
        <v>160</v>
      </c>
      <c r="Q271" s="209">
        <v>40205500</v>
      </c>
      <c r="R271" s="211">
        <v>213</v>
      </c>
      <c r="S271" s="209">
        <v>54715500</v>
      </c>
      <c r="T271" s="206">
        <f t="shared" si="82"/>
        <v>508</v>
      </c>
      <c r="U271" s="164">
        <f t="shared" si="88"/>
        <v>125.74257425742574</v>
      </c>
      <c r="V271" s="143" t="s">
        <v>58</v>
      </c>
      <c r="W271" s="159">
        <f t="shared" si="83"/>
        <v>116406500</v>
      </c>
      <c r="X271" s="164">
        <f t="shared" si="84"/>
        <v>210.44482007430241</v>
      </c>
      <c r="Y271" s="143" t="s">
        <v>58</v>
      </c>
      <c r="Z271" s="206">
        <f t="shared" si="50"/>
        <v>887</v>
      </c>
      <c r="AA271" s="159">
        <f t="shared" si="85"/>
        <v>157955750</v>
      </c>
      <c r="AB271" s="149">
        <f t="shared" si="86"/>
        <v>70.229612034837686</v>
      </c>
      <c r="AC271" s="143" t="s">
        <v>58</v>
      </c>
      <c r="AD271" s="194">
        <f t="shared" si="87"/>
        <v>99.966141222744881</v>
      </c>
      <c r="AE271" s="162"/>
      <c r="AF271" s="1"/>
      <c r="AG271" s="1"/>
      <c r="AH271" s="163"/>
      <c r="AI271" s="1"/>
      <c r="AJ271" s="1"/>
      <c r="AK271" s="1"/>
    </row>
    <row r="272" spans="1:37" customFormat="1" ht="105">
      <c r="A272" s="151"/>
      <c r="B272" s="147"/>
      <c r="C272" s="153" t="s">
        <v>518</v>
      </c>
      <c r="D272" s="154" t="s">
        <v>505</v>
      </c>
      <c r="E272" s="155">
        <v>415</v>
      </c>
      <c r="F272" s="182" t="s">
        <v>57</v>
      </c>
      <c r="G272" s="195">
        <v>118935400</v>
      </c>
      <c r="H272" s="205">
        <v>206</v>
      </c>
      <c r="I272" s="157">
        <v>35127250</v>
      </c>
      <c r="J272" s="158">
        <v>209</v>
      </c>
      <c r="K272" s="157">
        <v>41522700</v>
      </c>
      <c r="L272" s="142">
        <v>28</v>
      </c>
      <c r="M272" s="207" t="s">
        <v>449</v>
      </c>
      <c r="N272" s="158">
        <v>44</v>
      </c>
      <c r="O272" s="157">
        <v>13590000</v>
      </c>
      <c r="P272" s="158">
        <v>55</v>
      </c>
      <c r="Q272" s="157">
        <v>18150000</v>
      </c>
      <c r="R272" s="212">
        <v>39</v>
      </c>
      <c r="S272" s="209">
        <v>7875000</v>
      </c>
      <c r="T272" s="206">
        <f t="shared" si="82"/>
        <v>166</v>
      </c>
      <c r="U272" s="164">
        <f t="shared" si="88"/>
        <v>79.425837320574161</v>
      </c>
      <c r="V272" s="143" t="s">
        <v>58</v>
      </c>
      <c r="W272" s="159">
        <f t="shared" si="83"/>
        <v>39615000</v>
      </c>
      <c r="X272" s="164">
        <f t="shared" si="84"/>
        <v>95.405645586630925</v>
      </c>
      <c r="Y272" s="143" t="s">
        <v>58</v>
      </c>
      <c r="Z272" s="206">
        <f t="shared" si="50"/>
        <v>372</v>
      </c>
      <c r="AA272" s="159">
        <f t="shared" si="85"/>
        <v>74742250</v>
      </c>
      <c r="AB272" s="149">
        <f t="shared" si="86"/>
        <v>89.638554216867476</v>
      </c>
      <c r="AC272" s="143" t="s">
        <v>58</v>
      </c>
      <c r="AD272" s="194">
        <f t="shared" si="87"/>
        <v>62.842728069187139</v>
      </c>
      <c r="AE272" s="162"/>
      <c r="AF272" s="1"/>
      <c r="AG272" s="1"/>
      <c r="AH272" s="163"/>
      <c r="AI272" s="1"/>
      <c r="AJ272" s="1"/>
      <c r="AK272" s="1"/>
    </row>
    <row r="273" spans="1:37" customFormat="1" ht="105">
      <c r="A273" s="151"/>
      <c r="B273" s="147"/>
      <c r="C273" s="153" t="s">
        <v>519</v>
      </c>
      <c r="D273" s="154" t="s">
        <v>505</v>
      </c>
      <c r="E273" s="155">
        <v>4449</v>
      </c>
      <c r="F273" s="182" t="s">
        <v>57</v>
      </c>
      <c r="G273" s="195">
        <v>258742350</v>
      </c>
      <c r="H273" s="205">
        <v>1325</v>
      </c>
      <c r="I273" s="157">
        <v>65900000</v>
      </c>
      <c r="J273" s="158">
        <v>1425</v>
      </c>
      <c r="K273" s="157">
        <v>97500000</v>
      </c>
      <c r="L273" s="142">
        <v>209</v>
      </c>
      <c r="M273" s="207" t="s">
        <v>449</v>
      </c>
      <c r="N273" s="158">
        <v>288</v>
      </c>
      <c r="O273" s="157">
        <v>37410000</v>
      </c>
      <c r="P273" s="158">
        <v>494</v>
      </c>
      <c r="Q273" s="157">
        <v>32730000</v>
      </c>
      <c r="R273" s="212">
        <v>15</v>
      </c>
      <c r="S273" s="209">
        <v>22250000</v>
      </c>
      <c r="T273" s="206">
        <f t="shared" si="82"/>
        <v>1006</v>
      </c>
      <c r="U273" s="164">
        <f t="shared" si="88"/>
        <v>70.596491228070178</v>
      </c>
      <c r="V273" s="143" t="s">
        <v>58</v>
      </c>
      <c r="W273" s="159">
        <f t="shared" si="83"/>
        <v>92390000</v>
      </c>
      <c r="X273" s="164">
        <f t="shared" si="84"/>
        <v>94.758974358974356</v>
      </c>
      <c r="Y273" s="143" t="s">
        <v>58</v>
      </c>
      <c r="Z273" s="206">
        <f t="shared" si="50"/>
        <v>2331</v>
      </c>
      <c r="AA273" s="159">
        <f t="shared" si="85"/>
        <v>158290000</v>
      </c>
      <c r="AB273" s="149">
        <f t="shared" si="86"/>
        <v>52.393796358732303</v>
      </c>
      <c r="AC273" s="143" t="s">
        <v>58</v>
      </c>
      <c r="AD273" s="194">
        <f t="shared" si="87"/>
        <v>61.176687929131049</v>
      </c>
      <c r="AE273" s="162"/>
      <c r="AF273" s="1"/>
      <c r="AG273" s="1"/>
      <c r="AH273" s="163"/>
      <c r="AI273" s="1"/>
      <c r="AJ273" s="1"/>
      <c r="AK273" s="1"/>
    </row>
    <row r="274" spans="1:37" customFormat="1" ht="105">
      <c r="A274" s="151"/>
      <c r="B274" s="147"/>
      <c r="C274" s="153" t="s">
        <v>520</v>
      </c>
      <c r="D274" s="154" t="s">
        <v>505</v>
      </c>
      <c r="E274" s="155">
        <v>548</v>
      </c>
      <c r="F274" s="182" t="s">
        <v>57</v>
      </c>
      <c r="G274" s="195">
        <v>237398200</v>
      </c>
      <c r="H274" s="205">
        <v>548</v>
      </c>
      <c r="I274" s="157">
        <v>83830000</v>
      </c>
      <c r="J274" s="158">
        <v>548</v>
      </c>
      <c r="K274" s="157">
        <v>76784100</v>
      </c>
      <c r="L274" s="142">
        <v>135</v>
      </c>
      <c r="M274" s="207" t="s">
        <v>449</v>
      </c>
      <c r="N274" s="155">
        <v>243</v>
      </c>
      <c r="O274" s="157">
        <v>23084100</v>
      </c>
      <c r="P274" s="155">
        <v>159</v>
      </c>
      <c r="Q274" s="157">
        <v>24690000</v>
      </c>
      <c r="R274" s="212">
        <v>11</v>
      </c>
      <c r="S274" s="209">
        <v>28980000</v>
      </c>
      <c r="T274" s="206">
        <f t="shared" si="82"/>
        <v>548</v>
      </c>
      <c r="U274" s="164">
        <f t="shared" si="88"/>
        <v>100</v>
      </c>
      <c r="V274" s="143" t="s">
        <v>58</v>
      </c>
      <c r="W274" s="159">
        <f t="shared" si="83"/>
        <v>76754100</v>
      </c>
      <c r="X274" s="164">
        <f t="shared" si="84"/>
        <v>99.960929411167157</v>
      </c>
      <c r="Y274" s="143" t="s">
        <v>58</v>
      </c>
      <c r="Z274" s="206">
        <f t="shared" si="50"/>
        <v>1096</v>
      </c>
      <c r="AA274" s="159">
        <f t="shared" si="85"/>
        <v>160584100</v>
      </c>
      <c r="AB274" s="149">
        <f t="shared" si="86"/>
        <v>200</v>
      </c>
      <c r="AC274" s="143" t="s">
        <v>58</v>
      </c>
      <c r="AD274" s="194">
        <f t="shared" si="87"/>
        <v>67.64335197149768</v>
      </c>
      <c r="AE274" s="162"/>
      <c r="AF274" s="1"/>
      <c r="AG274" s="1"/>
      <c r="AH274" s="163"/>
      <c r="AI274" s="1"/>
      <c r="AJ274" s="1"/>
      <c r="AK274" s="1"/>
    </row>
    <row r="275" spans="1:37" customFormat="1" ht="105">
      <c r="A275" s="151"/>
      <c r="B275" s="147"/>
      <c r="C275" s="153" t="s">
        <v>521</v>
      </c>
      <c r="D275" s="154" t="s">
        <v>505</v>
      </c>
      <c r="E275" s="155">
        <v>2997</v>
      </c>
      <c r="F275" s="182" t="s">
        <v>57</v>
      </c>
      <c r="G275" s="195">
        <v>270888400</v>
      </c>
      <c r="H275" s="205">
        <v>941</v>
      </c>
      <c r="I275" s="157">
        <v>58695000</v>
      </c>
      <c r="J275" s="158">
        <v>814</v>
      </c>
      <c r="K275" s="157">
        <v>118528100</v>
      </c>
      <c r="L275" s="213">
        <v>248</v>
      </c>
      <c r="M275" s="214">
        <v>0</v>
      </c>
      <c r="N275" s="215">
        <v>120</v>
      </c>
      <c r="O275" s="209">
        <v>31491000</v>
      </c>
      <c r="P275" s="215">
        <v>242</v>
      </c>
      <c r="Q275" s="209">
        <v>39861400</v>
      </c>
      <c r="R275" s="216">
        <v>170</v>
      </c>
      <c r="S275" s="209">
        <v>36885000</v>
      </c>
      <c r="T275" s="206">
        <f t="shared" si="82"/>
        <v>780</v>
      </c>
      <c r="U275" s="164">
        <f t="shared" si="88"/>
        <v>95.823095823095827</v>
      </c>
      <c r="V275" s="143" t="s">
        <v>58</v>
      </c>
      <c r="W275" s="159">
        <f t="shared" si="83"/>
        <v>108237400</v>
      </c>
      <c r="X275" s="164">
        <f t="shared" si="84"/>
        <v>91.317923766600501</v>
      </c>
      <c r="Y275" s="143" t="s">
        <v>58</v>
      </c>
      <c r="Z275" s="206">
        <f t="shared" si="50"/>
        <v>1721</v>
      </c>
      <c r="AA275" s="159">
        <f t="shared" si="85"/>
        <v>166932400</v>
      </c>
      <c r="AB275" s="149">
        <f t="shared" si="86"/>
        <v>57.424090757424096</v>
      </c>
      <c r="AC275" s="143" t="s">
        <v>58</v>
      </c>
      <c r="AD275" s="194">
        <f t="shared" si="87"/>
        <v>61.624048870309686</v>
      </c>
      <c r="AE275" s="162"/>
      <c r="AF275" s="1"/>
      <c r="AG275" s="1"/>
      <c r="AH275" s="163"/>
      <c r="AI275" s="1"/>
      <c r="AJ275" s="1"/>
      <c r="AK275" s="1"/>
    </row>
    <row r="276" spans="1:37" customFormat="1" ht="105">
      <c r="A276" s="151"/>
      <c r="B276" s="147"/>
      <c r="C276" s="153" t="s">
        <v>522</v>
      </c>
      <c r="D276" s="154" t="s">
        <v>505</v>
      </c>
      <c r="E276" s="155">
        <v>1949</v>
      </c>
      <c r="F276" s="182" t="s">
        <v>57</v>
      </c>
      <c r="G276" s="195">
        <v>191026000</v>
      </c>
      <c r="H276" s="205">
        <v>541</v>
      </c>
      <c r="I276" s="157">
        <v>55810000</v>
      </c>
      <c r="J276" s="158">
        <v>684</v>
      </c>
      <c r="K276" s="157">
        <v>67171000</v>
      </c>
      <c r="L276" s="142">
        <v>122</v>
      </c>
      <c r="M276" s="157">
        <v>0</v>
      </c>
      <c r="N276" s="158">
        <v>111</v>
      </c>
      <c r="O276" s="157">
        <v>22960000</v>
      </c>
      <c r="P276" s="158">
        <v>115</v>
      </c>
      <c r="Q276" s="217">
        <v>18160000</v>
      </c>
      <c r="R276" s="212">
        <v>198</v>
      </c>
      <c r="S276" s="183">
        <v>23160000</v>
      </c>
      <c r="T276" s="206">
        <f t="shared" si="82"/>
        <v>546</v>
      </c>
      <c r="U276" s="164">
        <f t="shared" si="88"/>
        <v>79.824561403508781</v>
      </c>
      <c r="V276" s="143" t="s">
        <v>58</v>
      </c>
      <c r="W276" s="159">
        <f>SUM(M276,O276,Q277,S276)</f>
        <v>72165000</v>
      </c>
      <c r="X276" s="164">
        <f t="shared" si="84"/>
        <v>107.43475607032798</v>
      </c>
      <c r="Y276" s="143" t="s">
        <v>58</v>
      </c>
      <c r="Z276" s="206">
        <f t="shared" si="50"/>
        <v>1087</v>
      </c>
      <c r="AA276" s="159">
        <f t="shared" si="85"/>
        <v>127975000</v>
      </c>
      <c r="AB276" s="149">
        <f t="shared" si="86"/>
        <v>55.772190867111334</v>
      </c>
      <c r="AC276" s="143" t="s">
        <v>58</v>
      </c>
      <c r="AD276" s="194">
        <f t="shared" si="87"/>
        <v>66.993498267251582</v>
      </c>
      <c r="AE276" s="162"/>
      <c r="AF276" s="1"/>
      <c r="AG276" s="1"/>
      <c r="AH276" s="163"/>
      <c r="AI276" s="1"/>
      <c r="AJ276" s="1"/>
      <c r="AK276" s="1"/>
    </row>
    <row r="277" spans="1:37" customFormat="1" ht="105">
      <c r="A277" s="151"/>
      <c r="B277" s="147"/>
      <c r="C277" s="153" t="s">
        <v>523</v>
      </c>
      <c r="D277" s="154" t="s">
        <v>505</v>
      </c>
      <c r="E277" s="155">
        <v>2835</v>
      </c>
      <c r="F277" s="182" t="s">
        <v>57</v>
      </c>
      <c r="G277" s="195">
        <v>256607000</v>
      </c>
      <c r="H277" s="205">
        <v>558</v>
      </c>
      <c r="I277" s="157">
        <v>66877000</v>
      </c>
      <c r="J277" s="158">
        <v>895</v>
      </c>
      <c r="K277" s="157">
        <v>94246000</v>
      </c>
      <c r="L277" s="142">
        <v>149</v>
      </c>
      <c r="M277" s="207" t="s">
        <v>449</v>
      </c>
      <c r="N277" s="158">
        <v>223</v>
      </c>
      <c r="O277" s="157">
        <v>28390000</v>
      </c>
      <c r="P277" s="158">
        <v>223</v>
      </c>
      <c r="Q277" s="157">
        <v>26045000</v>
      </c>
      <c r="R277" s="212">
        <v>300</v>
      </c>
      <c r="S277" s="209">
        <v>39735000</v>
      </c>
      <c r="T277" s="206">
        <f t="shared" si="82"/>
        <v>895</v>
      </c>
      <c r="U277" s="164">
        <f t="shared" si="88"/>
        <v>100</v>
      </c>
      <c r="V277" s="143" t="s">
        <v>58</v>
      </c>
      <c r="W277" s="159">
        <f t="shared" ref="W277:W531" si="89">SUM(M277,O277,Q277,S277)</f>
        <v>94170000</v>
      </c>
      <c r="X277" s="164">
        <f t="shared" si="84"/>
        <v>99.919359972837043</v>
      </c>
      <c r="Y277" s="143" t="s">
        <v>58</v>
      </c>
      <c r="Z277" s="206">
        <f t="shared" si="50"/>
        <v>1453</v>
      </c>
      <c r="AA277" s="159">
        <f t="shared" si="85"/>
        <v>161047000</v>
      </c>
      <c r="AB277" s="149">
        <f t="shared" si="86"/>
        <v>51.252204585537918</v>
      </c>
      <c r="AC277" s="143" t="s">
        <v>58</v>
      </c>
      <c r="AD277" s="194">
        <f t="shared" si="87"/>
        <v>62.76017411839895</v>
      </c>
      <c r="AE277" s="162"/>
      <c r="AF277" s="1"/>
      <c r="AG277" s="1"/>
      <c r="AH277" s="163"/>
      <c r="AI277" s="1"/>
      <c r="AJ277" s="1"/>
      <c r="AK277" s="1"/>
    </row>
    <row r="278" spans="1:37" customFormat="1" ht="105">
      <c r="A278" s="151"/>
      <c r="B278" s="147"/>
      <c r="C278" s="153" t="s">
        <v>524</v>
      </c>
      <c r="D278" s="154" t="s">
        <v>505</v>
      </c>
      <c r="E278" s="155">
        <v>2052</v>
      </c>
      <c r="F278" s="182" t="s">
        <v>57</v>
      </c>
      <c r="G278" s="195">
        <v>201489250</v>
      </c>
      <c r="H278" s="205">
        <v>514</v>
      </c>
      <c r="I278" s="157">
        <v>83844250</v>
      </c>
      <c r="J278" s="158">
        <v>684</v>
      </c>
      <c r="K278" s="157">
        <v>62197500</v>
      </c>
      <c r="L278" s="142">
        <v>171</v>
      </c>
      <c r="M278" s="207" t="s">
        <v>449</v>
      </c>
      <c r="N278" s="158">
        <v>171</v>
      </c>
      <c r="O278" s="157">
        <v>16720000</v>
      </c>
      <c r="P278" s="158">
        <v>171</v>
      </c>
      <c r="Q278" s="157">
        <v>14480000</v>
      </c>
      <c r="R278" s="205">
        <v>171</v>
      </c>
      <c r="S278" s="157">
        <v>25925000</v>
      </c>
      <c r="T278" s="206">
        <f t="shared" si="82"/>
        <v>684</v>
      </c>
      <c r="U278" s="164">
        <f t="shared" si="88"/>
        <v>100</v>
      </c>
      <c r="V278" s="143" t="s">
        <v>58</v>
      </c>
      <c r="W278" s="159">
        <f t="shared" si="89"/>
        <v>57125000</v>
      </c>
      <c r="X278" s="164">
        <f t="shared" si="84"/>
        <v>91.844527513163712</v>
      </c>
      <c r="Y278" s="143" t="s">
        <v>58</v>
      </c>
      <c r="Z278" s="206">
        <f t="shared" si="50"/>
        <v>1198</v>
      </c>
      <c r="AA278" s="159">
        <f t="shared" si="85"/>
        <v>140969250</v>
      </c>
      <c r="AB278" s="149">
        <f t="shared" si="86"/>
        <v>58.382066276803123</v>
      </c>
      <c r="AC278" s="143" t="s">
        <v>58</v>
      </c>
      <c r="AD278" s="194">
        <f t="shared" si="87"/>
        <v>69.963658110792508</v>
      </c>
      <c r="AE278" s="162"/>
      <c r="AF278" s="1"/>
      <c r="AG278" s="1"/>
      <c r="AH278" s="163"/>
      <c r="AI278" s="1"/>
      <c r="AJ278" s="1"/>
      <c r="AK278" s="1"/>
    </row>
    <row r="279" spans="1:37" customFormat="1" ht="105">
      <c r="A279" s="151"/>
      <c r="B279" s="147"/>
      <c r="C279" s="153" t="s">
        <v>525</v>
      </c>
      <c r="D279" s="154" t="s">
        <v>505</v>
      </c>
      <c r="E279" s="155">
        <v>2.3380000000000001</v>
      </c>
      <c r="F279" s="182" t="s">
        <v>57</v>
      </c>
      <c r="G279" s="195">
        <v>86259400</v>
      </c>
      <c r="H279" s="205">
        <v>638</v>
      </c>
      <c r="I279" s="157">
        <v>21634200</v>
      </c>
      <c r="J279" s="158">
        <v>779</v>
      </c>
      <c r="K279" s="157">
        <v>32081000</v>
      </c>
      <c r="L279" s="142">
        <v>197</v>
      </c>
      <c r="M279" s="207" t="s">
        <v>449</v>
      </c>
      <c r="N279" s="158">
        <v>194</v>
      </c>
      <c r="O279" s="157">
        <v>11452500</v>
      </c>
      <c r="P279" s="158">
        <v>194</v>
      </c>
      <c r="Q279" s="157">
        <v>11372500</v>
      </c>
      <c r="R279" s="205">
        <v>194</v>
      </c>
      <c r="S279" s="157">
        <v>7792500</v>
      </c>
      <c r="T279" s="206">
        <f t="shared" si="82"/>
        <v>779</v>
      </c>
      <c r="U279" s="164">
        <f t="shared" si="88"/>
        <v>100</v>
      </c>
      <c r="V279" s="143" t="s">
        <v>58</v>
      </c>
      <c r="W279" s="159">
        <f t="shared" si="89"/>
        <v>30617500</v>
      </c>
      <c r="X279" s="164">
        <f t="shared" si="84"/>
        <v>95.438109784607718</v>
      </c>
      <c r="Y279" s="143" t="s">
        <v>58</v>
      </c>
      <c r="Z279" s="206">
        <f t="shared" si="50"/>
        <v>1417</v>
      </c>
      <c r="AA279" s="159">
        <f t="shared" si="85"/>
        <v>52251700</v>
      </c>
      <c r="AB279" s="149">
        <f t="shared" si="86"/>
        <v>60607.356715141148</v>
      </c>
      <c r="AC279" s="143" t="s">
        <v>58</v>
      </c>
      <c r="AD279" s="194">
        <f t="shared" si="87"/>
        <v>60.575079353670432</v>
      </c>
      <c r="AE279" s="162"/>
      <c r="AF279" s="1"/>
      <c r="AG279" s="1"/>
      <c r="AH279" s="163"/>
      <c r="AI279" s="1"/>
      <c r="AJ279" s="1"/>
      <c r="AK279" s="1"/>
    </row>
    <row r="280" spans="1:37" customFormat="1" ht="105">
      <c r="A280" s="151"/>
      <c r="B280" s="147"/>
      <c r="C280" s="153" t="s">
        <v>526</v>
      </c>
      <c r="D280" s="154" t="s">
        <v>505</v>
      </c>
      <c r="E280" s="155">
        <v>1385</v>
      </c>
      <c r="F280" s="182" t="s">
        <v>57</v>
      </c>
      <c r="G280" s="195">
        <v>101866000</v>
      </c>
      <c r="H280" s="205">
        <v>455</v>
      </c>
      <c r="I280" s="157">
        <v>84225000</v>
      </c>
      <c r="J280" s="158">
        <v>465</v>
      </c>
      <c r="K280" s="157">
        <v>8820500</v>
      </c>
      <c r="L280" s="142">
        <v>48</v>
      </c>
      <c r="M280" s="207" t="s">
        <v>449</v>
      </c>
      <c r="N280" s="158">
        <v>107</v>
      </c>
      <c r="O280" s="157">
        <v>1260000</v>
      </c>
      <c r="P280" s="158">
        <v>155</v>
      </c>
      <c r="Q280" s="157">
        <v>4543750</v>
      </c>
      <c r="R280" s="212">
        <v>155</v>
      </c>
      <c r="S280" s="209">
        <v>2810000</v>
      </c>
      <c r="T280" s="206">
        <f t="shared" si="82"/>
        <v>465</v>
      </c>
      <c r="U280" s="164">
        <f t="shared" si="88"/>
        <v>100</v>
      </c>
      <c r="V280" s="143" t="s">
        <v>58</v>
      </c>
      <c r="W280" s="159">
        <f t="shared" si="89"/>
        <v>8613750</v>
      </c>
      <c r="X280" s="164">
        <f t="shared" si="84"/>
        <v>97.656028569808967</v>
      </c>
      <c r="Y280" s="143" t="s">
        <v>58</v>
      </c>
      <c r="Z280" s="206">
        <f t="shared" si="50"/>
        <v>920</v>
      </c>
      <c r="AA280" s="159">
        <f t="shared" si="85"/>
        <v>92838750</v>
      </c>
      <c r="AB280" s="149">
        <f t="shared" si="86"/>
        <v>66.4259927797834</v>
      </c>
      <c r="AC280" s="143" t="s">
        <v>58</v>
      </c>
      <c r="AD280" s="194">
        <f t="shared" si="87"/>
        <v>91.138112814874432</v>
      </c>
      <c r="AE280" s="162"/>
      <c r="AF280" s="1"/>
      <c r="AG280" s="1"/>
      <c r="AH280" s="163"/>
      <c r="AI280" s="1"/>
      <c r="AJ280" s="1"/>
      <c r="AK280" s="1"/>
    </row>
    <row r="281" spans="1:37" customFormat="1" ht="135">
      <c r="A281" s="151"/>
      <c r="B281" s="147"/>
      <c r="C281" s="153" t="s">
        <v>527</v>
      </c>
      <c r="D281" s="154" t="s">
        <v>528</v>
      </c>
      <c r="E281" s="155">
        <f>H281+J281</f>
        <v>107733</v>
      </c>
      <c r="F281" s="182" t="s">
        <v>57</v>
      </c>
      <c r="G281" s="195">
        <v>105065000</v>
      </c>
      <c r="H281" s="205">
        <v>74167</v>
      </c>
      <c r="I281" s="157">
        <v>47761500</v>
      </c>
      <c r="J281" s="205">
        <v>33566</v>
      </c>
      <c r="K281" s="157">
        <v>55370000</v>
      </c>
      <c r="L281" s="206">
        <v>262</v>
      </c>
      <c r="M281" s="157">
        <v>0</v>
      </c>
      <c r="N281" s="205">
        <v>5543</v>
      </c>
      <c r="O281" s="157">
        <v>0</v>
      </c>
      <c r="P281" s="205">
        <v>26890</v>
      </c>
      <c r="Q281" s="157">
        <v>11685000</v>
      </c>
      <c r="R281" s="205">
        <v>717</v>
      </c>
      <c r="S281" s="157">
        <f>53790000-Q281</f>
        <v>42105000</v>
      </c>
      <c r="T281" s="206">
        <f t="shared" si="82"/>
        <v>33412</v>
      </c>
      <c r="U281" s="164">
        <f t="shared" si="88"/>
        <v>99.541202407197758</v>
      </c>
      <c r="V281" s="143" t="s">
        <v>58</v>
      </c>
      <c r="W281" s="159">
        <f t="shared" si="89"/>
        <v>53790000</v>
      </c>
      <c r="X281" s="164">
        <f t="shared" si="84"/>
        <v>97.146469207151881</v>
      </c>
      <c r="Y281" s="143" t="s">
        <v>58</v>
      </c>
      <c r="Z281" s="206">
        <f t="shared" si="50"/>
        <v>107579</v>
      </c>
      <c r="AA281" s="159">
        <f t="shared" si="85"/>
        <v>101551500</v>
      </c>
      <c r="AB281" s="149">
        <f t="shared" si="86"/>
        <v>99.85705401316217</v>
      </c>
      <c r="AC281" s="143" t="s">
        <v>58</v>
      </c>
      <c r="AD281" s="194">
        <f t="shared" si="87"/>
        <v>96.655879693523062</v>
      </c>
      <c r="AE281" s="162"/>
      <c r="AF281" s="1"/>
      <c r="AG281" s="1"/>
      <c r="AH281" s="163"/>
      <c r="AI281" s="1"/>
      <c r="AJ281" s="1"/>
      <c r="AK281" s="1"/>
    </row>
    <row r="282" spans="1:37" customFormat="1" ht="135">
      <c r="A282" s="151"/>
      <c r="B282" s="147"/>
      <c r="C282" s="153" t="s">
        <v>529</v>
      </c>
      <c r="D282" s="154" t="s">
        <v>528</v>
      </c>
      <c r="E282" s="155">
        <v>6244</v>
      </c>
      <c r="F282" s="182" t="s">
        <v>57</v>
      </c>
      <c r="G282" s="195">
        <v>57965500</v>
      </c>
      <c r="H282" s="205">
        <v>2122</v>
      </c>
      <c r="I282" s="157">
        <v>36177000</v>
      </c>
      <c r="J282" s="158">
        <v>1902</v>
      </c>
      <c r="K282" s="157">
        <v>21082500</v>
      </c>
      <c r="L282" s="142">
        <v>60</v>
      </c>
      <c r="M282" s="207" t="s">
        <v>449</v>
      </c>
      <c r="N282" s="158">
        <v>581</v>
      </c>
      <c r="O282" s="157">
        <v>3067500</v>
      </c>
      <c r="P282" s="158">
        <v>1109</v>
      </c>
      <c r="Q282" s="157">
        <v>16845000</v>
      </c>
      <c r="R282" s="205">
        <v>93</v>
      </c>
      <c r="S282" s="157">
        <v>1120000</v>
      </c>
      <c r="T282" s="206">
        <f t="shared" si="82"/>
        <v>1843</v>
      </c>
      <c r="U282" s="164">
        <f t="shared" si="88"/>
        <v>96.898002103049421</v>
      </c>
      <c r="V282" s="143" t="s">
        <v>58</v>
      </c>
      <c r="W282" s="159">
        <f t="shared" si="89"/>
        <v>21032500</v>
      </c>
      <c r="X282" s="164">
        <f t="shared" si="84"/>
        <v>99.762836475750021</v>
      </c>
      <c r="Y282" s="143" t="s">
        <v>58</v>
      </c>
      <c r="Z282" s="206">
        <f t="shared" si="50"/>
        <v>3965</v>
      </c>
      <c r="AA282" s="159">
        <f t="shared" si="85"/>
        <v>57209500</v>
      </c>
      <c r="AB282" s="149">
        <f t="shared" si="86"/>
        <v>63.500960922485582</v>
      </c>
      <c r="AC282" s="143" t="s">
        <v>58</v>
      </c>
      <c r="AD282" s="194">
        <f t="shared" si="87"/>
        <v>98.695775935685887</v>
      </c>
      <c r="AE282" s="162"/>
      <c r="AF282" s="1"/>
      <c r="AG282" s="1"/>
      <c r="AH282" s="163"/>
      <c r="AI282" s="1"/>
      <c r="AJ282" s="1"/>
      <c r="AK282" s="1"/>
    </row>
    <row r="283" spans="1:37" customFormat="1" ht="135">
      <c r="A283" s="151"/>
      <c r="B283" s="147"/>
      <c r="C283" s="153" t="s">
        <v>530</v>
      </c>
      <c r="D283" s="154" t="s">
        <v>528</v>
      </c>
      <c r="E283" s="155">
        <v>3171</v>
      </c>
      <c r="F283" s="182" t="s">
        <v>57</v>
      </c>
      <c r="G283" s="195">
        <v>157261850</v>
      </c>
      <c r="H283" s="205">
        <v>1057</v>
      </c>
      <c r="I283" s="157">
        <v>31353500</v>
      </c>
      <c r="J283" s="158">
        <v>1057</v>
      </c>
      <c r="K283" s="157">
        <v>56607500</v>
      </c>
      <c r="L283" s="142">
        <v>0</v>
      </c>
      <c r="M283" s="207" t="s">
        <v>449</v>
      </c>
      <c r="N283" s="158">
        <v>718</v>
      </c>
      <c r="O283" s="157">
        <v>9105000</v>
      </c>
      <c r="P283" s="158"/>
      <c r="Q283" s="157">
        <v>27350000</v>
      </c>
      <c r="R283" s="205">
        <v>314</v>
      </c>
      <c r="S283" s="157">
        <v>19392500</v>
      </c>
      <c r="T283" s="206">
        <f t="shared" si="82"/>
        <v>1032</v>
      </c>
      <c r="U283" s="164">
        <f t="shared" si="88"/>
        <v>97.634815515610214</v>
      </c>
      <c r="V283" s="143" t="s">
        <v>58</v>
      </c>
      <c r="W283" s="159">
        <f t="shared" si="89"/>
        <v>55847500</v>
      </c>
      <c r="X283" s="164">
        <f t="shared" si="84"/>
        <v>98.657421719736789</v>
      </c>
      <c r="Y283" s="143" t="s">
        <v>58</v>
      </c>
      <c r="Z283" s="206">
        <f t="shared" si="50"/>
        <v>2089</v>
      </c>
      <c r="AA283" s="159">
        <f t="shared" si="85"/>
        <v>87201000</v>
      </c>
      <c r="AB283" s="149">
        <f t="shared" si="86"/>
        <v>65.878271838536733</v>
      </c>
      <c r="AC283" s="143" t="s">
        <v>58</v>
      </c>
      <c r="AD283" s="194">
        <f t="shared" si="87"/>
        <v>55.449557537317538</v>
      </c>
      <c r="AE283" s="162"/>
      <c r="AF283" s="1"/>
      <c r="AG283" s="1"/>
      <c r="AH283" s="163"/>
      <c r="AI283" s="1"/>
      <c r="AJ283" s="1"/>
      <c r="AK283" s="1"/>
    </row>
    <row r="284" spans="1:37" customFormat="1" ht="135">
      <c r="A284" s="151"/>
      <c r="B284" s="147"/>
      <c r="C284" s="153" t="s">
        <v>531</v>
      </c>
      <c r="D284" s="154" t="s">
        <v>528</v>
      </c>
      <c r="E284" s="155">
        <v>2265</v>
      </c>
      <c r="F284" s="182" t="s">
        <v>57</v>
      </c>
      <c r="G284" s="195">
        <v>118075900</v>
      </c>
      <c r="H284" s="205">
        <v>715</v>
      </c>
      <c r="I284" s="157">
        <v>30812500</v>
      </c>
      <c r="J284" s="158">
        <v>755</v>
      </c>
      <c r="K284" s="157">
        <v>43631700</v>
      </c>
      <c r="L284" s="142">
        <v>0</v>
      </c>
      <c r="M284" s="207" t="s">
        <v>449</v>
      </c>
      <c r="N284" s="158">
        <v>0</v>
      </c>
      <c r="O284" s="157">
        <v>0</v>
      </c>
      <c r="P284" s="158"/>
      <c r="Q284" s="157">
        <v>4405000</v>
      </c>
      <c r="R284" s="205">
        <v>527</v>
      </c>
      <c r="S284" s="157">
        <v>37641700</v>
      </c>
      <c r="T284" s="206">
        <f t="shared" si="82"/>
        <v>527</v>
      </c>
      <c r="U284" s="164">
        <f t="shared" si="88"/>
        <v>69.801324503311264</v>
      </c>
      <c r="V284" s="143" t="s">
        <v>58</v>
      </c>
      <c r="W284" s="159">
        <f t="shared" si="89"/>
        <v>42046700</v>
      </c>
      <c r="X284" s="164">
        <f t="shared" si="84"/>
        <v>96.367320090668017</v>
      </c>
      <c r="Y284" s="143" t="s">
        <v>58</v>
      </c>
      <c r="Z284" s="206">
        <f t="shared" si="50"/>
        <v>1242</v>
      </c>
      <c r="AA284" s="159">
        <f t="shared" si="85"/>
        <v>72859200</v>
      </c>
      <c r="AB284" s="149">
        <f t="shared" si="86"/>
        <v>54.834437086092713</v>
      </c>
      <c r="AC284" s="143" t="s">
        <v>58</v>
      </c>
      <c r="AD284" s="194">
        <f t="shared" si="87"/>
        <v>61.70539458094327</v>
      </c>
      <c r="AE284" s="162"/>
      <c r="AF284" s="1"/>
      <c r="AG284" s="1"/>
      <c r="AH284" s="163"/>
      <c r="AI284" s="1"/>
      <c r="AJ284" s="1"/>
      <c r="AK284" s="1"/>
    </row>
    <row r="285" spans="1:37" customFormat="1" ht="135">
      <c r="A285" s="151"/>
      <c r="B285" s="147"/>
      <c r="C285" s="153" t="s">
        <v>532</v>
      </c>
      <c r="D285" s="154" t="s">
        <v>528</v>
      </c>
      <c r="E285" s="155">
        <v>8620</v>
      </c>
      <c r="F285" s="182" t="s">
        <v>57</v>
      </c>
      <c r="G285" s="195">
        <v>56269700</v>
      </c>
      <c r="H285" s="205">
        <v>1724</v>
      </c>
      <c r="I285" s="157">
        <v>11028000</v>
      </c>
      <c r="J285" s="158">
        <v>1724</v>
      </c>
      <c r="K285" s="157">
        <v>22494700</v>
      </c>
      <c r="L285" s="142">
        <v>79</v>
      </c>
      <c r="M285" s="207" t="s">
        <v>449</v>
      </c>
      <c r="N285" s="158">
        <v>84</v>
      </c>
      <c r="O285" s="157">
        <v>2200000</v>
      </c>
      <c r="P285" s="158">
        <v>1131</v>
      </c>
      <c r="Q285" s="157"/>
      <c r="R285" s="205">
        <v>652</v>
      </c>
      <c r="S285" s="157">
        <v>19160000</v>
      </c>
      <c r="T285" s="206">
        <f t="shared" si="82"/>
        <v>1946</v>
      </c>
      <c r="U285" s="164">
        <f t="shared" si="88"/>
        <v>112.87703016241299</v>
      </c>
      <c r="V285" s="143" t="s">
        <v>58</v>
      </c>
      <c r="W285" s="159">
        <f t="shared" si="89"/>
        <v>21360000</v>
      </c>
      <c r="X285" s="164">
        <f t="shared" si="84"/>
        <v>94.955700676159267</v>
      </c>
      <c r="Y285" s="143" t="s">
        <v>58</v>
      </c>
      <c r="Z285" s="206">
        <f t="shared" si="50"/>
        <v>3670</v>
      </c>
      <c r="AA285" s="159">
        <f t="shared" si="85"/>
        <v>32388000</v>
      </c>
      <c r="AB285" s="149">
        <f t="shared" si="86"/>
        <v>42.575406032482597</v>
      </c>
      <c r="AC285" s="143" t="s">
        <v>58</v>
      </c>
      <c r="AD285" s="194">
        <f t="shared" si="87"/>
        <v>57.55850839794774</v>
      </c>
      <c r="AE285" s="162"/>
      <c r="AF285" s="1"/>
      <c r="AG285" s="1"/>
      <c r="AH285" s="163"/>
      <c r="AI285" s="1"/>
      <c r="AJ285" s="1"/>
      <c r="AK285" s="1"/>
    </row>
    <row r="286" spans="1:37" customFormat="1" ht="135">
      <c r="A286" s="151"/>
      <c r="B286" s="147"/>
      <c r="C286" s="153" t="s">
        <v>533</v>
      </c>
      <c r="D286" s="154" t="s">
        <v>528</v>
      </c>
      <c r="E286" s="155">
        <v>1791</v>
      </c>
      <c r="F286" s="182" t="s">
        <v>57</v>
      </c>
      <c r="G286" s="195">
        <v>187974000</v>
      </c>
      <c r="H286" s="205">
        <v>835</v>
      </c>
      <c r="I286" s="157">
        <v>47744000</v>
      </c>
      <c r="J286" s="158">
        <v>478</v>
      </c>
      <c r="K286" s="157">
        <v>70115000</v>
      </c>
      <c r="L286" s="142">
        <v>0</v>
      </c>
      <c r="M286" s="207" t="s">
        <v>449</v>
      </c>
      <c r="N286" s="158">
        <v>0</v>
      </c>
      <c r="O286" s="157">
        <v>0</v>
      </c>
      <c r="P286" s="158">
        <v>468</v>
      </c>
      <c r="Q286" s="157">
        <v>30410000</v>
      </c>
      <c r="R286" s="205">
        <v>10</v>
      </c>
      <c r="S286" s="157">
        <v>38700000</v>
      </c>
      <c r="T286" s="206">
        <f t="shared" si="82"/>
        <v>478</v>
      </c>
      <c r="U286" s="164">
        <f t="shared" si="88"/>
        <v>100</v>
      </c>
      <c r="V286" s="143" t="s">
        <v>58</v>
      </c>
      <c r="W286" s="159">
        <f t="shared" si="89"/>
        <v>69110000</v>
      </c>
      <c r="X286" s="164">
        <f t="shared" si="84"/>
        <v>98.566640519147114</v>
      </c>
      <c r="Y286" s="143" t="s">
        <v>58</v>
      </c>
      <c r="Z286" s="206">
        <f t="shared" si="50"/>
        <v>1313</v>
      </c>
      <c r="AA286" s="159">
        <f t="shared" si="85"/>
        <v>116854000</v>
      </c>
      <c r="AB286" s="149">
        <f t="shared" si="86"/>
        <v>73.310999441652712</v>
      </c>
      <c r="AC286" s="143" t="s">
        <v>58</v>
      </c>
      <c r="AD286" s="194">
        <f t="shared" si="87"/>
        <v>62.164980263227896</v>
      </c>
      <c r="AE286" s="162"/>
      <c r="AF286" s="1"/>
      <c r="AG286" s="1"/>
      <c r="AH286" s="163"/>
      <c r="AI286" s="1"/>
      <c r="AJ286" s="1"/>
      <c r="AK286" s="1"/>
    </row>
    <row r="287" spans="1:37" customFormat="1" ht="135">
      <c r="A287" s="151"/>
      <c r="B287" s="147"/>
      <c r="C287" s="153" t="s">
        <v>534</v>
      </c>
      <c r="D287" s="154" t="s">
        <v>528</v>
      </c>
      <c r="E287" s="155">
        <v>5803</v>
      </c>
      <c r="F287" s="182" t="s">
        <v>57</v>
      </c>
      <c r="G287" s="195">
        <v>110901400</v>
      </c>
      <c r="H287" s="205">
        <v>1889</v>
      </c>
      <c r="I287" s="157">
        <v>20121200</v>
      </c>
      <c r="J287" s="158">
        <v>1950</v>
      </c>
      <c r="K287" s="157">
        <v>45355000</v>
      </c>
      <c r="L287" s="142">
        <v>21</v>
      </c>
      <c r="M287" s="207" t="s">
        <v>449</v>
      </c>
      <c r="N287" s="158">
        <v>905</v>
      </c>
      <c r="O287" s="157">
        <v>22077500</v>
      </c>
      <c r="P287" s="158">
        <v>527</v>
      </c>
      <c r="Q287" s="157">
        <v>17090000</v>
      </c>
      <c r="R287" s="205">
        <v>497</v>
      </c>
      <c r="S287" s="157">
        <v>5947500</v>
      </c>
      <c r="T287" s="206">
        <f t="shared" si="82"/>
        <v>1950</v>
      </c>
      <c r="U287" s="164">
        <f t="shared" si="88"/>
        <v>100</v>
      </c>
      <c r="V287" s="143" t="s">
        <v>58</v>
      </c>
      <c r="W287" s="159">
        <f t="shared" si="89"/>
        <v>45115000</v>
      </c>
      <c r="X287" s="164">
        <f t="shared" si="84"/>
        <v>99.470841142101193</v>
      </c>
      <c r="Y287" s="143" t="s">
        <v>58</v>
      </c>
      <c r="Z287" s="206">
        <f t="shared" si="50"/>
        <v>3839</v>
      </c>
      <c r="AA287" s="159">
        <f t="shared" si="85"/>
        <v>65236200</v>
      </c>
      <c r="AB287" s="149">
        <f t="shared" si="86"/>
        <v>66.155436843012239</v>
      </c>
      <c r="AC287" s="143" t="s">
        <v>58</v>
      </c>
      <c r="AD287" s="194">
        <f t="shared" si="87"/>
        <v>58.823603669565941</v>
      </c>
      <c r="AE287" s="162"/>
      <c r="AF287" s="1"/>
      <c r="AG287" s="1"/>
      <c r="AH287" s="163"/>
      <c r="AI287" s="1"/>
      <c r="AJ287" s="1"/>
      <c r="AK287" s="1"/>
    </row>
    <row r="288" spans="1:37" customFormat="1" ht="135">
      <c r="A288" s="151"/>
      <c r="B288" s="147"/>
      <c r="C288" s="153" t="s">
        <v>535</v>
      </c>
      <c r="D288" s="154" t="s">
        <v>528</v>
      </c>
      <c r="E288" s="155">
        <v>3087</v>
      </c>
      <c r="F288" s="182" t="s">
        <v>57</v>
      </c>
      <c r="G288" s="195">
        <v>68140000</v>
      </c>
      <c r="H288" s="205">
        <v>828</v>
      </c>
      <c r="I288" s="157">
        <v>13130000</v>
      </c>
      <c r="J288" s="158">
        <v>1029</v>
      </c>
      <c r="K288" s="157">
        <v>26790000</v>
      </c>
      <c r="L288" s="142">
        <v>27</v>
      </c>
      <c r="M288" s="207" t="s">
        <v>449</v>
      </c>
      <c r="N288" s="158">
        <v>27</v>
      </c>
      <c r="O288" s="157">
        <v>3415000</v>
      </c>
      <c r="P288" s="158">
        <v>453</v>
      </c>
      <c r="Q288" s="157">
        <v>9990000</v>
      </c>
      <c r="R288" s="205">
        <v>565</v>
      </c>
      <c r="S288" s="157">
        <v>10900000</v>
      </c>
      <c r="T288" s="206">
        <f t="shared" si="82"/>
        <v>1072</v>
      </c>
      <c r="U288" s="164">
        <f t="shared" si="88"/>
        <v>104.17881438289602</v>
      </c>
      <c r="V288" s="143" t="s">
        <v>58</v>
      </c>
      <c r="W288" s="159">
        <f t="shared" si="89"/>
        <v>24305000</v>
      </c>
      <c r="X288" s="164">
        <f t="shared" si="84"/>
        <v>90.724150802538261</v>
      </c>
      <c r="Y288" s="143" t="s">
        <v>58</v>
      </c>
      <c r="Z288" s="206">
        <f t="shared" si="50"/>
        <v>1900</v>
      </c>
      <c r="AA288" s="159">
        <f t="shared" si="85"/>
        <v>37435000</v>
      </c>
      <c r="AB288" s="149">
        <f t="shared" si="86"/>
        <v>61.548428895367671</v>
      </c>
      <c r="AC288" s="143" t="s">
        <v>58</v>
      </c>
      <c r="AD288" s="194">
        <f t="shared" si="87"/>
        <v>54.938362195479897</v>
      </c>
      <c r="AE288" s="162"/>
      <c r="AF288" s="1"/>
      <c r="AG288" s="1"/>
      <c r="AH288" s="163"/>
      <c r="AI288" s="1"/>
      <c r="AJ288" s="1"/>
      <c r="AK288" s="1"/>
    </row>
    <row r="289" spans="1:37" customFormat="1" ht="135">
      <c r="A289" s="151"/>
      <c r="B289" s="147"/>
      <c r="C289" s="153" t="s">
        <v>536</v>
      </c>
      <c r="D289" s="154" t="s">
        <v>528</v>
      </c>
      <c r="E289" s="155">
        <v>7456</v>
      </c>
      <c r="F289" s="182" t="s">
        <v>57</v>
      </c>
      <c r="G289" s="195">
        <v>188587500</v>
      </c>
      <c r="H289" s="205">
        <v>2508</v>
      </c>
      <c r="I289" s="157">
        <v>36340500</v>
      </c>
      <c r="J289" s="158">
        <v>2562</v>
      </c>
      <c r="K289" s="157">
        <v>128700500</v>
      </c>
      <c r="L289" s="142">
        <v>0</v>
      </c>
      <c r="M289" s="207" t="s">
        <v>449</v>
      </c>
      <c r="N289" s="158">
        <v>33</v>
      </c>
      <c r="O289" s="157">
        <v>14900000</v>
      </c>
      <c r="P289" s="158">
        <v>1741</v>
      </c>
      <c r="Q289" s="157">
        <v>18012500</v>
      </c>
      <c r="R289" s="205">
        <v>581</v>
      </c>
      <c r="S289" s="157">
        <v>91760900</v>
      </c>
      <c r="T289" s="206">
        <f t="shared" si="82"/>
        <v>2355</v>
      </c>
      <c r="U289" s="164">
        <f t="shared" si="88"/>
        <v>91.920374707259953</v>
      </c>
      <c r="V289" s="143" t="s">
        <v>58</v>
      </c>
      <c r="W289" s="159">
        <f t="shared" si="89"/>
        <v>124673400</v>
      </c>
      <c r="X289" s="164">
        <f t="shared" si="84"/>
        <v>96.870952327302547</v>
      </c>
      <c r="Y289" s="143" t="s">
        <v>58</v>
      </c>
      <c r="Z289" s="206">
        <f t="shared" si="50"/>
        <v>4863</v>
      </c>
      <c r="AA289" s="159">
        <f t="shared" si="85"/>
        <v>161013900</v>
      </c>
      <c r="AB289" s="149">
        <f t="shared" si="86"/>
        <v>65.222639484978544</v>
      </c>
      <c r="AC289" s="143" t="s">
        <v>58</v>
      </c>
      <c r="AD289" s="194">
        <f t="shared" si="87"/>
        <v>85.378882481606681</v>
      </c>
      <c r="AE289" s="162"/>
      <c r="AF289" s="1"/>
      <c r="AG289" s="1"/>
      <c r="AH289" s="163"/>
      <c r="AI289" s="1"/>
      <c r="AJ289" s="1"/>
      <c r="AK289" s="1"/>
    </row>
    <row r="290" spans="1:37" customFormat="1" ht="135">
      <c r="A290" s="151"/>
      <c r="B290" s="147"/>
      <c r="C290" s="153" t="s">
        <v>537</v>
      </c>
      <c r="D290" s="154" t="s">
        <v>528</v>
      </c>
      <c r="E290" s="155">
        <v>5247</v>
      </c>
      <c r="F290" s="182" t="s">
        <v>57</v>
      </c>
      <c r="G290" s="195">
        <v>74671000</v>
      </c>
      <c r="H290" s="205">
        <v>1749</v>
      </c>
      <c r="I290" s="157">
        <v>9790000</v>
      </c>
      <c r="J290" s="158">
        <v>1583</v>
      </c>
      <c r="K290" s="157">
        <v>32440500</v>
      </c>
      <c r="L290" s="142">
        <v>0</v>
      </c>
      <c r="M290" s="207" t="s">
        <v>449</v>
      </c>
      <c r="N290" s="158">
        <v>326</v>
      </c>
      <c r="O290" s="157">
        <v>1050000</v>
      </c>
      <c r="P290" s="158">
        <v>525</v>
      </c>
      <c r="Q290" s="157">
        <v>9085500</v>
      </c>
      <c r="R290" s="205">
        <v>732</v>
      </c>
      <c r="S290" s="157">
        <v>17862500</v>
      </c>
      <c r="T290" s="206">
        <f t="shared" si="82"/>
        <v>1583</v>
      </c>
      <c r="U290" s="164">
        <f t="shared" si="88"/>
        <v>100</v>
      </c>
      <c r="V290" s="143" t="s">
        <v>58</v>
      </c>
      <c r="W290" s="159">
        <f t="shared" si="89"/>
        <v>27998000</v>
      </c>
      <c r="X290" s="164">
        <f t="shared" si="84"/>
        <v>86.305698124258257</v>
      </c>
      <c r="Y290" s="143" t="s">
        <v>58</v>
      </c>
      <c r="Z290" s="206">
        <f t="shared" si="50"/>
        <v>3332</v>
      </c>
      <c r="AA290" s="159">
        <f t="shared" si="85"/>
        <v>37788000</v>
      </c>
      <c r="AB290" s="149">
        <f t="shared" si="86"/>
        <v>63.502954068991798</v>
      </c>
      <c r="AC290" s="143" t="s">
        <v>58</v>
      </c>
      <c r="AD290" s="194">
        <f t="shared" si="87"/>
        <v>50.605991616557965</v>
      </c>
      <c r="AE290" s="162"/>
      <c r="AF290" s="1"/>
      <c r="AG290" s="1"/>
      <c r="AH290" s="163"/>
      <c r="AI290" s="1"/>
      <c r="AJ290" s="1"/>
      <c r="AK290" s="1"/>
    </row>
    <row r="291" spans="1:37" customFormat="1" ht="135">
      <c r="A291" s="151"/>
      <c r="B291" s="147"/>
      <c r="C291" s="153" t="s">
        <v>538</v>
      </c>
      <c r="D291" s="154" t="s">
        <v>528</v>
      </c>
      <c r="E291" s="155">
        <v>2826</v>
      </c>
      <c r="F291" s="182" t="s">
        <v>57</v>
      </c>
      <c r="G291" s="195">
        <v>152408000</v>
      </c>
      <c r="H291" s="205">
        <v>942</v>
      </c>
      <c r="I291" s="157">
        <v>29999000</v>
      </c>
      <c r="J291" s="158">
        <v>942</v>
      </c>
      <c r="K291" s="157">
        <v>61204500</v>
      </c>
      <c r="L291" s="142">
        <v>0</v>
      </c>
      <c r="M291" s="207" t="s">
        <v>449</v>
      </c>
      <c r="N291" s="158">
        <v>0</v>
      </c>
      <c r="O291" s="157">
        <v>0</v>
      </c>
      <c r="P291" s="158">
        <v>388</v>
      </c>
      <c r="Q291" s="157">
        <v>19306000</v>
      </c>
      <c r="R291" s="205">
        <v>486</v>
      </c>
      <c r="S291" s="157">
        <v>31908500</v>
      </c>
      <c r="T291" s="206">
        <f t="shared" si="82"/>
        <v>874</v>
      </c>
      <c r="U291" s="164">
        <f t="shared" si="88"/>
        <v>92.781316348195332</v>
      </c>
      <c r="V291" s="143" t="s">
        <v>58</v>
      </c>
      <c r="W291" s="159">
        <f t="shared" si="89"/>
        <v>51214500</v>
      </c>
      <c r="X291" s="164">
        <f t="shared" si="84"/>
        <v>83.677670759502973</v>
      </c>
      <c r="Y291" s="143" t="s">
        <v>58</v>
      </c>
      <c r="Z291" s="206">
        <f t="shared" si="50"/>
        <v>1816</v>
      </c>
      <c r="AA291" s="159">
        <f t="shared" si="85"/>
        <v>81213500</v>
      </c>
      <c r="AB291" s="149">
        <f t="shared" si="86"/>
        <v>64.260438782731782</v>
      </c>
      <c r="AC291" s="143" t="s">
        <v>58</v>
      </c>
      <c r="AD291" s="194">
        <f t="shared" si="87"/>
        <v>53.28690095008136</v>
      </c>
      <c r="AE291" s="162"/>
      <c r="AF291" s="1"/>
      <c r="AG291" s="1"/>
      <c r="AH291" s="163"/>
      <c r="AI291" s="1"/>
      <c r="AJ291" s="1"/>
      <c r="AK291" s="1"/>
    </row>
    <row r="292" spans="1:37" customFormat="1" ht="135">
      <c r="A292" s="151"/>
      <c r="B292" s="147"/>
      <c r="C292" s="153" t="s">
        <v>539</v>
      </c>
      <c r="D292" s="154" t="s">
        <v>528</v>
      </c>
      <c r="E292" s="155">
        <v>9891</v>
      </c>
      <c r="F292" s="182" t="s">
        <v>57</v>
      </c>
      <c r="G292" s="195">
        <v>346323500</v>
      </c>
      <c r="H292" s="205">
        <v>5907</v>
      </c>
      <c r="I292" s="157">
        <v>92562500</v>
      </c>
      <c r="J292" s="158">
        <v>2563</v>
      </c>
      <c r="K292" s="157">
        <v>124987000</v>
      </c>
      <c r="L292" s="142">
        <v>0</v>
      </c>
      <c r="M292" s="207" t="s">
        <v>449</v>
      </c>
      <c r="N292" s="158">
        <v>1800</v>
      </c>
      <c r="O292" s="157">
        <v>15930000</v>
      </c>
      <c r="P292" s="158">
        <v>3025</v>
      </c>
      <c r="Q292" s="157">
        <v>48690000</v>
      </c>
      <c r="R292" s="205">
        <v>996</v>
      </c>
      <c r="S292" s="157">
        <v>52204000</v>
      </c>
      <c r="T292" s="206">
        <f t="shared" si="82"/>
        <v>5821</v>
      </c>
      <c r="U292" s="164">
        <f t="shared" si="88"/>
        <v>227.11666016387048</v>
      </c>
      <c r="V292" s="143" t="s">
        <v>58</v>
      </c>
      <c r="W292" s="159">
        <f t="shared" si="89"/>
        <v>116824000</v>
      </c>
      <c r="X292" s="164">
        <f t="shared" si="84"/>
        <v>93.46892076775984</v>
      </c>
      <c r="Y292" s="143" t="s">
        <v>58</v>
      </c>
      <c r="Z292" s="206">
        <f t="shared" si="50"/>
        <v>11728</v>
      </c>
      <c r="AA292" s="159">
        <f t="shared" si="85"/>
        <v>209386500</v>
      </c>
      <c r="AB292" s="149">
        <f t="shared" si="86"/>
        <v>118.57243959154786</v>
      </c>
      <c r="AC292" s="143" t="s">
        <v>58</v>
      </c>
      <c r="AD292" s="194">
        <f t="shared" si="87"/>
        <v>60.459801312934289</v>
      </c>
      <c r="AE292" s="162"/>
      <c r="AF292" s="1"/>
      <c r="AG292" s="1"/>
      <c r="AH292" s="163"/>
      <c r="AI292" s="1"/>
      <c r="AJ292" s="1"/>
      <c r="AK292" s="1"/>
    </row>
    <row r="293" spans="1:37" customFormat="1" ht="135">
      <c r="A293" s="151"/>
      <c r="B293" s="147"/>
      <c r="C293" s="153" t="s">
        <v>540</v>
      </c>
      <c r="D293" s="154" t="s">
        <v>528</v>
      </c>
      <c r="E293" s="155">
        <v>1890</v>
      </c>
      <c r="F293" s="182" t="s">
        <v>57</v>
      </c>
      <c r="G293" s="195">
        <v>180610800</v>
      </c>
      <c r="H293" s="205">
        <v>158</v>
      </c>
      <c r="I293" s="157">
        <v>34777400</v>
      </c>
      <c r="J293" s="158">
        <v>814</v>
      </c>
      <c r="K293" s="157">
        <v>66561500</v>
      </c>
      <c r="L293" s="208">
        <v>0</v>
      </c>
      <c r="M293" s="209" t="s">
        <v>449</v>
      </c>
      <c r="N293" s="210">
        <v>0</v>
      </c>
      <c r="O293" s="209">
        <v>340</v>
      </c>
      <c r="P293" s="210">
        <v>507</v>
      </c>
      <c r="Q293" s="209">
        <v>10640000</v>
      </c>
      <c r="R293" s="211">
        <v>563</v>
      </c>
      <c r="S293" s="209">
        <v>61390000</v>
      </c>
      <c r="T293" s="206">
        <f t="shared" si="82"/>
        <v>1070</v>
      </c>
      <c r="U293" s="164">
        <f t="shared" si="88"/>
        <v>131.44963144963145</v>
      </c>
      <c r="V293" s="143" t="s">
        <v>58</v>
      </c>
      <c r="W293" s="159">
        <f t="shared" si="89"/>
        <v>72030340</v>
      </c>
      <c r="X293" s="164">
        <f t="shared" si="84"/>
        <v>108.21622108876754</v>
      </c>
      <c r="Y293" s="143" t="s">
        <v>58</v>
      </c>
      <c r="Z293" s="206">
        <f t="shared" si="50"/>
        <v>1228</v>
      </c>
      <c r="AA293" s="159">
        <f t="shared" si="85"/>
        <v>106807740</v>
      </c>
      <c r="AB293" s="149">
        <f t="shared" si="86"/>
        <v>64.973544973544975</v>
      </c>
      <c r="AC293" s="143" t="s">
        <v>58</v>
      </c>
      <c r="AD293" s="194">
        <f t="shared" si="87"/>
        <v>59.136961909254595</v>
      </c>
      <c r="AE293" s="162"/>
      <c r="AF293" s="1"/>
      <c r="AG293" s="1"/>
      <c r="AH293" s="163"/>
      <c r="AI293" s="1"/>
      <c r="AJ293" s="1"/>
      <c r="AK293" s="1"/>
    </row>
    <row r="294" spans="1:37" customFormat="1" ht="135">
      <c r="A294" s="151"/>
      <c r="B294" s="147"/>
      <c r="C294" s="153" t="s">
        <v>541</v>
      </c>
      <c r="D294" s="154" t="s">
        <v>528</v>
      </c>
      <c r="E294" s="155">
        <v>1366</v>
      </c>
      <c r="F294" s="182" t="s">
        <v>57</v>
      </c>
      <c r="G294" s="195">
        <v>101364600</v>
      </c>
      <c r="H294" s="205">
        <v>683</v>
      </c>
      <c r="I294" s="157">
        <v>17867000</v>
      </c>
      <c r="J294" s="158">
        <v>683</v>
      </c>
      <c r="K294" s="157">
        <v>40660200</v>
      </c>
      <c r="L294" s="142">
        <v>0</v>
      </c>
      <c r="M294" s="207" t="s">
        <v>449</v>
      </c>
      <c r="N294" s="158">
        <v>88</v>
      </c>
      <c r="O294" s="157">
        <v>7975000</v>
      </c>
      <c r="P294" s="158">
        <v>562</v>
      </c>
      <c r="Q294" s="157">
        <v>20627500</v>
      </c>
      <c r="R294" s="212">
        <v>0</v>
      </c>
      <c r="S294" s="209">
        <v>10875000</v>
      </c>
      <c r="T294" s="206">
        <f t="shared" si="82"/>
        <v>650</v>
      </c>
      <c r="U294" s="164">
        <f t="shared" si="88"/>
        <v>95.168374816983885</v>
      </c>
      <c r="V294" s="143" t="s">
        <v>58</v>
      </c>
      <c r="W294" s="159">
        <f t="shared" si="89"/>
        <v>39477500</v>
      </c>
      <c r="X294" s="164">
        <f t="shared" si="84"/>
        <v>97.09125877393619</v>
      </c>
      <c r="Y294" s="143" t="s">
        <v>58</v>
      </c>
      <c r="Z294" s="206">
        <f t="shared" si="50"/>
        <v>1333</v>
      </c>
      <c r="AA294" s="159">
        <f t="shared" si="85"/>
        <v>57344500</v>
      </c>
      <c r="AB294" s="149">
        <f t="shared" si="86"/>
        <v>97.584187408491957</v>
      </c>
      <c r="AC294" s="143" t="s">
        <v>58</v>
      </c>
      <c r="AD294" s="194">
        <f t="shared" si="87"/>
        <v>56.572511507962339</v>
      </c>
      <c r="AE294" s="162"/>
      <c r="AF294" s="1"/>
      <c r="AG294" s="1"/>
      <c r="AH294" s="163"/>
      <c r="AI294" s="1"/>
      <c r="AJ294" s="1"/>
      <c r="AK294" s="1"/>
    </row>
    <row r="295" spans="1:37" customFormat="1" ht="135">
      <c r="A295" s="151"/>
      <c r="B295" s="147"/>
      <c r="C295" s="153" t="s">
        <v>542</v>
      </c>
      <c r="D295" s="154" t="s">
        <v>528</v>
      </c>
      <c r="E295" s="155">
        <v>10919</v>
      </c>
      <c r="F295" s="182" t="s">
        <v>57</v>
      </c>
      <c r="G295" s="195">
        <v>125848250</v>
      </c>
      <c r="H295" s="205">
        <v>3362</v>
      </c>
      <c r="I295" s="157">
        <v>31128500</v>
      </c>
      <c r="J295" s="158">
        <v>3568</v>
      </c>
      <c r="K295" s="157">
        <v>46440000</v>
      </c>
      <c r="L295" s="142">
        <v>0</v>
      </c>
      <c r="M295" s="207" t="s">
        <v>449</v>
      </c>
      <c r="N295" s="158">
        <v>815</v>
      </c>
      <c r="O295" s="157">
        <v>14530000</v>
      </c>
      <c r="P295" s="158">
        <v>845</v>
      </c>
      <c r="Q295" s="157">
        <v>31910000</v>
      </c>
      <c r="R295" s="212">
        <v>1042</v>
      </c>
      <c r="S295" s="157">
        <v>0</v>
      </c>
      <c r="T295" s="206">
        <f t="shared" si="82"/>
        <v>2702</v>
      </c>
      <c r="U295" s="164">
        <f t="shared" si="88"/>
        <v>75.728699551569505</v>
      </c>
      <c r="V295" s="143" t="s">
        <v>58</v>
      </c>
      <c r="W295" s="159">
        <f t="shared" si="89"/>
        <v>46440000</v>
      </c>
      <c r="X295" s="164">
        <f t="shared" si="84"/>
        <v>100</v>
      </c>
      <c r="Y295" s="143" t="s">
        <v>58</v>
      </c>
      <c r="Z295" s="206">
        <f t="shared" si="50"/>
        <v>6064</v>
      </c>
      <c r="AA295" s="159">
        <f t="shared" si="85"/>
        <v>77568500</v>
      </c>
      <c r="AB295" s="149">
        <f t="shared" si="86"/>
        <v>55.536221265683672</v>
      </c>
      <c r="AC295" s="143" t="s">
        <v>58</v>
      </c>
      <c r="AD295" s="194">
        <f t="shared" si="87"/>
        <v>61.636534477038815</v>
      </c>
      <c r="AE295" s="162"/>
      <c r="AF295" s="1"/>
      <c r="AG295" s="1"/>
      <c r="AH295" s="163"/>
      <c r="AI295" s="1"/>
      <c r="AJ295" s="1"/>
      <c r="AK295" s="1"/>
    </row>
    <row r="296" spans="1:37" customFormat="1" ht="135">
      <c r="A296" s="151"/>
      <c r="B296" s="147"/>
      <c r="C296" s="153" t="s">
        <v>543</v>
      </c>
      <c r="D296" s="154" t="s">
        <v>528</v>
      </c>
      <c r="E296" s="155">
        <v>3467</v>
      </c>
      <c r="F296" s="182" t="s">
        <v>57</v>
      </c>
      <c r="G296" s="195">
        <v>200675000</v>
      </c>
      <c r="H296" s="205">
        <v>1035</v>
      </c>
      <c r="I296" s="157">
        <v>11455000</v>
      </c>
      <c r="J296" s="158">
        <v>1397</v>
      </c>
      <c r="K296" s="157">
        <v>94655000</v>
      </c>
      <c r="L296" s="142">
        <v>0</v>
      </c>
      <c r="M296" s="207" t="s">
        <v>449</v>
      </c>
      <c r="N296" s="158">
        <v>150</v>
      </c>
      <c r="O296" s="157">
        <v>8640000</v>
      </c>
      <c r="P296" s="158">
        <v>707</v>
      </c>
      <c r="Q296" s="157">
        <v>20160000</v>
      </c>
      <c r="R296" s="212">
        <v>540</v>
      </c>
      <c r="S296" s="209">
        <v>50745000</v>
      </c>
      <c r="T296" s="206">
        <f t="shared" si="82"/>
        <v>1397</v>
      </c>
      <c r="U296" s="164">
        <f t="shared" si="88"/>
        <v>100</v>
      </c>
      <c r="V296" s="143" t="s">
        <v>58</v>
      </c>
      <c r="W296" s="159">
        <f t="shared" si="89"/>
        <v>79545000</v>
      </c>
      <c r="X296" s="164">
        <f t="shared" si="84"/>
        <v>84.036765094289791</v>
      </c>
      <c r="Y296" s="143" t="s">
        <v>58</v>
      </c>
      <c r="Z296" s="206">
        <f t="shared" si="50"/>
        <v>2432</v>
      </c>
      <c r="AA296" s="159">
        <f t="shared" si="85"/>
        <v>91000000</v>
      </c>
      <c r="AB296" s="149">
        <f t="shared" si="86"/>
        <v>70.147101240265357</v>
      </c>
      <c r="AC296" s="143" t="s">
        <v>58</v>
      </c>
      <c r="AD296" s="194">
        <f t="shared" si="87"/>
        <v>45.346954030148254</v>
      </c>
      <c r="AE296" s="162"/>
      <c r="AF296" s="1"/>
      <c r="AG296" s="1"/>
      <c r="AH296" s="163"/>
      <c r="AI296" s="1"/>
      <c r="AJ296" s="1"/>
      <c r="AK296" s="1"/>
    </row>
    <row r="297" spans="1:37" customFormat="1" ht="135">
      <c r="A297" s="151"/>
      <c r="B297" s="147"/>
      <c r="C297" s="153" t="s">
        <v>544</v>
      </c>
      <c r="D297" s="154" t="s">
        <v>528</v>
      </c>
      <c r="E297" s="155">
        <v>6425</v>
      </c>
      <c r="F297" s="182" t="s">
        <v>57</v>
      </c>
      <c r="G297" s="195">
        <v>183644750</v>
      </c>
      <c r="H297" s="205">
        <v>1661</v>
      </c>
      <c r="I297" s="157">
        <v>18334750</v>
      </c>
      <c r="J297" s="158">
        <v>2216</v>
      </c>
      <c r="K297" s="157">
        <v>81328800</v>
      </c>
      <c r="L297" s="213">
        <v>677</v>
      </c>
      <c r="M297" s="214">
        <v>0</v>
      </c>
      <c r="N297" s="215">
        <v>917</v>
      </c>
      <c r="O297" s="209">
        <v>31500000</v>
      </c>
      <c r="P297" s="215">
        <v>522</v>
      </c>
      <c r="Q297" s="209">
        <v>39074600</v>
      </c>
      <c r="R297" s="216">
        <v>0</v>
      </c>
      <c r="S297" s="209">
        <v>9030000</v>
      </c>
      <c r="T297" s="206">
        <f t="shared" si="82"/>
        <v>2116</v>
      </c>
      <c r="U297" s="164">
        <f t="shared" si="88"/>
        <v>95.487364620938635</v>
      </c>
      <c r="V297" s="143" t="s">
        <v>58</v>
      </c>
      <c r="W297" s="159">
        <f t="shared" si="89"/>
        <v>79604600</v>
      </c>
      <c r="X297" s="164">
        <f t="shared" si="84"/>
        <v>97.879963801261056</v>
      </c>
      <c r="Y297" s="143" t="s">
        <v>58</v>
      </c>
      <c r="Z297" s="206">
        <f t="shared" si="50"/>
        <v>3777</v>
      </c>
      <c r="AA297" s="159">
        <f t="shared" si="85"/>
        <v>97939350</v>
      </c>
      <c r="AB297" s="149">
        <f t="shared" si="86"/>
        <v>58.78599221789883</v>
      </c>
      <c r="AC297" s="143" t="s">
        <v>58</v>
      </c>
      <c r="AD297" s="194">
        <f t="shared" si="87"/>
        <v>53.33087387469557</v>
      </c>
      <c r="AE297" s="162"/>
      <c r="AF297" s="1"/>
      <c r="AG297" s="1"/>
      <c r="AH297" s="163"/>
      <c r="AI297" s="1"/>
      <c r="AJ297" s="1"/>
      <c r="AK297" s="1"/>
    </row>
    <row r="298" spans="1:37" customFormat="1" ht="135">
      <c r="A298" s="151"/>
      <c r="B298" s="147"/>
      <c r="C298" s="153" t="s">
        <v>545</v>
      </c>
      <c r="D298" s="154" t="s">
        <v>528</v>
      </c>
      <c r="E298" s="155">
        <v>3175</v>
      </c>
      <c r="F298" s="182" t="s">
        <v>57</v>
      </c>
      <c r="G298" s="195">
        <v>84597000</v>
      </c>
      <c r="H298" s="205">
        <v>1277</v>
      </c>
      <c r="I298" s="157">
        <v>14710000</v>
      </c>
      <c r="J298" s="158">
        <v>1080</v>
      </c>
      <c r="K298" s="157">
        <v>33839000</v>
      </c>
      <c r="L298" s="142">
        <v>187</v>
      </c>
      <c r="M298" s="157">
        <v>0</v>
      </c>
      <c r="N298" s="158">
        <v>261</v>
      </c>
      <c r="O298" s="157">
        <v>720000</v>
      </c>
      <c r="P298" s="158">
        <v>270</v>
      </c>
      <c r="Q298" s="157">
        <v>8356000</v>
      </c>
      <c r="R298" s="212">
        <v>315</v>
      </c>
      <c r="S298" s="183">
        <v>15173000</v>
      </c>
      <c r="T298" s="206">
        <f t="shared" si="82"/>
        <v>1033</v>
      </c>
      <c r="U298" s="164">
        <f t="shared" si="88"/>
        <v>95.648148148148152</v>
      </c>
      <c r="V298" s="143" t="s">
        <v>58</v>
      </c>
      <c r="W298" s="159">
        <f t="shared" si="89"/>
        <v>24249000</v>
      </c>
      <c r="X298" s="164">
        <f t="shared" si="84"/>
        <v>71.659919028340084</v>
      </c>
      <c r="Y298" s="143" t="s">
        <v>58</v>
      </c>
      <c r="Z298" s="206">
        <f t="shared" si="50"/>
        <v>2310</v>
      </c>
      <c r="AA298" s="159">
        <f t="shared" si="85"/>
        <v>38959000</v>
      </c>
      <c r="AB298" s="149">
        <f t="shared" si="86"/>
        <v>72.755905511811022</v>
      </c>
      <c r="AC298" s="143" t="s">
        <v>58</v>
      </c>
      <c r="AD298" s="194">
        <f t="shared" si="87"/>
        <v>46.052460489142646</v>
      </c>
      <c r="AE298" s="162"/>
      <c r="AF298" s="1"/>
      <c r="AG298" s="1"/>
      <c r="AH298" s="163"/>
      <c r="AI298" s="1"/>
      <c r="AJ298" s="1"/>
      <c r="AK298" s="1"/>
    </row>
    <row r="299" spans="1:37" customFormat="1" ht="135">
      <c r="A299" s="151"/>
      <c r="B299" s="147"/>
      <c r="C299" s="153" t="s">
        <v>546</v>
      </c>
      <c r="D299" s="154" t="s">
        <v>528</v>
      </c>
      <c r="E299" s="155">
        <v>7404</v>
      </c>
      <c r="F299" s="182" t="s">
        <v>57</v>
      </c>
      <c r="G299" s="195">
        <v>50090000</v>
      </c>
      <c r="H299" s="205">
        <v>2332</v>
      </c>
      <c r="I299" s="157">
        <v>15295000</v>
      </c>
      <c r="J299" s="158">
        <v>2468</v>
      </c>
      <c r="K299" s="157">
        <v>18300000</v>
      </c>
      <c r="L299" s="142">
        <v>411</v>
      </c>
      <c r="M299" s="207" t="s">
        <v>449</v>
      </c>
      <c r="N299" s="158">
        <v>617</v>
      </c>
      <c r="O299" s="157">
        <v>0</v>
      </c>
      <c r="P299" s="158">
        <v>617</v>
      </c>
      <c r="Q299" s="157">
        <v>8915000</v>
      </c>
      <c r="R299" s="212">
        <v>823</v>
      </c>
      <c r="S299" s="209">
        <v>9310000</v>
      </c>
      <c r="T299" s="206">
        <f t="shared" si="82"/>
        <v>2468</v>
      </c>
      <c r="U299" s="164">
        <f t="shared" si="88"/>
        <v>100</v>
      </c>
      <c r="V299" s="143" t="s">
        <v>58</v>
      </c>
      <c r="W299" s="159">
        <f t="shared" si="89"/>
        <v>18225000</v>
      </c>
      <c r="X299" s="164">
        <f t="shared" si="84"/>
        <v>99.590163934426229</v>
      </c>
      <c r="Y299" s="143" t="s">
        <v>58</v>
      </c>
      <c r="Z299" s="206">
        <f t="shared" si="50"/>
        <v>4800</v>
      </c>
      <c r="AA299" s="159">
        <f t="shared" si="85"/>
        <v>33520000</v>
      </c>
      <c r="AB299" s="149">
        <f t="shared" si="86"/>
        <v>64.829821717990271</v>
      </c>
      <c r="AC299" s="143" t="s">
        <v>58</v>
      </c>
      <c r="AD299" s="194">
        <f t="shared" si="87"/>
        <v>66.91954481932521</v>
      </c>
      <c r="AE299" s="162"/>
      <c r="AF299" s="1"/>
      <c r="AG299" s="1"/>
      <c r="AH299" s="163"/>
      <c r="AI299" s="1"/>
      <c r="AJ299" s="1"/>
      <c r="AK299" s="1"/>
    </row>
    <row r="300" spans="1:37" customFormat="1" ht="135">
      <c r="A300" s="151"/>
      <c r="B300" s="147"/>
      <c r="C300" s="153" t="s">
        <v>547</v>
      </c>
      <c r="D300" s="154" t="s">
        <v>528</v>
      </c>
      <c r="E300" s="155">
        <v>4635</v>
      </c>
      <c r="F300" s="182" t="s">
        <v>57</v>
      </c>
      <c r="G300" s="195">
        <v>37456000</v>
      </c>
      <c r="H300" s="205">
        <v>1095</v>
      </c>
      <c r="I300" s="157">
        <v>10456000</v>
      </c>
      <c r="J300" s="158">
        <v>1520</v>
      </c>
      <c r="K300" s="157">
        <v>13500000</v>
      </c>
      <c r="L300" s="142">
        <v>380</v>
      </c>
      <c r="M300" s="207" t="s">
        <v>449</v>
      </c>
      <c r="N300" s="158">
        <v>380</v>
      </c>
      <c r="O300" s="157">
        <v>0</v>
      </c>
      <c r="P300" s="158">
        <v>380</v>
      </c>
      <c r="Q300" s="157">
        <v>0</v>
      </c>
      <c r="R300" s="205">
        <v>380</v>
      </c>
      <c r="S300" s="157">
        <v>11720000</v>
      </c>
      <c r="T300" s="206">
        <f t="shared" si="82"/>
        <v>1520</v>
      </c>
      <c r="U300" s="164">
        <f t="shared" si="88"/>
        <v>100</v>
      </c>
      <c r="V300" s="143" t="s">
        <v>58</v>
      </c>
      <c r="W300" s="159">
        <f t="shared" si="89"/>
        <v>11720000</v>
      </c>
      <c r="X300" s="164">
        <f t="shared" si="84"/>
        <v>86.81481481481481</v>
      </c>
      <c r="Y300" s="143" t="s">
        <v>58</v>
      </c>
      <c r="Z300" s="206">
        <f t="shared" si="50"/>
        <v>2615</v>
      </c>
      <c r="AA300" s="159">
        <f t="shared" si="85"/>
        <v>22176000</v>
      </c>
      <c r="AB300" s="149">
        <f t="shared" si="86"/>
        <v>56.418554476806904</v>
      </c>
      <c r="AC300" s="143" t="s">
        <v>58</v>
      </c>
      <c r="AD300" s="194">
        <f t="shared" si="87"/>
        <v>59.205467748825292</v>
      </c>
      <c r="AE300" s="162"/>
      <c r="AF300" s="1"/>
      <c r="AG300" s="1"/>
      <c r="AH300" s="163"/>
      <c r="AI300" s="1"/>
      <c r="AJ300" s="1"/>
      <c r="AK300" s="1"/>
    </row>
    <row r="301" spans="1:37" customFormat="1" ht="135">
      <c r="A301" s="151"/>
      <c r="B301" s="147"/>
      <c r="C301" s="153" t="s">
        <v>548</v>
      </c>
      <c r="D301" s="154" t="s">
        <v>528</v>
      </c>
      <c r="E301" s="155">
        <v>3.1230000000000002</v>
      </c>
      <c r="F301" s="182" t="s">
        <v>57</v>
      </c>
      <c r="G301" s="195">
        <v>31798500</v>
      </c>
      <c r="H301" s="205">
        <v>943</v>
      </c>
      <c r="I301" s="157">
        <v>23839000</v>
      </c>
      <c r="J301" s="205">
        <v>1041</v>
      </c>
      <c r="K301" s="157">
        <v>37356250</v>
      </c>
      <c r="L301" s="142">
        <v>0</v>
      </c>
      <c r="M301" s="207" t="s">
        <v>449</v>
      </c>
      <c r="N301" s="158">
        <v>0</v>
      </c>
      <c r="O301" s="157">
        <v>0</v>
      </c>
      <c r="P301" s="158">
        <v>70</v>
      </c>
      <c r="Q301" s="157">
        <v>16082500</v>
      </c>
      <c r="R301" s="205">
        <v>71</v>
      </c>
      <c r="S301" s="157">
        <v>18020000</v>
      </c>
      <c r="T301" s="206">
        <f t="shared" si="82"/>
        <v>141</v>
      </c>
      <c r="U301" s="164">
        <f t="shared" si="88"/>
        <v>13.544668587896252</v>
      </c>
      <c r="V301" s="143" t="s">
        <v>58</v>
      </c>
      <c r="W301" s="159">
        <f t="shared" si="89"/>
        <v>34102500</v>
      </c>
      <c r="X301" s="164">
        <f t="shared" si="84"/>
        <v>91.289944788355356</v>
      </c>
      <c r="Y301" s="143" t="s">
        <v>58</v>
      </c>
      <c r="Z301" s="206">
        <f t="shared" si="50"/>
        <v>1084</v>
      </c>
      <c r="AA301" s="159">
        <f t="shared" si="85"/>
        <v>57941500</v>
      </c>
      <c r="AB301" s="149">
        <f t="shared" si="86"/>
        <v>34710.214537303873</v>
      </c>
      <c r="AC301" s="143" t="s">
        <v>58</v>
      </c>
      <c r="AD301" s="194">
        <f t="shared" si="87"/>
        <v>182.21456986964796</v>
      </c>
      <c r="AE301" s="162"/>
      <c r="AF301" s="1"/>
      <c r="AG301" s="1"/>
      <c r="AH301" s="163"/>
      <c r="AI301" s="1"/>
      <c r="AJ301" s="1"/>
      <c r="AK301" s="1"/>
    </row>
    <row r="302" spans="1:37" customFormat="1" ht="135">
      <c r="A302" s="151"/>
      <c r="B302" s="147"/>
      <c r="C302" s="153" t="s">
        <v>549</v>
      </c>
      <c r="D302" s="154" t="s">
        <v>528</v>
      </c>
      <c r="E302" s="155">
        <v>1809</v>
      </c>
      <c r="F302" s="182" t="s">
        <v>57</v>
      </c>
      <c r="G302" s="195">
        <v>120067000</v>
      </c>
      <c r="H302" s="205">
        <v>767</v>
      </c>
      <c r="I302" s="157">
        <v>28657000</v>
      </c>
      <c r="J302" s="158">
        <v>521</v>
      </c>
      <c r="K302" s="157">
        <v>45705000</v>
      </c>
      <c r="L302" s="142">
        <v>84</v>
      </c>
      <c r="M302" s="207" t="s">
        <v>449</v>
      </c>
      <c r="N302" s="158">
        <v>115</v>
      </c>
      <c r="O302" s="157">
        <v>2987500</v>
      </c>
      <c r="P302" s="158">
        <v>161</v>
      </c>
      <c r="Q302" s="157">
        <v>16948750</v>
      </c>
      <c r="R302" s="212">
        <v>161</v>
      </c>
      <c r="S302" s="209">
        <v>15282500</v>
      </c>
      <c r="T302" s="206">
        <f t="shared" si="82"/>
        <v>521</v>
      </c>
      <c r="U302" s="164">
        <f t="shared" si="88"/>
        <v>100</v>
      </c>
      <c r="V302" s="143" t="s">
        <v>58</v>
      </c>
      <c r="W302" s="159">
        <f t="shared" si="89"/>
        <v>35218750</v>
      </c>
      <c r="X302" s="164">
        <f t="shared" si="84"/>
        <v>77.056667760638874</v>
      </c>
      <c r="Y302" s="143" t="s">
        <v>58</v>
      </c>
      <c r="Z302" s="206">
        <f t="shared" si="50"/>
        <v>1288</v>
      </c>
      <c r="AA302" s="159">
        <f t="shared" si="85"/>
        <v>63875750</v>
      </c>
      <c r="AB302" s="149">
        <f t="shared" si="86"/>
        <v>71.199557766721938</v>
      </c>
      <c r="AC302" s="143" t="s">
        <v>58</v>
      </c>
      <c r="AD302" s="194">
        <f t="shared" si="87"/>
        <v>53.200088284041414</v>
      </c>
      <c r="AE302" s="162"/>
      <c r="AF302" s="1"/>
      <c r="AG302" s="1"/>
      <c r="AH302" s="163"/>
      <c r="AI302" s="1"/>
      <c r="AJ302" s="1"/>
      <c r="AK302" s="1"/>
    </row>
    <row r="303" spans="1:37" customFormat="1" ht="150">
      <c r="A303" s="151"/>
      <c r="B303" s="147"/>
      <c r="C303" s="153" t="s">
        <v>550</v>
      </c>
      <c r="D303" s="154" t="s">
        <v>551</v>
      </c>
      <c r="E303" s="155">
        <f>J303*2</f>
        <v>282576</v>
      </c>
      <c r="F303" s="182" t="s">
        <v>57</v>
      </c>
      <c r="G303" s="195">
        <f>K303+K303</f>
        <v>29350000</v>
      </c>
      <c r="H303" s="158"/>
      <c r="I303" s="157"/>
      <c r="J303" s="158">
        <v>141288</v>
      </c>
      <c r="K303" s="157">
        <v>14675000</v>
      </c>
      <c r="L303" s="142">
        <v>28583</v>
      </c>
      <c r="M303" s="157">
        <v>0</v>
      </c>
      <c r="N303" s="158">
        <v>37677</v>
      </c>
      <c r="O303" s="157">
        <v>0</v>
      </c>
      <c r="P303" s="158">
        <v>34295</v>
      </c>
      <c r="Q303" s="157">
        <v>0</v>
      </c>
      <c r="R303" s="158">
        <v>29159</v>
      </c>
      <c r="S303" s="157">
        <v>14005000</v>
      </c>
      <c r="T303" s="142">
        <f t="shared" si="82"/>
        <v>129714</v>
      </c>
      <c r="U303" s="164">
        <f t="shared" si="88"/>
        <v>91.808221505011048</v>
      </c>
      <c r="V303" s="143" t="s">
        <v>58</v>
      </c>
      <c r="W303" s="159">
        <f t="shared" si="89"/>
        <v>14005000</v>
      </c>
      <c r="X303" s="164">
        <f t="shared" si="84"/>
        <v>95.434412265758098</v>
      </c>
      <c r="Y303" s="143" t="s">
        <v>58</v>
      </c>
      <c r="Z303" s="143">
        <f t="shared" si="50"/>
        <v>129714</v>
      </c>
      <c r="AA303" s="159">
        <f t="shared" si="85"/>
        <v>14005000</v>
      </c>
      <c r="AB303" s="149">
        <f t="shared" si="86"/>
        <v>45.904110752505524</v>
      </c>
      <c r="AC303" s="143" t="s">
        <v>58</v>
      </c>
      <c r="AD303" s="194">
        <f t="shared" si="87"/>
        <v>47.717206132879049</v>
      </c>
      <c r="AE303" s="162"/>
      <c r="AF303" s="1"/>
      <c r="AG303" s="1"/>
      <c r="AH303" s="163"/>
      <c r="AI303" s="1"/>
      <c r="AJ303" s="1"/>
      <c r="AK303" s="1"/>
    </row>
    <row r="304" spans="1:37" customFormat="1" ht="150">
      <c r="A304" s="151"/>
      <c r="B304" s="147"/>
      <c r="C304" s="153" t="s">
        <v>552</v>
      </c>
      <c r="D304" s="154" t="s">
        <v>551</v>
      </c>
      <c r="E304" s="155">
        <v>23188</v>
      </c>
      <c r="F304" s="182" t="s">
        <v>57</v>
      </c>
      <c r="G304" s="195">
        <v>19255500</v>
      </c>
      <c r="H304" s="205">
        <v>7843</v>
      </c>
      <c r="I304" s="157">
        <v>6428000</v>
      </c>
      <c r="J304" s="158">
        <v>9659</v>
      </c>
      <c r="K304" s="157">
        <v>12827500</v>
      </c>
      <c r="L304" s="142">
        <v>1608</v>
      </c>
      <c r="M304" s="207" t="s">
        <v>449</v>
      </c>
      <c r="N304" s="158">
        <v>2368</v>
      </c>
      <c r="O304" s="157">
        <v>2800000</v>
      </c>
      <c r="P304" s="158">
        <v>3391</v>
      </c>
      <c r="Q304" s="157">
        <v>3275000</v>
      </c>
      <c r="R304" s="205">
        <v>2289</v>
      </c>
      <c r="S304" s="157">
        <v>5462500</v>
      </c>
      <c r="T304" s="206">
        <f t="shared" si="82"/>
        <v>9656</v>
      </c>
      <c r="U304" s="164">
        <f t="shared" si="88"/>
        <v>99.96894088414949</v>
      </c>
      <c r="V304" s="143" t="s">
        <v>58</v>
      </c>
      <c r="W304" s="159">
        <f t="shared" si="89"/>
        <v>11537500</v>
      </c>
      <c r="X304" s="164">
        <f t="shared" si="84"/>
        <v>89.943480802962384</v>
      </c>
      <c r="Y304" s="143" t="s">
        <v>58</v>
      </c>
      <c r="Z304" s="206">
        <f t="shared" si="50"/>
        <v>17499</v>
      </c>
      <c r="AA304" s="159">
        <f t="shared" si="85"/>
        <v>17965500</v>
      </c>
      <c r="AB304" s="149">
        <f t="shared" si="86"/>
        <v>75.465758150767641</v>
      </c>
      <c r="AC304" s="143" t="s">
        <v>58</v>
      </c>
      <c r="AD304" s="194">
        <f t="shared" si="87"/>
        <v>93.300615408584562</v>
      </c>
      <c r="AE304" s="162"/>
      <c r="AF304" s="1"/>
      <c r="AG304" s="1"/>
      <c r="AH304" s="163"/>
      <c r="AI304" s="1"/>
      <c r="AJ304" s="1"/>
      <c r="AK304" s="1"/>
    </row>
    <row r="305" spans="1:37" customFormat="1" ht="150">
      <c r="A305" s="151"/>
      <c r="B305" s="147"/>
      <c r="C305" s="153" t="s">
        <v>553</v>
      </c>
      <c r="D305" s="154" t="s">
        <v>551</v>
      </c>
      <c r="E305" s="155">
        <v>5343</v>
      </c>
      <c r="F305" s="182" t="s">
        <v>57</v>
      </c>
      <c r="G305" s="195">
        <v>70155150</v>
      </c>
      <c r="H305" s="205">
        <v>1781</v>
      </c>
      <c r="I305" s="157">
        <v>8872500</v>
      </c>
      <c r="J305" s="158">
        <v>4817</v>
      </c>
      <c r="K305" s="157">
        <v>29420000</v>
      </c>
      <c r="L305" s="142">
        <v>1151</v>
      </c>
      <c r="M305" s="207" t="s">
        <v>449</v>
      </c>
      <c r="N305" s="158">
        <v>1108</v>
      </c>
      <c r="O305" s="157">
        <v>9760000</v>
      </c>
      <c r="P305" s="158"/>
      <c r="Q305" s="157">
        <v>5600000</v>
      </c>
      <c r="R305" s="205">
        <v>973</v>
      </c>
      <c r="S305" s="157">
        <v>9007500</v>
      </c>
      <c r="T305" s="206">
        <f t="shared" si="82"/>
        <v>3232</v>
      </c>
      <c r="U305" s="164">
        <f t="shared" si="88"/>
        <v>67.095702719534984</v>
      </c>
      <c r="V305" s="143" t="s">
        <v>58</v>
      </c>
      <c r="W305" s="159">
        <f t="shared" si="89"/>
        <v>24367500</v>
      </c>
      <c r="X305" s="164">
        <f t="shared" si="84"/>
        <v>82.826308633582599</v>
      </c>
      <c r="Y305" s="143" t="s">
        <v>58</v>
      </c>
      <c r="Z305" s="206">
        <f t="shared" si="50"/>
        <v>5013</v>
      </c>
      <c r="AA305" s="159">
        <f t="shared" si="85"/>
        <v>33240000</v>
      </c>
      <c r="AB305" s="149">
        <f t="shared" si="86"/>
        <v>93.823694553621564</v>
      </c>
      <c r="AC305" s="143" t="s">
        <v>58</v>
      </c>
      <c r="AD305" s="194">
        <f t="shared" si="87"/>
        <v>47.380698352152336</v>
      </c>
      <c r="AE305" s="162"/>
      <c r="AF305" s="1"/>
      <c r="AG305" s="1"/>
      <c r="AH305" s="163"/>
      <c r="AI305" s="1"/>
      <c r="AJ305" s="1"/>
      <c r="AK305" s="1"/>
    </row>
    <row r="306" spans="1:37" customFormat="1" ht="150">
      <c r="A306" s="151"/>
      <c r="B306" s="147"/>
      <c r="C306" s="153" t="s">
        <v>554</v>
      </c>
      <c r="D306" s="154" t="s">
        <v>551</v>
      </c>
      <c r="E306" s="155">
        <v>11793</v>
      </c>
      <c r="F306" s="182" t="s">
        <v>57</v>
      </c>
      <c r="G306" s="195">
        <v>132342200</v>
      </c>
      <c r="H306" s="205">
        <v>2836</v>
      </c>
      <c r="I306" s="157">
        <v>0</v>
      </c>
      <c r="J306" s="158">
        <v>3931</v>
      </c>
      <c r="K306" s="157">
        <v>66171100</v>
      </c>
      <c r="L306" s="142">
        <v>836</v>
      </c>
      <c r="M306" s="207" t="s">
        <v>449</v>
      </c>
      <c r="N306" s="158">
        <v>944</v>
      </c>
      <c r="O306" s="157">
        <v>6255000</v>
      </c>
      <c r="P306" s="158">
        <v>944</v>
      </c>
      <c r="Q306" s="157">
        <v>13340000</v>
      </c>
      <c r="R306" s="205">
        <v>1163</v>
      </c>
      <c r="S306" s="157">
        <v>45831100</v>
      </c>
      <c r="T306" s="206">
        <f t="shared" si="82"/>
        <v>3887</v>
      </c>
      <c r="U306" s="164">
        <f t="shared" si="88"/>
        <v>98.880691935894177</v>
      </c>
      <c r="V306" s="143" t="s">
        <v>58</v>
      </c>
      <c r="W306" s="159">
        <f t="shared" si="89"/>
        <v>65426100</v>
      </c>
      <c r="X306" s="164">
        <f t="shared" si="84"/>
        <v>98.874130851686004</v>
      </c>
      <c r="Y306" s="143" t="s">
        <v>58</v>
      </c>
      <c r="Z306" s="206">
        <f t="shared" si="50"/>
        <v>6723</v>
      </c>
      <c r="AA306" s="159">
        <f t="shared" si="85"/>
        <v>65426100</v>
      </c>
      <c r="AB306" s="149">
        <f t="shared" si="86"/>
        <v>57.008394810480787</v>
      </c>
      <c r="AC306" s="143" t="s">
        <v>58</v>
      </c>
      <c r="AD306" s="194">
        <f t="shared" si="87"/>
        <v>49.437065425843002</v>
      </c>
      <c r="AE306" s="162"/>
      <c r="AF306" s="1"/>
      <c r="AG306" s="1"/>
      <c r="AH306" s="163"/>
      <c r="AI306" s="1"/>
      <c r="AJ306" s="1"/>
      <c r="AK306" s="1"/>
    </row>
    <row r="307" spans="1:37" customFormat="1" ht="150">
      <c r="A307" s="151"/>
      <c r="B307" s="147"/>
      <c r="C307" s="153" t="s">
        <v>555</v>
      </c>
      <c r="D307" s="154" t="s">
        <v>551</v>
      </c>
      <c r="E307" s="155">
        <v>15195</v>
      </c>
      <c r="F307" s="182" t="s">
        <v>57</v>
      </c>
      <c r="G307" s="195">
        <v>184676000</v>
      </c>
      <c r="H307" s="205">
        <v>5065</v>
      </c>
      <c r="I307" s="157">
        <v>10166000</v>
      </c>
      <c r="J307" s="158">
        <v>5065</v>
      </c>
      <c r="K307" s="157">
        <v>84477000</v>
      </c>
      <c r="L307" s="142">
        <v>1500</v>
      </c>
      <c r="M307" s="207" t="s">
        <v>449</v>
      </c>
      <c r="N307" s="158">
        <v>846</v>
      </c>
      <c r="O307" s="157">
        <v>24130000</v>
      </c>
      <c r="P307" s="158">
        <v>898</v>
      </c>
      <c r="Q307" s="157">
        <v>27800000</v>
      </c>
      <c r="R307" s="205">
        <v>1563</v>
      </c>
      <c r="S307" s="157">
        <v>30985000</v>
      </c>
      <c r="T307" s="206">
        <f t="shared" si="82"/>
        <v>4807</v>
      </c>
      <c r="U307" s="164">
        <f t="shared" si="88"/>
        <v>94.906219151036524</v>
      </c>
      <c r="V307" s="143" t="s">
        <v>58</v>
      </c>
      <c r="W307" s="159">
        <f t="shared" si="89"/>
        <v>82915000</v>
      </c>
      <c r="X307" s="164">
        <f t="shared" si="84"/>
        <v>98.150976005303221</v>
      </c>
      <c r="Y307" s="143" t="s">
        <v>58</v>
      </c>
      <c r="Z307" s="206">
        <f t="shared" si="50"/>
        <v>9872</v>
      </c>
      <c r="AA307" s="159">
        <f t="shared" si="85"/>
        <v>93081000</v>
      </c>
      <c r="AB307" s="149">
        <f t="shared" si="86"/>
        <v>64.968739717012184</v>
      </c>
      <c r="AC307" s="143" t="s">
        <v>58</v>
      </c>
      <c r="AD307" s="194">
        <f t="shared" si="87"/>
        <v>50.40232623621911</v>
      </c>
      <c r="AE307" s="162"/>
      <c r="AF307" s="1"/>
      <c r="AG307" s="1"/>
      <c r="AH307" s="163"/>
      <c r="AI307" s="1"/>
      <c r="AJ307" s="1"/>
      <c r="AK307" s="1"/>
    </row>
    <row r="308" spans="1:37" customFormat="1" ht="150">
      <c r="A308" s="151"/>
      <c r="B308" s="147"/>
      <c r="C308" s="153" t="s">
        <v>556</v>
      </c>
      <c r="D308" s="154" t="s">
        <v>551</v>
      </c>
      <c r="E308" s="155">
        <v>12376</v>
      </c>
      <c r="F308" s="182" t="s">
        <v>57</v>
      </c>
      <c r="G308" s="195">
        <v>2400000</v>
      </c>
      <c r="H308" s="205">
        <v>2654</v>
      </c>
      <c r="I308" s="157">
        <v>600000</v>
      </c>
      <c r="J308" s="158">
        <v>4861</v>
      </c>
      <c r="K308" s="157">
        <v>900000</v>
      </c>
      <c r="L308" s="142">
        <v>694</v>
      </c>
      <c r="M308" s="207" t="s">
        <v>449</v>
      </c>
      <c r="N308" s="158">
        <v>628</v>
      </c>
      <c r="O308" s="157">
        <v>456000</v>
      </c>
      <c r="P308" s="158">
        <v>2239</v>
      </c>
      <c r="Q308" s="157">
        <v>456000</v>
      </c>
      <c r="R308" s="205">
        <v>760</v>
      </c>
      <c r="S308" s="157">
        <v>300000</v>
      </c>
      <c r="T308" s="206">
        <f t="shared" si="82"/>
        <v>4321</v>
      </c>
      <c r="U308" s="164">
        <f t="shared" si="88"/>
        <v>88.891174655420684</v>
      </c>
      <c r="V308" s="143" t="s">
        <v>58</v>
      </c>
      <c r="W308" s="159">
        <f t="shared" si="89"/>
        <v>1212000</v>
      </c>
      <c r="X308" s="164">
        <f t="shared" si="84"/>
        <v>134.66666666666666</v>
      </c>
      <c r="Y308" s="143" t="s">
        <v>58</v>
      </c>
      <c r="Z308" s="206">
        <f t="shared" si="50"/>
        <v>6975</v>
      </c>
      <c r="AA308" s="159">
        <f t="shared" si="85"/>
        <v>1812000</v>
      </c>
      <c r="AB308" s="149">
        <f t="shared" si="86"/>
        <v>56.359082094376213</v>
      </c>
      <c r="AC308" s="143" t="s">
        <v>58</v>
      </c>
      <c r="AD308" s="194">
        <f t="shared" si="87"/>
        <v>75.5</v>
      </c>
      <c r="AE308" s="162"/>
      <c r="AF308" s="1"/>
      <c r="AG308" s="1"/>
      <c r="AH308" s="163"/>
      <c r="AI308" s="1"/>
      <c r="AJ308" s="1"/>
      <c r="AK308" s="1"/>
    </row>
    <row r="309" spans="1:37" customFormat="1" ht="150">
      <c r="A309" s="151"/>
      <c r="B309" s="147"/>
      <c r="C309" s="153" t="s">
        <v>557</v>
      </c>
      <c r="D309" s="154" t="s">
        <v>551</v>
      </c>
      <c r="E309" s="155">
        <v>22166</v>
      </c>
      <c r="F309" s="182" t="s">
        <v>57</v>
      </c>
      <c r="G309" s="195">
        <v>174578000</v>
      </c>
      <c r="H309" s="205">
        <v>3339</v>
      </c>
      <c r="I309" s="157">
        <v>40630000</v>
      </c>
      <c r="J309" s="158">
        <v>7391</v>
      </c>
      <c r="K309" s="157">
        <v>66834000</v>
      </c>
      <c r="L309" s="142">
        <v>1125</v>
      </c>
      <c r="M309" s="207" t="s">
        <v>449</v>
      </c>
      <c r="N309" s="158">
        <v>1184</v>
      </c>
      <c r="O309" s="157">
        <v>17279000</v>
      </c>
      <c r="P309" s="158">
        <v>2826</v>
      </c>
      <c r="Q309" s="157">
        <v>18422500</v>
      </c>
      <c r="R309" s="205">
        <v>2188</v>
      </c>
      <c r="S309" s="157">
        <v>30362500</v>
      </c>
      <c r="T309" s="206">
        <f t="shared" si="82"/>
        <v>7323</v>
      </c>
      <c r="U309" s="164">
        <f t="shared" si="88"/>
        <v>99.079962116087131</v>
      </c>
      <c r="V309" s="143" t="s">
        <v>58</v>
      </c>
      <c r="W309" s="159">
        <f t="shared" si="89"/>
        <v>66064000</v>
      </c>
      <c r="X309" s="164">
        <f t="shared" si="84"/>
        <v>98.847891791603075</v>
      </c>
      <c r="Y309" s="143" t="s">
        <v>58</v>
      </c>
      <c r="Z309" s="206">
        <f t="shared" si="50"/>
        <v>10662</v>
      </c>
      <c r="AA309" s="159">
        <f t="shared" si="85"/>
        <v>106694000</v>
      </c>
      <c r="AB309" s="149">
        <f t="shared" si="86"/>
        <v>48.100694757737074</v>
      </c>
      <c r="AC309" s="143" t="s">
        <v>58</v>
      </c>
      <c r="AD309" s="194">
        <f t="shared" si="87"/>
        <v>61.115375362302238</v>
      </c>
      <c r="AE309" s="162"/>
      <c r="AF309" s="1"/>
      <c r="AG309" s="1"/>
      <c r="AH309" s="163"/>
      <c r="AI309" s="1"/>
      <c r="AJ309" s="1"/>
      <c r="AK309" s="1"/>
    </row>
    <row r="310" spans="1:37" customFormat="1" ht="150">
      <c r="A310" s="151"/>
      <c r="B310" s="147"/>
      <c r="C310" s="153" t="s">
        <v>558</v>
      </c>
      <c r="D310" s="154" t="s">
        <v>551</v>
      </c>
      <c r="E310" s="155">
        <v>17292</v>
      </c>
      <c r="F310" s="182" t="s">
        <v>57</v>
      </c>
      <c r="G310" s="195">
        <v>40305000</v>
      </c>
      <c r="H310" s="205">
        <v>2392</v>
      </c>
      <c r="I310" s="157">
        <v>2727500</v>
      </c>
      <c r="J310" s="158">
        <v>5764</v>
      </c>
      <c r="K310" s="157">
        <v>15275000</v>
      </c>
      <c r="L310" s="142">
        <v>224</v>
      </c>
      <c r="M310" s="207" t="s">
        <v>449</v>
      </c>
      <c r="N310" s="158">
        <v>224</v>
      </c>
      <c r="O310" s="157">
        <v>1370000</v>
      </c>
      <c r="P310" s="158">
        <v>984</v>
      </c>
      <c r="Q310" s="157">
        <v>2910000</v>
      </c>
      <c r="R310" s="205">
        <v>284</v>
      </c>
      <c r="S310" s="157">
        <v>1520000</v>
      </c>
      <c r="T310" s="206">
        <f t="shared" si="82"/>
        <v>1716</v>
      </c>
      <c r="U310" s="164">
        <f t="shared" si="88"/>
        <v>29.770992366412212</v>
      </c>
      <c r="V310" s="143" t="s">
        <v>58</v>
      </c>
      <c r="W310" s="159">
        <f t="shared" si="89"/>
        <v>5800000</v>
      </c>
      <c r="X310" s="164">
        <f t="shared" si="84"/>
        <v>37.97054009819967</v>
      </c>
      <c r="Y310" s="143" t="s">
        <v>58</v>
      </c>
      <c r="Z310" s="206">
        <f t="shared" si="50"/>
        <v>4108</v>
      </c>
      <c r="AA310" s="159">
        <f t="shared" si="85"/>
        <v>8527500</v>
      </c>
      <c r="AB310" s="149">
        <f t="shared" si="86"/>
        <v>23.756650474207728</v>
      </c>
      <c r="AC310" s="143" t="s">
        <v>58</v>
      </c>
      <c r="AD310" s="194">
        <f t="shared" si="87"/>
        <v>21.157424637141794</v>
      </c>
      <c r="AE310" s="162"/>
      <c r="AF310" s="1"/>
      <c r="AG310" s="1"/>
      <c r="AH310" s="163"/>
      <c r="AI310" s="1"/>
      <c r="AJ310" s="1"/>
      <c r="AK310" s="1"/>
    </row>
    <row r="311" spans="1:37" customFormat="1" ht="150">
      <c r="A311" s="151"/>
      <c r="B311" s="147"/>
      <c r="C311" s="153" t="s">
        <v>559</v>
      </c>
      <c r="D311" s="154" t="s">
        <v>551</v>
      </c>
      <c r="E311" s="155">
        <v>38796</v>
      </c>
      <c r="F311" s="182" t="s">
        <v>57</v>
      </c>
      <c r="G311" s="195">
        <v>50512500</v>
      </c>
      <c r="H311" s="205">
        <v>12757</v>
      </c>
      <c r="I311" s="157">
        <v>0</v>
      </c>
      <c r="J311" s="158">
        <v>12926</v>
      </c>
      <c r="K311" s="157">
        <v>45837500</v>
      </c>
      <c r="L311" s="142">
        <v>3013</v>
      </c>
      <c r="M311" s="207" t="s">
        <v>449</v>
      </c>
      <c r="N311" s="158">
        <v>3247</v>
      </c>
      <c r="O311" s="157">
        <v>11510000</v>
      </c>
      <c r="P311" s="158">
        <v>2812</v>
      </c>
      <c r="Q311" s="157">
        <v>22120000</v>
      </c>
      <c r="R311" s="205">
        <v>3444</v>
      </c>
      <c r="S311" s="157">
        <v>3690000</v>
      </c>
      <c r="T311" s="206">
        <f t="shared" si="82"/>
        <v>12516</v>
      </c>
      <c r="U311" s="164">
        <f t="shared" si="88"/>
        <v>96.828098406312861</v>
      </c>
      <c r="V311" s="143" t="s">
        <v>58</v>
      </c>
      <c r="W311" s="159">
        <f t="shared" si="89"/>
        <v>37320000</v>
      </c>
      <c r="X311" s="164">
        <f t="shared" si="84"/>
        <v>81.418052904281424</v>
      </c>
      <c r="Y311" s="143" t="s">
        <v>58</v>
      </c>
      <c r="Z311" s="206">
        <f t="shared" si="50"/>
        <v>25273</v>
      </c>
      <c r="AA311" s="159">
        <f t="shared" si="85"/>
        <v>37320000</v>
      </c>
      <c r="AB311" s="149">
        <f t="shared" si="86"/>
        <v>65.143313743684914</v>
      </c>
      <c r="AC311" s="143" t="s">
        <v>58</v>
      </c>
      <c r="AD311" s="194">
        <f t="shared" si="87"/>
        <v>73.882702301410546</v>
      </c>
      <c r="AE311" s="162"/>
      <c r="AF311" s="1"/>
      <c r="AG311" s="1"/>
      <c r="AH311" s="163"/>
      <c r="AI311" s="1"/>
      <c r="AJ311" s="1"/>
      <c r="AK311" s="1"/>
    </row>
    <row r="312" spans="1:37" customFormat="1" ht="150">
      <c r="A312" s="151"/>
      <c r="B312" s="147"/>
      <c r="C312" s="153" t="s">
        <v>560</v>
      </c>
      <c r="D312" s="154" t="s">
        <v>551</v>
      </c>
      <c r="E312" s="155">
        <v>22992</v>
      </c>
      <c r="F312" s="182" t="s">
        <v>57</v>
      </c>
      <c r="G312" s="195">
        <v>111010000</v>
      </c>
      <c r="H312" s="205">
        <v>7664</v>
      </c>
      <c r="I312" s="157">
        <v>11425000</v>
      </c>
      <c r="J312" s="158">
        <v>7380</v>
      </c>
      <c r="K312" s="157">
        <v>49117500</v>
      </c>
      <c r="L312" s="142">
        <v>240</v>
      </c>
      <c r="M312" s="207" t="s">
        <v>449</v>
      </c>
      <c r="N312" s="158">
        <v>1500</v>
      </c>
      <c r="O312" s="157">
        <v>11400000</v>
      </c>
      <c r="P312" s="158">
        <v>1550</v>
      </c>
      <c r="Q312" s="157">
        <v>11915500</v>
      </c>
      <c r="R312" s="205">
        <v>4090</v>
      </c>
      <c r="S312" s="157">
        <v>22726725</v>
      </c>
      <c r="T312" s="206">
        <f t="shared" si="82"/>
        <v>7380</v>
      </c>
      <c r="U312" s="164">
        <f t="shared" si="88"/>
        <v>100</v>
      </c>
      <c r="V312" s="143" t="s">
        <v>58</v>
      </c>
      <c r="W312" s="159">
        <f t="shared" si="89"/>
        <v>46042225</v>
      </c>
      <c r="X312" s="164">
        <f t="shared" si="84"/>
        <v>93.738942332162665</v>
      </c>
      <c r="Y312" s="143" t="s">
        <v>58</v>
      </c>
      <c r="Z312" s="206">
        <f t="shared" si="50"/>
        <v>15044</v>
      </c>
      <c r="AA312" s="159">
        <f t="shared" si="85"/>
        <v>57467225</v>
      </c>
      <c r="AB312" s="149">
        <f t="shared" si="86"/>
        <v>65.431454418928325</v>
      </c>
      <c r="AC312" s="143" t="s">
        <v>58</v>
      </c>
      <c r="AD312" s="194">
        <f t="shared" si="87"/>
        <v>51.767611026033691</v>
      </c>
      <c r="AE312" s="162"/>
      <c r="AF312" s="1"/>
      <c r="AG312" s="1"/>
      <c r="AH312" s="163"/>
      <c r="AI312" s="1"/>
      <c r="AJ312" s="1"/>
      <c r="AK312" s="1"/>
    </row>
    <row r="313" spans="1:37" customFormat="1" ht="150">
      <c r="A313" s="151"/>
      <c r="B313" s="147"/>
      <c r="C313" s="153" t="s">
        <v>561</v>
      </c>
      <c r="D313" s="154" t="s">
        <v>551</v>
      </c>
      <c r="E313" s="155">
        <v>14139</v>
      </c>
      <c r="F313" s="182" t="s">
        <v>57</v>
      </c>
      <c r="G313" s="195">
        <v>169352500</v>
      </c>
      <c r="H313" s="205">
        <v>2089</v>
      </c>
      <c r="I313" s="157">
        <v>3752500</v>
      </c>
      <c r="J313" s="158">
        <v>4713</v>
      </c>
      <c r="K313" s="157">
        <v>82800000</v>
      </c>
      <c r="L313" s="142">
        <v>150</v>
      </c>
      <c r="M313" s="207" t="s">
        <v>449</v>
      </c>
      <c r="N313" s="158">
        <v>155</v>
      </c>
      <c r="O313" s="157">
        <v>7150000</v>
      </c>
      <c r="P313" s="158">
        <v>179</v>
      </c>
      <c r="Q313" s="157">
        <v>9470000</v>
      </c>
      <c r="R313" s="205">
        <v>184</v>
      </c>
      <c r="S313" s="157">
        <v>14980000</v>
      </c>
      <c r="T313" s="206">
        <f t="shared" si="82"/>
        <v>668</v>
      </c>
      <c r="U313" s="164">
        <f t="shared" si="88"/>
        <v>14.173562486738808</v>
      </c>
      <c r="V313" s="143" t="s">
        <v>58</v>
      </c>
      <c r="W313" s="159">
        <f t="shared" si="89"/>
        <v>31600000</v>
      </c>
      <c r="X313" s="164">
        <f t="shared" si="84"/>
        <v>38.164251207729464</v>
      </c>
      <c r="Y313" s="143" t="s">
        <v>58</v>
      </c>
      <c r="Z313" s="206">
        <f t="shared" si="50"/>
        <v>2757</v>
      </c>
      <c r="AA313" s="159">
        <f t="shared" si="85"/>
        <v>35352500</v>
      </c>
      <c r="AB313" s="149">
        <f t="shared" si="86"/>
        <v>19.499257373222999</v>
      </c>
      <c r="AC313" s="143" t="s">
        <v>58</v>
      </c>
      <c r="AD313" s="194">
        <f t="shared" si="87"/>
        <v>20.875097798969605</v>
      </c>
      <c r="AE313" s="162"/>
      <c r="AF313" s="1"/>
      <c r="AG313" s="1"/>
      <c r="AH313" s="163"/>
      <c r="AI313" s="1"/>
      <c r="AJ313" s="1"/>
      <c r="AK313" s="1"/>
    </row>
    <row r="314" spans="1:37" customFormat="1" ht="150">
      <c r="A314" s="151"/>
      <c r="B314" s="147"/>
      <c r="C314" s="153" t="s">
        <v>562</v>
      </c>
      <c r="D314" s="154" t="s">
        <v>551</v>
      </c>
      <c r="E314" s="155">
        <v>43455</v>
      </c>
      <c r="F314" s="182" t="s">
        <v>57</v>
      </c>
      <c r="G314" s="195">
        <v>26613000</v>
      </c>
      <c r="H314" s="205">
        <v>7672</v>
      </c>
      <c r="I314" s="157">
        <v>4358000</v>
      </c>
      <c r="J314" s="158">
        <v>13973</v>
      </c>
      <c r="K314" s="157">
        <v>10947500</v>
      </c>
      <c r="L314" s="142">
        <v>1919</v>
      </c>
      <c r="M314" s="207" t="s">
        <v>449</v>
      </c>
      <c r="N314" s="158">
        <v>4294</v>
      </c>
      <c r="O314" s="157">
        <v>5047500</v>
      </c>
      <c r="P314" s="158">
        <v>3250</v>
      </c>
      <c r="Q314" s="157">
        <v>2747500</v>
      </c>
      <c r="R314" s="205">
        <v>3073</v>
      </c>
      <c r="S314" s="157">
        <v>2410000</v>
      </c>
      <c r="T314" s="206">
        <f t="shared" si="82"/>
        <v>12536</v>
      </c>
      <c r="U314" s="164">
        <f t="shared" si="88"/>
        <v>89.715880626923351</v>
      </c>
      <c r="V314" s="143" t="s">
        <v>58</v>
      </c>
      <c r="W314" s="159">
        <f t="shared" si="89"/>
        <v>10205000</v>
      </c>
      <c r="X314" s="164">
        <f t="shared" si="84"/>
        <v>93.21762959579813</v>
      </c>
      <c r="Y314" s="143" t="s">
        <v>58</v>
      </c>
      <c r="Z314" s="206">
        <f t="shared" si="50"/>
        <v>20208</v>
      </c>
      <c r="AA314" s="159">
        <f t="shared" si="85"/>
        <v>14563000</v>
      </c>
      <c r="AB314" s="149">
        <f t="shared" si="86"/>
        <v>46.5032792544011</v>
      </c>
      <c r="AC314" s="143" t="s">
        <v>58</v>
      </c>
      <c r="AD314" s="194">
        <f t="shared" si="87"/>
        <v>54.721376770751142</v>
      </c>
      <c r="AE314" s="162"/>
      <c r="AF314" s="1"/>
      <c r="AG314" s="1"/>
      <c r="AH314" s="163"/>
      <c r="AI314" s="1"/>
      <c r="AJ314" s="1"/>
      <c r="AK314" s="1"/>
    </row>
    <row r="315" spans="1:37" customFormat="1" ht="150">
      <c r="A315" s="151"/>
      <c r="B315" s="147"/>
      <c r="C315" s="153" t="s">
        <v>563</v>
      </c>
      <c r="D315" s="154" t="s">
        <v>551</v>
      </c>
      <c r="E315" s="155">
        <v>9980</v>
      </c>
      <c r="F315" s="182" t="s">
        <v>57</v>
      </c>
      <c r="G315" s="195">
        <v>255196750</v>
      </c>
      <c r="H315" s="205">
        <v>3131</v>
      </c>
      <c r="I315" s="157">
        <v>62888000</v>
      </c>
      <c r="J315" s="158">
        <v>3335</v>
      </c>
      <c r="K315" s="157">
        <v>94441500</v>
      </c>
      <c r="L315" s="208">
        <v>680</v>
      </c>
      <c r="M315" s="209" t="s">
        <v>449</v>
      </c>
      <c r="N315" s="210">
        <v>1346</v>
      </c>
      <c r="O315" s="209">
        <v>25220000</v>
      </c>
      <c r="P315" s="210">
        <v>2301</v>
      </c>
      <c r="Q315" s="209">
        <v>50911000</v>
      </c>
      <c r="R315" s="211">
        <v>2.6629999999999998</v>
      </c>
      <c r="S315" s="209">
        <v>90043500</v>
      </c>
      <c r="T315" s="206">
        <f t="shared" si="82"/>
        <v>4329.6629999999996</v>
      </c>
      <c r="U315" s="164">
        <f t="shared" si="88"/>
        <v>129.82497751124436</v>
      </c>
      <c r="V315" s="143" t="s">
        <v>58</v>
      </c>
      <c r="W315" s="159">
        <f t="shared" si="89"/>
        <v>166174500</v>
      </c>
      <c r="X315" s="164">
        <f t="shared" si="84"/>
        <v>175.95495624275347</v>
      </c>
      <c r="Y315" s="143" t="s">
        <v>58</v>
      </c>
      <c r="Z315" s="206">
        <f t="shared" si="50"/>
        <v>7460.6629999999996</v>
      </c>
      <c r="AA315" s="159">
        <f t="shared" si="85"/>
        <v>229062500</v>
      </c>
      <c r="AB315" s="149">
        <f t="shared" si="86"/>
        <v>74.756142284569137</v>
      </c>
      <c r="AC315" s="143" t="s">
        <v>58</v>
      </c>
      <c r="AD315" s="194">
        <f t="shared" si="87"/>
        <v>89.759176008315151</v>
      </c>
      <c r="AE315" s="162"/>
      <c r="AF315" s="1"/>
      <c r="AG315" s="1"/>
      <c r="AH315" s="163"/>
      <c r="AI315" s="1"/>
      <c r="AJ315" s="1"/>
      <c r="AK315" s="1"/>
    </row>
    <row r="316" spans="1:37" customFormat="1" ht="150">
      <c r="A316" s="151"/>
      <c r="B316" s="147"/>
      <c r="C316" s="153" t="s">
        <v>564</v>
      </c>
      <c r="D316" s="154" t="s">
        <v>551</v>
      </c>
      <c r="E316" s="155">
        <v>5544</v>
      </c>
      <c r="F316" s="182" t="s">
        <v>57</v>
      </c>
      <c r="G316" s="195">
        <v>94317500</v>
      </c>
      <c r="H316" s="205">
        <v>2869</v>
      </c>
      <c r="I316" s="157">
        <v>5730000</v>
      </c>
      <c r="J316" s="158">
        <v>2673</v>
      </c>
      <c r="K316" s="157">
        <v>44218750</v>
      </c>
      <c r="L316" s="142">
        <v>637</v>
      </c>
      <c r="M316" s="207" t="s">
        <v>449</v>
      </c>
      <c r="N316" s="158">
        <v>884</v>
      </c>
      <c r="O316" s="157">
        <v>12320000</v>
      </c>
      <c r="P316" s="158">
        <v>316</v>
      </c>
      <c r="Q316" s="157">
        <v>14590000</v>
      </c>
      <c r="R316" s="212">
        <v>175</v>
      </c>
      <c r="S316" s="209">
        <v>9777500</v>
      </c>
      <c r="T316" s="206">
        <f t="shared" si="82"/>
        <v>2012</v>
      </c>
      <c r="U316" s="164">
        <f t="shared" si="88"/>
        <v>75.271230826786379</v>
      </c>
      <c r="V316" s="143" t="s">
        <v>58</v>
      </c>
      <c r="W316" s="159">
        <f t="shared" si="89"/>
        <v>36687500</v>
      </c>
      <c r="X316" s="164">
        <f t="shared" si="84"/>
        <v>82.968197879858664</v>
      </c>
      <c r="Y316" s="143" t="s">
        <v>58</v>
      </c>
      <c r="Z316" s="206">
        <f t="shared" si="50"/>
        <v>4881</v>
      </c>
      <c r="AA316" s="159">
        <f t="shared" si="85"/>
        <v>42417500</v>
      </c>
      <c r="AB316" s="149">
        <f t="shared" si="86"/>
        <v>88.041125541125538</v>
      </c>
      <c r="AC316" s="143" t="s">
        <v>58</v>
      </c>
      <c r="AD316" s="194">
        <f t="shared" si="87"/>
        <v>44.973096191056804</v>
      </c>
      <c r="AE316" s="162"/>
      <c r="AF316" s="1"/>
      <c r="AG316" s="1"/>
      <c r="AH316" s="163"/>
      <c r="AI316" s="1"/>
      <c r="AJ316" s="1"/>
      <c r="AK316" s="1"/>
    </row>
    <row r="317" spans="1:37" customFormat="1" ht="150">
      <c r="A317" s="151"/>
      <c r="B317" s="147"/>
      <c r="C317" s="153" t="s">
        <v>565</v>
      </c>
      <c r="D317" s="154" t="s">
        <v>551</v>
      </c>
      <c r="E317" s="155">
        <v>39258</v>
      </c>
      <c r="F317" s="182" t="s">
        <v>57</v>
      </c>
      <c r="G317" s="195">
        <v>154792000</v>
      </c>
      <c r="H317" s="205">
        <v>12931</v>
      </c>
      <c r="I317" s="157">
        <v>8244000</v>
      </c>
      <c r="J317" s="158">
        <v>13086</v>
      </c>
      <c r="K317" s="157">
        <v>104060000</v>
      </c>
      <c r="L317" s="142">
        <v>3312</v>
      </c>
      <c r="M317" s="207" t="s">
        <v>449</v>
      </c>
      <c r="N317" s="158">
        <v>3530</v>
      </c>
      <c r="O317" s="157">
        <v>17480000</v>
      </c>
      <c r="P317" s="158">
        <v>3738</v>
      </c>
      <c r="Q317" s="157">
        <v>25106500</v>
      </c>
      <c r="R317" s="212">
        <v>1866</v>
      </c>
      <c r="S317" s="209">
        <v>50920000</v>
      </c>
      <c r="T317" s="206">
        <f t="shared" si="82"/>
        <v>12446</v>
      </c>
      <c r="U317" s="164">
        <f t="shared" si="88"/>
        <v>95.109277090019873</v>
      </c>
      <c r="V317" s="143" t="s">
        <v>58</v>
      </c>
      <c r="W317" s="159">
        <f t="shared" si="89"/>
        <v>93506500</v>
      </c>
      <c r="X317" s="164">
        <f t="shared" si="84"/>
        <v>89.858254852969438</v>
      </c>
      <c r="Y317" s="143" t="s">
        <v>58</v>
      </c>
      <c r="Z317" s="206">
        <f t="shared" si="50"/>
        <v>25377</v>
      </c>
      <c r="AA317" s="159">
        <f t="shared" si="85"/>
        <v>101750500</v>
      </c>
      <c r="AB317" s="149">
        <f t="shared" si="86"/>
        <v>64.641601711753012</v>
      </c>
      <c r="AC317" s="143" t="s">
        <v>58</v>
      </c>
      <c r="AD317" s="194">
        <f t="shared" si="87"/>
        <v>65.733694247764745</v>
      </c>
      <c r="AE317" s="162"/>
      <c r="AF317" s="1"/>
      <c r="AG317" s="1"/>
      <c r="AH317" s="163"/>
      <c r="AI317" s="1"/>
      <c r="AJ317" s="1"/>
      <c r="AK317" s="1"/>
    </row>
    <row r="318" spans="1:37" customFormat="1" ht="150">
      <c r="A318" s="151"/>
      <c r="B318" s="147"/>
      <c r="C318" s="153" t="s">
        <v>566</v>
      </c>
      <c r="D318" s="154" t="s">
        <v>551</v>
      </c>
      <c r="E318" s="155">
        <v>15891</v>
      </c>
      <c r="F318" s="182" t="s">
        <v>57</v>
      </c>
      <c r="G318" s="195">
        <v>44380000</v>
      </c>
      <c r="H318" s="205">
        <v>5297</v>
      </c>
      <c r="I318" s="157">
        <v>39180000</v>
      </c>
      <c r="J318" s="158">
        <v>6010</v>
      </c>
      <c r="K318" s="157">
        <v>2600000</v>
      </c>
      <c r="L318" s="142">
        <v>986</v>
      </c>
      <c r="M318" s="207" t="s">
        <v>449</v>
      </c>
      <c r="N318" s="155">
        <v>2205</v>
      </c>
      <c r="O318" s="157"/>
      <c r="P318" s="155">
        <v>1424</v>
      </c>
      <c r="Q318" s="157">
        <v>1950000</v>
      </c>
      <c r="R318" s="212">
        <v>1109</v>
      </c>
      <c r="S318" s="209">
        <v>420000</v>
      </c>
      <c r="T318" s="206">
        <f t="shared" si="82"/>
        <v>5724</v>
      </c>
      <c r="U318" s="164">
        <f t="shared" si="88"/>
        <v>95.241264559068213</v>
      </c>
      <c r="V318" s="143" t="s">
        <v>58</v>
      </c>
      <c r="W318" s="159">
        <f t="shared" si="89"/>
        <v>2370000</v>
      </c>
      <c r="X318" s="164">
        <f t="shared" si="84"/>
        <v>91.153846153846146</v>
      </c>
      <c r="Y318" s="143" t="s">
        <v>58</v>
      </c>
      <c r="Z318" s="206">
        <f t="shared" si="50"/>
        <v>11021</v>
      </c>
      <c r="AA318" s="159">
        <f t="shared" si="85"/>
        <v>41550000</v>
      </c>
      <c r="AB318" s="149">
        <f t="shared" si="86"/>
        <v>69.353722232710339</v>
      </c>
      <c r="AC318" s="143" t="s">
        <v>58</v>
      </c>
      <c r="AD318" s="194">
        <f t="shared" si="87"/>
        <v>93.623253717890947</v>
      </c>
      <c r="AE318" s="162"/>
      <c r="AF318" s="1"/>
      <c r="AG318" s="1"/>
      <c r="AH318" s="163"/>
      <c r="AI318" s="1"/>
      <c r="AJ318" s="1"/>
      <c r="AK318" s="1"/>
    </row>
    <row r="319" spans="1:37" customFormat="1" ht="150">
      <c r="A319" s="151"/>
      <c r="B319" s="147"/>
      <c r="C319" s="153" t="s">
        <v>567</v>
      </c>
      <c r="D319" s="154" t="s">
        <v>551</v>
      </c>
      <c r="E319" s="155">
        <v>25759</v>
      </c>
      <c r="F319" s="182" t="s">
        <v>57</v>
      </c>
      <c r="G319" s="195">
        <v>96028000</v>
      </c>
      <c r="H319" s="205">
        <v>7026</v>
      </c>
      <c r="I319" s="157">
        <v>0</v>
      </c>
      <c r="J319" s="158">
        <v>8236</v>
      </c>
      <c r="K319" s="157">
        <v>48014000</v>
      </c>
      <c r="L319" s="213">
        <v>1775</v>
      </c>
      <c r="M319" s="214">
        <v>0</v>
      </c>
      <c r="N319" s="215">
        <v>2016</v>
      </c>
      <c r="O319" s="209">
        <v>11920000</v>
      </c>
      <c r="P319" s="215">
        <v>2620</v>
      </c>
      <c r="Q319" s="209">
        <v>19970800</v>
      </c>
      <c r="R319" s="216">
        <v>1560</v>
      </c>
      <c r="S319" s="209">
        <v>13327500</v>
      </c>
      <c r="T319" s="206">
        <f t="shared" si="82"/>
        <v>7971</v>
      </c>
      <c r="U319" s="164">
        <f t="shared" si="88"/>
        <v>96.782418649830021</v>
      </c>
      <c r="V319" s="143" t="s">
        <v>58</v>
      </c>
      <c r="W319" s="159">
        <f t="shared" si="89"/>
        <v>45218300</v>
      </c>
      <c r="X319" s="164">
        <f t="shared" si="84"/>
        <v>94.177323280709786</v>
      </c>
      <c r="Y319" s="143" t="s">
        <v>58</v>
      </c>
      <c r="Z319" s="206">
        <f t="shared" si="50"/>
        <v>14997</v>
      </c>
      <c r="AA319" s="159">
        <f t="shared" si="85"/>
        <v>45218300</v>
      </c>
      <c r="AB319" s="149">
        <f t="shared" si="86"/>
        <v>58.22042781163865</v>
      </c>
      <c r="AC319" s="143" t="s">
        <v>58</v>
      </c>
      <c r="AD319" s="194">
        <f t="shared" si="87"/>
        <v>47.088661640354893</v>
      </c>
      <c r="AE319" s="162"/>
      <c r="AF319" s="1"/>
      <c r="AG319" s="1"/>
      <c r="AH319" s="163"/>
      <c r="AI319" s="1"/>
      <c r="AJ319" s="1"/>
      <c r="AK319" s="1"/>
    </row>
    <row r="320" spans="1:37" customFormat="1" ht="150">
      <c r="A320" s="151"/>
      <c r="B320" s="147"/>
      <c r="C320" s="153" t="s">
        <v>568</v>
      </c>
      <c r="D320" s="154" t="s">
        <v>551</v>
      </c>
      <c r="E320" s="155">
        <v>16933</v>
      </c>
      <c r="F320" s="182" t="s">
        <v>57</v>
      </c>
      <c r="G320" s="195">
        <v>23472000</v>
      </c>
      <c r="H320" s="205">
        <v>6336</v>
      </c>
      <c r="I320" s="157">
        <v>0</v>
      </c>
      <c r="J320" s="158">
        <v>5649</v>
      </c>
      <c r="K320" s="157">
        <v>11736000</v>
      </c>
      <c r="L320" s="142">
        <v>1286</v>
      </c>
      <c r="M320" s="157">
        <v>0</v>
      </c>
      <c r="N320" s="158">
        <v>1567</v>
      </c>
      <c r="O320" s="157">
        <v>680000</v>
      </c>
      <c r="P320" s="158">
        <v>1583</v>
      </c>
      <c r="Q320" s="157">
        <v>4890000</v>
      </c>
      <c r="R320" s="212">
        <v>762</v>
      </c>
      <c r="S320" s="183">
        <v>340000</v>
      </c>
      <c r="T320" s="206">
        <f t="shared" si="82"/>
        <v>5198</v>
      </c>
      <c r="U320" s="164">
        <f t="shared" si="88"/>
        <v>92.016286068330672</v>
      </c>
      <c r="V320" s="143" t="s">
        <v>58</v>
      </c>
      <c r="W320" s="159">
        <f t="shared" si="89"/>
        <v>5910000</v>
      </c>
      <c r="X320" s="164">
        <f t="shared" si="84"/>
        <v>50.357873210633954</v>
      </c>
      <c r="Y320" s="143" t="s">
        <v>58</v>
      </c>
      <c r="Z320" s="206">
        <f t="shared" si="50"/>
        <v>11534</v>
      </c>
      <c r="AA320" s="159">
        <f t="shared" si="85"/>
        <v>5910000</v>
      </c>
      <c r="AB320" s="149">
        <f t="shared" si="86"/>
        <v>68.115514084922935</v>
      </c>
      <c r="AC320" s="143" t="s">
        <v>58</v>
      </c>
      <c r="AD320" s="194">
        <f t="shared" si="87"/>
        <v>25.178936605316977</v>
      </c>
      <c r="AE320" s="162"/>
      <c r="AF320" s="1"/>
      <c r="AG320" s="1"/>
      <c r="AH320" s="163"/>
      <c r="AI320" s="1"/>
      <c r="AJ320" s="1"/>
      <c r="AK320" s="1"/>
    </row>
    <row r="321" spans="1:37" customFormat="1" ht="150">
      <c r="A321" s="151"/>
      <c r="B321" s="147"/>
      <c r="C321" s="153" t="s">
        <v>569</v>
      </c>
      <c r="D321" s="154" t="s">
        <v>551</v>
      </c>
      <c r="E321" s="155">
        <v>23040</v>
      </c>
      <c r="F321" s="182" t="s">
        <v>57</v>
      </c>
      <c r="G321" s="195">
        <v>131636000</v>
      </c>
      <c r="H321" s="205">
        <v>5563</v>
      </c>
      <c r="I321" s="157">
        <v>3880000</v>
      </c>
      <c r="J321" s="158">
        <v>6065</v>
      </c>
      <c r="K321" s="157">
        <v>63878000</v>
      </c>
      <c r="L321" s="142">
        <v>1516</v>
      </c>
      <c r="M321" s="207" t="s">
        <v>449</v>
      </c>
      <c r="N321" s="158">
        <v>1516</v>
      </c>
      <c r="O321" s="157">
        <v>5661250</v>
      </c>
      <c r="P321" s="158">
        <v>1516</v>
      </c>
      <c r="Q321" s="157">
        <v>32472500</v>
      </c>
      <c r="R321" s="212">
        <v>1517</v>
      </c>
      <c r="S321" s="209">
        <v>25290000</v>
      </c>
      <c r="T321" s="206">
        <f t="shared" si="82"/>
        <v>6065</v>
      </c>
      <c r="U321" s="164">
        <f t="shared" si="88"/>
        <v>100</v>
      </c>
      <c r="V321" s="143" t="s">
        <v>58</v>
      </c>
      <c r="W321" s="159">
        <f t="shared" si="89"/>
        <v>63423750</v>
      </c>
      <c r="X321" s="164">
        <f t="shared" si="84"/>
        <v>99.288878800212913</v>
      </c>
      <c r="Y321" s="143" t="s">
        <v>58</v>
      </c>
      <c r="Z321" s="206">
        <f t="shared" si="50"/>
        <v>11628</v>
      </c>
      <c r="AA321" s="159">
        <f t="shared" si="85"/>
        <v>67303750</v>
      </c>
      <c r="AB321" s="149">
        <f t="shared" si="86"/>
        <v>50.468749999999993</v>
      </c>
      <c r="AC321" s="143" t="s">
        <v>58</v>
      </c>
      <c r="AD321" s="194">
        <f t="shared" si="87"/>
        <v>51.128680604090071</v>
      </c>
      <c r="AE321" s="162"/>
      <c r="AF321" s="1"/>
      <c r="AG321" s="1"/>
      <c r="AH321" s="163"/>
      <c r="AI321" s="1"/>
      <c r="AJ321" s="1"/>
      <c r="AK321" s="1"/>
    </row>
    <row r="322" spans="1:37" customFormat="1" ht="150">
      <c r="A322" s="151"/>
      <c r="B322" s="147"/>
      <c r="C322" s="153" t="s">
        <v>570</v>
      </c>
      <c r="D322" s="154" t="s">
        <v>551</v>
      </c>
      <c r="E322" s="155">
        <v>23280</v>
      </c>
      <c r="F322" s="182" t="s">
        <v>57</v>
      </c>
      <c r="G322" s="195">
        <v>91427900</v>
      </c>
      <c r="H322" s="205">
        <v>6322</v>
      </c>
      <c r="I322" s="157">
        <v>9761500</v>
      </c>
      <c r="J322" s="158">
        <v>7760</v>
      </c>
      <c r="K322" s="157">
        <v>44883200</v>
      </c>
      <c r="L322" s="208">
        <v>1690</v>
      </c>
      <c r="M322" s="209" t="s">
        <v>449</v>
      </c>
      <c r="N322" s="210">
        <v>1940</v>
      </c>
      <c r="O322" s="209" t="s">
        <v>449</v>
      </c>
      <c r="P322" s="210">
        <v>1937</v>
      </c>
      <c r="Q322" s="209">
        <v>2860000</v>
      </c>
      <c r="R322" s="211">
        <v>2193</v>
      </c>
      <c r="S322" s="209">
        <v>35785700</v>
      </c>
      <c r="T322" s="206">
        <f t="shared" si="82"/>
        <v>7760</v>
      </c>
      <c r="U322" s="164">
        <f t="shared" si="88"/>
        <v>100</v>
      </c>
      <c r="V322" s="143" t="s">
        <v>58</v>
      </c>
      <c r="W322" s="159">
        <f t="shared" si="89"/>
        <v>38645700</v>
      </c>
      <c r="X322" s="164">
        <f t="shared" si="84"/>
        <v>86.102817980892638</v>
      </c>
      <c r="Y322" s="143" t="s">
        <v>58</v>
      </c>
      <c r="Z322" s="206">
        <f t="shared" si="50"/>
        <v>14082</v>
      </c>
      <c r="AA322" s="159">
        <f t="shared" si="85"/>
        <v>48407200</v>
      </c>
      <c r="AB322" s="149">
        <f t="shared" si="86"/>
        <v>60.489690721649481</v>
      </c>
      <c r="AC322" s="143" t="s">
        <v>58</v>
      </c>
      <c r="AD322" s="194">
        <f t="shared" si="87"/>
        <v>52.945763820453053</v>
      </c>
      <c r="AE322" s="162"/>
      <c r="AF322" s="1"/>
      <c r="AG322" s="1"/>
      <c r="AH322" s="163"/>
      <c r="AI322" s="1"/>
      <c r="AJ322" s="1"/>
      <c r="AK322" s="1"/>
    </row>
    <row r="323" spans="1:37" customFormat="1" ht="150">
      <c r="A323" s="151"/>
      <c r="B323" s="147"/>
      <c r="C323" s="153" t="s">
        <v>571</v>
      </c>
      <c r="D323" s="154" t="s">
        <v>551</v>
      </c>
      <c r="E323" s="155">
        <v>19.324000000000002</v>
      </c>
      <c r="F323" s="182" t="s">
        <v>57</v>
      </c>
      <c r="G323" s="195">
        <v>156112000</v>
      </c>
      <c r="H323" s="205">
        <v>5.9980000000000002</v>
      </c>
      <c r="I323" s="157">
        <v>27323000</v>
      </c>
      <c r="J323" s="158">
        <v>645</v>
      </c>
      <c r="K323" s="157">
        <v>58894000</v>
      </c>
      <c r="L323" s="142">
        <v>0</v>
      </c>
      <c r="M323" s="207" t="s">
        <v>449</v>
      </c>
      <c r="N323" s="158">
        <v>215</v>
      </c>
      <c r="O323" s="157">
        <v>1190000</v>
      </c>
      <c r="P323" s="158">
        <v>215</v>
      </c>
      <c r="Q323" s="157">
        <v>11673000</v>
      </c>
      <c r="R323" s="205">
        <v>215</v>
      </c>
      <c r="S323" s="157">
        <v>29045000</v>
      </c>
      <c r="T323" s="206">
        <f t="shared" si="82"/>
        <v>645</v>
      </c>
      <c r="U323" s="164">
        <f t="shared" si="88"/>
        <v>100</v>
      </c>
      <c r="V323" s="143" t="s">
        <v>58</v>
      </c>
      <c r="W323" s="159">
        <f t="shared" si="89"/>
        <v>41908000</v>
      </c>
      <c r="X323" s="164">
        <f t="shared" si="84"/>
        <v>71.15835229395185</v>
      </c>
      <c r="Y323" s="143" t="s">
        <v>58</v>
      </c>
      <c r="Z323" s="206">
        <f t="shared" si="50"/>
        <v>650.99800000000005</v>
      </c>
      <c r="AA323" s="159">
        <f t="shared" si="85"/>
        <v>69231000</v>
      </c>
      <c r="AB323" s="149">
        <f t="shared" si="86"/>
        <v>3368.8573794245499</v>
      </c>
      <c r="AC323" s="143" t="s">
        <v>58</v>
      </c>
      <c r="AD323" s="194">
        <f t="shared" si="87"/>
        <v>44.347007276826893</v>
      </c>
      <c r="AE323" s="162"/>
      <c r="AF323" s="1"/>
      <c r="AG323" s="1"/>
      <c r="AH323" s="163"/>
      <c r="AI323" s="1"/>
      <c r="AJ323" s="1"/>
      <c r="AK323" s="1"/>
    </row>
    <row r="324" spans="1:37" customFormat="1" ht="150">
      <c r="A324" s="151"/>
      <c r="B324" s="147"/>
      <c r="C324" s="153" t="s">
        <v>572</v>
      </c>
      <c r="D324" s="154" t="s">
        <v>551</v>
      </c>
      <c r="E324" s="155">
        <v>12192</v>
      </c>
      <c r="F324" s="182" t="s">
        <v>57</v>
      </c>
      <c r="G324" s="195">
        <v>120487900</v>
      </c>
      <c r="H324" s="205">
        <v>4524</v>
      </c>
      <c r="I324" s="157">
        <v>52877500</v>
      </c>
      <c r="J324" s="158">
        <v>3834</v>
      </c>
      <c r="K324" s="157">
        <v>33805200</v>
      </c>
      <c r="L324" s="142">
        <v>655</v>
      </c>
      <c r="M324" s="207" t="s">
        <v>449</v>
      </c>
      <c r="N324" s="158">
        <v>1059</v>
      </c>
      <c r="O324" s="157">
        <v>13530000</v>
      </c>
      <c r="P324" s="158">
        <v>1060</v>
      </c>
      <c r="Q324" s="157">
        <v>11693500</v>
      </c>
      <c r="R324" s="212">
        <v>1060</v>
      </c>
      <c r="S324" s="209">
        <v>5560000</v>
      </c>
      <c r="T324" s="206">
        <f t="shared" si="82"/>
        <v>3834</v>
      </c>
      <c r="U324" s="164">
        <f t="shared" si="88"/>
        <v>100</v>
      </c>
      <c r="V324" s="143" t="s">
        <v>58</v>
      </c>
      <c r="W324" s="159">
        <f t="shared" si="89"/>
        <v>30783500</v>
      </c>
      <c r="X324" s="164">
        <f t="shared" si="84"/>
        <v>91.061434335546011</v>
      </c>
      <c r="Y324" s="143" t="s">
        <v>58</v>
      </c>
      <c r="Z324" s="206">
        <f t="shared" si="50"/>
        <v>8358</v>
      </c>
      <c r="AA324" s="159">
        <f t="shared" si="85"/>
        <v>83661000</v>
      </c>
      <c r="AB324" s="149">
        <f t="shared" si="86"/>
        <v>68.553149606299215</v>
      </c>
      <c r="AC324" s="143" t="s">
        <v>58</v>
      </c>
      <c r="AD324" s="194">
        <f t="shared" si="87"/>
        <v>69.435188097725998</v>
      </c>
      <c r="AE324" s="162"/>
      <c r="AF324" s="1"/>
      <c r="AG324" s="1"/>
      <c r="AH324" s="163"/>
      <c r="AI324" s="1"/>
      <c r="AJ324" s="1"/>
      <c r="AK324" s="1"/>
    </row>
    <row r="325" spans="1:37" customFormat="1" ht="135">
      <c r="A325" s="151"/>
      <c r="B325" s="147"/>
      <c r="C325" s="153" t="s">
        <v>573</v>
      </c>
      <c r="D325" s="154" t="s">
        <v>574</v>
      </c>
      <c r="E325" s="155">
        <f>J325*2</f>
        <v>59074</v>
      </c>
      <c r="F325" s="182" t="s">
        <v>57</v>
      </c>
      <c r="G325" s="195">
        <f>K325*2</f>
        <v>39080000</v>
      </c>
      <c r="H325" s="205"/>
      <c r="I325" s="157"/>
      <c r="J325" s="158">
        <v>29537</v>
      </c>
      <c r="K325" s="157">
        <v>19540000</v>
      </c>
      <c r="L325" s="142">
        <v>8345</v>
      </c>
      <c r="M325" s="157">
        <v>0</v>
      </c>
      <c r="N325" s="158">
        <v>7065</v>
      </c>
      <c r="O325" s="157">
        <v>5047500</v>
      </c>
      <c r="P325" s="158">
        <v>5081</v>
      </c>
      <c r="Q325" s="157">
        <v>0</v>
      </c>
      <c r="R325" s="205">
        <v>5320</v>
      </c>
      <c r="S325" s="157">
        <f>16405000-O325</f>
        <v>11357500</v>
      </c>
      <c r="T325" s="206">
        <f t="shared" si="82"/>
        <v>25811</v>
      </c>
      <c r="U325" s="164">
        <f t="shared" si="88"/>
        <v>87.385313335816093</v>
      </c>
      <c r="V325" s="143" t="s">
        <v>58</v>
      </c>
      <c r="W325" s="159">
        <f t="shared" si="89"/>
        <v>16405000</v>
      </c>
      <c r="X325" s="164">
        <f t="shared" si="84"/>
        <v>83.955987717502552</v>
      </c>
      <c r="Y325" s="143" t="s">
        <v>58</v>
      </c>
      <c r="Z325" s="206">
        <f t="shared" si="50"/>
        <v>25811</v>
      </c>
      <c r="AA325" s="159">
        <f t="shared" si="85"/>
        <v>16405000</v>
      </c>
      <c r="AB325" s="149">
        <f t="shared" si="86"/>
        <v>43.692656667908047</v>
      </c>
      <c r="AC325" s="143" t="s">
        <v>58</v>
      </c>
      <c r="AD325" s="194">
        <f t="shared" si="87"/>
        <v>41.977993858751276</v>
      </c>
      <c r="AE325" s="162"/>
      <c r="AF325" s="1"/>
      <c r="AG325" s="1"/>
      <c r="AH325" s="163"/>
      <c r="AI325" s="1"/>
      <c r="AJ325" s="1"/>
      <c r="AK325" s="1"/>
    </row>
    <row r="326" spans="1:37" customFormat="1" ht="135">
      <c r="A326" s="151"/>
      <c r="B326" s="147"/>
      <c r="C326" s="153" t="s">
        <v>575</v>
      </c>
      <c r="D326" s="154" t="s">
        <v>574</v>
      </c>
      <c r="E326" s="155">
        <v>4588</v>
      </c>
      <c r="F326" s="182" t="s">
        <v>57</v>
      </c>
      <c r="G326" s="195">
        <v>42010000</v>
      </c>
      <c r="H326" s="205">
        <v>1711</v>
      </c>
      <c r="I326" s="157">
        <v>22600000</v>
      </c>
      <c r="J326" s="158">
        <v>1674</v>
      </c>
      <c r="K326" s="157">
        <v>19410000</v>
      </c>
      <c r="L326" s="142">
        <v>444</v>
      </c>
      <c r="M326" s="207" t="s">
        <v>449</v>
      </c>
      <c r="N326" s="158">
        <v>530</v>
      </c>
      <c r="O326" s="157">
        <v>4480000</v>
      </c>
      <c r="P326" s="158">
        <v>425</v>
      </c>
      <c r="Q326" s="157">
        <v>3360000</v>
      </c>
      <c r="R326" s="205">
        <v>289</v>
      </c>
      <c r="S326" s="157">
        <v>7740000</v>
      </c>
      <c r="T326" s="206">
        <f t="shared" si="82"/>
        <v>1688</v>
      </c>
      <c r="U326" s="164">
        <f t="shared" si="88"/>
        <v>100.83632019115889</v>
      </c>
      <c r="V326" s="143" t="s">
        <v>58</v>
      </c>
      <c r="W326" s="159">
        <f t="shared" si="89"/>
        <v>15580000</v>
      </c>
      <c r="X326" s="164">
        <f t="shared" si="84"/>
        <v>80.26790314270994</v>
      </c>
      <c r="Y326" s="143" t="s">
        <v>58</v>
      </c>
      <c r="Z326" s="206">
        <f t="shared" si="50"/>
        <v>3399</v>
      </c>
      <c r="AA326" s="159">
        <f t="shared" si="85"/>
        <v>38180000</v>
      </c>
      <c r="AB326" s="149">
        <f t="shared" si="86"/>
        <v>74.08456843940715</v>
      </c>
      <c r="AC326" s="143" t="s">
        <v>58</v>
      </c>
      <c r="AD326" s="194">
        <f t="shared" si="87"/>
        <v>90.883123065936672</v>
      </c>
      <c r="AE326" s="162"/>
      <c r="AF326" s="1"/>
      <c r="AG326" s="1"/>
      <c r="AH326" s="163"/>
      <c r="AI326" s="1"/>
      <c r="AJ326" s="1"/>
      <c r="AK326" s="1"/>
    </row>
    <row r="327" spans="1:37" customFormat="1" ht="135">
      <c r="A327" s="151"/>
      <c r="B327" s="147"/>
      <c r="C327" s="153" t="s">
        <v>576</v>
      </c>
      <c r="D327" s="154" t="s">
        <v>574</v>
      </c>
      <c r="E327" s="155">
        <v>1542</v>
      </c>
      <c r="F327" s="182" t="s">
        <v>57</v>
      </c>
      <c r="G327" s="195">
        <v>133836200</v>
      </c>
      <c r="H327" s="205">
        <v>514</v>
      </c>
      <c r="I327" s="157">
        <v>54009000</v>
      </c>
      <c r="J327" s="158">
        <v>626</v>
      </c>
      <c r="K327" s="157">
        <v>38292500</v>
      </c>
      <c r="L327" s="142">
        <v>102</v>
      </c>
      <c r="M327" s="207" t="s">
        <v>449</v>
      </c>
      <c r="N327" s="158">
        <v>202</v>
      </c>
      <c r="O327" s="157">
        <v>13440000</v>
      </c>
      <c r="P327" s="158"/>
      <c r="Q327" s="157">
        <v>10080000</v>
      </c>
      <c r="R327" s="205">
        <v>153</v>
      </c>
      <c r="S327" s="157">
        <v>14522500</v>
      </c>
      <c r="T327" s="206">
        <f t="shared" si="82"/>
        <v>457</v>
      </c>
      <c r="U327" s="164">
        <f t="shared" si="88"/>
        <v>73.003194888178911</v>
      </c>
      <c r="V327" s="143" t="s">
        <v>58</v>
      </c>
      <c r="W327" s="159">
        <f t="shared" si="89"/>
        <v>38042500</v>
      </c>
      <c r="X327" s="164">
        <f t="shared" si="84"/>
        <v>99.347130639159104</v>
      </c>
      <c r="Y327" s="143" t="s">
        <v>58</v>
      </c>
      <c r="Z327" s="206">
        <f t="shared" si="50"/>
        <v>971</v>
      </c>
      <c r="AA327" s="159">
        <f t="shared" si="85"/>
        <v>92051500</v>
      </c>
      <c r="AB327" s="149">
        <f t="shared" si="86"/>
        <v>62.970168612191955</v>
      </c>
      <c r="AC327" s="143" t="s">
        <v>58</v>
      </c>
      <c r="AD327" s="194">
        <f t="shared" si="87"/>
        <v>68.779224156095282</v>
      </c>
      <c r="AE327" s="162"/>
      <c r="AF327" s="1"/>
      <c r="AG327" s="1"/>
      <c r="AH327" s="163"/>
      <c r="AI327" s="1"/>
      <c r="AJ327" s="1"/>
      <c r="AK327" s="1"/>
    </row>
    <row r="328" spans="1:37" customFormat="1" ht="135">
      <c r="A328" s="151"/>
      <c r="B328" s="147"/>
      <c r="C328" s="153" t="s">
        <v>577</v>
      </c>
      <c r="D328" s="154" t="s">
        <v>574</v>
      </c>
      <c r="E328" s="155">
        <v>1773</v>
      </c>
      <c r="F328" s="182" t="s">
        <v>57</v>
      </c>
      <c r="G328" s="195">
        <v>53809000</v>
      </c>
      <c r="H328" s="205">
        <v>775</v>
      </c>
      <c r="I328" s="157">
        <v>20350000</v>
      </c>
      <c r="J328" s="158">
        <v>923</v>
      </c>
      <c r="K328" s="157">
        <v>16729500</v>
      </c>
      <c r="L328" s="142">
        <v>180</v>
      </c>
      <c r="M328" s="207" t="s">
        <v>449</v>
      </c>
      <c r="N328" s="158">
        <v>180</v>
      </c>
      <c r="O328" s="157">
        <v>5120000</v>
      </c>
      <c r="P328" s="158">
        <v>180</v>
      </c>
      <c r="Q328" s="157">
        <v>2560000</v>
      </c>
      <c r="R328" s="205">
        <v>375</v>
      </c>
      <c r="S328" s="157">
        <v>8889500</v>
      </c>
      <c r="T328" s="206">
        <f t="shared" si="82"/>
        <v>915</v>
      </c>
      <c r="U328" s="164">
        <f t="shared" si="88"/>
        <v>99.133261105092103</v>
      </c>
      <c r="V328" s="143" t="s">
        <v>58</v>
      </c>
      <c r="W328" s="159">
        <f t="shared" si="89"/>
        <v>16569500</v>
      </c>
      <c r="X328" s="164">
        <f t="shared" si="84"/>
        <v>99.04360560686213</v>
      </c>
      <c r="Y328" s="143" t="s">
        <v>58</v>
      </c>
      <c r="Z328" s="206">
        <f t="shared" si="50"/>
        <v>1690</v>
      </c>
      <c r="AA328" s="159">
        <f t="shared" si="85"/>
        <v>36919500</v>
      </c>
      <c r="AB328" s="149">
        <f t="shared" si="86"/>
        <v>95.318668922729827</v>
      </c>
      <c r="AC328" s="143" t="s">
        <v>58</v>
      </c>
      <c r="AD328" s="194">
        <f t="shared" si="87"/>
        <v>68.61212808266275</v>
      </c>
      <c r="AE328" s="162"/>
      <c r="AF328" s="1"/>
      <c r="AG328" s="1"/>
      <c r="AH328" s="163"/>
      <c r="AI328" s="1"/>
      <c r="AJ328" s="1"/>
      <c r="AK328" s="1"/>
    </row>
    <row r="329" spans="1:37" customFormat="1" ht="135">
      <c r="A329" s="151"/>
      <c r="B329" s="147"/>
      <c r="C329" s="153" t="s">
        <v>578</v>
      </c>
      <c r="D329" s="154" t="s">
        <v>574</v>
      </c>
      <c r="E329" s="155">
        <v>4545</v>
      </c>
      <c r="F329" s="182" t="s">
        <v>57</v>
      </c>
      <c r="G329" s="195">
        <v>116540000</v>
      </c>
      <c r="H329" s="205">
        <v>1033</v>
      </c>
      <c r="I329" s="157">
        <v>35010000</v>
      </c>
      <c r="J329" s="158">
        <v>1515</v>
      </c>
      <c r="K329" s="157">
        <v>39445000</v>
      </c>
      <c r="L329" s="142">
        <v>391</v>
      </c>
      <c r="M329" s="207" t="s">
        <v>449</v>
      </c>
      <c r="N329" s="158"/>
      <c r="O329" s="157">
        <v>13200000</v>
      </c>
      <c r="P329" s="158"/>
      <c r="Q329" s="157">
        <v>10140000</v>
      </c>
      <c r="R329" s="205">
        <v>277</v>
      </c>
      <c r="S329" s="157">
        <v>14715000</v>
      </c>
      <c r="T329" s="206">
        <f t="shared" si="82"/>
        <v>668</v>
      </c>
      <c r="U329" s="164">
        <f t="shared" si="88"/>
        <v>44.092409240924091</v>
      </c>
      <c r="V329" s="143" t="s">
        <v>58</v>
      </c>
      <c r="W329" s="159">
        <f t="shared" si="89"/>
        <v>38055000</v>
      </c>
      <c r="X329" s="164">
        <f t="shared" si="84"/>
        <v>96.476105970338438</v>
      </c>
      <c r="Y329" s="143" t="s">
        <v>58</v>
      </c>
      <c r="Z329" s="206">
        <f t="shared" si="50"/>
        <v>1701</v>
      </c>
      <c r="AA329" s="159">
        <f t="shared" si="85"/>
        <v>73065000</v>
      </c>
      <c r="AB329" s="149">
        <f t="shared" si="86"/>
        <v>37.425742574257427</v>
      </c>
      <c r="AC329" s="143" t="s">
        <v>58</v>
      </c>
      <c r="AD329" s="194">
        <f t="shared" si="87"/>
        <v>62.695211944396775</v>
      </c>
      <c r="AE329" s="162"/>
      <c r="AF329" s="1"/>
      <c r="AG329" s="1"/>
      <c r="AH329" s="163"/>
      <c r="AI329" s="1"/>
      <c r="AJ329" s="1"/>
      <c r="AK329" s="1"/>
    </row>
    <row r="330" spans="1:37" customFormat="1" ht="135">
      <c r="A330" s="151"/>
      <c r="B330" s="147"/>
      <c r="C330" s="153" t="s">
        <v>579</v>
      </c>
      <c r="D330" s="154" t="s">
        <v>574</v>
      </c>
      <c r="E330" s="155">
        <v>3495</v>
      </c>
      <c r="F330" s="182" t="s">
        <v>57</v>
      </c>
      <c r="G330" s="195">
        <v>59375500</v>
      </c>
      <c r="H330" s="205">
        <v>733</v>
      </c>
      <c r="I330" s="157">
        <v>51335500</v>
      </c>
      <c r="J330" s="158">
        <v>1381</v>
      </c>
      <c r="K330" s="157">
        <v>4020000</v>
      </c>
      <c r="L330" s="142">
        <v>211</v>
      </c>
      <c r="M330" s="207" t="s">
        <v>449</v>
      </c>
      <c r="N330" s="158">
        <v>163</v>
      </c>
      <c r="O330" s="157">
        <v>0</v>
      </c>
      <c r="P330" s="158">
        <v>395</v>
      </c>
      <c r="Q330" s="157">
        <v>4020000</v>
      </c>
      <c r="R330" s="205">
        <v>79</v>
      </c>
      <c r="S330" s="157">
        <v>0</v>
      </c>
      <c r="T330" s="206">
        <f t="shared" si="82"/>
        <v>848</v>
      </c>
      <c r="U330" s="164">
        <f t="shared" si="88"/>
        <v>61.404779145546705</v>
      </c>
      <c r="V330" s="143" t="s">
        <v>58</v>
      </c>
      <c r="W330" s="159">
        <f t="shared" si="89"/>
        <v>4020000</v>
      </c>
      <c r="X330" s="164">
        <f t="shared" si="84"/>
        <v>100</v>
      </c>
      <c r="Y330" s="143" t="s">
        <v>58</v>
      </c>
      <c r="Z330" s="206">
        <f t="shared" si="50"/>
        <v>1581</v>
      </c>
      <c r="AA330" s="159">
        <f t="shared" si="85"/>
        <v>55355500</v>
      </c>
      <c r="AB330" s="149">
        <f t="shared" si="86"/>
        <v>45.236051502145926</v>
      </c>
      <c r="AC330" s="143" t="s">
        <v>58</v>
      </c>
      <c r="AD330" s="194">
        <f t="shared" si="87"/>
        <v>93.229530698688862</v>
      </c>
      <c r="AE330" s="162"/>
      <c r="AF330" s="1"/>
      <c r="AG330" s="1"/>
      <c r="AH330" s="163"/>
      <c r="AI330" s="1"/>
      <c r="AJ330" s="1"/>
      <c r="AK330" s="1"/>
    </row>
    <row r="331" spans="1:37" customFormat="1" ht="135">
      <c r="A331" s="151"/>
      <c r="B331" s="147"/>
      <c r="C331" s="153" t="s">
        <v>580</v>
      </c>
      <c r="D331" s="154" t="s">
        <v>574</v>
      </c>
      <c r="E331" s="155">
        <v>6574</v>
      </c>
      <c r="F331" s="182" t="s">
        <v>57</v>
      </c>
      <c r="G331" s="195">
        <v>88390000</v>
      </c>
      <c r="H331" s="205">
        <v>1026</v>
      </c>
      <c r="I331" s="157">
        <v>29420000</v>
      </c>
      <c r="J331" s="158">
        <v>2426</v>
      </c>
      <c r="K331" s="157">
        <v>29240000</v>
      </c>
      <c r="L331" s="142">
        <v>490</v>
      </c>
      <c r="M331" s="207" t="s">
        <v>449</v>
      </c>
      <c r="N331" s="158">
        <v>209</v>
      </c>
      <c r="O331" s="157">
        <v>11810000</v>
      </c>
      <c r="P331" s="158">
        <v>828</v>
      </c>
      <c r="Q331" s="157">
        <v>7740000</v>
      </c>
      <c r="R331" s="205">
        <v>895</v>
      </c>
      <c r="S331" s="157">
        <v>9350000</v>
      </c>
      <c r="T331" s="206">
        <f t="shared" si="82"/>
        <v>2422</v>
      </c>
      <c r="U331" s="164">
        <f t="shared" si="88"/>
        <v>99.835119538334709</v>
      </c>
      <c r="V331" s="143" t="s">
        <v>58</v>
      </c>
      <c r="W331" s="159">
        <f t="shared" si="89"/>
        <v>28900000</v>
      </c>
      <c r="X331" s="164">
        <f t="shared" si="84"/>
        <v>98.837209302325576</v>
      </c>
      <c r="Y331" s="143" t="s">
        <v>58</v>
      </c>
      <c r="Z331" s="206">
        <f t="shared" si="50"/>
        <v>3448</v>
      </c>
      <c r="AA331" s="159">
        <f t="shared" si="85"/>
        <v>58320000</v>
      </c>
      <c r="AB331" s="149">
        <f t="shared" si="86"/>
        <v>52.449041679342869</v>
      </c>
      <c r="AC331" s="143" t="s">
        <v>58</v>
      </c>
      <c r="AD331" s="194">
        <f t="shared" si="87"/>
        <v>65.980314515216648</v>
      </c>
      <c r="AE331" s="162"/>
      <c r="AF331" s="1"/>
      <c r="AG331" s="1"/>
      <c r="AH331" s="163"/>
      <c r="AI331" s="1"/>
      <c r="AJ331" s="1"/>
      <c r="AK331" s="1"/>
    </row>
    <row r="332" spans="1:37" customFormat="1" ht="135">
      <c r="A332" s="151"/>
      <c r="B332" s="147"/>
      <c r="C332" s="153" t="s">
        <v>581</v>
      </c>
      <c r="D332" s="154" t="s">
        <v>574</v>
      </c>
      <c r="E332" s="155">
        <v>2265</v>
      </c>
      <c r="F332" s="182" t="s">
        <v>57</v>
      </c>
      <c r="G332" s="195">
        <v>106757500</v>
      </c>
      <c r="H332" s="205">
        <v>705</v>
      </c>
      <c r="I332" s="157">
        <v>33577500</v>
      </c>
      <c r="J332" s="158">
        <v>755</v>
      </c>
      <c r="K332" s="157">
        <v>36430000</v>
      </c>
      <c r="L332" s="142">
        <v>273</v>
      </c>
      <c r="M332" s="207" t="s">
        <v>449</v>
      </c>
      <c r="N332" s="158">
        <v>273</v>
      </c>
      <c r="O332" s="157">
        <v>12160000</v>
      </c>
      <c r="P332" s="158">
        <v>207</v>
      </c>
      <c r="Q332" s="157">
        <v>15035000</v>
      </c>
      <c r="R332" s="205">
        <v>200</v>
      </c>
      <c r="S332" s="157">
        <v>8955000</v>
      </c>
      <c r="T332" s="206">
        <f t="shared" si="82"/>
        <v>953</v>
      </c>
      <c r="U332" s="164">
        <f t="shared" si="88"/>
        <v>126.2251655629139</v>
      </c>
      <c r="V332" s="143" t="s">
        <v>58</v>
      </c>
      <c r="W332" s="159">
        <f t="shared" si="89"/>
        <v>36150000</v>
      </c>
      <c r="X332" s="164">
        <f t="shared" si="84"/>
        <v>99.23140269009059</v>
      </c>
      <c r="Y332" s="143" t="s">
        <v>58</v>
      </c>
      <c r="Z332" s="206">
        <f t="shared" si="50"/>
        <v>1658</v>
      </c>
      <c r="AA332" s="159">
        <f t="shared" si="85"/>
        <v>69727500</v>
      </c>
      <c r="AB332" s="149">
        <f t="shared" si="86"/>
        <v>73.200883002207505</v>
      </c>
      <c r="AC332" s="143" t="s">
        <v>58</v>
      </c>
      <c r="AD332" s="194">
        <f t="shared" si="87"/>
        <v>65.313912371496158</v>
      </c>
      <c r="AE332" s="162"/>
      <c r="AF332" s="1"/>
      <c r="AG332" s="1"/>
      <c r="AH332" s="163"/>
      <c r="AI332" s="1"/>
      <c r="AJ332" s="1"/>
      <c r="AK332" s="1"/>
    </row>
    <row r="333" spans="1:37" customFormat="1" ht="135">
      <c r="A333" s="151"/>
      <c r="B333" s="147"/>
      <c r="C333" s="153" t="s">
        <v>582</v>
      </c>
      <c r="D333" s="154" t="s">
        <v>574</v>
      </c>
      <c r="E333" s="155">
        <v>11524</v>
      </c>
      <c r="F333" s="182" t="s">
        <v>57</v>
      </c>
      <c r="G333" s="195">
        <v>105359000</v>
      </c>
      <c r="H333" s="205">
        <v>2522</v>
      </c>
      <c r="I333" s="157">
        <v>25374000</v>
      </c>
      <c r="J333" s="158">
        <v>4238</v>
      </c>
      <c r="K333" s="157">
        <v>33515000</v>
      </c>
      <c r="L333" s="142">
        <v>940</v>
      </c>
      <c r="M333" s="207" t="s">
        <v>449</v>
      </c>
      <c r="N333" s="158">
        <v>950</v>
      </c>
      <c r="O333" s="157">
        <v>10980000</v>
      </c>
      <c r="P333" s="158">
        <v>997</v>
      </c>
      <c r="Q333" s="157">
        <v>8910000</v>
      </c>
      <c r="R333" s="205">
        <v>985</v>
      </c>
      <c r="S333" s="157">
        <v>13065000</v>
      </c>
      <c r="T333" s="206">
        <f t="shared" si="82"/>
        <v>3872</v>
      </c>
      <c r="U333" s="164">
        <f t="shared" si="88"/>
        <v>91.363850873053337</v>
      </c>
      <c r="V333" s="143" t="s">
        <v>58</v>
      </c>
      <c r="W333" s="159">
        <f t="shared" si="89"/>
        <v>32955000</v>
      </c>
      <c r="X333" s="164">
        <f t="shared" si="84"/>
        <v>98.329106370281963</v>
      </c>
      <c r="Y333" s="143" t="s">
        <v>58</v>
      </c>
      <c r="Z333" s="206">
        <f t="shared" si="50"/>
        <v>6394</v>
      </c>
      <c r="AA333" s="159">
        <f t="shared" si="85"/>
        <v>58329000</v>
      </c>
      <c r="AB333" s="149">
        <f t="shared" si="86"/>
        <v>55.484206872613676</v>
      </c>
      <c r="AC333" s="143" t="s">
        <v>58</v>
      </c>
      <c r="AD333" s="194">
        <f t="shared" si="87"/>
        <v>55.362142769008813</v>
      </c>
      <c r="AE333" s="162"/>
      <c r="AF333" s="1"/>
      <c r="AG333" s="1"/>
      <c r="AH333" s="163"/>
      <c r="AI333" s="1"/>
      <c r="AJ333" s="1"/>
      <c r="AK333" s="1"/>
    </row>
    <row r="334" spans="1:37" customFormat="1" ht="135">
      <c r="A334" s="151"/>
      <c r="B334" s="147"/>
      <c r="C334" s="153" t="s">
        <v>583</v>
      </c>
      <c r="D334" s="154" t="s">
        <v>574</v>
      </c>
      <c r="E334" s="155">
        <v>3585</v>
      </c>
      <c r="F334" s="182" t="s">
        <v>57</v>
      </c>
      <c r="G334" s="195">
        <v>137457800</v>
      </c>
      <c r="H334" s="205">
        <v>1195</v>
      </c>
      <c r="I334" s="157">
        <v>47230000</v>
      </c>
      <c r="J334" s="158">
        <v>2417</v>
      </c>
      <c r="K334" s="157">
        <v>40187500</v>
      </c>
      <c r="L334" s="142">
        <v>155</v>
      </c>
      <c r="M334" s="207" t="s">
        <v>449</v>
      </c>
      <c r="N334" s="158">
        <v>628</v>
      </c>
      <c r="O334" s="157">
        <v>13710000</v>
      </c>
      <c r="P334" s="158">
        <v>525</v>
      </c>
      <c r="Q334" s="157">
        <v>10057500</v>
      </c>
      <c r="R334" s="205">
        <v>1109</v>
      </c>
      <c r="S334" s="157">
        <v>16370000</v>
      </c>
      <c r="T334" s="206">
        <f t="shared" si="82"/>
        <v>2417</v>
      </c>
      <c r="U334" s="164">
        <f t="shared" si="88"/>
        <v>100</v>
      </c>
      <c r="V334" s="143" t="s">
        <v>58</v>
      </c>
      <c r="W334" s="159">
        <f t="shared" si="89"/>
        <v>40137500</v>
      </c>
      <c r="X334" s="164">
        <f t="shared" si="84"/>
        <v>99.875583203732504</v>
      </c>
      <c r="Y334" s="143" t="s">
        <v>58</v>
      </c>
      <c r="Z334" s="206">
        <f t="shared" si="50"/>
        <v>3612</v>
      </c>
      <c r="AA334" s="159">
        <f t="shared" si="85"/>
        <v>87367500</v>
      </c>
      <c r="AB334" s="149">
        <f t="shared" si="86"/>
        <v>100.75313807531381</v>
      </c>
      <c r="AC334" s="143" t="s">
        <v>58</v>
      </c>
      <c r="AD334" s="194">
        <f t="shared" si="87"/>
        <v>63.559506990509085</v>
      </c>
      <c r="AE334" s="162"/>
      <c r="AF334" s="1"/>
      <c r="AG334" s="1"/>
      <c r="AH334" s="163"/>
      <c r="AI334" s="1"/>
      <c r="AJ334" s="1"/>
      <c r="AK334" s="1"/>
    </row>
    <row r="335" spans="1:37" customFormat="1" ht="135">
      <c r="A335" s="151"/>
      <c r="B335" s="147"/>
      <c r="C335" s="153" t="s">
        <v>584</v>
      </c>
      <c r="D335" s="154" t="s">
        <v>574</v>
      </c>
      <c r="E335" s="155">
        <v>4167</v>
      </c>
      <c r="F335" s="182" t="s">
        <v>57</v>
      </c>
      <c r="G335" s="195">
        <v>51575400</v>
      </c>
      <c r="H335" s="205">
        <v>1164</v>
      </c>
      <c r="I335" s="157">
        <v>21325400</v>
      </c>
      <c r="J335" s="158">
        <v>1389</v>
      </c>
      <c r="K335" s="157">
        <v>15125000</v>
      </c>
      <c r="L335" s="142">
        <v>210</v>
      </c>
      <c r="M335" s="207" t="s">
        <v>449</v>
      </c>
      <c r="N335" s="158">
        <v>230</v>
      </c>
      <c r="O335" s="157">
        <v>2880000</v>
      </c>
      <c r="P335" s="158">
        <v>379</v>
      </c>
      <c r="Q335" s="157">
        <v>4320000</v>
      </c>
      <c r="R335" s="205">
        <v>399</v>
      </c>
      <c r="S335" s="157">
        <v>6485000</v>
      </c>
      <c r="T335" s="206">
        <f t="shared" si="82"/>
        <v>1218</v>
      </c>
      <c r="U335" s="164">
        <f t="shared" si="88"/>
        <v>87.688984881209507</v>
      </c>
      <c r="V335" s="143" t="s">
        <v>58</v>
      </c>
      <c r="W335" s="159">
        <f t="shared" si="89"/>
        <v>13685000</v>
      </c>
      <c r="X335" s="164">
        <f t="shared" si="84"/>
        <v>90.47933884297521</v>
      </c>
      <c r="Y335" s="143" t="s">
        <v>58</v>
      </c>
      <c r="Z335" s="206">
        <f t="shared" si="50"/>
        <v>2382</v>
      </c>
      <c r="AA335" s="159">
        <f t="shared" si="85"/>
        <v>35010400</v>
      </c>
      <c r="AB335" s="149">
        <f t="shared" si="86"/>
        <v>57.163426925845926</v>
      </c>
      <c r="AC335" s="143" t="s">
        <v>58</v>
      </c>
      <c r="AD335" s="194">
        <f t="shared" si="87"/>
        <v>67.881974739895384</v>
      </c>
      <c r="AE335" s="162"/>
      <c r="AF335" s="1"/>
      <c r="AG335" s="1"/>
      <c r="AH335" s="163"/>
      <c r="AI335" s="1"/>
      <c r="AJ335" s="1"/>
      <c r="AK335" s="1"/>
    </row>
    <row r="336" spans="1:37" customFormat="1" ht="135">
      <c r="A336" s="151"/>
      <c r="B336" s="147"/>
      <c r="C336" s="153" t="s">
        <v>585</v>
      </c>
      <c r="D336" s="154" t="s">
        <v>574</v>
      </c>
      <c r="E336" s="155">
        <v>7907</v>
      </c>
      <c r="F336" s="182" t="s">
        <v>57</v>
      </c>
      <c r="G336" s="195">
        <v>91280000</v>
      </c>
      <c r="H336" s="205">
        <v>2643</v>
      </c>
      <c r="I336" s="157">
        <v>30720000</v>
      </c>
      <c r="J336" s="158">
        <v>2650</v>
      </c>
      <c r="K336" s="157">
        <v>29000000</v>
      </c>
      <c r="L336" s="142">
        <v>732</v>
      </c>
      <c r="M336" s="207" t="s">
        <v>449</v>
      </c>
      <c r="N336" s="158">
        <v>629</v>
      </c>
      <c r="O336" s="157">
        <v>10640000</v>
      </c>
      <c r="P336" s="158">
        <v>671</v>
      </c>
      <c r="Q336" s="157">
        <v>9840000</v>
      </c>
      <c r="R336" s="205">
        <v>603</v>
      </c>
      <c r="S336" s="157">
        <v>6720000</v>
      </c>
      <c r="T336" s="206">
        <f t="shared" si="82"/>
        <v>2635</v>
      </c>
      <c r="U336" s="164">
        <f t="shared" si="88"/>
        <v>99.433962264150949</v>
      </c>
      <c r="V336" s="143" t="s">
        <v>58</v>
      </c>
      <c r="W336" s="159">
        <f t="shared" si="89"/>
        <v>27200000</v>
      </c>
      <c r="X336" s="164">
        <f t="shared" si="84"/>
        <v>93.793103448275858</v>
      </c>
      <c r="Y336" s="143" t="s">
        <v>58</v>
      </c>
      <c r="Z336" s="206">
        <f t="shared" si="50"/>
        <v>5278</v>
      </c>
      <c r="AA336" s="159">
        <f t="shared" si="85"/>
        <v>57920000</v>
      </c>
      <c r="AB336" s="149">
        <f t="shared" si="86"/>
        <v>66.75098014417604</v>
      </c>
      <c r="AC336" s="143" t="s">
        <v>58</v>
      </c>
      <c r="AD336" s="194">
        <f t="shared" si="87"/>
        <v>63.453111305872042</v>
      </c>
      <c r="AE336" s="162"/>
      <c r="AF336" s="1"/>
      <c r="AG336" s="1"/>
      <c r="AH336" s="163"/>
      <c r="AI336" s="1"/>
      <c r="AJ336" s="1"/>
      <c r="AK336" s="1"/>
    </row>
    <row r="337" spans="1:37" customFormat="1" ht="135">
      <c r="A337" s="151"/>
      <c r="B337" s="147"/>
      <c r="C337" s="153" t="s">
        <v>586</v>
      </c>
      <c r="D337" s="154" t="s">
        <v>574</v>
      </c>
      <c r="E337" s="155">
        <v>520</v>
      </c>
      <c r="F337" s="182" t="s">
        <v>57</v>
      </c>
      <c r="G337" s="195">
        <v>59567900</v>
      </c>
      <c r="H337" s="205">
        <v>240</v>
      </c>
      <c r="I337" s="157">
        <v>14849000</v>
      </c>
      <c r="J337" s="158">
        <v>190</v>
      </c>
      <c r="K337" s="157">
        <v>22251200</v>
      </c>
      <c r="L337" s="208">
        <v>60</v>
      </c>
      <c r="M337" s="209" t="s">
        <v>449</v>
      </c>
      <c r="N337" s="210">
        <v>127</v>
      </c>
      <c r="O337" s="209">
        <v>7310000</v>
      </c>
      <c r="P337" s="210">
        <v>203</v>
      </c>
      <c r="Q337" s="209">
        <v>13960000</v>
      </c>
      <c r="R337" s="211">
        <v>298</v>
      </c>
      <c r="S337" s="209">
        <v>21800000</v>
      </c>
      <c r="T337" s="206">
        <f t="shared" si="82"/>
        <v>688</v>
      </c>
      <c r="U337" s="164">
        <f t="shared" si="88"/>
        <v>362.10526315789474</v>
      </c>
      <c r="V337" s="143" t="s">
        <v>58</v>
      </c>
      <c r="W337" s="159">
        <f t="shared" si="89"/>
        <v>43070000</v>
      </c>
      <c r="X337" s="164">
        <f t="shared" si="84"/>
        <v>193.56259437693248</v>
      </c>
      <c r="Y337" s="143" t="s">
        <v>58</v>
      </c>
      <c r="Z337" s="206">
        <f t="shared" si="50"/>
        <v>928</v>
      </c>
      <c r="AA337" s="159">
        <f t="shared" si="85"/>
        <v>57919000</v>
      </c>
      <c r="AB337" s="149">
        <f t="shared" si="86"/>
        <v>178.46153846153848</v>
      </c>
      <c r="AC337" s="143" t="s">
        <v>58</v>
      </c>
      <c r="AD337" s="194">
        <f t="shared" si="87"/>
        <v>97.231898388225872</v>
      </c>
      <c r="AE337" s="162"/>
      <c r="AF337" s="1"/>
      <c r="AG337" s="1"/>
      <c r="AH337" s="163"/>
      <c r="AI337" s="1"/>
      <c r="AJ337" s="1"/>
      <c r="AK337" s="1"/>
    </row>
    <row r="338" spans="1:37" customFormat="1" ht="135">
      <c r="A338" s="151"/>
      <c r="B338" s="147"/>
      <c r="C338" s="153" t="s">
        <v>587</v>
      </c>
      <c r="D338" s="154" t="s">
        <v>574</v>
      </c>
      <c r="E338" s="155">
        <v>878</v>
      </c>
      <c r="F338" s="182" t="s">
        <v>57</v>
      </c>
      <c r="G338" s="195">
        <v>64974400</v>
      </c>
      <c r="H338" s="205">
        <v>292</v>
      </c>
      <c r="I338" s="157">
        <v>23959400</v>
      </c>
      <c r="J338" s="158">
        <v>292</v>
      </c>
      <c r="K338" s="157">
        <v>20025000</v>
      </c>
      <c r="L338" s="142">
        <v>83</v>
      </c>
      <c r="M338" s="207" t="s">
        <v>449</v>
      </c>
      <c r="N338" s="158">
        <v>50</v>
      </c>
      <c r="O338" s="157">
        <v>6960000</v>
      </c>
      <c r="P338" s="158">
        <v>140</v>
      </c>
      <c r="Q338" s="157">
        <v>6480000</v>
      </c>
      <c r="R338" s="212">
        <v>32</v>
      </c>
      <c r="S338" s="209">
        <v>6260000</v>
      </c>
      <c r="T338" s="206">
        <f t="shared" si="82"/>
        <v>305</v>
      </c>
      <c r="U338" s="164">
        <f t="shared" si="88"/>
        <v>104.45205479452055</v>
      </c>
      <c r="V338" s="143" t="s">
        <v>58</v>
      </c>
      <c r="W338" s="159">
        <f t="shared" si="89"/>
        <v>19700000</v>
      </c>
      <c r="X338" s="164">
        <f t="shared" si="84"/>
        <v>98.377028714107368</v>
      </c>
      <c r="Y338" s="143" t="s">
        <v>58</v>
      </c>
      <c r="Z338" s="206">
        <f t="shared" si="50"/>
        <v>597</v>
      </c>
      <c r="AA338" s="159">
        <f t="shared" si="85"/>
        <v>43659400</v>
      </c>
      <c r="AB338" s="149">
        <f t="shared" si="86"/>
        <v>67.995444191343964</v>
      </c>
      <c r="AC338" s="143" t="s">
        <v>58</v>
      </c>
      <c r="AD338" s="194">
        <f t="shared" si="87"/>
        <v>67.194772094855821</v>
      </c>
      <c r="AE338" s="162"/>
      <c r="AF338" s="1"/>
      <c r="AG338" s="1"/>
      <c r="AH338" s="163"/>
      <c r="AI338" s="1"/>
      <c r="AJ338" s="1"/>
      <c r="AK338" s="1"/>
    </row>
    <row r="339" spans="1:37" customFormat="1" ht="135">
      <c r="A339" s="151"/>
      <c r="B339" s="147"/>
      <c r="C339" s="153" t="s">
        <v>588</v>
      </c>
      <c r="D339" s="154" t="s">
        <v>574</v>
      </c>
      <c r="E339" s="155">
        <v>10777</v>
      </c>
      <c r="F339" s="182" t="s">
        <v>57</v>
      </c>
      <c r="G339" s="195">
        <v>102816000</v>
      </c>
      <c r="H339" s="205">
        <v>2191</v>
      </c>
      <c r="I339" s="157">
        <v>30206000</v>
      </c>
      <c r="J339" s="158">
        <v>4282</v>
      </c>
      <c r="K339" s="157">
        <v>35925000</v>
      </c>
      <c r="L339" s="142">
        <v>771</v>
      </c>
      <c r="M339" s="207" t="s">
        <v>449</v>
      </c>
      <c r="N339" s="158">
        <v>628</v>
      </c>
      <c r="O339" s="157">
        <v>12320000</v>
      </c>
      <c r="P339" s="158">
        <v>485</v>
      </c>
      <c r="Q339" s="157">
        <v>11845000</v>
      </c>
      <c r="R339" s="212">
        <v>137</v>
      </c>
      <c r="S339" s="209">
        <v>9660000</v>
      </c>
      <c r="T339" s="206">
        <f t="shared" si="82"/>
        <v>2021</v>
      </c>
      <c r="U339" s="164">
        <f t="shared" si="88"/>
        <v>47.197571228397948</v>
      </c>
      <c r="V339" s="143" t="s">
        <v>58</v>
      </c>
      <c r="W339" s="159">
        <f t="shared" si="89"/>
        <v>33825000</v>
      </c>
      <c r="X339" s="164">
        <f t="shared" si="84"/>
        <v>94.154488517745307</v>
      </c>
      <c r="Y339" s="143" t="s">
        <v>58</v>
      </c>
      <c r="Z339" s="206">
        <f t="shared" si="50"/>
        <v>4212</v>
      </c>
      <c r="AA339" s="159">
        <f t="shared" si="85"/>
        <v>64031000</v>
      </c>
      <c r="AB339" s="149">
        <f t="shared" si="86"/>
        <v>39.0832328106152</v>
      </c>
      <c r="AC339" s="143" t="s">
        <v>58</v>
      </c>
      <c r="AD339" s="194">
        <f t="shared" si="87"/>
        <v>62.277272019919081</v>
      </c>
      <c r="AE339" s="162"/>
      <c r="AF339" s="1"/>
      <c r="AG339" s="1"/>
      <c r="AH339" s="163"/>
      <c r="AI339" s="1"/>
      <c r="AJ339" s="1"/>
      <c r="AK339" s="1"/>
    </row>
    <row r="340" spans="1:37" customFormat="1" ht="135">
      <c r="A340" s="151"/>
      <c r="B340" s="147"/>
      <c r="C340" s="153" t="s">
        <v>589</v>
      </c>
      <c r="D340" s="154" t="s">
        <v>574</v>
      </c>
      <c r="E340" s="155">
        <v>2325</v>
      </c>
      <c r="F340" s="182" t="s">
        <v>57</v>
      </c>
      <c r="G340" s="195">
        <v>102305000</v>
      </c>
      <c r="H340" s="205">
        <v>775</v>
      </c>
      <c r="I340" s="157">
        <v>27030000</v>
      </c>
      <c r="J340" s="158">
        <v>825</v>
      </c>
      <c r="K340" s="157">
        <v>37637500</v>
      </c>
      <c r="L340" s="142">
        <v>389</v>
      </c>
      <c r="M340" s="207" t="s">
        <v>449</v>
      </c>
      <c r="N340" s="158">
        <v>532</v>
      </c>
      <c r="O340" s="157">
        <v>12760000</v>
      </c>
      <c r="P340" s="158">
        <v>169</v>
      </c>
      <c r="Q340" s="157">
        <v>12117500</v>
      </c>
      <c r="R340" s="212">
        <v>204</v>
      </c>
      <c r="S340" s="209">
        <v>12760000</v>
      </c>
      <c r="T340" s="206">
        <f t="shared" si="82"/>
        <v>1294</v>
      </c>
      <c r="U340" s="164">
        <f t="shared" si="88"/>
        <v>156.84848484848487</v>
      </c>
      <c r="V340" s="143" t="s">
        <v>58</v>
      </c>
      <c r="W340" s="159">
        <f t="shared" si="89"/>
        <v>37637500</v>
      </c>
      <c r="X340" s="164">
        <f t="shared" si="84"/>
        <v>100</v>
      </c>
      <c r="Y340" s="143" t="s">
        <v>58</v>
      </c>
      <c r="Z340" s="206">
        <f t="shared" si="50"/>
        <v>2069</v>
      </c>
      <c r="AA340" s="159">
        <f t="shared" si="85"/>
        <v>64667500</v>
      </c>
      <c r="AB340" s="149">
        <f t="shared" si="86"/>
        <v>88.989247311827953</v>
      </c>
      <c r="AC340" s="143" t="s">
        <v>58</v>
      </c>
      <c r="AD340" s="194">
        <f t="shared" si="87"/>
        <v>63.210498020624605</v>
      </c>
      <c r="AE340" s="162"/>
      <c r="AF340" s="1"/>
      <c r="AG340" s="1"/>
      <c r="AH340" s="163"/>
      <c r="AI340" s="1"/>
      <c r="AJ340" s="1"/>
      <c r="AK340" s="1"/>
    </row>
    <row r="341" spans="1:37" customFormat="1" ht="135">
      <c r="A341" s="151"/>
      <c r="B341" s="147"/>
      <c r="C341" s="153" t="s">
        <v>590</v>
      </c>
      <c r="D341" s="154" t="s">
        <v>574</v>
      </c>
      <c r="E341" s="155">
        <v>8104</v>
      </c>
      <c r="F341" s="182" t="s">
        <v>57</v>
      </c>
      <c r="G341" s="195">
        <v>122125000</v>
      </c>
      <c r="H341" s="205">
        <v>1799</v>
      </c>
      <c r="I341" s="157">
        <v>47215000</v>
      </c>
      <c r="J341" s="158">
        <v>1106</v>
      </c>
      <c r="K341" s="157">
        <v>37170000</v>
      </c>
      <c r="L341" s="213">
        <v>492</v>
      </c>
      <c r="M341" s="214">
        <v>0</v>
      </c>
      <c r="N341" s="215">
        <v>421</v>
      </c>
      <c r="O341" s="209">
        <v>12270000</v>
      </c>
      <c r="P341" s="215">
        <v>131</v>
      </c>
      <c r="Q341" s="209">
        <v>13380000</v>
      </c>
      <c r="R341" s="216">
        <v>43</v>
      </c>
      <c r="S341" s="209">
        <v>9230000</v>
      </c>
      <c r="T341" s="206">
        <f t="shared" si="82"/>
        <v>1087</v>
      </c>
      <c r="U341" s="164">
        <f t="shared" si="88"/>
        <v>98.282097649186255</v>
      </c>
      <c r="V341" s="143" t="s">
        <v>58</v>
      </c>
      <c r="W341" s="159">
        <f t="shared" si="89"/>
        <v>34880000</v>
      </c>
      <c r="X341" s="164">
        <f t="shared" si="84"/>
        <v>93.839117567931126</v>
      </c>
      <c r="Y341" s="143" t="s">
        <v>58</v>
      </c>
      <c r="Z341" s="206">
        <f t="shared" si="50"/>
        <v>2886</v>
      </c>
      <c r="AA341" s="159">
        <f t="shared" si="85"/>
        <v>82095000</v>
      </c>
      <c r="AB341" s="149">
        <f t="shared" si="86"/>
        <v>35.612043435340574</v>
      </c>
      <c r="AC341" s="143" t="s">
        <v>58</v>
      </c>
      <c r="AD341" s="194">
        <f t="shared" si="87"/>
        <v>67.222108495394068</v>
      </c>
      <c r="AE341" s="162"/>
      <c r="AF341" s="1"/>
      <c r="AG341" s="1"/>
      <c r="AH341" s="163"/>
      <c r="AI341" s="1"/>
      <c r="AJ341" s="1"/>
      <c r="AK341" s="1"/>
    </row>
    <row r="342" spans="1:37" customFormat="1" ht="135">
      <c r="A342" s="151"/>
      <c r="B342" s="147"/>
      <c r="C342" s="153" t="s">
        <v>591</v>
      </c>
      <c r="D342" s="154" t="s">
        <v>574</v>
      </c>
      <c r="E342" s="155">
        <v>3828</v>
      </c>
      <c r="F342" s="182" t="s">
        <v>57</v>
      </c>
      <c r="G342" s="195">
        <v>73925000</v>
      </c>
      <c r="H342" s="205">
        <v>1062</v>
      </c>
      <c r="I342" s="157">
        <v>28825000</v>
      </c>
      <c r="J342" s="158">
        <v>1271</v>
      </c>
      <c r="K342" s="157">
        <v>1025000</v>
      </c>
      <c r="L342" s="142">
        <v>325</v>
      </c>
      <c r="M342" s="157">
        <v>0</v>
      </c>
      <c r="N342" s="158">
        <v>326</v>
      </c>
      <c r="O342" s="157">
        <v>0</v>
      </c>
      <c r="P342" s="158">
        <v>321</v>
      </c>
      <c r="Q342" s="157">
        <v>0</v>
      </c>
      <c r="R342" s="212">
        <v>269</v>
      </c>
      <c r="S342" s="183">
        <v>1025000</v>
      </c>
      <c r="T342" s="206">
        <f t="shared" si="82"/>
        <v>1241</v>
      </c>
      <c r="U342" s="164">
        <f t="shared" si="88"/>
        <v>97.639653815892999</v>
      </c>
      <c r="V342" s="143" t="s">
        <v>58</v>
      </c>
      <c r="W342" s="159">
        <f t="shared" si="89"/>
        <v>1025000</v>
      </c>
      <c r="X342" s="164">
        <f t="shared" si="84"/>
        <v>100</v>
      </c>
      <c r="Y342" s="143" t="s">
        <v>58</v>
      </c>
      <c r="Z342" s="206">
        <f t="shared" si="50"/>
        <v>2303</v>
      </c>
      <c r="AA342" s="159">
        <f t="shared" si="85"/>
        <v>29850000</v>
      </c>
      <c r="AB342" s="149">
        <f t="shared" si="86"/>
        <v>60.161964472309307</v>
      </c>
      <c r="AC342" s="143" t="s">
        <v>58</v>
      </c>
      <c r="AD342" s="194">
        <f t="shared" si="87"/>
        <v>40.378762259046333</v>
      </c>
      <c r="AE342" s="162"/>
      <c r="AF342" s="1"/>
      <c r="AG342" s="1"/>
      <c r="AH342" s="163"/>
      <c r="AI342" s="1"/>
      <c r="AJ342" s="1"/>
      <c r="AK342" s="1"/>
    </row>
    <row r="343" spans="1:37" customFormat="1" ht="135">
      <c r="A343" s="151"/>
      <c r="B343" s="147"/>
      <c r="C343" s="153" t="s">
        <v>592</v>
      </c>
      <c r="D343" s="154" t="s">
        <v>574</v>
      </c>
      <c r="E343" s="155">
        <v>8712</v>
      </c>
      <c r="F343" s="182" t="s">
        <v>57</v>
      </c>
      <c r="G343" s="195">
        <v>57170000</v>
      </c>
      <c r="H343" s="205">
        <v>2423</v>
      </c>
      <c r="I343" s="157">
        <v>22820000</v>
      </c>
      <c r="J343" s="158">
        <v>2904</v>
      </c>
      <c r="K343" s="157">
        <v>16940000</v>
      </c>
      <c r="L343" s="142">
        <v>726</v>
      </c>
      <c r="M343" s="207" t="s">
        <v>449</v>
      </c>
      <c r="N343" s="158">
        <v>726</v>
      </c>
      <c r="O343" s="157">
        <v>6160000</v>
      </c>
      <c r="P343" s="158">
        <v>726</v>
      </c>
      <c r="Q343" s="157">
        <v>4620000</v>
      </c>
      <c r="R343" s="212">
        <v>726</v>
      </c>
      <c r="S343" s="209">
        <v>6160000</v>
      </c>
      <c r="T343" s="206">
        <f t="shared" si="82"/>
        <v>2904</v>
      </c>
      <c r="U343" s="164">
        <f t="shared" si="88"/>
        <v>100</v>
      </c>
      <c r="V343" s="143" t="s">
        <v>58</v>
      </c>
      <c r="W343" s="159">
        <f t="shared" si="89"/>
        <v>16940000</v>
      </c>
      <c r="X343" s="164">
        <f t="shared" si="84"/>
        <v>100</v>
      </c>
      <c r="Y343" s="143" t="s">
        <v>58</v>
      </c>
      <c r="Z343" s="206">
        <f t="shared" si="50"/>
        <v>5327</v>
      </c>
      <c r="AA343" s="159">
        <f t="shared" si="85"/>
        <v>39760000</v>
      </c>
      <c r="AB343" s="149">
        <f t="shared" si="86"/>
        <v>61.145546372819105</v>
      </c>
      <c r="AC343" s="143" t="s">
        <v>58</v>
      </c>
      <c r="AD343" s="194">
        <f t="shared" si="87"/>
        <v>69.546965191534014</v>
      </c>
      <c r="AE343" s="162"/>
      <c r="AF343" s="1"/>
      <c r="AG343" s="1"/>
      <c r="AH343" s="163"/>
      <c r="AI343" s="1"/>
      <c r="AJ343" s="1"/>
      <c r="AK343" s="1"/>
    </row>
    <row r="344" spans="1:37" customFormat="1" ht="135">
      <c r="A344" s="151"/>
      <c r="B344" s="147"/>
      <c r="C344" s="153" t="s">
        <v>593</v>
      </c>
      <c r="D344" s="154" t="s">
        <v>574</v>
      </c>
      <c r="E344" s="155">
        <v>4248</v>
      </c>
      <c r="F344" s="182" t="s">
        <v>57</v>
      </c>
      <c r="G344" s="195">
        <v>25295500</v>
      </c>
      <c r="H344" s="205">
        <v>1100</v>
      </c>
      <c r="I344" s="157">
        <v>19724300</v>
      </c>
      <c r="J344" s="158">
        <v>1228</v>
      </c>
      <c r="K344" s="157">
        <v>2785600</v>
      </c>
      <c r="L344" s="208">
        <v>469</v>
      </c>
      <c r="M344" s="209" t="s">
        <v>449</v>
      </c>
      <c r="N344" s="210">
        <v>259</v>
      </c>
      <c r="O344" s="209" t="s">
        <v>449</v>
      </c>
      <c r="P344" s="210">
        <v>240</v>
      </c>
      <c r="Q344" s="209">
        <v>2360000</v>
      </c>
      <c r="R344" s="211">
        <v>260</v>
      </c>
      <c r="S344" s="157">
        <v>305600</v>
      </c>
      <c r="T344" s="206">
        <f t="shared" si="82"/>
        <v>1228</v>
      </c>
      <c r="U344" s="164">
        <f t="shared" si="88"/>
        <v>100</v>
      </c>
      <c r="V344" s="143" t="s">
        <v>58</v>
      </c>
      <c r="W344" s="159">
        <f t="shared" si="89"/>
        <v>2665600</v>
      </c>
      <c r="X344" s="164">
        <f t="shared" si="84"/>
        <v>95.692130959218829</v>
      </c>
      <c r="Y344" s="143" t="s">
        <v>58</v>
      </c>
      <c r="Z344" s="206">
        <f t="shared" si="50"/>
        <v>2328</v>
      </c>
      <c r="AA344" s="159">
        <f t="shared" si="85"/>
        <v>22389900</v>
      </c>
      <c r="AB344" s="149">
        <f t="shared" si="86"/>
        <v>54.802259887005647</v>
      </c>
      <c r="AC344" s="143" t="s">
        <v>58</v>
      </c>
      <c r="AD344" s="194">
        <f t="shared" si="87"/>
        <v>88.513371943626339</v>
      </c>
      <c r="AE344" s="162"/>
      <c r="AF344" s="1"/>
      <c r="AG344" s="1"/>
      <c r="AH344" s="163"/>
      <c r="AI344" s="1"/>
      <c r="AJ344" s="1"/>
      <c r="AK344" s="1"/>
    </row>
    <row r="345" spans="1:37" customFormat="1" ht="135">
      <c r="A345" s="151"/>
      <c r="B345" s="147"/>
      <c r="C345" s="153" t="s">
        <v>594</v>
      </c>
      <c r="D345" s="154" t="s">
        <v>574</v>
      </c>
      <c r="E345" s="155">
        <v>10</v>
      </c>
      <c r="F345" s="182" t="s">
        <v>57</v>
      </c>
      <c r="G345" s="195">
        <v>1650000</v>
      </c>
      <c r="H345" s="205"/>
      <c r="I345" s="157"/>
      <c r="J345" s="158">
        <v>5</v>
      </c>
      <c r="K345" s="157">
        <v>825000</v>
      </c>
      <c r="L345" s="142">
        <v>0</v>
      </c>
      <c r="M345" s="207" t="s">
        <v>449</v>
      </c>
      <c r="N345" s="158"/>
      <c r="O345" s="157">
        <v>0</v>
      </c>
      <c r="P345" s="158">
        <v>5</v>
      </c>
      <c r="Q345" s="157">
        <v>725000</v>
      </c>
      <c r="R345" s="205">
        <v>0</v>
      </c>
      <c r="S345" s="157">
        <v>0</v>
      </c>
      <c r="T345" s="206">
        <f t="shared" si="82"/>
        <v>5</v>
      </c>
      <c r="U345" s="164">
        <f t="shared" si="88"/>
        <v>100</v>
      </c>
      <c r="V345" s="143" t="s">
        <v>58</v>
      </c>
      <c r="W345" s="159">
        <f t="shared" si="89"/>
        <v>725000</v>
      </c>
      <c r="X345" s="164">
        <f t="shared" si="84"/>
        <v>87.878787878787875</v>
      </c>
      <c r="Y345" s="143" t="s">
        <v>58</v>
      </c>
      <c r="Z345" s="206">
        <f t="shared" si="50"/>
        <v>5</v>
      </c>
      <c r="AA345" s="159">
        <f t="shared" si="85"/>
        <v>725000</v>
      </c>
      <c r="AB345" s="149">
        <f t="shared" si="86"/>
        <v>50</v>
      </c>
      <c r="AC345" s="143" t="s">
        <v>58</v>
      </c>
      <c r="AD345" s="194">
        <f t="shared" si="87"/>
        <v>43.939393939393938</v>
      </c>
      <c r="AE345" s="162"/>
      <c r="AF345" s="1"/>
      <c r="AG345" s="1"/>
      <c r="AH345" s="163"/>
      <c r="AI345" s="1"/>
      <c r="AJ345" s="1"/>
      <c r="AK345" s="1"/>
    </row>
    <row r="346" spans="1:37" customFormat="1" ht="135">
      <c r="A346" s="151"/>
      <c r="B346" s="147"/>
      <c r="C346" s="153" t="s">
        <v>595</v>
      </c>
      <c r="D346" s="154" t="s">
        <v>574</v>
      </c>
      <c r="E346" s="155">
        <v>3764</v>
      </c>
      <c r="F346" s="182" t="s">
        <v>57</v>
      </c>
      <c r="G346" s="195">
        <v>94769600</v>
      </c>
      <c r="H346" s="205">
        <v>1250</v>
      </c>
      <c r="I346" s="157">
        <v>62075000</v>
      </c>
      <c r="J346" s="158">
        <v>1257</v>
      </c>
      <c r="K346" s="157">
        <v>16347300</v>
      </c>
      <c r="L346" s="142">
        <v>214</v>
      </c>
      <c r="M346" s="207" t="s">
        <v>449</v>
      </c>
      <c r="N346" s="158">
        <v>347</v>
      </c>
      <c r="O346" s="157">
        <v>4820000</v>
      </c>
      <c r="P346" s="158">
        <v>348</v>
      </c>
      <c r="Q346" s="157">
        <v>5902750</v>
      </c>
      <c r="R346" s="212">
        <v>348</v>
      </c>
      <c r="S346" s="209">
        <v>4300000</v>
      </c>
      <c r="T346" s="206">
        <f t="shared" si="82"/>
        <v>1257</v>
      </c>
      <c r="U346" s="164">
        <f t="shared" si="88"/>
        <v>100</v>
      </c>
      <c r="V346" s="143" t="s">
        <v>58</v>
      </c>
      <c r="W346" s="159">
        <f t="shared" si="89"/>
        <v>15022750</v>
      </c>
      <c r="X346" s="164">
        <f t="shared" si="84"/>
        <v>91.89743872076734</v>
      </c>
      <c r="Y346" s="143" t="s">
        <v>58</v>
      </c>
      <c r="Z346" s="206">
        <f t="shared" si="50"/>
        <v>2507</v>
      </c>
      <c r="AA346" s="159">
        <f t="shared" si="85"/>
        <v>77097750</v>
      </c>
      <c r="AB346" s="149">
        <f t="shared" si="86"/>
        <v>66.604675876726887</v>
      </c>
      <c r="AC346" s="143" t="s">
        <v>58</v>
      </c>
      <c r="AD346" s="194">
        <f t="shared" si="87"/>
        <v>81.352828333136358</v>
      </c>
      <c r="AE346" s="162"/>
      <c r="AF346" s="1"/>
      <c r="AG346" s="1"/>
      <c r="AH346" s="163"/>
      <c r="AI346" s="1"/>
      <c r="AJ346" s="1"/>
      <c r="AK346" s="1"/>
    </row>
    <row r="347" spans="1:37" customFormat="1" ht="135">
      <c r="A347" s="151"/>
      <c r="B347" s="147"/>
      <c r="C347" s="153" t="s">
        <v>596</v>
      </c>
      <c r="D347" s="154" t="s">
        <v>597</v>
      </c>
      <c r="E347" s="155">
        <f>J347*2</f>
        <v>122720</v>
      </c>
      <c r="F347" s="182" t="s">
        <v>57</v>
      </c>
      <c r="G347" s="195">
        <f>K347*2</f>
        <v>115470000</v>
      </c>
      <c r="H347" s="205"/>
      <c r="I347" s="157"/>
      <c r="J347" s="158">
        <v>61360</v>
      </c>
      <c r="K347" s="157">
        <v>57735000</v>
      </c>
      <c r="L347" s="142">
        <v>12969</v>
      </c>
      <c r="M347" s="157">
        <v>0</v>
      </c>
      <c r="N347" s="158">
        <v>17115</v>
      </c>
      <c r="O347" s="157">
        <v>0</v>
      </c>
      <c r="P347" s="158">
        <v>12980</v>
      </c>
      <c r="Q347" s="157">
        <v>0</v>
      </c>
      <c r="R347" s="205">
        <v>13880</v>
      </c>
      <c r="S347" s="157">
        <v>39195000</v>
      </c>
      <c r="T347" s="206">
        <f t="shared" si="82"/>
        <v>56944</v>
      </c>
      <c r="U347" s="164">
        <f t="shared" si="88"/>
        <v>92.803129074315521</v>
      </c>
      <c r="V347" s="143" t="s">
        <v>58</v>
      </c>
      <c r="W347" s="159">
        <f t="shared" si="89"/>
        <v>39195000</v>
      </c>
      <c r="X347" s="164">
        <f t="shared" si="84"/>
        <v>67.88776305533905</v>
      </c>
      <c r="Y347" s="143" t="s">
        <v>58</v>
      </c>
      <c r="Z347" s="206">
        <f t="shared" si="50"/>
        <v>56944</v>
      </c>
      <c r="AA347" s="159">
        <f t="shared" si="85"/>
        <v>39195000</v>
      </c>
      <c r="AB347" s="149">
        <f t="shared" si="86"/>
        <v>46.401564537157761</v>
      </c>
      <c r="AC347" s="143" t="s">
        <v>58</v>
      </c>
      <c r="AD347" s="194">
        <f t="shared" si="87"/>
        <v>33.943881527669525</v>
      </c>
      <c r="AE347" s="162"/>
      <c r="AF347" s="1"/>
      <c r="AG347" s="1"/>
      <c r="AH347" s="163"/>
      <c r="AI347" s="1"/>
      <c r="AJ347" s="1"/>
      <c r="AK347" s="1"/>
    </row>
    <row r="348" spans="1:37" customFormat="1" ht="135">
      <c r="A348" s="151"/>
      <c r="B348" s="147"/>
      <c r="C348" s="153" t="s">
        <v>598</v>
      </c>
      <c r="D348" s="154" t="s">
        <v>597</v>
      </c>
      <c r="E348" s="155">
        <v>4841</v>
      </c>
      <c r="F348" s="182" t="s">
        <v>57</v>
      </c>
      <c r="G348" s="195">
        <v>11040000</v>
      </c>
      <c r="H348" s="205">
        <v>1237</v>
      </c>
      <c r="I348" s="157">
        <v>3360000</v>
      </c>
      <c r="J348" s="158">
        <v>1622</v>
      </c>
      <c r="K348" s="157">
        <v>3840000</v>
      </c>
      <c r="L348" s="208">
        <v>254</v>
      </c>
      <c r="M348" s="209" t="s">
        <v>449</v>
      </c>
      <c r="N348" s="210">
        <v>493</v>
      </c>
      <c r="O348" s="209">
        <v>1920000</v>
      </c>
      <c r="P348" s="210">
        <v>749</v>
      </c>
      <c r="Q348" s="209">
        <v>2880000</v>
      </c>
      <c r="R348" s="211">
        <v>1.02</v>
      </c>
      <c r="S348" s="209">
        <v>3840000</v>
      </c>
      <c r="T348" s="206">
        <f t="shared" si="82"/>
        <v>1497.02</v>
      </c>
      <c r="U348" s="164">
        <f t="shared" si="88"/>
        <v>92.294697903822438</v>
      </c>
      <c r="V348" s="143" t="s">
        <v>58</v>
      </c>
      <c r="W348" s="159">
        <f t="shared" si="89"/>
        <v>8640000</v>
      </c>
      <c r="X348" s="164">
        <f t="shared" si="84"/>
        <v>225</v>
      </c>
      <c r="Y348" s="143" t="s">
        <v>58</v>
      </c>
      <c r="Z348" s="206">
        <f t="shared" si="50"/>
        <v>2734.02</v>
      </c>
      <c r="AA348" s="159">
        <f t="shared" si="85"/>
        <v>12000000</v>
      </c>
      <c r="AB348" s="149">
        <f t="shared" si="86"/>
        <v>56.476347862011977</v>
      </c>
      <c r="AC348" s="143" t="s">
        <v>58</v>
      </c>
      <c r="AD348" s="194">
        <f t="shared" si="87"/>
        <v>108.69565217391303</v>
      </c>
      <c r="AE348" s="162"/>
      <c r="AF348" s="1"/>
      <c r="AG348" s="1"/>
      <c r="AH348" s="163"/>
      <c r="AI348" s="1"/>
      <c r="AJ348" s="1"/>
      <c r="AK348" s="1"/>
    </row>
    <row r="349" spans="1:37" customFormat="1" ht="135">
      <c r="A349" s="151"/>
      <c r="B349" s="147"/>
      <c r="C349" s="153" t="s">
        <v>599</v>
      </c>
      <c r="D349" s="154" t="s">
        <v>597</v>
      </c>
      <c r="E349" s="155">
        <v>18936</v>
      </c>
      <c r="F349" s="182" t="s">
        <v>57</v>
      </c>
      <c r="G349" s="195">
        <v>29280000</v>
      </c>
      <c r="H349" s="205">
        <v>7364</v>
      </c>
      <c r="I349" s="157">
        <v>7110000</v>
      </c>
      <c r="J349" s="158">
        <v>6312</v>
      </c>
      <c r="K349" s="157">
        <v>9280000</v>
      </c>
      <c r="L349" s="142">
        <v>1609</v>
      </c>
      <c r="M349" s="207" t="s">
        <v>449</v>
      </c>
      <c r="N349" s="158">
        <v>2542</v>
      </c>
      <c r="O349" s="157">
        <v>3360000</v>
      </c>
      <c r="P349" s="158">
        <v>1669</v>
      </c>
      <c r="Q349" s="157">
        <v>2420000</v>
      </c>
      <c r="R349" s="212">
        <v>232</v>
      </c>
      <c r="S349" s="209">
        <v>2050000</v>
      </c>
      <c r="T349" s="206">
        <f t="shared" si="82"/>
        <v>6052</v>
      </c>
      <c r="U349" s="164">
        <f t="shared" si="88"/>
        <v>95.880861850443594</v>
      </c>
      <c r="V349" s="143" t="s">
        <v>58</v>
      </c>
      <c r="W349" s="159">
        <f t="shared" si="89"/>
        <v>7830000</v>
      </c>
      <c r="X349" s="164">
        <f t="shared" si="84"/>
        <v>84.375</v>
      </c>
      <c r="Y349" s="143" t="s">
        <v>58</v>
      </c>
      <c r="Z349" s="206">
        <f t="shared" si="50"/>
        <v>13416</v>
      </c>
      <c r="AA349" s="159">
        <f t="shared" si="85"/>
        <v>14940000</v>
      </c>
      <c r="AB349" s="149">
        <f t="shared" si="86"/>
        <v>70.849176172370093</v>
      </c>
      <c r="AC349" s="143" t="s">
        <v>58</v>
      </c>
      <c r="AD349" s="194">
        <f t="shared" si="87"/>
        <v>51.024590163934427</v>
      </c>
      <c r="AE349" s="162"/>
      <c r="AF349" s="1"/>
      <c r="AG349" s="1"/>
      <c r="AH349" s="163"/>
      <c r="AI349" s="1"/>
      <c r="AJ349" s="1"/>
      <c r="AK349" s="1"/>
    </row>
    <row r="350" spans="1:37" customFormat="1" ht="135">
      <c r="A350" s="151"/>
      <c r="B350" s="147"/>
      <c r="C350" s="153" t="s">
        <v>600</v>
      </c>
      <c r="D350" s="154" t="s">
        <v>601</v>
      </c>
      <c r="E350" s="155">
        <f>J350*2</f>
        <v>9648</v>
      </c>
      <c r="F350" s="182" t="s">
        <v>57</v>
      </c>
      <c r="G350" s="195">
        <f>K350*2</f>
        <v>906801000</v>
      </c>
      <c r="H350" s="205"/>
      <c r="I350" s="157"/>
      <c r="J350" s="158">
        <v>4824</v>
      </c>
      <c r="K350" s="157">
        <v>453400500</v>
      </c>
      <c r="L350" s="142">
        <v>1516</v>
      </c>
      <c r="M350" s="157">
        <v>0</v>
      </c>
      <c r="N350" s="158">
        <v>1081</v>
      </c>
      <c r="O350" s="157">
        <v>0</v>
      </c>
      <c r="P350" s="158">
        <v>471</v>
      </c>
      <c r="Q350" s="157">
        <v>350258875</v>
      </c>
      <c r="R350" s="205">
        <v>1756</v>
      </c>
      <c r="S350" s="157">
        <f>374363875-Q350</f>
        <v>24105000</v>
      </c>
      <c r="T350" s="206">
        <f t="shared" si="82"/>
        <v>4824</v>
      </c>
      <c r="U350" s="164">
        <f t="shared" si="88"/>
        <v>100</v>
      </c>
      <c r="V350" s="143" t="s">
        <v>58</v>
      </c>
      <c r="W350" s="159">
        <f t="shared" si="89"/>
        <v>374363875</v>
      </c>
      <c r="X350" s="164">
        <f t="shared" si="84"/>
        <v>82.568033118622495</v>
      </c>
      <c r="Y350" s="143" t="s">
        <v>58</v>
      </c>
      <c r="Z350" s="206">
        <f t="shared" si="50"/>
        <v>4824</v>
      </c>
      <c r="AA350" s="159">
        <f t="shared" si="85"/>
        <v>374363875</v>
      </c>
      <c r="AB350" s="149">
        <f t="shared" si="86"/>
        <v>50</v>
      </c>
      <c r="AC350" s="143" t="s">
        <v>58</v>
      </c>
      <c r="AD350" s="194">
        <f t="shared" si="87"/>
        <v>41.284016559311247</v>
      </c>
      <c r="AE350" s="162"/>
      <c r="AF350" s="1"/>
      <c r="AG350" s="1"/>
      <c r="AH350" s="163"/>
      <c r="AI350" s="1"/>
      <c r="AJ350" s="1"/>
      <c r="AK350" s="1"/>
    </row>
    <row r="351" spans="1:37" customFormat="1" ht="135">
      <c r="A351" s="151"/>
      <c r="B351" s="147"/>
      <c r="C351" s="153" t="s">
        <v>602</v>
      </c>
      <c r="D351" s="154" t="s">
        <v>601</v>
      </c>
      <c r="E351" s="155">
        <v>211</v>
      </c>
      <c r="F351" s="182" t="s">
        <v>57</v>
      </c>
      <c r="G351" s="195">
        <v>11040000</v>
      </c>
      <c r="H351" s="205">
        <v>53</v>
      </c>
      <c r="I351" s="157">
        <v>3360000</v>
      </c>
      <c r="J351" s="158">
        <v>71</v>
      </c>
      <c r="K351" s="157">
        <v>3840000</v>
      </c>
      <c r="L351" s="208">
        <v>17</v>
      </c>
      <c r="M351" s="209" t="s">
        <v>449</v>
      </c>
      <c r="N351" s="210">
        <v>29</v>
      </c>
      <c r="O351" s="209">
        <v>1900000</v>
      </c>
      <c r="P351" s="210">
        <v>52</v>
      </c>
      <c r="Q351" s="209">
        <v>2860000</v>
      </c>
      <c r="R351" s="211">
        <v>61</v>
      </c>
      <c r="S351" s="209">
        <v>3790000</v>
      </c>
      <c r="T351" s="206">
        <f t="shared" si="82"/>
        <v>159</v>
      </c>
      <c r="U351" s="164">
        <f t="shared" si="88"/>
        <v>223.94366197183101</v>
      </c>
      <c r="V351" s="143" t="s">
        <v>58</v>
      </c>
      <c r="W351" s="159">
        <f t="shared" si="89"/>
        <v>8550000</v>
      </c>
      <c r="X351" s="164">
        <f t="shared" si="84"/>
        <v>222.65625</v>
      </c>
      <c r="Y351" s="143" t="s">
        <v>58</v>
      </c>
      <c r="Z351" s="206">
        <f t="shared" si="50"/>
        <v>212</v>
      </c>
      <c r="AA351" s="159">
        <f t="shared" si="85"/>
        <v>11910000</v>
      </c>
      <c r="AB351" s="149">
        <f t="shared" si="86"/>
        <v>100.47393364928909</v>
      </c>
      <c r="AC351" s="143" t="s">
        <v>58</v>
      </c>
      <c r="AD351" s="194">
        <f t="shared" si="87"/>
        <v>107.88043478260869</v>
      </c>
      <c r="AE351" s="162"/>
      <c r="AF351" s="1"/>
      <c r="AG351" s="1"/>
      <c r="AH351" s="163"/>
      <c r="AI351" s="1"/>
      <c r="AJ351" s="1"/>
      <c r="AK351" s="1"/>
    </row>
    <row r="352" spans="1:37" customFormat="1" ht="135">
      <c r="A352" s="151"/>
      <c r="B352" s="147"/>
      <c r="C352" s="153" t="s">
        <v>603</v>
      </c>
      <c r="D352" s="154" t="s">
        <v>601</v>
      </c>
      <c r="E352" s="155">
        <v>822</v>
      </c>
      <c r="F352" s="182" t="s">
        <v>57</v>
      </c>
      <c r="G352" s="195">
        <v>19200000</v>
      </c>
      <c r="H352" s="205">
        <v>350</v>
      </c>
      <c r="I352" s="157">
        <v>13680000</v>
      </c>
      <c r="J352" s="158">
        <v>274</v>
      </c>
      <c r="K352" s="157">
        <v>1920000</v>
      </c>
      <c r="L352" s="142">
        <v>136</v>
      </c>
      <c r="M352" s="207" t="s">
        <v>449</v>
      </c>
      <c r="N352" s="158">
        <v>75</v>
      </c>
      <c r="O352" s="157">
        <v>420000</v>
      </c>
      <c r="P352" s="158">
        <v>44</v>
      </c>
      <c r="Q352" s="157">
        <v>420000</v>
      </c>
      <c r="R352" s="212">
        <v>40</v>
      </c>
      <c r="S352" s="209">
        <v>420</v>
      </c>
      <c r="T352" s="206">
        <f t="shared" si="82"/>
        <v>295</v>
      </c>
      <c r="U352" s="164">
        <f t="shared" si="88"/>
        <v>107.66423357664235</v>
      </c>
      <c r="V352" s="143" t="s">
        <v>58</v>
      </c>
      <c r="W352" s="159">
        <f t="shared" si="89"/>
        <v>840420</v>
      </c>
      <c r="X352" s="164">
        <f t="shared" si="84"/>
        <v>43.771875000000001</v>
      </c>
      <c r="Y352" s="143" t="s">
        <v>58</v>
      </c>
      <c r="Z352" s="206">
        <f t="shared" si="50"/>
        <v>645</v>
      </c>
      <c r="AA352" s="159">
        <f t="shared" si="85"/>
        <v>14520420</v>
      </c>
      <c r="AB352" s="149">
        <f t="shared" si="86"/>
        <v>78.467153284671525</v>
      </c>
      <c r="AC352" s="143" t="s">
        <v>58</v>
      </c>
      <c r="AD352" s="194">
        <f t="shared" si="87"/>
        <v>75.627187500000005</v>
      </c>
      <c r="AE352" s="162"/>
      <c r="AF352" s="1"/>
      <c r="AG352" s="1"/>
      <c r="AH352" s="163"/>
      <c r="AI352" s="1"/>
      <c r="AJ352" s="1"/>
      <c r="AK352" s="1"/>
    </row>
    <row r="353" spans="1:37" customFormat="1" ht="165">
      <c r="A353" s="151"/>
      <c r="B353" s="147"/>
      <c r="C353" s="153" t="s">
        <v>604</v>
      </c>
      <c r="D353" s="154" t="s">
        <v>605</v>
      </c>
      <c r="E353" s="155">
        <f>J353*2</f>
        <v>1154</v>
      </c>
      <c r="F353" s="182" t="s">
        <v>57</v>
      </c>
      <c r="G353" s="195">
        <f>K353*2</f>
        <v>10470000</v>
      </c>
      <c r="H353" s="205"/>
      <c r="I353" s="157"/>
      <c r="J353" s="158">
        <v>577</v>
      </c>
      <c r="K353" s="157">
        <v>5235000</v>
      </c>
      <c r="L353" s="142">
        <v>302</v>
      </c>
      <c r="M353" s="157">
        <v>0</v>
      </c>
      <c r="N353" s="158">
        <v>129</v>
      </c>
      <c r="O353" s="157">
        <v>0</v>
      </c>
      <c r="P353" s="158">
        <v>115</v>
      </c>
      <c r="Q353" s="157">
        <v>1570000</v>
      </c>
      <c r="R353" s="205">
        <v>26</v>
      </c>
      <c r="S353" s="157">
        <f>4965000-Q353</f>
        <v>3395000</v>
      </c>
      <c r="T353" s="206">
        <f t="shared" si="82"/>
        <v>572</v>
      </c>
      <c r="U353" s="164">
        <f t="shared" si="88"/>
        <v>99.13344887348353</v>
      </c>
      <c r="V353" s="143" t="s">
        <v>58</v>
      </c>
      <c r="W353" s="159">
        <f t="shared" si="89"/>
        <v>4965000</v>
      </c>
      <c r="X353" s="164">
        <f t="shared" si="84"/>
        <v>94.842406876790832</v>
      </c>
      <c r="Y353" s="143" t="s">
        <v>58</v>
      </c>
      <c r="Z353" s="206">
        <f t="shared" si="50"/>
        <v>572</v>
      </c>
      <c r="AA353" s="159">
        <f t="shared" si="85"/>
        <v>4965000</v>
      </c>
      <c r="AB353" s="149">
        <f t="shared" si="86"/>
        <v>49.566724436741765</v>
      </c>
      <c r="AC353" s="143" t="s">
        <v>58</v>
      </c>
      <c r="AD353" s="194">
        <f t="shared" si="87"/>
        <v>47.421203438395416</v>
      </c>
      <c r="AE353" s="162"/>
      <c r="AF353" s="1"/>
      <c r="AG353" s="1"/>
      <c r="AH353" s="163"/>
      <c r="AI353" s="1"/>
      <c r="AJ353" s="1"/>
      <c r="AK353" s="1"/>
    </row>
    <row r="354" spans="1:37" customFormat="1" ht="165">
      <c r="A354" s="151"/>
      <c r="B354" s="147"/>
      <c r="C354" s="153" t="s">
        <v>606</v>
      </c>
      <c r="D354" s="154" t="s">
        <v>605</v>
      </c>
      <c r="E354" s="155">
        <v>69</v>
      </c>
      <c r="F354" s="182" t="s">
        <v>57</v>
      </c>
      <c r="G354" s="195">
        <v>21870000</v>
      </c>
      <c r="H354" s="205">
        <v>23</v>
      </c>
      <c r="I354" s="157">
        <v>15120000</v>
      </c>
      <c r="J354" s="158">
        <v>23</v>
      </c>
      <c r="K354" s="157">
        <v>6750000</v>
      </c>
      <c r="L354" s="142">
        <v>20</v>
      </c>
      <c r="M354" s="207" t="s">
        <v>449</v>
      </c>
      <c r="N354" s="158">
        <v>3</v>
      </c>
      <c r="O354" s="157">
        <v>0</v>
      </c>
      <c r="P354" s="158">
        <v>0</v>
      </c>
      <c r="Q354" s="157">
        <v>3150000</v>
      </c>
      <c r="R354" s="205">
        <v>0</v>
      </c>
      <c r="S354" s="157">
        <v>31550000</v>
      </c>
      <c r="T354" s="206">
        <f t="shared" si="82"/>
        <v>23</v>
      </c>
      <c r="U354" s="164">
        <f t="shared" si="88"/>
        <v>100</v>
      </c>
      <c r="V354" s="143" t="s">
        <v>58</v>
      </c>
      <c r="W354" s="159">
        <f t="shared" si="89"/>
        <v>34700000</v>
      </c>
      <c r="X354" s="164">
        <f t="shared" si="84"/>
        <v>514.07407407407413</v>
      </c>
      <c r="Y354" s="143" t="s">
        <v>58</v>
      </c>
      <c r="Z354" s="206">
        <f t="shared" si="50"/>
        <v>46</v>
      </c>
      <c r="AA354" s="159">
        <f t="shared" si="85"/>
        <v>49820000</v>
      </c>
      <c r="AB354" s="149">
        <f t="shared" si="86"/>
        <v>66.666666666666657</v>
      </c>
      <c r="AC354" s="143" t="s">
        <v>58</v>
      </c>
      <c r="AD354" s="194">
        <f t="shared" si="87"/>
        <v>227.80064014631915</v>
      </c>
      <c r="AE354" s="162"/>
      <c r="AF354" s="1"/>
      <c r="AG354" s="1"/>
      <c r="AH354" s="163"/>
      <c r="AI354" s="1"/>
      <c r="AJ354" s="1"/>
      <c r="AK354" s="1"/>
    </row>
    <row r="355" spans="1:37" customFormat="1" ht="165">
      <c r="A355" s="151"/>
      <c r="B355" s="147"/>
      <c r="C355" s="153" t="s">
        <v>607</v>
      </c>
      <c r="D355" s="154" t="s">
        <v>605</v>
      </c>
      <c r="E355" s="155">
        <v>24</v>
      </c>
      <c r="F355" s="182" t="s">
        <v>57</v>
      </c>
      <c r="G355" s="195">
        <v>6240000</v>
      </c>
      <c r="H355" s="205">
        <v>8</v>
      </c>
      <c r="I355" s="157">
        <v>960000</v>
      </c>
      <c r="J355" s="158">
        <v>6</v>
      </c>
      <c r="K355" s="157">
        <v>2400000</v>
      </c>
      <c r="L355" s="142">
        <v>6</v>
      </c>
      <c r="M355" s="207" t="s">
        <v>449</v>
      </c>
      <c r="N355" s="158">
        <v>0</v>
      </c>
      <c r="O355" s="157">
        <v>0</v>
      </c>
      <c r="P355" s="158"/>
      <c r="Q355" s="157">
        <v>1600000</v>
      </c>
      <c r="R355" s="205">
        <v>17</v>
      </c>
      <c r="S355" s="157">
        <v>800000</v>
      </c>
      <c r="T355" s="206">
        <f t="shared" si="82"/>
        <v>23</v>
      </c>
      <c r="U355" s="164">
        <f t="shared" si="88"/>
        <v>383.33333333333337</v>
      </c>
      <c r="V355" s="143" t="s">
        <v>58</v>
      </c>
      <c r="W355" s="159">
        <f t="shared" si="89"/>
        <v>2400000</v>
      </c>
      <c r="X355" s="164">
        <f t="shared" si="84"/>
        <v>100</v>
      </c>
      <c r="Y355" s="143" t="s">
        <v>58</v>
      </c>
      <c r="Z355" s="206">
        <f t="shared" si="50"/>
        <v>31</v>
      </c>
      <c r="AA355" s="159">
        <f t="shared" si="85"/>
        <v>3360000</v>
      </c>
      <c r="AB355" s="149">
        <f t="shared" si="86"/>
        <v>129.16666666666669</v>
      </c>
      <c r="AC355" s="143" t="s">
        <v>58</v>
      </c>
      <c r="AD355" s="194">
        <f t="shared" si="87"/>
        <v>53.846153846153847</v>
      </c>
      <c r="AE355" s="162"/>
      <c r="AF355" s="1"/>
      <c r="AG355" s="1"/>
      <c r="AH355" s="163"/>
      <c r="AI355" s="1"/>
      <c r="AJ355" s="1"/>
      <c r="AK355" s="1"/>
    </row>
    <row r="356" spans="1:37" customFormat="1" ht="165">
      <c r="A356" s="151"/>
      <c r="B356" s="147"/>
      <c r="C356" s="153" t="s">
        <v>608</v>
      </c>
      <c r="D356" s="154" t="s">
        <v>605</v>
      </c>
      <c r="E356" s="155">
        <v>51</v>
      </c>
      <c r="F356" s="182" t="s">
        <v>57</v>
      </c>
      <c r="G356" s="195">
        <v>13460000</v>
      </c>
      <c r="H356" s="205">
        <v>53</v>
      </c>
      <c r="I356" s="157">
        <v>2820000</v>
      </c>
      <c r="J356" s="158">
        <v>17</v>
      </c>
      <c r="K356" s="157">
        <v>5320000</v>
      </c>
      <c r="L356" s="142">
        <v>35</v>
      </c>
      <c r="M356" s="207" t="s">
        <v>449</v>
      </c>
      <c r="N356" s="158">
        <v>8</v>
      </c>
      <c r="O356" s="157">
        <v>1470000</v>
      </c>
      <c r="P356" s="158">
        <v>8</v>
      </c>
      <c r="Q356" s="157">
        <v>1470000</v>
      </c>
      <c r="R356" s="205">
        <v>2</v>
      </c>
      <c r="S356" s="157">
        <v>980000</v>
      </c>
      <c r="T356" s="206">
        <f t="shared" si="82"/>
        <v>53</v>
      </c>
      <c r="U356" s="164">
        <f t="shared" si="88"/>
        <v>311.76470588235293</v>
      </c>
      <c r="V356" s="143" t="s">
        <v>58</v>
      </c>
      <c r="W356" s="159">
        <f t="shared" si="89"/>
        <v>3920000</v>
      </c>
      <c r="X356" s="164">
        <f t="shared" si="84"/>
        <v>73.68421052631578</v>
      </c>
      <c r="Y356" s="143" t="s">
        <v>58</v>
      </c>
      <c r="Z356" s="206">
        <f t="shared" si="50"/>
        <v>106</v>
      </c>
      <c r="AA356" s="159">
        <f t="shared" si="85"/>
        <v>6740000</v>
      </c>
      <c r="AB356" s="149">
        <f t="shared" si="86"/>
        <v>207.84313725490199</v>
      </c>
      <c r="AC356" s="143" t="s">
        <v>58</v>
      </c>
      <c r="AD356" s="194">
        <f t="shared" si="87"/>
        <v>50.074294205052006</v>
      </c>
      <c r="AE356" s="162"/>
      <c r="AF356" s="1"/>
      <c r="AG356" s="1"/>
      <c r="AH356" s="163"/>
      <c r="AI356" s="1"/>
      <c r="AJ356" s="1"/>
      <c r="AK356" s="1"/>
    </row>
    <row r="357" spans="1:37" customFormat="1" ht="165">
      <c r="A357" s="151"/>
      <c r="B357" s="147"/>
      <c r="C357" s="153" t="s">
        <v>609</v>
      </c>
      <c r="D357" s="154" t="s">
        <v>605</v>
      </c>
      <c r="E357" s="155">
        <v>30</v>
      </c>
      <c r="F357" s="182" t="s">
        <v>57</v>
      </c>
      <c r="G357" s="195">
        <v>20800000</v>
      </c>
      <c r="H357" s="205">
        <v>10</v>
      </c>
      <c r="I357" s="157">
        <v>5700000</v>
      </c>
      <c r="J357" s="158">
        <v>10</v>
      </c>
      <c r="K357" s="157">
        <v>9040000</v>
      </c>
      <c r="L357" s="142">
        <v>8</v>
      </c>
      <c r="M357" s="207" t="s">
        <v>449</v>
      </c>
      <c r="N357" s="158">
        <v>8</v>
      </c>
      <c r="O357" s="157">
        <v>1500000</v>
      </c>
      <c r="P357" s="158">
        <v>8</v>
      </c>
      <c r="Q357" s="157">
        <v>3160000</v>
      </c>
      <c r="R357" s="205">
        <v>8</v>
      </c>
      <c r="S357" s="157">
        <v>0</v>
      </c>
      <c r="T357" s="206">
        <f>AVERAGE(L357,N357,P357,R357)</f>
        <v>8</v>
      </c>
      <c r="U357" s="164">
        <f t="shared" si="88"/>
        <v>80</v>
      </c>
      <c r="V357" s="143" t="s">
        <v>58</v>
      </c>
      <c r="W357" s="159">
        <f t="shared" si="89"/>
        <v>4660000</v>
      </c>
      <c r="X357" s="164">
        <f t="shared" si="84"/>
        <v>51.548672566371678</v>
      </c>
      <c r="Y357" s="143" t="s">
        <v>58</v>
      </c>
      <c r="Z357" s="206">
        <f t="shared" si="50"/>
        <v>18</v>
      </c>
      <c r="AA357" s="159">
        <f t="shared" si="85"/>
        <v>10360000</v>
      </c>
      <c r="AB357" s="149">
        <f t="shared" si="86"/>
        <v>60</v>
      </c>
      <c r="AC357" s="143" t="s">
        <v>58</v>
      </c>
      <c r="AD357" s="194">
        <f t="shared" si="87"/>
        <v>49.807692307692307</v>
      </c>
      <c r="AE357" s="162"/>
      <c r="AF357" s="1"/>
      <c r="AG357" s="1"/>
      <c r="AH357" s="163"/>
      <c r="AI357" s="1"/>
      <c r="AJ357" s="1"/>
      <c r="AK357" s="1"/>
    </row>
    <row r="358" spans="1:37" customFormat="1" ht="165">
      <c r="A358" s="151"/>
      <c r="B358" s="147"/>
      <c r="C358" s="153" t="s">
        <v>610</v>
      </c>
      <c r="D358" s="154" t="s">
        <v>605</v>
      </c>
      <c r="E358" s="155">
        <v>30</v>
      </c>
      <c r="F358" s="182" t="s">
        <v>57</v>
      </c>
      <c r="G358" s="195">
        <v>25340000</v>
      </c>
      <c r="H358" s="205">
        <v>10</v>
      </c>
      <c r="I358" s="157">
        <v>4620000</v>
      </c>
      <c r="J358" s="158">
        <v>20</v>
      </c>
      <c r="K358" s="157">
        <v>10360000</v>
      </c>
      <c r="L358" s="142">
        <v>5</v>
      </c>
      <c r="M358" s="207" t="s">
        <v>449</v>
      </c>
      <c r="N358" s="158">
        <v>5</v>
      </c>
      <c r="O358" s="157">
        <v>1820000</v>
      </c>
      <c r="P358" s="158">
        <v>5</v>
      </c>
      <c r="Q358" s="157">
        <v>2520000</v>
      </c>
      <c r="R358" s="205">
        <v>5</v>
      </c>
      <c r="S358" s="157">
        <v>4760000</v>
      </c>
      <c r="T358" s="206">
        <f t="shared" ref="T358:T529" si="90">SUM(L358,N358,P358,R358)</f>
        <v>20</v>
      </c>
      <c r="U358" s="164">
        <f t="shared" si="88"/>
        <v>100</v>
      </c>
      <c r="V358" s="143" t="s">
        <v>58</v>
      </c>
      <c r="W358" s="159">
        <f t="shared" si="89"/>
        <v>9100000</v>
      </c>
      <c r="X358" s="164">
        <f t="shared" si="84"/>
        <v>87.837837837837839</v>
      </c>
      <c r="Y358" s="143" t="s">
        <v>58</v>
      </c>
      <c r="Z358" s="206">
        <f t="shared" si="50"/>
        <v>30</v>
      </c>
      <c r="AA358" s="159">
        <f t="shared" si="85"/>
        <v>13720000</v>
      </c>
      <c r="AB358" s="149">
        <f t="shared" si="86"/>
        <v>100</v>
      </c>
      <c r="AC358" s="143" t="s">
        <v>58</v>
      </c>
      <c r="AD358" s="194">
        <f t="shared" si="87"/>
        <v>54.143646408839771</v>
      </c>
      <c r="AE358" s="162"/>
      <c r="AF358" s="1"/>
      <c r="AG358" s="1"/>
      <c r="AH358" s="163"/>
      <c r="AI358" s="1"/>
      <c r="AJ358" s="1"/>
      <c r="AK358" s="1"/>
    </row>
    <row r="359" spans="1:37" customFormat="1" ht="165">
      <c r="A359" s="151"/>
      <c r="B359" s="147"/>
      <c r="C359" s="153" t="s">
        <v>611</v>
      </c>
      <c r="D359" s="154" t="s">
        <v>605</v>
      </c>
      <c r="E359" s="155">
        <v>84</v>
      </c>
      <c r="F359" s="182" t="s">
        <v>57</v>
      </c>
      <c r="G359" s="195">
        <v>8000000</v>
      </c>
      <c r="H359" s="205">
        <v>30</v>
      </c>
      <c r="I359" s="157">
        <v>1600000</v>
      </c>
      <c r="J359" s="158">
        <v>27</v>
      </c>
      <c r="K359" s="157">
        <v>4800000</v>
      </c>
      <c r="L359" s="142">
        <v>7</v>
      </c>
      <c r="M359" s="207" t="s">
        <v>449</v>
      </c>
      <c r="N359" s="158">
        <v>23</v>
      </c>
      <c r="O359" s="157">
        <v>1600000</v>
      </c>
      <c r="P359" s="158">
        <v>30</v>
      </c>
      <c r="Q359" s="157">
        <v>750000</v>
      </c>
      <c r="R359" s="205">
        <v>30</v>
      </c>
      <c r="S359" s="157">
        <v>0</v>
      </c>
      <c r="T359" s="206">
        <f t="shared" si="90"/>
        <v>90</v>
      </c>
      <c r="U359" s="164">
        <f t="shared" si="88"/>
        <v>333.33333333333337</v>
      </c>
      <c r="V359" s="143" t="s">
        <v>58</v>
      </c>
      <c r="W359" s="159">
        <f t="shared" si="89"/>
        <v>2350000</v>
      </c>
      <c r="X359" s="164">
        <f t="shared" si="84"/>
        <v>48.958333333333329</v>
      </c>
      <c r="Y359" s="143" t="s">
        <v>58</v>
      </c>
      <c r="Z359" s="206">
        <f t="shared" si="50"/>
        <v>120</v>
      </c>
      <c r="AA359" s="159">
        <f t="shared" si="85"/>
        <v>3950000</v>
      </c>
      <c r="AB359" s="149">
        <f t="shared" si="86"/>
        <v>142.85714285714286</v>
      </c>
      <c r="AC359" s="143" t="s">
        <v>58</v>
      </c>
      <c r="AD359" s="194">
        <f t="shared" si="87"/>
        <v>49.375</v>
      </c>
      <c r="AE359" s="162"/>
      <c r="AF359" s="1"/>
      <c r="AG359" s="1"/>
      <c r="AH359" s="163"/>
      <c r="AI359" s="1"/>
      <c r="AJ359" s="1"/>
      <c r="AK359" s="1"/>
    </row>
    <row r="360" spans="1:37" customFormat="1" ht="165">
      <c r="A360" s="151"/>
      <c r="B360" s="147"/>
      <c r="C360" s="153" t="s">
        <v>612</v>
      </c>
      <c r="D360" s="154" t="s">
        <v>605</v>
      </c>
      <c r="E360" s="155">
        <v>120</v>
      </c>
      <c r="F360" s="182" t="s">
        <v>57</v>
      </c>
      <c r="G360" s="195">
        <v>25360000</v>
      </c>
      <c r="H360" s="205">
        <v>45</v>
      </c>
      <c r="I360" s="157">
        <v>7820000</v>
      </c>
      <c r="J360" s="158">
        <v>40</v>
      </c>
      <c r="K360" s="157">
        <v>8480000</v>
      </c>
      <c r="L360" s="142">
        <v>28</v>
      </c>
      <c r="M360" s="207" t="s">
        <v>449</v>
      </c>
      <c r="N360" s="158">
        <v>12</v>
      </c>
      <c r="O360" s="157">
        <v>560000</v>
      </c>
      <c r="P360" s="158">
        <v>7</v>
      </c>
      <c r="Q360" s="157">
        <v>4210000</v>
      </c>
      <c r="R360" s="205">
        <v>0</v>
      </c>
      <c r="S360" s="183">
        <v>2640000</v>
      </c>
      <c r="T360" s="206">
        <f t="shared" si="90"/>
        <v>47</v>
      </c>
      <c r="U360" s="164">
        <f t="shared" si="88"/>
        <v>117.5</v>
      </c>
      <c r="V360" s="143" t="s">
        <v>58</v>
      </c>
      <c r="W360" s="159">
        <f t="shared" si="89"/>
        <v>7410000</v>
      </c>
      <c r="X360" s="164">
        <f t="shared" si="84"/>
        <v>87.382075471698116</v>
      </c>
      <c r="Y360" s="143" t="s">
        <v>58</v>
      </c>
      <c r="Z360" s="206">
        <f t="shared" si="50"/>
        <v>92</v>
      </c>
      <c r="AA360" s="159">
        <f t="shared" si="85"/>
        <v>15230000</v>
      </c>
      <c r="AB360" s="149">
        <f t="shared" si="86"/>
        <v>76.666666666666671</v>
      </c>
      <c r="AC360" s="143" t="s">
        <v>58</v>
      </c>
      <c r="AD360" s="194">
        <f t="shared" si="87"/>
        <v>60.055205047318616</v>
      </c>
      <c r="AE360" s="162"/>
      <c r="AF360" s="1"/>
      <c r="AG360" s="1"/>
      <c r="AH360" s="163"/>
      <c r="AI360" s="1"/>
      <c r="AJ360" s="1"/>
      <c r="AK360" s="1"/>
    </row>
    <row r="361" spans="1:37" customFormat="1" ht="165">
      <c r="A361" s="151"/>
      <c r="B361" s="147"/>
      <c r="C361" s="153" t="s">
        <v>613</v>
      </c>
      <c r="D361" s="154" t="s">
        <v>605</v>
      </c>
      <c r="E361" s="155">
        <v>21</v>
      </c>
      <c r="F361" s="182" t="s">
        <v>57</v>
      </c>
      <c r="G361" s="195">
        <v>9200000</v>
      </c>
      <c r="H361" s="205">
        <v>7</v>
      </c>
      <c r="I361" s="157">
        <v>500000</v>
      </c>
      <c r="J361" s="158">
        <v>7</v>
      </c>
      <c r="K361" s="157">
        <v>4350000</v>
      </c>
      <c r="L361" s="142">
        <v>0</v>
      </c>
      <c r="M361" s="207" t="s">
        <v>449</v>
      </c>
      <c r="N361" s="158">
        <v>3</v>
      </c>
      <c r="O361" s="157">
        <v>0</v>
      </c>
      <c r="P361" s="158">
        <v>1</v>
      </c>
      <c r="Q361" s="157">
        <v>0</v>
      </c>
      <c r="R361" s="212">
        <v>3</v>
      </c>
      <c r="S361" s="209">
        <v>4190000</v>
      </c>
      <c r="T361" s="206">
        <f t="shared" si="90"/>
        <v>7</v>
      </c>
      <c r="U361" s="164">
        <f t="shared" si="88"/>
        <v>100</v>
      </c>
      <c r="V361" s="143" t="s">
        <v>58</v>
      </c>
      <c r="W361" s="159">
        <f t="shared" si="89"/>
        <v>4190000</v>
      </c>
      <c r="X361" s="164">
        <f t="shared" si="84"/>
        <v>96.321839080459768</v>
      </c>
      <c r="Y361" s="143" t="s">
        <v>58</v>
      </c>
      <c r="Z361" s="206">
        <f t="shared" si="50"/>
        <v>14</v>
      </c>
      <c r="AA361" s="159">
        <f t="shared" si="85"/>
        <v>4690000</v>
      </c>
      <c r="AB361" s="149">
        <f t="shared" si="86"/>
        <v>66.666666666666657</v>
      </c>
      <c r="AC361" s="143" t="s">
        <v>58</v>
      </c>
      <c r="AD361" s="194">
        <f t="shared" si="87"/>
        <v>50.978260869565219</v>
      </c>
      <c r="AE361" s="162"/>
      <c r="AF361" s="1"/>
      <c r="AG361" s="1"/>
      <c r="AH361" s="163"/>
      <c r="AI361" s="1"/>
      <c r="AJ361" s="1"/>
      <c r="AK361" s="1"/>
    </row>
    <row r="362" spans="1:37" customFormat="1" ht="165">
      <c r="A362" s="151"/>
      <c r="B362" s="147"/>
      <c r="C362" s="153" t="s">
        <v>614</v>
      </c>
      <c r="D362" s="154" t="s">
        <v>605</v>
      </c>
      <c r="E362" s="155">
        <v>70</v>
      </c>
      <c r="F362" s="182" t="s">
        <v>57</v>
      </c>
      <c r="G362" s="195">
        <v>16740000</v>
      </c>
      <c r="H362" s="205">
        <v>30</v>
      </c>
      <c r="I362" s="157">
        <v>0</v>
      </c>
      <c r="J362" s="158">
        <v>19</v>
      </c>
      <c r="K362" s="157">
        <v>8626800</v>
      </c>
      <c r="L362" s="213">
        <v>16</v>
      </c>
      <c r="M362" s="214">
        <v>0</v>
      </c>
      <c r="N362" s="215">
        <v>10</v>
      </c>
      <c r="O362" s="209">
        <v>2025000</v>
      </c>
      <c r="P362" s="215">
        <v>3</v>
      </c>
      <c r="Q362" s="209">
        <v>3318000</v>
      </c>
      <c r="R362" s="216">
        <v>3</v>
      </c>
      <c r="S362" s="209">
        <v>2774000</v>
      </c>
      <c r="T362" s="206">
        <f t="shared" si="90"/>
        <v>32</v>
      </c>
      <c r="U362" s="164">
        <f t="shared" si="88"/>
        <v>168.42105263157893</v>
      </c>
      <c r="V362" s="143" t="s">
        <v>58</v>
      </c>
      <c r="W362" s="159">
        <f t="shared" si="89"/>
        <v>8117000</v>
      </c>
      <c r="X362" s="164">
        <f t="shared" si="84"/>
        <v>94.090508647470671</v>
      </c>
      <c r="Y362" s="143" t="s">
        <v>58</v>
      </c>
      <c r="Z362" s="206">
        <f t="shared" si="50"/>
        <v>62</v>
      </c>
      <c r="AA362" s="159">
        <f t="shared" si="85"/>
        <v>8117000</v>
      </c>
      <c r="AB362" s="149">
        <f t="shared" si="86"/>
        <v>88.571428571428569</v>
      </c>
      <c r="AC362" s="143" t="s">
        <v>58</v>
      </c>
      <c r="AD362" s="194">
        <f t="shared" si="87"/>
        <v>48.488649940262846</v>
      </c>
      <c r="AE362" s="162"/>
      <c r="AF362" s="1"/>
      <c r="AG362" s="1"/>
      <c r="AH362" s="163"/>
      <c r="AI362" s="1"/>
      <c r="AJ362" s="1"/>
      <c r="AK362" s="1"/>
    </row>
    <row r="363" spans="1:37" customFormat="1" ht="165">
      <c r="A363" s="151"/>
      <c r="B363" s="147"/>
      <c r="C363" s="153" t="s">
        <v>615</v>
      </c>
      <c r="D363" s="154" t="s">
        <v>605</v>
      </c>
      <c r="E363" s="155">
        <v>39</v>
      </c>
      <c r="F363" s="182" t="s">
        <v>57</v>
      </c>
      <c r="G363" s="195">
        <v>2730000</v>
      </c>
      <c r="H363" s="205">
        <v>13</v>
      </c>
      <c r="I363" s="157">
        <v>490000</v>
      </c>
      <c r="J363" s="158">
        <v>13</v>
      </c>
      <c r="K363" s="157">
        <v>1120000</v>
      </c>
      <c r="L363" s="142">
        <v>3</v>
      </c>
      <c r="M363" s="157">
        <v>0</v>
      </c>
      <c r="N363" s="158">
        <v>3</v>
      </c>
      <c r="O363" s="157">
        <v>0</v>
      </c>
      <c r="P363" s="158">
        <v>4</v>
      </c>
      <c r="Q363" s="157">
        <v>1120000</v>
      </c>
      <c r="R363" s="212">
        <v>3</v>
      </c>
      <c r="S363" s="157">
        <v>0</v>
      </c>
      <c r="T363" s="206">
        <f t="shared" si="90"/>
        <v>13</v>
      </c>
      <c r="U363" s="164">
        <f t="shared" si="88"/>
        <v>100</v>
      </c>
      <c r="V363" s="143" t="s">
        <v>58</v>
      </c>
      <c r="W363" s="159">
        <f t="shared" si="89"/>
        <v>1120000</v>
      </c>
      <c r="X363" s="164">
        <f t="shared" si="84"/>
        <v>100</v>
      </c>
      <c r="Y363" s="143" t="s">
        <v>58</v>
      </c>
      <c r="Z363" s="206">
        <f t="shared" si="50"/>
        <v>26</v>
      </c>
      <c r="AA363" s="159">
        <f t="shared" si="85"/>
        <v>1610000</v>
      </c>
      <c r="AB363" s="149">
        <f t="shared" si="86"/>
        <v>66.666666666666657</v>
      </c>
      <c r="AC363" s="143" t="s">
        <v>58</v>
      </c>
      <c r="AD363" s="194">
        <f t="shared" si="87"/>
        <v>58.974358974358978</v>
      </c>
      <c r="AE363" s="162"/>
      <c r="AF363" s="1"/>
      <c r="AG363" s="1"/>
      <c r="AH363" s="163"/>
      <c r="AI363" s="1"/>
      <c r="AJ363" s="1"/>
      <c r="AK363" s="1"/>
    </row>
    <row r="364" spans="1:37" customFormat="1" ht="165">
      <c r="A364" s="151"/>
      <c r="B364" s="147"/>
      <c r="C364" s="153" t="s">
        <v>616</v>
      </c>
      <c r="D364" s="154" t="s">
        <v>605</v>
      </c>
      <c r="E364" s="155">
        <v>216</v>
      </c>
      <c r="F364" s="182" t="s">
        <v>57</v>
      </c>
      <c r="G364" s="195">
        <v>49946000</v>
      </c>
      <c r="H364" s="205">
        <v>89</v>
      </c>
      <c r="I364" s="157">
        <v>9470000</v>
      </c>
      <c r="J364" s="158">
        <v>89</v>
      </c>
      <c r="K364" s="157">
        <v>20208000</v>
      </c>
      <c r="L364" s="142">
        <v>23</v>
      </c>
      <c r="M364" s="207" t="s">
        <v>449</v>
      </c>
      <c r="N364" s="158">
        <v>23</v>
      </c>
      <c r="O364" s="157">
        <v>2880000</v>
      </c>
      <c r="P364" s="158">
        <v>23</v>
      </c>
      <c r="Q364" s="157">
        <v>9238750</v>
      </c>
      <c r="R364" s="212">
        <v>20</v>
      </c>
      <c r="S364" s="209">
        <v>8025000</v>
      </c>
      <c r="T364" s="206">
        <f t="shared" si="90"/>
        <v>89</v>
      </c>
      <c r="U364" s="164">
        <f t="shared" si="88"/>
        <v>100</v>
      </c>
      <c r="V364" s="143" t="s">
        <v>58</v>
      </c>
      <c r="W364" s="159">
        <f t="shared" si="89"/>
        <v>20143750</v>
      </c>
      <c r="X364" s="164">
        <f t="shared" si="84"/>
        <v>99.68205661124307</v>
      </c>
      <c r="Y364" s="143" t="s">
        <v>58</v>
      </c>
      <c r="Z364" s="206">
        <f t="shared" si="50"/>
        <v>178</v>
      </c>
      <c r="AA364" s="159">
        <f t="shared" si="85"/>
        <v>29613750</v>
      </c>
      <c r="AB364" s="149">
        <f t="shared" si="86"/>
        <v>82.407407407407405</v>
      </c>
      <c r="AC364" s="143" t="s">
        <v>58</v>
      </c>
      <c r="AD364" s="194">
        <f t="shared" si="87"/>
        <v>59.291534857646255</v>
      </c>
      <c r="AE364" s="162"/>
      <c r="AF364" s="1"/>
      <c r="AG364" s="1"/>
      <c r="AH364" s="163"/>
      <c r="AI364" s="1"/>
      <c r="AJ364" s="1"/>
      <c r="AK364" s="1"/>
    </row>
    <row r="365" spans="1:37" customFormat="1" ht="165">
      <c r="A365" s="151"/>
      <c r="B365" s="147"/>
      <c r="C365" s="153" t="s">
        <v>617</v>
      </c>
      <c r="D365" s="154" t="s">
        <v>605</v>
      </c>
      <c r="E365" s="155">
        <v>96</v>
      </c>
      <c r="F365" s="182" t="s">
        <v>57</v>
      </c>
      <c r="G365" s="195">
        <v>5441750</v>
      </c>
      <c r="H365" s="205">
        <v>26</v>
      </c>
      <c r="I365" s="157">
        <v>3521750</v>
      </c>
      <c r="J365" s="158">
        <v>32</v>
      </c>
      <c r="K365" s="157">
        <v>2220000</v>
      </c>
      <c r="L365" s="208">
        <v>7</v>
      </c>
      <c r="M365" s="209" t="s">
        <v>449</v>
      </c>
      <c r="N365" s="210">
        <v>8</v>
      </c>
      <c r="O365" s="209" t="s">
        <v>449</v>
      </c>
      <c r="P365" s="210">
        <v>8</v>
      </c>
      <c r="Q365" s="209">
        <v>840000</v>
      </c>
      <c r="R365" s="211">
        <v>9</v>
      </c>
      <c r="S365" s="157">
        <v>1300000</v>
      </c>
      <c r="T365" s="206">
        <f t="shared" si="90"/>
        <v>32</v>
      </c>
      <c r="U365" s="164">
        <f t="shared" si="88"/>
        <v>100</v>
      </c>
      <c r="V365" s="143" t="s">
        <v>58</v>
      </c>
      <c r="W365" s="159">
        <f t="shared" si="89"/>
        <v>2140000</v>
      </c>
      <c r="X365" s="164">
        <f t="shared" si="84"/>
        <v>96.396396396396398</v>
      </c>
      <c r="Y365" s="143" t="s">
        <v>58</v>
      </c>
      <c r="Z365" s="206">
        <f t="shared" si="50"/>
        <v>58</v>
      </c>
      <c r="AA365" s="159">
        <f t="shared" si="85"/>
        <v>5661750</v>
      </c>
      <c r="AB365" s="149">
        <f t="shared" si="86"/>
        <v>60.416666666666664</v>
      </c>
      <c r="AC365" s="143" t="s">
        <v>58</v>
      </c>
      <c r="AD365" s="194">
        <f t="shared" si="87"/>
        <v>104.04281710846695</v>
      </c>
      <c r="AE365" s="162"/>
      <c r="AF365" s="1"/>
      <c r="AG365" s="1"/>
      <c r="AH365" s="163"/>
      <c r="AI365" s="1"/>
      <c r="AJ365" s="1"/>
      <c r="AK365" s="1"/>
    </row>
    <row r="366" spans="1:37" customFormat="1" ht="165">
      <c r="A366" s="151"/>
      <c r="B366" s="147"/>
      <c r="C366" s="153" t="s">
        <v>618</v>
      </c>
      <c r="D366" s="154" t="s">
        <v>605</v>
      </c>
      <c r="E366" s="155">
        <v>40</v>
      </c>
      <c r="F366" s="182" t="s">
        <v>57</v>
      </c>
      <c r="G366" s="195">
        <v>4160000</v>
      </c>
      <c r="H366" s="205">
        <v>12</v>
      </c>
      <c r="I366" s="157"/>
      <c r="J366" s="158">
        <v>14</v>
      </c>
      <c r="K366" s="157">
        <v>1600000</v>
      </c>
      <c r="L366" s="142">
        <v>5</v>
      </c>
      <c r="M366" s="207" t="s">
        <v>449</v>
      </c>
      <c r="N366" s="158"/>
      <c r="O366" s="157">
        <v>0</v>
      </c>
      <c r="P366" s="158">
        <v>5</v>
      </c>
      <c r="Q366" s="157">
        <v>840000</v>
      </c>
      <c r="R366" s="205">
        <v>4</v>
      </c>
      <c r="S366" s="157">
        <v>140000</v>
      </c>
      <c r="T366" s="206">
        <f t="shared" si="90"/>
        <v>14</v>
      </c>
      <c r="U366" s="164">
        <f t="shared" si="88"/>
        <v>100</v>
      </c>
      <c r="V366" s="143" t="s">
        <v>58</v>
      </c>
      <c r="W366" s="159">
        <f t="shared" si="89"/>
        <v>980000</v>
      </c>
      <c r="X366" s="164">
        <f t="shared" si="84"/>
        <v>61.250000000000007</v>
      </c>
      <c r="Y366" s="143" t="s">
        <v>58</v>
      </c>
      <c r="Z366" s="206">
        <f t="shared" si="50"/>
        <v>26</v>
      </c>
      <c r="AA366" s="159">
        <f t="shared" si="85"/>
        <v>980000</v>
      </c>
      <c r="AB366" s="149">
        <f t="shared" si="86"/>
        <v>65</v>
      </c>
      <c r="AC366" s="143" t="s">
        <v>58</v>
      </c>
      <c r="AD366" s="194">
        <f t="shared" si="87"/>
        <v>23.557692307692307</v>
      </c>
      <c r="AE366" s="162"/>
      <c r="AF366" s="1"/>
      <c r="AG366" s="1"/>
      <c r="AH366" s="163"/>
      <c r="AI366" s="1"/>
      <c r="AJ366" s="1"/>
      <c r="AK366" s="1"/>
    </row>
    <row r="367" spans="1:37" customFormat="1" ht="165">
      <c r="A367" s="151"/>
      <c r="B367" s="147"/>
      <c r="C367" s="153" t="s">
        <v>619</v>
      </c>
      <c r="D367" s="154" t="s">
        <v>605</v>
      </c>
      <c r="E367" s="155"/>
      <c r="F367" s="182" t="s">
        <v>57</v>
      </c>
      <c r="G367" s="195"/>
      <c r="H367" s="205"/>
      <c r="I367" s="157"/>
      <c r="J367" s="158"/>
      <c r="K367" s="157">
        <v>1600000</v>
      </c>
      <c r="L367" s="142"/>
      <c r="M367" s="207" t="s">
        <v>449</v>
      </c>
      <c r="N367" s="158"/>
      <c r="O367" s="157">
        <v>0</v>
      </c>
      <c r="P367" s="158"/>
      <c r="Q367" s="157"/>
      <c r="R367" s="205"/>
      <c r="S367" s="157"/>
      <c r="T367" s="206">
        <f t="shared" si="90"/>
        <v>0</v>
      </c>
      <c r="U367" s="164"/>
      <c r="V367" s="143" t="s">
        <v>58</v>
      </c>
      <c r="W367" s="159">
        <f t="shared" si="89"/>
        <v>0</v>
      </c>
      <c r="X367" s="164">
        <f t="shared" si="84"/>
        <v>0</v>
      </c>
      <c r="Y367" s="143" t="s">
        <v>58</v>
      </c>
      <c r="Z367" s="206">
        <f t="shared" si="50"/>
        <v>0</v>
      </c>
      <c r="AA367" s="159">
        <f t="shared" si="85"/>
        <v>0</v>
      </c>
      <c r="AB367" s="149" t="e">
        <f t="shared" si="86"/>
        <v>#DIV/0!</v>
      </c>
      <c r="AC367" s="143" t="s">
        <v>58</v>
      </c>
      <c r="AD367" s="194" t="e">
        <f t="shared" si="87"/>
        <v>#DIV/0!</v>
      </c>
      <c r="AE367" s="162"/>
      <c r="AF367" s="1"/>
      <c r="AG367" s="1"/>
      <c r="AH367" s="163"/>
      <c r="AI367" s="1"/>
      <c r="AJ367" s="1"/>
      <c r="AK367" s="1"/>
    </row>
    <row r="368" spans="1:37" customFormat="1" ht="165">
      <c r="A368" s="151"/>
      <c r="B368" s="147"/>
      <c r="C368" s="153" t="s">
        <v>620</v>
      </c>
      <c r="D368" s="154" t="s">
        <v>621</v>
      </c>
      <c r="E368" s="155">
        <f>J368*2</f>
        <v>8208</v>
      </c>
      <c r="F368" s="182" t="s">
        <v>57</v>
      </c>
      <c r="G368" s="195">
        <f>K368*2</f>
        <v>24660000</v>
      </c>
      <c r="H368" s="205"/>
      <c r="I368" s="157"/>
      <c r="J368" s="158">
        <v>4104</v>
      </c>
      <c r="K368" s="157">
        <v>12330000</v>
      </c>
      <c r="L368" s="142">
        <v>391</v>
      </c>
      <c r="M368" s="157">
        <v>0</v>
      </c>
      <c r="N368" s="158">
        <v>620</v>
      </c>
      <c r="O368" s="157">
        <v>0</v>
      </c>
      <c r="P368" s="158">
        <v>1688</v>
      </c>
      <c r="Q368" s="157">
        <v>1770000</v>
      </c>
      <c r="R368" s="205">
        <v>1391</v>
      </c>
      <c r="S368" s="157">
        <f>11730000-Q368</f>
        <v>9960000</v>
      </c>
      <c r="T368" s="206">
        <f t="shared" si="90"/>
        <v>4090</v>
      </c>
      <c r="U368" s="164">
        <f t="shared" si="88"/>
        <v>99.658869395711505</v>
      </c>
      <c r="V368" s="143" t="s">
        <v>58</v>
      </c>
      <c r="W368" s="159">
        <f t="shared" si="89"/>
        <v>11730000</v>
      </c>
      <c r="X368" s="164">
        <f t="shared" si="84"/>
        <v>95.133819951338197</v>
      </c>
      <c r="Y368" s="143" t="s">
        <v>58</v>
      </c>
      <c r="Z368" s="206">
        <f t="shared" si="50"/>
        <v>4090</v>
      </c>
      <c r="AA368" s="159">
        <f t="shared" si="85"/>
        <v>11730000</v>
      </c>
      <c r="AB368" s="149">
        <f t="shared" si="86"/>
        <v>49.829434697855753</v>
      </c>
      <c r="AC368" s="143" t="s">
        <v>58</v>
      </c>
      <c r="AD368" s="194">
        <f t="shared" si="87"/>
        <v>47.566909975669098</v>
      </c>
      <c r="AE368" s="162"/>
      <c r="AF368" s="1"/>
      <c r="AG368" s="1"/>
      <c r="AH368" s="163"/>
      <c r="AI368" s="1"/>
      <c r="AJ368" s="1"/>
      <c r="AK368" s="1"/>
    </row>
    <row r="369" spans="1:37" customFormat="1" ht="165">
      <c r="A369" s="151"/>
      <c r="B369" s="147"/>
      <c r="C369" s="153" t="s">
        <v>622</v>
      </c>
      <c r="D369" s="154" t="s">
        <v>621</v>
      </c>
      <c r="E369" s="155">
        <v>306</v>
      </c>
      <c r="F369" s="182" t="s">
        <v>57</v>
      </c>
      <c r="G369" s="195">
        <v>15040000</v>
      </c>
      <c r="H369" s="205">
        <v>49</v>
      </c>
      <c r="I369" s="157">
        <v>3200000</v>
      </c>
      <c r="J369" s="158">
        <v>222</v>
      </c>
      <c r="K369" s="157">
        <v>15040000</v>
      </c>
      <c r="L369" s="142">
        <v>8</v>
      </c>
      <c r="M369" s="207" t="s">
        <v>449</v>
      </c>
      <c r="N369" s="158">
        <v>24</v>
      </c>
      <c r="O369" s="157">
        <v>3360000</v>
      </c>
      <c r="P369" s="158">
        <v>72</v>
      </c>
      <c r="Q369" s="157">
        <v>3520000</v>
      </c>
      <c r="R369" s="205">
        <v>52</v>
      </c>
      <c r="S369" s="157">
        <v>7040000</v>
      </c>
      <c r="T369" s="206">
        <f t="shared" si="90"/>
        <v>156</v>
      </c>
      <c r="U369" s="164">
        <f t="shared" si="88"/>
        <v>70.270270270270274</v>
      </c>
      <c r="V369" s="143" t="s">
        <v>58</v>
      </c>
      <c r="W369" s="159">
        <f t="shared" si="89"/>
        <v>13920000</v>
      </c>
      <c r="X369" s="164">
        <f t="shared" si="84"/>
        <v>92.553191489361694</v>
      </c>
      <c r="Y369" s="143" t="s">
        <v>58</v>
      </c>
      <c r="Z369" s="206">
        <f t="shared" si="50"/>
        <v>205</v>
      </c>
      <c r="AA369" s="159">
        <f t="shared" si="85"/>
        <v>17120000</v>
      </c>
      <c r="AB369" s="149">
        <f t="shared" si="86"/>
        <v>66.993464052287578</v>
      </c>
      <c r="AC369" s="143" t="s">
        <v>58</v>
      </c>
      <c r="AD369" s="194">
        <f t="shared" si="87"/>
        <v>113.82978723404256</v>
      </c>
      <c r="AE369" s="162"/>
      <c r="AF369" s="1"/>
      <c r="AG369" s="1"/>
      <c r="AH369" s="163"/>
      <c r="AI369" s="1"/>
      <c r="AJ369" s="1"/>
      <c r="AK369" s="1"/>
    </row>
    <row r="370" spans="1:37" customFormat="1" ht="165">
      <c r="A370" s="151"/>
      <c r="B370" s="147"/>
      <c r="C370" s="153" t="s">
        <v>623</v>
      </c>
      <c r="D370" s="154" t="s">
        <v>621</v>
      </c>
      <c r="E370" s="155">
        <v>152</v>
      </c>
      <c r="F370" s="182" t="s">
        <v>57</v>
      </c>
      <c r="G370" s="195">
        <v>20313800</v>
      </c>
      <c r="H370" s="205">
        <v>37</v>
      </c>
      <c r="I370" s="157">
        <v>8990000</v>
      </c>
      <c r="J370" s="158">
        <v>136</v>
      </c>
      <c r="K370" s="157">
        <v>4260000</v>
      </c>
      <c r="L370" s="142">
        <v>9</v>
      </c>
      <c r="M370" s="207" t="s">
        <v>449</v>
      </c>
      <c r="N370" s="158">
        <v>7</v>
      </c>
      <c r="O370" s="157">
        <v>0</v>
      </c>
      <c r="P370" s="158"/>
      <c r="Q370" s="157">
        <v>1600000</v>
      </c>
      <c r="R370" s="205">
        <v>63</v>
      </c>
      <c r="S370" s="157">
        <v>1852200</v>
      </c>
      <c r="T370" s="206">
        <f t="shared" si="90"/>
        <v>79</v>
      </c>
      <c r="U370" s="164">
        <f t="shared" si="88"/>
        <v>58.088235294117652</v>
      </c>
      <c r="V370" s="143" t="s">
        <v>58</v>
      </c>
      <c r="W370" s="159">
        <f t="shared" si="89"/>
        <v>3452200</v>
      </c>
      <c r="X370" s="164">
        <f t="shared" si="84"/>
        <v>81.037558685446015</v>
      </c>
      <c r="Y370" s="143" t="s">
        <v>58</v>
      </c>
      <c r="Z370" s="206">
        <f t="shared" si="50"/>
        <v>116</v>
      </c>
      <c r="AA370" s="159">
        <f t="shared" si="85"/>
        <v>12442200</v>
      </c>
      <c r="AB370" s="149">
        <f t="shared" si="86"/>
        <v>76.31578947368422</v>
      </c>
      <c r="AC370" s="143" t="s">
        <v>58</v>
      </c>
      <c r="AD370" s="194">
        <f t="shared" si="87"/>
        <v>61.249987693095335</v>
      </c>
      <c r="AE370" s="162"/>
      <c r="AF370" s="1"/>
      <c r="AG370" s="1"/>
      <c r="AH370" s="163"/>
      <c r="AI370" s="1"/>
      <c r="AJ370" s="1"/>
      <c r="AK370" s="1"/>
    </row>
    <row r="371" spans="1:37" customFormat="1" ht="165">
      <c r="A371" s="151"/>
      <c r="B371" s="147"/>
      <c r="C371" s="153" t="s">
        <v>624</v>
      </c>
      <c r="D371" s="154" t="s">
        <v>621</v>
      </c>
      <c r="E371" s="155">
        <v>327</v>
      </c>
      <c r="F371" s="182" t="s">
        <v>57</v>
      </c>
      <c r="G371" s="195">
        <v>3680000</v>
      </c>
      <c r="H371" s="205">
        <v>33</v>
      </c>
      <c r="I371" s="157">
        <v>1600000</v>
      </c>
      <c r="J371" s="158">
        <v>109</v>
      </c>
      <c r="K371" s="157">
        <v>1040000</v>
      </c>
      <c r="L371" s="142">
        <v>3</v>
      </c>
      <c r="M371" s="207" t="s">
        <v>449</v>
      </c>
      <c r="N371" s="158">
        <v>0</v>
      </c>
      <c r="O371" s="157">
        <v>0</v>
      </c>
      <c r="P371" s="158">
        <v>0</v>
      </c>
      <c r="Q371" s="157">
        <v>0</v>
      </c>
      <c r="R371" s="205">
        <v>106</v>
      </c>
      <c r="S371" s="157">
        <v>1040000</v>
      </c>
      <c r="T371" s="206">
        <f t="shared" si="90"/>
        <v>109</v>
      </c>
      <c r="U371" s="164">
        <f t="shared" si="88"/>
        <v>100</v>
      </c>
      <c r="V371" s="143" t="s">
        <v>58</v>
      </c>
      <c r="W371" s="159">
        <f t="shared" si="89"/>
        <v>1040000</v>
      </c>
      <c r="X371" s="164">
        <f t="shared" si="84"/>
        <v>100</v>
      </c>
      <c r="Y371" s="143" t="s">
        <v>58</v>
      </c>
      <c r="Z371" s="206">
        <f t="shared" si="50"/>
        <v>142</v>
      </c>
      <c r="AA371" s="159">
        <f t="shared" si="85"/>
        <v>2640000</v>
      </c>
      <c r="AB371" s="149">
        <f t="shared" si="86"/>
        <v>43.425076452599384</v>
      </c>
      <c r="AC371" s="143" t="s">
        <v>58</v>
      </c>
      <c r="AD371" s="194">
        <f t="shared" si="87"/>
        <v>71.739130434782609</v>
      </c>
      <c r="AE371" s="162"/>
      <c r="AF371" s="1"/>
      <c r="AG371" s="1"/>
      <c r="AH371" s="163"/>
      <c r="AI371" s="1"/>
      <c r="AJ371" s="1"/>
      <c r="AK371" s="1"/>
    </row>
    <row r="372" spans="1:37" customFormat="1" ht="165">
      <c r="A372" s="151"/>
      <c r="B372" s="147"/>
      <c r="C372" s="153" t="s">
        <v>625</v>
      </c>
      <c r="D372" s="154" t="s">
        <v>621</v>
      </c>
      <c r="E372" s="155">
        <v>804</v>
      </c>
      <c r="F372" s="182" t="s">
        <v>57</v>
      </c>
      <c r="G372" s="195">
        <v>17720000</v>
      </c>
      <c r="H372" s="205">
        <v>486</v>
      </c>
      <c r="I372" s="157">
        <v>5100000</v>
      </c>
      <c r="J372" s="158">
        <v>268</v>
      </c>
      <c r="K372" s="157">
        <v>6310000</v>
      </c>
      <c r="L372" s="142">
        <v>21</v>
      </c>
      <c r="M372" s="207" t="s">
        <v>449</v>
      </c>
      <c r="N372" s="158">
        <v>20</v>
      </c>
      <c r="O372" s="157">
        <v>2040000</v>
      </c>
      <c r="P372" s="158">
        <v>183</v>
      </c>
      <c r="Q372" s="157">
        <v>3820000</v>
      </c>
      <c r="R372" s="205">
        <v>48</v>
      </c>
      <c r="S372" s="157">
        <v>450000</v>
      </c>
      <c r="T372" s="206">
        <f t="shared" si="90"/>
        <v>272</v>
      </c>
      <c r="U372" s="164">
        <f t="shared" si="88"/>
        <v>101.49253731343283</v>
      </c>
      <c r="V372" s="143" t="s">
        <v>58</v>
      </c>
      <c r="W372" s="159">
        <f t="shared" si="89"/>
        <v>6310000</v>
      </c>
      <c r="X372" s="164">
        <f t="shared" si="84"/>
        <v>100</v>
      </c>
      <c r="Y372" s="143" t="s">
        <v>58</v>
      </c>
      <c r="Z372" s="206">
        <f t="shared" si="50"/>
        <v>758</v>
      </c>
      <c r="AA372" s="159">
        <f t="shared" si="85"/>
        <v>11410000</v>
      </c>
      <c r="AB372" s="149">
        <f t="shared" si="86"/>
        <v>94.278606965174134</v>
      </c>
      <c r="AC372" s="143" t="s">
        <v>58</v>
      </c>
      <c r="AD372" s="194">
        <f t="shared" si="87"/>
        <v>64.390519187358919</v>
      </c>
      <c r="AE372" s="162"/>
      <c r="AF372" s="1"/>
      <c r="AG372" s="1"/>
      <c r="AH372" s="163"/>
      <c r="AI372" s="1"/>
      <c r="AJ372" s="1"/>
      <c r="AK372" s="1"/>
    </row>
    <row r="373" spans="1:37" customFormat="1" ht="165">
      <c r="A373" s="151"/>
      <c r="B373" s="147"/>
      <c r="C373" s="153" t="s">
        <v>626</v>
      </c>
      <c r="D373" s="154" t="s">
        <v>621</v>
      </c>
      <c r="E373" s="155">
        <v>616</v>
      </c>
      <c r="F373" s="182" t="s">
        <v>57</v>
      </c>
      <c r="G373" s="195">
        <v>21700000</v>
      </c>
      <c r="H373" s="205">
        <v>134</v>
      </c>
      <c r="I373" s="157">
        <v>1600000</v>
      </c>
      <c r="J373" s="158">
        <v>209</v>
      </c>
      <c r="K373" s="157">
        <v>10050000</v>
      </c>
      <c r="L373" s="142">
        <v>35</v>
      </c>
      <c r="M373" s="207" t="s">
        <v>449</v>
      </c>
      <c r="N373" s="158">
        <v>58</v>
      </c>
      <c r="O373" s="157">
        <v>0</v>
      </c>
      <c r="P373" s="158">
        <v>58</v>
      </c>
      <c r="Q373" s="157">
        <v>6690000</v>
      </c>
      <c r="R373" s="205">
        <v>49</v>
      </c>
      <c r="S373" s="157">
        <v>2560000</v>
      </c>
      <c r="T373" s="206">
        <f t="shared" si="90"/>
        <v>200</v>
      </c>
      <c r="U373" s="164">
        <f t="shared" si="88"/>
        <v>95.693779904306226</v>
      </c>
      <c r="V373" s="143" t="s">
        <v>58</v>
      </c>
      <c r="W373" s="159">
        <f t="shared" si="89"/>
        <v>9250000</v>
      </c>
      <c r="X373" s="164">
        <f t="shared" si="84"/>
        <v>92.039800995024876</v>
      </c>
      <c r="Y373" s="143" t="s">
        <v>58</v>
      </c>
      <c r="Z373" s="206">
        <f t="shared" si="50"/>
        <v>334</v>
      </c>
      <c r="AA373" s="159">
        <f t="shared" si="85"/>
        <v>10850000</v>
      </c>
      <c r="AB373" s="149">
        <f t="shared" si="86"/>
        <v>54.220779220779228</v>
      </c>
      <c r="AC373" s="143" t="s">
        <v>58</v>
      </c>
      <c r="AD373" s="194">
        <f t="shared" si="87"/>
        <v>50</v>
      </c>
      <c r="AE373" s="162"/>
      <c r="AF373" s="1"/>
      <c r="AG373" s="1"/>
      <c r="AH373" s="163"/>
      <c r="AI373" s="1"/>
      <c r="AJ373" s="1"/>
      <c r="AK373" s="1"/>
    </row>
    <row r="374" spans="1:37" customFormat="1" ht="165">
      <c r="A374" s="151"/>
      <c r="B374" s="147"/>
      <c r="C374" s="153" t="s">
        <v>627</v>
      </c>
      <c r="D374" s="154" t="s">
        <v>621</v>
      </c>
      <c r="E374" s="155">
        <v>336</v>
      </c>
      <c r="F374" s="182" t="s">
        <v>57</v>
      </c>
      <c r="G374" s="195">
        <v>40029000</v>
      </c>
      <c r="H374" s="205">
        <v>11</v>
      </c>
      <c r="I374" s="157">
        <v>13449000</v>
      </c>
      <c r="J374" s="158">
        <v>112</v>
      </c>
      <c r="K374" s="157">
        <v>6900000</v>
      </c>
      <c r="L374" s="142">
        <v>1</v>
      </c>
      <c r="M374" s="207" t="s">
        <v>449</v>
      </c>
      <c r="N374" s="158">
        <v>1</v>
      </c>
      <c r="O374" s="157">
        <v>0</v>
      </c>
      <c r="P374" s="158">
        <v>0</v>
      </c>
      <c r="Q374" s="157">
        <v>0</v>
      </c>
      <c r="R374" s="205">
        <v>3</v>
      </c>
      <c r="S374" s="157">
        <v>5680000</v>
      </c>
      <c r="T374" s="206">
        <f t="shared" si="90"/>
        <v>5</v>
      </c>
      <c r="U374" s="164">
        <f t="shared" si="88"/>
        <v>4.4642857142857144</v>
      </c>
      <c r="V374" s="143" t="s">
        <v>58</v>
      </c>
      <c r="W374" s="159">
        <f t="shared" si="89"/>
        <v>5680000</v>
      </c>
      <c r="X374" s="164">
        <f t="shared" si="84"/>
        <v>82.318840579710141</v>
      </c>
      <c r="Y374" s="143" t="s">
        <v>58</v>
      </c>
      <c r="Z374" s="206">
        <f t="shared" si="50"/>
        <v>16</v>
      </c>
      <c r="AA374" s="159">
        <f t="shared" si="85"/>
        <v>19129000</v>
      </c>
      <c r="AB374" s="149">
        <f t="shared" si="86"/>
        <v>4.7619047619047619</v>
      </c>
      <c r="AC374" s="143" t="s">
        <v>58</v>
      </c>
      <c r="AD374" s="194">
        <f t="shared" si="87"/>
        <v>47.787853805990657</v>
      </c>
      <c r="AE374" s="162"/>
      <c r="AF374" s="1"/>
      <c r="AG374" s="1"/>
      <c r="AH374" s="163"/>
      <c r="AI374" s="1"/>
      <c r="AJ374" s="1"/>
      <c r="AK374" s="1"/>
    </row>
    <row r="375" spans="1:37" customFormat="1" ht="165">
      <c r="A375" s="151"/>
      <c r="B375" s="147"/>
      <c r="C375" s="153" t="s">
        <v>628</v>
      </c>
      <c r="D375" s="154" t="s">
        <v>621</v>
      </c>
      <c r="E375" s="155">
        <v>1041</v>
      </c>
      <c r="F375" s="182" t="s">
        <v>57</v>
      </c>
      <c r="G375" s="195">
        <v>22810000</v>
      </c>
      <c r="H375" s="205">
        <v>313</v>
      </c>
      <c r="I375" s="157">
        <v>3040000</v>
      </c>
      <c r="J375" s="158">
        <v>347</v>
      </c>
      <c r="K375" s="157">
        <v>8440000</v>
      </c>
      <c r="L375" s="142">
        <v>17</v>
      </c>
      <c r="M375" s="207" t="s">
        <v>449</v>
      </c>
      <c r="N375" s="158">
        <v>15</v>
      </c>
      <c r="O375" s="157">
        <v>1040000</v>
      </c>
      <c r="P375" s="158">
        <v>47</v>
      </c>
      <c r="Q375" s="157">
        <v>720000</v>
      </c>
      <c r="R375" s="205">
        <v>28</v>
      </c>
      <c r="S375" s="157">
        <v>4260000</v>
      </c>
      <c r="T375" s="206">
        <f t="shared" si="90"/>
        <v>107</v>
      </c>
      <c r="U375" s="164">
        <f t="shared" si="88"/>
        <v>30.835734870317005</v>
      </c>
      <c r="V375" s="143" t="s">
        <v>58</v>
      </c>
      <c r="W375" s="159">
        <f t="shared" si="89"/>
        <v>6020000</v>
      </c>
      <c r="X375" s="164">
        <f t="shared" si="84"/>
        <v>71.327014218009481</v>
      </c>
      <c r="Y375" s="143" t="s">
        <v>58</v>
      </c>
      <c r="Z375" s="206">
        <f t="shared" si="50"/>
        <v>420</v>
      </c>
      <c r="AA375" s="159">
        <f t="shared" si="85"/>
        <v>9060000</v>
      </c>
      <c r="AB375" s="149">
        <f t="shared" si="86"/>
        <v>40.345821325648416</v>
      </c>
      <c r="AC375" s="143" t="s">
        <v>58</v>
      </c>
      <c r="AD375" s="194">
        <f t="shared" si="87"/>
        <v>39.719421306444538</v>
      </c>
      <c r="AE375" s="162"/>
      <c r="AF375" s="1"/>
      <c r="AG375" s="1"/>
      <c r="AH375" s="163"/>
      <c r="AI375" s="1"/>
      <c r="AJ375" s="1"/>
      <c r="AK375" s="1"/>
    </row>
    <row r="376" spans="1:37" customFormat="1" ht="165">
      <c r="A376" s="151"/>
      <c r="B376" s="147"/>
      <c r="C376" s="153" t="s">
        <v>629</v>
      </c>
      <c r="D376" s="154" t="s">
        <v>621</v>
      </c>
      <c r="E376" s="155">
        <v>87</v>
      </c>
      <c r="F376" s="182" t="s">
        <v>57</v>
      </c>
      <c r="G376" s="195">
        <v>16240000</v>
      </c>
      <c r="H376" s="205">
        <v>29</v>
      </c>
      <c r="I376" s="157">
        <v>2800000</v>
      </c>
      <c r="J376" s="158">
        <v>209</v>
      </c>
      <c r="K376" s="157">
        <v>6720000</v>
      </c>
      <c r="L376" s="142">
        <v>45</v>
      </c>
      <c r="M376" s="207" t="s">
        <v>449</v>
      </c>
      <c r="N376" s="158">
        <v>47</v>
      </c>
      <c r="O376" s="157">
        <v>0</v>
      </c>
      <c r="P376" s="158">
        <v>35</v>
      </c>
      <c r="Q376" s="157">
        <v>0</v>
      </c>
      <c r="R376" s="205">
        <v>82</v>
      </c>
      <c r="S376" s="157">
        <v>3520000</v>
      </c>
      <c r="T376" s="206">
        <f t="shared" si="90"/>
        <v>209</v>
      </c>
      <c r="U376" s="164">
        <f t="shared" si="88"/>
        <v>100</v>
      </c>
      <c r="V376" s="143" t="s">
        <v>58</v>
      </c>
      <c r="W376" s="159">
        <f t="shared" si="89"/>
        <v>3520000</v>
      </c>
      <c r="X376" s="164">
        <f t="shared" si="84"/>
        <v>52.380952380952387</v>
      </c>
      <c r="Y376" s="143" t="s">
        <v>58</v>
      </c>
      <c r="Z376" s="206">
        <f t="shared" si="50"/>
        <v>238</v>
      </c>
      <c r="AA376" s="159">
        <f t="shared" si="85"/>
        <v>6320000</v>
      </c>
      <c r="AB376" s="149">
        <f t="shared" si="86"/>
        <v>273.56321839080459</v>
      </c>
      <c r="AC376" s="143" t="s">
        <v>58</v>
      </c>
      <c r="AD376" s="194">
        <f t="shared" si="87"/>
        <v>38.916256157635473</v>
      </c>
      <c r="AE376" s="162"/>
      <c r="AF376" s="1"/>
      <c r="AG376" s="1"/>
      <c r="AH376" s="163"/>
      <c r="AI376" s="1"/>
      <c r="AJ376" s="1"/>
      <c r="AK376" s="1"/>
    </row>
    <row r="377" spans="1:37" customFormat="1" ht="165">
      <c r="A377" s="151"/>
      <c r="B377" s="147"/>
      <c r="C377" s="153" t="s">
        <v>630</v>
      </c>
      <c r="D377" s="154" t="s">
        <v>621</v>
      </c>
      <c r="E377" s="155">
        <v>345</v>
      </c>
      <c r="F377" s="182" t="s">
        <v>57</v>
      </c>
      <c r="G377" s="195">
        <v>11852800</v>
      </c>
      <c r="H377" s="205">
        <v>23</v>
      </c>
      <c r="I377" s="157">
        <v>4895000</v>
      </c>
      <c r="J377" s="158">
        <v>120</v>
      </c>
      <c r="K377" s="157">
        <v>3778900</v>
      </c>
      <c r="L377" s="142">
        <v>3</v>
      </c>
      <c r="M377" s="207" t="s">
        <v>449</v>
      </c>
      <c r="N377" s="158">
        <v>3</v>
      </c>
      <c r="O377" s="157">
        <v>1958900</v>
      </c>
      <c r="P377" s="158">
        <v>3</v>
      </c>
      <c r="Q377" s="157">
        <v>0</v>
      </c>
      <c r="R377" s="205">
        <v>3</v>
      </c>
      <c r="S377" s="157">
        <v>1400000</v>
      </c>
      <c r="T377" s="206">
        <f t="shared" si="90"/>
        <v>12</v>
      </c>
      <c r="U377" s="164">
        <f t="shared" si="88"/>
        <v>10</v>
      </c>
      <c r="V377" s="143" t="s">
        <v>58</v>
      </c>
      <c r="W377" s="159">
        <f t="shared" si="89"/>
        <v>3358900</v>
      </c>
      <c r="X377" s="164">
        <f t="shared" si="84"/>
        <v>88.885654555558489</v>
      </c>
      <c r="Y377" s="143" t="s">
        <v>58</v>
      </c>
      <c r="Z377" s="206">
        <f t="shared" si="50"/>
        <v>35</v>
      </c>
      <c r="AA377" s="159">
        <f t="shared" si="85"/>
        <v>8253900</v>
      </c>
      <c r="AB377" s="149">
        <f t="shared" si="86"/>
        <v>10.144927536231885</v>
      </c>
      <c r="AC377" s="143" t="s">
        <v>58</v>
      </c>
      <c r="AD377" s="194">
        <f t="shared" si="87"/>
        <v>69.636710313174945</v>
      </c>
      <c r="AE377" s="162"/>
      <c r="AF377" s="1"/>
      <c r="AG377" s="1"/>
      <c r="AH377" s="163"/>
      <c r="AI377" s="1"/>
      <c r="AJ377" s="1"/>
      <c r="AK377" s="1"/>
    </row>
    <row r="378" spans="1:37" customFormat="1" ht="165">
      <c r="A378" s="151"/>
      <c r="B378" s="147"/>
      <c r="C378" s="153" t="s">
        <v>631</v>
      </c>
      <c r="D378" s="154" t="s">
        <v>621</v>
      </c>
      <c r="E378" s="155">
        <v>1161</v>
      </c>
      <c r="F378" s="182" t="s">
        <v>57</v>
      </c>
      <c r="G378" s="195">
        <v>16320000</v>
      </c>
      <c r="H378" s="205">
        <v>226</v>
      </c>
      <c r="I378" s="157">
        <v>3360000</v>
      </c>
      <c r="J378" s="158">
        <v>395</v>
      </c>
      <c r="K378" s="157">
        <v>6240000</v>
      </c>
      <c r="L378" s="142">
        <v>0</v>
      </c>
      <c r="M378" s="207" t="s">
        <v>449</v>
      </c>
      <c r="N378" s="158">
        <v>168</v>
      </c>
      <c r="O378" s="157">
        <v>2080000</v>
      </c>
      <c r="P378" s="158">
        <v>69</v>
      </c>
      <c r="Q378" s="157">
        <v>1680000</v>
      </c>
      <c r="R378" s="205">
        <v>28</v>
      </c>
      <c r="S378" s="157">
        <v>2160000</v>
      </c>
      <c r="T378" s="206">
        <f t="shared" si="90"/>
        <v>265</v>
      </c>
      <c r="U378" s="164">
        <f t="shared" si="88"/>
        <v>67.088607594936718</v>
      </c>
      <c r="V378" s="143" t="s">
        <v>58</v>
      </c>
      <c r="W378" s="159">
        <f t="shared" si="89"/>
        <v>5920000</v>
      </c>
      <c r="X378" s="164">
        <f t="shared" si="84"/>
        <v>94.871794871794862</v>
      </c>
      <c r="Y378" s="143" t="s">
        <v>58</v>
      </c>
      <c r="Z378" s="206">
        <f t="shared" si="50"/>
        <v>491</v>
      </c>
      <c r="AA378" s="159">
        <f t="shared" si="85"/>
        <v>9280000</v>
      </c>
      <c r="AB378" s="149">
        <f t="shared" si="86"/>
        <v>42.291128337639968</v>
      </c>
      <c r="AC378" s="143" t="s">
        <v>58</v>
      </c>
      <c r="AD378" s="194">
        <f t="shared" si="87"/>
        <v>56.862745098039213</v>
      </c>
      <c r="AE378" s="162"/>
      <c r="AF378" s="1"/>
      <c r="AG378" s="1"/>
      <c r="AH378" s="163"/>
      <c r="AI378" s="1"/>
      <c r="AJ378" s="1"/>
      <c r="AK378" s="1"/>
    </row>
    <row r="379" spans="1:37" customFormat="1" ht="165">
      <c r="A379" s="151"/>
      <c r="B379" s="147"/>
      <c r="C379" s="153" t="s">
        <v>632</v>
      </c>
      <c r="D379" s="154" t="s">
        <v>621</v>
      </c>
      <c r="E379" s="155">
        <v>24</v>
      </c>
      <c r="F379" s="182" t="s">
        <v>57</v>
      </c>
      <c r="G379" s="195">
        <v>8190000</v>
      </c>
      <c r="H379" s="205">
        <v>3</v>
      </c>
      <c r="I379" s="157">
        <v>280000</v>
      </c>
      <c r="J379" s="158">
        <v>94</v>
      </c>
      <c r="K379" s="157">
        <v>3360000</v>
      </c>
      <c r="L379" s="208">
        <v>2</v>
      </c>
      <c r="M379" s="209" t="s">
        <v>449</v>
      </c>
      <c r="N379" s="210">
        <v>10</v>
      </c>
      <c r="O379" s="209">
        <v>420000</v>
      </c>
      <c r="P379" s="210">
        <v>19</v>
      </c>
      <c r="Q379" s="209">
        <v>700000</v>
      </c>
      <c r="R379" s="211">
        <v>37</v>
      </c>
      <c r="S379" s="209">
        <v>2940000</v>
      </c>
      <c r="T379" s="206">
        <f t="shared" si="90"/>
        <v>68</v>
      </c>
      <c r="U379" s="164">
        <f t="shared" si="88"/>
        <v>72.340425531914903</v>
      </c>
      <c r="V379" s="143" t="s">
        <v>58</v>
      </c>
      <c r="W379" s="159">
        <f t="shared" si="89"/>
        <v>4060000</v>
      </c>
      <c r="X379" s="164">
        <f t="shared" si="84"/>
        <v>120.83333333333333</v>
      </c>
      <c r="Y379" s="143" t="s">
        <v>58</v>
      </c>
      <c r="Z379" s="206">
        <f t="shared" si="50"/>
        <v>71</v>
      </c>
      <c r="AA379" s="159">
        <f t="shared" si="85"/>
        <v>4340000</v>
      </c>
      <c r="AB379" s="149">
        <f t="shared" si="86"/>
        <v>295.83333333333337</v>
      </c>
      <c r="AC379" s="143" t="s">
        <v>58</v>
      </c>
      <c r="AD379" s="194">
        <f t="shared" si="87"/>
        <v>52.991452991452995</v>
      </c>
      <c r="AE379" s="162"/>
      <c r="AF379" s="1"/>
      <c r="AG379" s="1"/>
      <c r="AH379" s="163"/>
      <c r="AI379" s="1"/>
      <c r="AJ379" s="1"/>
      <c r="AK379" s="1"/>
    </row>
    <row r="380" spans="1:37" customFormat="1" ht="165">
      <c r="A380" s="151"/>
      <c r="B380" s="147"/>
      <c r="C380" s="153" t="s">
        <v>633</v>
      </c>
      <c r="D380" s="154" t="s">
        <v>621</v>
      </c>
      <c r="E380" s="155">
        <v>36</v>
      </c>
      <c r="F380" s="182" t="s">
        <v>57</v>
      </c>
      <c r="G380" s="195">
        <v>10400000</v>
      </c>
      <c r="H380" s="205">
        <v>12</v>
      </c>
      <c r="I380" s="157">
        <v>2200000</v>
      </c>
      <c r="J380" s="158">
        <v>12</v>
      </c>
      <c r="K380" s="157">
        <v>3520000</v>
      </c>
      <c r="L380" s="142">
        <v>4</v>
      </c>
      <c r="M380" s="207" t="s">
        <v>449</v>
      </c>
      <c r="N380" s="158">
        <v>2</v>
      </c>
      <c r="O380" s="157">
        <v>0</v>
      </c>
      <c r="P380" s="158">
        <v>1</v>
      </c>
      <c r="Q380" s="157">
        <v>300000</v>
      </c>
      <c r="R380" s="205">
        <v>8</v>
      </c>
      <c r="S380" s="157"/>
      <c r="T380" s="206">
        <f t="shared" si="90"/>
        <v>15</v>
      </c>
      <c r="U380" s="164">
        <f t="shared" si="88"/>
        <v>125</v>
      </c>
      <c r="V380" s="143" t="s">
        <v>58</v>
      </c>
      <c r="W380" s="159">
        <f t="shared" si="89"/>
        <v>300000</v>
      </c>
      <c r="X380" s="164">
        <f t="shared" si="84"/>
        <v>8.5227272727272716</v>
      </c>
      <c r="Y380" s="143" t="s">
        <v>58</v>
      </c>
      <c r="Z380" s="206">
        <f t="shared" si="50"/>
        <v>27</v>
      </c>
      <c r="AA380" s="159">
        <f t="shared" si="85"/>
        <v>2500000</v>
      </c>
      <c r="AB380" s="149">
        <f t="shared" si="86"/>
        <v>75</v>
      </c>
      <c r="AC380" s="143" t="s">
        <v>58</v>
      </c>
      <c r="AD380" s="194">
        <f t="shared" si="87"/>
        <v>24.03846153846154</v>
      </c>
      <c r="AE380" s="162"/>
      <c r="AF380" s="1"/>
      <c r="AG380" s="1"/>
      <c r="AH380" s="163"/>
      <c r="AI380" s="1"/>
      <c r="AJ380" s="1"/>
      <c r="AK380" s="1"/>
    </row>
    <row r="381" spans="1:37" customFormat="1" ht="165">
      <c r="A381" s="151"/>
      <c r="B381" s="147"/>
      <c r="C381" s="153" t="s">
        <v>634</v>
      </c>
      <c r="D381" s="154" t="s">
        <v>621</v>
      </c>
      <c r="E381" s="155">
        <v>1053</v>
      </c>
      <c r="F381" s="182" t="s">
        <v>57</v>
      </c>
      <c r="G381" s="195">
        <v>4850000</v>
      </c>
      <c r="H381" s="205">
        <v>87</v>
      </c>
      <c r="I381" s="157">
        <v>1700000</v>
      </c>
      <c r="J381" s="158">
        <v>351</v>
      </c>
      <c r="K381" s="157">
        <v>1040000</v>
      </c>
      <c r="L381" s="142">
        <v>40</v>
      </c>
      <c r="M381" s="207" t="s">
        <v>449</v>
      </c>
      <c r="N381" s="158">
        <v>18</v>
      </c>
      <c r="O381" s="157">
        <v>70000</v>
      </c>
      <c r="P381" s="158">
        <v>148</v>
      </c>
      <c r="Q381" s="157">
        <v>630000</v>
      </c>
      <c r="R381" s="212">
        <v>167</v>
      </c>
      <c r="S381" s="157">
        <v>0</v>
      </c>
      <c r="T381" s="206">
        <f t="shared" si="90"/>
        <v>373</v>
      </c>
      <c r="U381" s="164">
        <f t="shared" si="88"/>
        <v>106.26780626780628</v>
      </c>
      <c r="V381" s="143" t="s">
        <v>58</v>
      </c>
      <c r="W381" s="159">
        <f t="shared" si="89"/>
        <v>700000</v>
      </c>
      <c r="X381" s="164">
        <f t="shared" si="84"/>
        <v>67.307692307692307</v>
      </c>
      <c r="Y381" s="143" t="s">
        <v>58</v>
      </c>
      <c r="Z381" s="206">
        <f t="shared" si="50"/>
        <v>460</v>
      </c>
      <c r="AA381" s="159">
        <f t="shared" si="85"/>
        <v>2400000</v>
      </c>
      <c r="AB381" s="149">
        <f t="shared" si="86"/>
        <v>43.684710351377021</v>
      </c>
      <c r="AC381" s="143" t="s">
        <v>58</v>
      </c>
      <c r="AD381" s="194">
        <f t="shared" si="87"/>
        <v>49.484536082474229</v>
      </c>
      <c r="AE381" s="162"/>
      <c r="AF381" s="1"/>
      <c r="AG381" s="1"/>
      <c r="AH381" s="163"/>
      <c r="AI381" s="1"/>
      <c r="AJ381" s="1"/>
      <c r="AK381" s="1"/>
    </row>
    <row r="382" spans="1:37" customFormat="1" ht="165">
      <c r="A382" s="151"/>
      <c r="B382" s="147"/>
      <c r="C382" s="153" t="s">
        <v>635</v>
      </c>
      <c r="D382" s="154" t="s">
        <v>621</v>
      </c>
      <c r="E382" s="155">
        <v>436</v>
      </c>
      <c r="F382" s="182" t="s">
        <v>57</v>
      </c>
      <c r="G382" s="195">
        <v>9760000</v>
      </c>
      <c r="H382" s="205">
        <v>130</v>
      </c>
      <c r="I382" s="157">
        <v>3360000</v>
      </c>
      <c r="J382" s="158">
        <v>153</v>
      </c>
      <c r="K382" s="157">
        <v>3200000</v>
      </c>
      <c r="L382" s="142">
        <v>24</v>
      </c>
      <c r="M382" s="207" t="s">
        <v>449</v>
      </c>
      <c r="N382" s="158">
        <v>52</v>
      </c>
      <c r="O382" s="157">
        <v>960000</v>
      </c>
      <c r="P382" s="158">
        <v>3</v>
      </c>
      <c r="Q382" s="157">
        <v>1920000</v>
      </c>
      <c r="R382" s="212">
        <v>8</v>
      </c>
      <c r="S382" s="209">
        <v>300000</v>
      </c>
      <c r="T382" s="206">
        <f t="shared" si="90"/>
        <v>87</v>
      </c>
      <c r="U382" s="164">
        <f t="shared" si="88"/>
        <v>56.862745098039213</v>
      </c>
      <c r="V382" s="143" t="s">
        <v>58</v>
      </c>
      <c r="W382" s="159">
        <f t="shared" si="89"/>
        <v>3180000</v>
      </c>
      <c r="X382" s="164">
        <f t="shared" si="84"/>
        <v>99.375</v>
      </c>
      <c r="Y382" s="143" t="s">
        <v>58</v>
      </c>
      <c r="Z382" s="206">
        <f t="shared" si="50"/>
        <v>217</v>
      </c>
      <c r="AA382" s="159">
        <f t="shared" si="85"/>
        <v>6540000</v>
      </c>
      <c r="AB382" s="149">
        <f t="shared" si="86"/>
        <v>49.77064220183486</v>
      </c>
      <c r="AC382" s="143" t="s">
        <v>58</v>
      </c>
      <c r="AD382" s="194">
        <f t="shared" si="87"/>
        <v>67.008196721311478</v>
      </c>
      <c r="AE382" s="162"/>
      <c r="AF382" s="1"/>
      <c r="AG382" s="1"/>
      <c r="AH382" s="163"/>
      <c r="AI382" s="1"/>
      <c r="AJ382" s="1"/>
      <c r="AK382" s="1"/>
    </row>
    <row r="383" spans="1:37" customFormat="1" ht="165">
      <c r="A383" s="151"/>
      <c r="B383" s="147"/>
      <c r="C383" s="153" t="s">
        <v>636</v>
      </c>
      <c r="D383" s="154" t="s">
        <v>621</v>
      </c>
      <c r="E383" s="155">
        <v>671</v>
      </c>
      <c r="F383" s="182" t="s">
        <v>57</v>
      </c>
      <c r="G383" s="195">
        <v>14560000</v>
      </c>
      <c r="H383" s="205">
        <v>89</v>
      </c>
      <c r="I383" s="157">
        <v>720000</v>
      </c>
      <c r="J383" s="158">
        <v>233</v>
      </c>
      <c r="K383" s="157">
        <v>15040000</v>
      </c>
      <c r="L383" s="213">
        <v>1</v>
      </c>
      <c r="M383" s="214">
        <v>0</v>
      </c>
      <c r="N383" s="215">
        <v>48</v>
      </c>
      <c r="O383" s="209">
        <v>1230000</v>
      </c>
      <c r="P383" s="215">
        <v>145</v>
      </c>
      <c r="Q383" s="209">
        <v>3000000</v>
      </c>
      <c r="R383" s="216">
        <v>71</v>
      </c>
      <c r="S383" s="209">
        <v>10670000</v>
      </c>
      <c r="T383" s="206">
        <f t="shared" si="90"/>
        <v>265</v>
      </c>
      <c r="U383" s="164">
        <f t="shared" si="88"/>
        <v>113.73390557939915</v>
      </c>
      <c r="V383" s="143" t="s">
        <v>58</v>
      </c>
      <c r="W383" s="159">
        <f t="shared" si="89"/>
        <v>14900000</v>
      </c>
      <c r="X383" s="164">
        <f t="shared" si="84"/>
        <v>99.069148936170208</v>
      </c>
      <c r="Y383" s="143" t="s">
        <v>58</v>
      </c>
      <c r="Z383" s="206">
        <f t="shared" si="50"/>
        <v>354</v>
      </c>
      <c r="AA383" s="159">
        <f t="shared" si="85"/>
        <v>15620000</v>
      </c>
      <c r="AB383" s="149">
        <f t="shared" si="86"/>
        <v>52.757078986587182</v>
      </c>
      <c r="AC383" s="143" t="s">
        <v>58</v>
      </c>
      <c r="AD383" s="194">
        <f t="shared" si="87"/>
        <v>107.28021978021978</v>
      </c>
      <c r="AE383" s="162"/>
      <c r="AF383" s="1"/>
      <c r="AG383" s="1"/>
      <c r="AH383" s="163"/>
      <c r="AI383" s="1"/>
      <c r="AJ383" s="1"/>
      <c r="AK383" s="1"/>
    </row>
    <row r="384" spans="1:37" customFormat="1" ht="165">
      <c r="A384" s="151"/>
      <c r="B384" s="147"/>
      <c r="C384" s="153" t="s">
        <v>637</v>
      </c>
      <c r="D384" s="154" t="s">
        <v>621</v>
      </c>
      <c r="E384" s="155">
        <v>471</v>
      </c>
      <c r="F384" s="182" t="s">
        <v>57</v>
      </c>
      <c r="G384" s="195">
        <v>23360000</v>
      </c>
      <c r="H384" s="205">
        <v>136</v>
      </c>
      <c r="I384" s="157">
        <v>3450000</v>
      </c>
      <c r="J384" s="158">
        <v>160</v>
      </c>
      <c r="K384" s="157">
        <v>7000000</v>
      </c>
      <c r="L384" s="142">
        <v>31</v>
      </c>
      <c r="M384" s="157">
        <v>0</v>
      </c>
      <c r="N384" s="158">
        <v>22</v>
      </c>
      <c r="O384" s="157">
        <v>2800000</v>
      </c>
      <c r="P384" s="158">
        <v>29</v>
      </c>
      <c r="Q384" s="157">
        <v>2800000</v>
      </c>
      <c r="R384" s="212">
        <v>73</v>
      </c>
      <c r="S384" s="183">
        <v>1400000</v>
      </c>
      <c r="T384" s="206">
        <f t="shared" si="90"/>
        <v>155</v>
      </c>
      <c r="U384" s="164">
        <f t="shared" si="88"/>
        <v>96.875</v>
      </c>
      <c r="V384" s="143" t="s">
        <v>58</v>
      </c>
      <c r="W384" s="159">
        <f t="shared" si="89"/>
        <v>7000000</v>
      </c>
      <c r="X384" s="164">
        <f t="shared" si="84"/>
        <v>100</v>
      </c>
      <c r="Y384" s="143" t="s">
        <v>58</v>
      </c>
      <c r="Z384" s="206">
        <f t="shared" si="50"/>
        <v>291</v>
      </c>
      <c r="AA384" s="159">
        <f t="shared" si="85"/>
        <v>10450000</v>
      </c>
      <c r="AB384" s="149">
        <f t="shared" si="86"/>
        <v>61.783439490445858</v>
      </c>
      <c r="AC384" s="143" t="s">
        <v>58</v>
      </c>
      <c r="AD384" s="194">
        <f t="shared" si="87"/>
        <v>44.734589041095887</v>
      </c>
      <c r="AE384" s="162"/>
      <c r="AF384" s="1"/>
      <c r="AG384" s="1"/>
      <c r="AH384" s="163"/>
      <c r="AI384" s="1"/>
      <c r="AJ384" s="1"/>
      <c r="AK384" s="1"/>
    </row>
    <row r="385" spans="1:37" customFormat="1" ht="165">
      <c r="A385" s="151"/>
      <c r="B385" s="147"/>
      <c r="C385" s="153" t="s">
        <v>638</v>
      </c>
      <c r="D385" s="154" t="s">
        <v>621</v>
      </c>
      <c r="E385" s="155">
        <v>1056</v>
      </c>
      <c r="F385" s="182" t="s">
        <v>57</v>
      </c>
      <c r="G385" s="195">
        <v>54000000</v>
      </c>
      <c r="H385" s="205">
        <v>34</v>
      </c>
      <c r="I385" s="157">
        <v>1400000</v>
      </c>
      <c r="J385" s="158">
        <v>352</v>
      </c>
      <c r="K385" s="157">
        <v>26300000</v>
      </c>
      <c r="L385" s="142">
        <v>50</v>
      </c>
      <c r="M385" s="207" t="s">
        <v>449</v>
      </c>
      <c r="N385" s="158">
        <v>49</v>
      </c>
      <c r="O385" s="157">
        <v>5550000</v>
      </c>
      <c r="P385" s="158">
        <v>51</v>
      </c>
      <c r="Q385" s="157">
        <v>4520000</v>
      </c>
      <c r="R385" s="212">
        <v>53</v>
      </c>
      <c r="S385" s="209">
        <v>6200000</v>
      </c>
      <c r="T385" s="206">
        <f t="shared" si="90"/>
        <v>203</v>
      </c>
      <c r="U385" s="164">
        <f t="shared" si="88"/>
        <v>57.67045454545454</v>
      </c>
      <c r="V385" s="143" t="s">
        <v>58</v>
      </c>
      <c r="W385" s="159">
        <f t="shared" si="89"/>
        <v>16270000</v>
      </c>
      <c r="X385" s="164">
        <f t="shared" si="84"/>
        <v>61.863117870722427</v>
      </c>
      <c r="Y385" s="143" t="s">
        <v>58</v>
      </c>
      <c r="Z385" s="206">
        <f t="shared" si="50"/>
        <v>237</v>
      </c>
      <c r="AA385" s="159">
        <f t="shared" si="85"/>
        <v>17670000</v>
      </c>
      <c r="AB385" s="149">
        <f t="shared" si="86"/>
        <v>22.443181818181817</v>
      </c>
      <c r="AC385" s="143" t="s">
        <v>58</v>
      </c>
      <c r="AD385" s="194">
        <f t="shared" si="87"/>
        <v>32.722222222222221</v>
      </c>
      <c r="AE385" s="162"/>
      <c r="AF385" s="1"/>
      <c r="AG385" s="1"/>
      <c r="AH385" s="163"/>
      <c r="AI385" s="1"/>
      <c r="AJ385" s="1"/>
      <c r="AK385" s="1"/>
    </row>
    <row r="386" spans="1:37" customFormat="1" ht="165">
      <c r="A386" s="151"/>
      <c r="B386" s="147"/>
      <c r="C386" s="153" t="s">
        <v>639</v>
      </c>
      <c r="D386" s="154" t="s">
        <v>621</v>
      </c>
      <c r="E386" s="155">
        <v>68</v>
      </c>
      <c r="F386" s="182" t="s">
        <v>57</v>
      </c>
      <c r="G386" s="195">
        <v>23000000</v>
      </c>
      <c r="H386" s="205">
        <v>26</v>
      </c>
      <c r="I386" s="157">
        <v>0</v>
      </c>
      <c r="J386" s="158">
        <v>34</v>
      </c>
      <c r="K386" s="157">
        <v>11500000</v>
      </c>
      <c r="L386" s="208">
        <v>9</v>
      </c>
      <c r="M386" s="209" t="s">
        <v>449</v>
      </c>
      <c r="N386" s="210">
        <v>9</v>
      </c>
      <c r="O386" s="209" t="s">
        <v>449</v>
      </c>
      <c r="P386" s="210">
        <v>8</v>
      </c>
      <c r="Q386" s="209">
        <v>150000</v>
      </c>
      <c r="R386" s="211">
        <v>8</v>
      </c>
      <c r="S386" s="157">
        <v>910000</v>
      </c>
      <c r="T386" s="206">
        <f t="shared" si="90"/>
        <v>34</v>
      </c>
      <c r="U386" s="164">
        <f t="shared" si="88"/>
        <v>100</v>
      </c>
      <c r="V386" s="143" t="s">
        <v>58</v>
      </c>
      <c r="W386" s="159">
        <f t="shared" si="89"/>
        <v>1060000</v>
      </c>
      <c r="X386" s="164">
        <f t="shared" si="84"/>
        <v>9.2173913043478262</v>
      </c>
      <c r="Y386" s="143" t="s">
        <v>58</v>
      </c>
      <c r="Z386" s="206">
        <f t="shared" si="50"/>
        <v>60</v>
      </c>
      <c r="AA386" s="159">
        <f t="shared" si="85"/>
        <v>1060000</v>
      </c>
      <c r="AB386" s="149">
        <f t="shared" si="86"/>
        <v>88.235294117647058</v>
      </c>
      <c r="AC386" s="143" t="s">
        <v>58</v>
      </c>
      <c r="AD386" s="194">
        <f t="shared" si="87"/>
        <v>4.6086956521739131</v>
      </c>
      <c r="AE386" s="162"/>
      <c r="AF386" s="1"/>
      <c r="AG386" s="1"/>
      <c r="AH386" s="163"/>
      <c r="AI386" s="1"/>
      <c r="AJ386" s="1"/>
      <c r="AK386" s="1"/>
    </row>
    <row r="387" spans="1:37" customFormat="1" ht="165">
      <c r="A387" s="151"/>
      <c r="B387" s="147"/>
      <c r="C387" s="153" t="s">
        <v>640</v>
      </c>
      <c r="D387" s="154" t="s">
        <v>621</v>
      </c>
      <c r="E387" s="155">
        <v>546</v>
      </c>
      <c r="F387" s="182" t="s">
        <v>57</v>
      </c>
      <c r="G387" s="195">
        <v>3900000</v>
      </c>
      <c r="H387" s="205">
        <v>35</v>
      </c>
      <c r="I387" s="157"/>
      <c r="J387" s="158">
        <v>182</v>
      </c>
      <c r="K387" s="157">
        <v>1600000</v>
      </c>
      <c r="L387" s="142">
        <v>8</v>
      </c>
      <c r="M387" s="207" t="s">
        <v>449</v>
      </c>
      <c r="N387" s="158">
        <v>58</v>
      </c>
      <c r="O387" s="157">
        <v>0</v>
      </c>
      <c r="P387" s="158">
        <v>58</v>
      </c>
      <c r="Q387" s="157">
        <v>640000</v>
      </c>
      <c r="R387" s="205">
        <v>58</v>
      </c>
      <c r="S387" s="157">
        <v>800000</v>
      </c>
      <c r="T387" s="206">
        <f t="shared" si="90"/>
        <v>182</v>
      </c>
      <c r="U387" s="164">
        <f t="shared" si="88"/>
        <v>100</v>
      </c>
      <c r="V387" s="143" t="s">
        <v>58</v>
      </c>
      <c r="W387" s="159">
        <f t="shared" si="89"/>
        <v>1440000</v>
      </c>
      <c r="X387" s="164">
        <f t="shared" si="84"/>
        <v>90</v>
      </c>
      <c r="Y387" s="143" t="s">
        <v>58</v>
      </c>
      <c r="Z387" s="206">
        <f t="shared" si="50"/>
        <v>217</v>
      </c>
      <c r="AA387" s="159">
        <f t="shared" si="85"/>
        <v>1440000</v>
      </c>
      <c r="AB387" s="149">
        <f t="shared" si="86"/>
        <v>39.743589743589745</v>
      </c>
      <c r="AC387" s="143" t="s">
        <v>58</v>
      </c>
      <c r="AD387" s="194">
        <f t="shared" si="87"/>
        <v>36.923076923076927</v>
      </c>
      <c r="AE387" s="162"/>
      <c r="AF387" s="1"/>
      <c r="AG387" s="1"/>
      <c r="AH387" s="163"/>
      <c r="AI387" s="1"/>
      <c r="AJ387" s="1"/>
      <c r="AK387" s="1"/>
    </row>
    <row r="388" spans="1:37" customFormat="1" ht="165">
      <c r="A388" s="151"/>
      <c r="B388" s="147"/>
      <c r="C388" s="153" t="s">
        <v>641</v>
      </c>
      <c r="D388" s="154" t="s">
        <v>621</v>
      </c>
      <c r="E388" s="155">
        <v>320</v>
      </c>
      <c r="F388" s="182" t="s">
        <v>57</v>
      </c>
      <c r="G388" s="195">
        <v>28555000</v>
      </c>
      <c r="H388" s="205">
        <v>104</v>
      </c>
      <c r="I388" s="157">
        <v>8105000</v>
      </c>
      <c r="J388" s="158">
        <v>108</v>
      </c>
      <c r="K388" s="157">
        <v>10225000</v>
      </c>
      <c r="L388" s="142">
        <v>17</v>
      </c>
      <c r="M388" s="207" t="s">
        <v>449</v>
      </c>
      <c r="N388" s="158">
        <v>47</v>
      </c>
      <c r="O388" s="157">
        <v>820000</v>
      </c>
      <c r="P388" s="158">
        <v>22</v>
      </c>
      <c r="Q388" s="157">
        <v>8075000</v>
      </c>
      <c r="R388" s="212">
        <v>22</v>
      </c>
      <c r="S388" s="209">
        <v>1225200</v>
      </c>
      <c r="T388" s="206">
        <f t="shared" si="90"/>
        <v>108</v>
      </c>
      <c r="U388" s="164">
        <f t="shared" si="88"/>
        <v>100</v>
      </c>
      <c r="V388" s="143" t="s">
        <v>58</v>
      </c>
      <c r="W388" s="159">
        <f t="shared" si="89"/>
        <v>10120200</v>
      </c>
      <c r="X388" s="164">
        <f t="shared" si="84"/>
        <v>98.975061124694378</v>
      </c>
      <c r="Y388" s="143" t="s">
        <v>58</v>
      </c>
      <c r="Z388" s="206">
        <f t="shared" si="50"/>
        <v>212</v>
      </c>
      <c r="AA388" s="159">
        <f t="shared" si="85"/>
        <v>18225200</v>
      </c>
      <c r="AB388" s="149">
        <f t="shared" si="86"/>
        <v>66.25</v>
      </c>
      <c r="AC388" s="143" t="s">
        <v>58</v>
      </c>
      <c r="AD388" s="194">
        <f t="shared" si="87"/>
        <v>63.824899317107345</v>
      </c>
      <c r="AE388" s="162"/>
      <c r="AF388" s="1"/>
      <c r="AG388" s="1"/>
      <c r="AH388" s="163"/>
      <c r="AI388" s="1"/>
      <c r="AJ388" s="1"/>
      <c r="AK388" s="1"/>
    </row>
    <row r="389" spans="1:37" customFormat="1" ht="150">
      <c r="A389" s="151"/>
      <c r="B389" s="147"/>
      <c r="C389" s="153" t="s">
        <v>642</v>
      </c>
      <c r="D389" s="154" t="s">
        <v>643</v>
      </c>
      <c r="E389" s="155">
        <f>J389*2</f>
        <v>8466</v>
      </c>
      <c r="F389" s="182" t="s">
        <v>57</v>
      </c>
      <c r="G389" s="195">
        <f>K389*2</f>
        <v>114975000</v>
      </c>
      <c r="H389" s="205"/>
      <c r="I389" s="157"/>
      <c r="J389" s="158">
        <v>4233</v>
      </c>
      <c r="K389" s="157">
        <v>57487500</v>
      </c>
      <c r="L389" s="142">
        <v>622</v>
      </c>
      <c r="M389" s="157">
        <v>0</v>
      </c>
      <c r="N389" s="158">
        <v>453</v>
      </c>
      <c r="O389" s="157">
        <v>0</v>
      </c>
      <c r="P389" s="158">
        <v>2007</v>
      </c>
      <c r="Q389" s="157">
        <v>1400000</v>
      </c>
      <c r="R389" s="205">
        <v>1138</v>
      </c>
      <c r="S389" s="157">
        <f>53301370-Q389</f>
        <v>51901370</v>
      </c>
      <c r="T389" s="206">
        <f t="shared" si="90"/>
        <v>4220</v>
      </c>
      <c r="U389" s="164">
        <f t="shared" si="88"/>
        <v>99.69288920387433</v>
      </c>
      <c r="V389" s="143" t="s">
        <v>58</v>
      </c>
      <c r="W389" s="159">
        <f t="shared" si="89"/>
        <v>53301370</v>
      </c>
      <c r="X389" s="164">
        <f t="shared" si="84"/>
        <v>92.718190911067623</v>
      </c>
      <c r="Y389" s="143" t="s">
        <v>58</v>
      </c>
      <c r="Z389" s="206">
        <f t="shared" si="50"/>
        <v>4220</v>
      </c>
      <c r="AA389" s="159">
        <f t="shared" si="85"/>
        <v>53301370</v>
      </c>
      <c r="AB389" s="149">
        <f t="shared" si="86"/>
        <v>49.846444601937165</v>
      </c>
      <c r="AC389" s="143" t="s">
        <v>58</v>
      </c>
      <c r="AD389" s="194">
        <f t="shared" si="87"/>
        <v>46.359095455533812</v>
      </c>
      <c r="AE389" s="162"/>
      <c r="AF389" s="1"/>
      <c r="AG389" s="1"/>
      <c r="AH389" s="163"/>
      <c r="AI389" s="1"/>
      <c r="AJ389" s="1"/>
      <c r="AK389" s="1"/>
    </row>
    <row r="390" spans="1:37" customFormat="1" ht="150">
      <c r="A390" s="151"/>
      <c r="B390" s="147"/>
      <c r="C390" s="153" t="s">
        <v>644</v>
      </c>
      <c r="D390" s="154" t="s">
        <v>643</v>
      </c>
      <c r="E390" s="155">
        <v>700</v>
      </c>
      <c r="F390" s="182" t="s">
        <v>57</v>
      </c>
      <c r="G390" s="195">
        <v>15040000</v>
      </c>
      <c r="H390" s="205">
        <v>239</v>
      </c>
      <c r="I390" s="157">
        <v>2240000</v>
      </c>
      <c r="J390" s="158">
        <v>234</v>
      </c>
      <c r="K390" s="157">
        <v>12800000</v>
      </c>
      <c r="L390" s="142">
        <v>31</v>
      </c>
      <c r="M390" s="207" t="s">
        <v>449</v>
      </c>
      <c r="N390" s="158">
        <v>76</v>
      </c>
      <c r="O390" s="157">
        <v>800000</v>
      </c>
      <c r="P390" s="158">
        <v>131</v>
      </c>
      <c r="Q390" s="157">
        <v>8640000</v>
      </c>
      <c r="R390" s="205">
        <v>66</v>
      </c>
      <c r="S390" s="157">
        <v>1920000</v>
      </c>
      <c r="T390" s="206">
        <f t="shared" si="90"/>
        <v>304</v>
      </c>
      <c r="U390" s="164">
        <f t="shared" si="88"/>
        <v>129.91452991452991</v>
      </c>
      <c r="V390" s="143" t="s">
        <v>58</v>
      </c>
      <c r="W390" s="159">
        <f t="shared" si="89"/>
        <v>11360000</v>
      </c>
      <c r="X390" s="164">
        <f t="shared" si="84"/>
        <v>88.75</v>
      </c>
      <c r="Y390" s="143" t="s">
        <v>58</v>
      </c>
      <c r="Z390" s="206">
        <f t="shared" si="50"/>
        <v>543</v>
      </c>
      <c r="AA390" s="159">
        <f t="shared" si="85"/>
        <v>13600000</v>
      </c>
      <c r="AB390" s="149">
        <f t="shared" si="86"/>
        <v>77.571428571428569</v>
      </c>
      <c r="AC390" s="143" t="s">
        <v>58</v>
      </c>
      <c r="AD390" s="194">
        <f t="shared" si="87"/>
        <v>90.425531914893625</v>
      </c>
      <c r="AE390" s="162"/>
      <c r="AF390" s="1"/>
      <c r="AG390" s="1"/>
      <c r="AH390" s="163"/>
      <c r="AI390" s="1"/>
      <c r="AJ390" s="1"/>
      <c r="AK390" s="1"/>
    </row>
    <row r="391" spans="1:37" customFormat="1" ht="150">
      <c r="A391" s="151"/>
      <c r="B391" s="147"/>
      <c r="C391" s="153" t="s">
        <v>645</v>
      </c>
      <c r="D391" s="154" t="s">
        <v>643</v>
      </c>
      <c r="E391" s="155">
        <v>432</v>
      </c>
      <c r="F391" s="182" t="s">
        <v>57</v>
      </c>
      <c r="G391" s="195">
        <v>1960000</v>
      </c>
      <c r="H391" s="205">
        <v>0</v>
      </c>
      <c r="I391" s="157">
        <v>0</v>
      </c>
      <c r="J391" s="158">
        <v>144</v>
      </c>
      <c r="K391" s="157">
        <v>980000</v>
      </c>
      <c r="L391" s="142">
        <v>8</v>
      </c>
      <c r="M391" s="207" t="s">
        <v>449</v>
      </c>
      <c r="N391" s="158">
        <v>3</v>
      </c>
      <c r="O391" s="157">
        <v>0</v>
      </c>
      <c r="P391" s="158"/>
      <c r="Q391" s="157">
        <v>0</v>
      </c>
      <c r="R391" s="205">
        <v>33</v>
      </c>
      <c r="S391" s="157">
        <v>980000</v>
      </c>
      <c r="T391" s="206">
        <f t="shared" si="90"/>
        <v>44</v>
      </c>
      <c r="U391" s="164">
        <f t="shared" si="88"/>
        <v>30.555555555555557</v>
      </c>
      <c r="V391" s="143" t="s">
        <v>58</v>
      </c>
      <c r="W391" s="159">
        <f t="shared" si="89"/>
        <v>980000</v>
      </c>
      <c r="X391" s="164">
        <f t="shared" si="84"/>
        <v>100</v>
      </c>
      <c r="Y391" s="143" t="s">
        <v>58</v>
      </c>
      <c r="Z391" s="206">
        <f t="shared" si="50"/>
        <v>44</v>
      </c>
      <c r="AA391" s="159">
        <f t="shared" si="85"/>
        <v>980000</v>
      </c>
      <c r="AB391" s="149">
        <f t="shared" si="86"/>
        <v>10.185185185185185</v>
      </c>
      <c r="AC391" s="143" t="s">
        <v>58</v>
      </c>
      <c r="AD391" s="194">
        <f t="shared" si="87"/>
        <v>50</v>
      </c>
      <c r="AE391" s="162"/>
      <c r="AF391" s="1"/>
      <c r="AG391" s="1"/>
      <c r="AH391" s="163"/>
      <c r="AI391" s="1"/>
      <c r="AJ391" s="1"/>
      <c r="AK391" s="1"/>
    </row>
    <row r="392" spans="1:37" customFormat="1" ht="150">
      <c r="A392" s="151"/>
      <c r="B392" s="147"/>
      <c r="C392" s="153" t="s">
        <v>646</v>
      </c>
      <c r="D392" s="154" t="s">
        <v>643</v>
      </c>
      <c r="E392" s="155">
        <v>324</v>
      </c>
      <c r="F392" s="182" t="s">
        <v>57</v>
      </c>
      <c r="G392" s="195">
        <v>12110000</v>
      </c>
      <c r="H392" s="205">
        <v>309</v>
      </c>
      <c r="I392" s="157">
        <v>1790000</v>
      </c>
      <c r="J392" s="158">
        <v>126</v>
      </c>
      <c r="K392" s="157">
        <v>5160000</v>
      </c>
      <c r="L392" s="142">
        <v>40</v>
      </c>
      <c r="M392" s="207" t="s">
        <v>449</v>
      </c>
      <c r="N392" s="158">
        <v>0</v>
      </c>
      <c r="O392" s="157">
        <v>0</v>
      </c>
      <c r="P392" s="158"/>
      <c r="Q392" s="157"/>
      <c r="R392" s="205">
        <v>85</v>
      </c>
      <c r="S392" s="157">
        <v>5120000</v>
      </c>
      <c r="T392" s="206">
        <f t="shared" si="90"/>
        <v>125</v>
      </c>
      <c r="U392" s="164">
        <f t="shared" si="88"/>
        <v>99.206349206349216</v>
      </c>
      <c r="V392" s="143" t="s">
        <v>58</v>
      </c>
      <c r="W392" s="159">
        <f t="shared" si="89"/>
        <v>5120000</v>
      </c>
      <c r="X392" s="164">
        <f t="shared" si="84"/>
        <v>99.224806201550393</v>
      </c>
      <c r="Y392" s="143" t="s">
        <v>58</v>
      </c>
      <c r="Z392" s="206">
        <f t="shared" si="50"/>
        <v>434</v>
      </c>
      <c r="AA392" s="159">
        <f t="shared" si="85"/>
        <v>6910000</v>
      </c>
      <c r="AB392" s="149">
        <f t="shared" si="86"/>
        <v>133.95061728395061</v>
      </c>
      <c r="AC392" s="143" t="s">
        <v>58</v>
      </c>
      <c r="AD392" s="194">
        <f t="shared" si="87"/>
        <v>57.060280759702721</v>
      </c>
      <c r="AE392" s="162"/>
      <c r="AF392" s="1"/>
      <c r="AG392" s="1"/>
      <c r="AH392" s="163"/>
      <c r="AI392" s="1"/>
      <c r="AJ392" s="1"/>
      <c r="AK392" s="1"/>
    </row>
    <row r="393" spans="1:37" customFormat="1" ht="150">
      <c r="A393" s="151"/>
      <c r="B393" s="147"/>
      <c r="C393" s="153" t="s">
        <v>647</v>
      </c>
      <c r="D393" s="154" t="s">
        <v>643</v>
      </c>
      <c r="E393" s="155">
        <v>705</v>
      </c>
      <c r="F393" s="182" t="s">
        <v>57</v>
      </c>
      <c r="G393" s="195">
        <v>10575000</v>
      </c>
      <c r="H393" s="205">
        <v>235</v>
      </c>
      <c r="I393" s="157">
        <v>2400000</v>
      </c>
      <c r="J393" s="158">
        <v>235</v>
      </c>
      <c r="K393" s="157">
        <v>3525000</v>
      </c>
      <c r="L393" s="142">
        <v>0</v>
      </c>
      <c r="M393" s="207" t="s">
        <v>449</v>
      </c>
      <c r="N393" s="158">
        <v>110</v>
      </c>
      <c r="O393" s="157"/>
      <c r="P393" s="158">
        <v>25</v>
      </c>
      <c r="Q393" s="157"/>
      <c r="R393" s="205">
        <v>61</v>
      </c>
      <c r="S393" s="157">
        <v>1200000</v>
      </c>
      <c r="T393" s="206">
        <f t="shared" si="90"/>
        <v>196</v>
      </c>
      <c r="U393" s="164">
        <f t="shared" si="88"/>
        <v>83.40425531914893</v>
      </c>
      <c r="V393" s="143" t="s">
        <v>58</v>
      </c>
      <c r="W393" s="159">
        <f t="shared" si="89"/>
        <v>1200000</v>
      </c>
      <c r="X393" s="164">
        <f t="shared" si="84"/>
        <v>34.042553191489361</v>
      </c>
      <c r="Y393" s="143" t="s">
        <v>58</v>
      </c>
      <c r="Z393" s="206">
        <f t="shared" si="50"/>
        <v>431</v>
      </c>
      <c r="AA393" s="159">
        <f t="shared" si="85"/>
        <v>3600000</v>
      </c>
      <c r="AB393" s="149">
        <f t="shared" si="86"/>
        <v>61.134751773049643</v>
      </c>
      <c r="AC393" s="143" t="s">
        <v>58</v>
      </c>
      <c r="AD393" s="194">
        <f t="shared" si="87"/>
        <v>34.042553191489361</v>
      </c>
      <c r="AE393" s="162"/>
      <c r="AF393" s="1"/>
      <c r="AG393" s="1"/>
      <c r="AH393" s="163"/>
      <c r="AI393" s="1"/>
      <c r="AJ393" s="1"/>
      <c r="AK393" s="1"/>
    </row>
    <row r="394" spans="1:37" customFormat="1" ht="150">
      <c r="A394" s="151"/>
      <c r="B394" s="147"/>
      <c r="C394" s="153" t="s">
        <v>648</v>
      </c>
      <c r="D394" s="154" t="s">
        <v>643</v>
      </c>
      <c r="E394" s="155">
        <v>378</v>
      </c>
      <c r="F394" s="182" t="s">
        <v>57</v>
      </c>
      <c r="G394" s="195">
        <v>6060000</v>
      </c>
      <c r="H394" s="205">
        <v>154</v>
      </c>
      <c r="I394" s="157">
        <v>2020000</v>
      </c>
      <c r="J394" s="158">
        <v>112</v>
      </c>
      <c r="K394" s="157">
        <v>2020000</v>
      </c>
      <c r="L394" s="142">
        <v>10</v>
      </c>
      <c r="M394" s="157">
        <v>0</v>
      </c>
      <c r="N394" s="158">
        <v>21</v>
      </c>
      <c r="O394" s="157">
        <v>0</v>
      </c>
      <c r="P394" s="158">
        <v>38</v>
      </c>
      <c r="Q394" s="157">
        <v>2020000</v>
      </c>
      <c r="R394" s="205">
        <v>19</v>
      </c>
      <c r="S394" s="157">
        <v>0</v>
      </c>
      <c r="T394" s="206">
        <f t="shared" si="90"/>
        <v>88</v>
      </c>
      <c r="U394" s="164">
        <f t="shared" si="88"/>
        <v>78.571428571428569</v>
      </c>
      <c r="V394" s="143" t="s">
        <v>58</v>
      </c>
      <c r="W394" s="159">
        <f t="shared" si="89"/>
        <v>2020000</v>
      </c>
      <c r="X394" s="164">
        <f t="shared" si="84"/>
        <v>100</v>
      </c>
      <c r="Y394" s="143" t="s">
        <v>58</v>
      </c>
      <c r="Z394" s="206">
        <f t="shared" si="50"/>
        <v>242</v>
      </c>
      <c r="AA394" s="159">
        <f t="shared" si="85"/>
        <v>4040000</v>
      </c>
      <c r="AB394" s="149">
        <f t="shared" si="86"/>
        <v>64.021164021164026</v>
      </c>
      <c r="AC394" s="143" t="s">
        <v>58</v>
      </c>
      <c r="AD394" s="194">
        <f t="shared" si="87"/>
        <v>66.666666666666657</v>
      </c>
      <c r="AE394" s="162"/>
      <c r="AF394" s="1"/>
      <c r="AG394" s="1"/>
      <c r="AH394" s="163"/>
      <c r="AI394" s="1"/>
      <c r="AJ394" s="1"/>
      <c r="AK394" s="1"/>
    </row>
    <row r="395" spans="1:37" customFormat="1" ht="150">
      <c r="A395" s="151"/>
      <c r="B395" s="147"/>
      <c r="C395" s="153" t="s">
        <v>649</v>
      </c>
      <c r="D395" s="154" t="s">
        <v>643</v>
      </c>
      <c r="E395" s="155">
        <v>730</v>
      </c>
      <c r="F395" s="182" t="s">
        <v>57</v>
      </c>
      <c r="G395" s="195">
        <v>11315000</v>
      </c>
      <c r="H395" s="205">
        <v>223</v>
      </c>
      <c r="I395" s="157">
        <v>3915000</v>
      </c>
      <c r="J395" s="158">
        <v>235</v>
      </c>
      <c r="K395" s="157">
        <v>3380000</v>
      </c>
      <c r="L395" s="142">
        <v>47</v>
      </c>
      <c r="M395" s="207" t="s">
        <v>449</v>
      </c>
      <c r="N395" s="158">
        <v>48</v>
      </c>
      <c r="O395" s="157">
        <v>1050000</v>
      </c>
      <c r="P395" s="158">
        <v>0</v>
      </c>
      <c r="Q395" s="157">
        <v>0</v>
      </c>
      <c r="R395" s="205">
        <v>135</v>
      </c>
      <c r="S395" s="157">
        <v>2250000</v>
      </c>
      <c r="T395" s="206">
        <f t="shared" si="90"/>
        <v>230</v>
      </c>
      <c r="U395" s="164">
        <f t="shared" si="88"/>
        <v>97.872340425531917</v>
      </c>
      <c r="V395" s="143" t="s">
        <v>58</v>
      </c>
      <c r="W395" s="159">
        <f t="shared" si="89"/>
        <v>3300000</v>
      </c>
      <c r="X395" s="164">
        <f t="shared" si="84"/>
        <v>97.633136094674555</v>
      </c>
      <c r="Y395" s="143" t="s">
        <v>58</v>
      </c>
      <c r="Z395" s="206">
        <f t="shared" si="50"/>
        <v>453</v>
      </c>
      <c r="AA395" s="159">
        <f t="shared" si="85"/>
        <v>7215000</v>
      </c>
      <c r="AB395" s="149">
        <f t="shared" si="86"/>
        <v>62.054794520547944</v>
      </c>
      <c r="AC395" s="143" t="s">
        <v>58</v>
      </c>
      <c r="AD395" s="194">
        <f t="shared" si="87"/>
        <v>63.764913831197525</v>
      </c>
      <c r="AE395" s="162"/>
      <c r="AF395" s="1"/>
      <c r="AG395" s="1"/>
      <c r="AH395" s="163"/>
      <c r="AI395" s="1"/>
      <c r="AJ395" s="1"/>
      <c r="AK395" s="1"/>
    </row>
    <row r="396" spans="1:37" customFormat="1" ht="150">
      <c r="A396" s="151"/>
      <c r="B396" s="147"/>
      <c r="C396" s="153" t="s">
        <v>650</v>
      </c>
      <c r="D396" s="154" t="s">
        <v>643</v>
      </c>
      <c r="E396" s="155">
        <v>318</v>
      </c>
      <c r="F396" s="182" t="s">
        <v>57</v>
      </c>
      <c r="G396" s="195">
        <v>8990000</v>
      </c>
      <c r="H396" s="205">
        <v>100</v>
      </c>
      <c r="I396" s="157">
        <v>4750000</v>
      </c>
      <c r="J396" s="158">
        <v>106</v>
      </c>
      <c r="K396" s="157">
        <v>1920000</v>
      </c>
      <c r="L396" s="142">
        <v>13</v>
      </c>
      <c r="M396" s="207" t="s">
        <v>449</v>
      </c>
      <c r="N396" s="158">
        <v>6</v>
      </c>
      <c r="O396" s="157"/>
      <c r="P396" s="158">
        <v>22</v>
      </c>
      <c r="Q396" s="157">
        <v>890000</v>
      </c>
      <c r="R396" s="205">
        <v>22</v>
      </c>
      <c r="S396" s="157">
        <v>940000</v>
      </c>
      <c r="T396" s="206">
        <f t="shared" si="90"/>
        <v>63</v>
      </c>
      <c r="U396" s="164">
        <f t="shared" si="88"/>
        <v>59.433962264150942</v>
      </c>
      <c r="V396" s="143" t="s">
        <v>58</v>
      </c>
      <c r="W396" s="159">
        <f t="shared" si="89"/>
        <v>1830000</v>
      </c>
      <c r="X396" s="164">
        <f t="shared" si="84"/>
        <v>95.3125</v>
      </c>
      <c r="Y396" s="143" t="s">
        <v>58</v>
      </c>
      <c r="Z396" s="206">
        <f t="shared" si="50"/>
        <v>163</v>
      </c>
      <c r="AA396" s="159">
        <f t="shared" si="85"/>
        <v>6580000</v>
      </c>
      <c r="AB396" s="149">
        <f t="shared" si="86"/>
        <v>51.257861635220124</v>
      </c>
      <c r="AC396" s="143" t="s">
        <v>58</v>
      </c>
      <c r="AD396" s="194">
        <f t="shared" si="87"/>
        <v>73.192436040044498</v>
      </c>
      <c r="AE396" s="162"/>
      <c r="AF396" s="1"/>
      <c r="AG396" s="1"/>
      <c r="AH396" s="163"/>
      <c r="AI396" s="1"/>
      <c r="AJ396" s="1"/>
      <c r="AK396" s="1"/>
    </row>
    <row r="397" spans="1:37" customFormat="1" ht="150">
      <c r="A397" s="151"/>
      <c r="B397" s="147"/>
      <c r="C397" s="153" t="s">
        <v>651</v>
      </c>
      <c r="D397" s="154" t="s">
        <v>643</v>
      </c>
      <c r="E397" s="155">
        <v>1365</v>
      </c>
      <c r="F397" s="182" t="s">
        <v>57</v>
      </c>
      <c r="G397" s="195">
        <v>7800000</v>
      </c>
      <c r="H397" s="205">
        <v>243</v>
      </c>
      <c r="I397" s="157">
        <v>2760000</v>
      </c>
      <c r="J397" s="158">
        <v>455</v>
      </c>
      <c r="K397" s="157">
        <v>1200000</v>
      </c>
      <c r="L397" s="142">
        <v>142</v>
      </c>
      <c r="M397" s="207" t="s">
        <v>449</v>
      </c>
      <c r="N397" s="158">
        <v>87</v>
      </c>
      <c r="O397" s="157">
        <v>0</v>
      </c>
      <c r="P397" s="158">
        <v>91</v>
      </c>
      <c r="Q397" s="157">
        <v>0</v>
      </c>
      <c r="R397" s="205">
        <v>63</v>
      </c>
      <c r="S397" s="157">
        <v>1200000</v>
      </c>
      <c r="T397" s="206">
        <f t="shared" si="90"/>
        <v>383</v>
      </c>
      <c r="U397" s="164">
        <f t="shared" si="88"/>
        <v>84.175824175824175</v>
      </c>
      <c r="V397" s="143" t="s">
        <v>58</v>
      </c>
      <c r="W397" s="159">
        <f t="shared" si="89"/>
        <v>1200000</v>
      </c>
      <c r="X397" s="164">
        <f t="shared" si="84"/>
        <v>100</v>
      </c>
      <c r="Y397" s="143" t="s">
        <v>58</v>
      </c>
      <c r="Z397" s="206">
        <f t="shared" si="50"/>
        <v>626</v>
      </c>
      <c r="AA397" s="159">
        <f t="shared" si="85"/>
        <v>3960000</v>
      </c>
      <c r="AB397" s="149">
        <f t="shared" si="86"/>
        <v>45.860805860805861</v>
      </c>
      <c r="AC397" s="143" t="s">
        <v>58</v>
      </c>
      <c r="AD397" s="194">
        <f t="shared" si="87"/>
        <v>50.769230769230766</v>
      </c>
      <c r="AE397" s="162"/>
      <c r="AF397" s="1"/>
      <c r="AG397" s="1"/>
      <c r="AH397" s="163"/>
      <c r="AI397" s="1"/>
      <c r="AJ397" s="1"/>
      <c r="AK397" s="1"/>
    </row>
    <row r="398" spans="1:37" customFormat="1" ht="150">
      <c r="A398" s="151"/>
      <c r="B398" s="147"/>
      <c r="C398" s="153" t="s">
        <v>652</v>
      </c>
      <c r="D398" s="154" t="s">
        <v>643</v>
      </c>
      <c r="E398" s="155">
        <v>537</v>
      </c>
      <c r="F398" s="182" t="s">
        <v>57</v>
      </c>
      <c r="G398" s="195">
        <v>2820000</v>
      </c>
      <c r="H398" s="205">
        <v>179</v>
      </c>
      <c r="I398" s="157">
        <v>480000</v>
      </c>
      <c r="J398" s="158">
        <v>221</v>
      </c>
      <c r="K398" s="157">
        <v>1200000</v>
      </c>
      <c r="L398" s="142">
        <v>51</v>
      </c>
      <c r="M398" s="207" t="s">
        <v>449</v>
      </c>
      <c r="N398" s="158">
        <v>50</v>
      </c>
      <c r="O398" s="157"/>
      <c r="P398" s="158">
        <v>65</v>
      </c>
      <c r="Q398" s="157">
        <v>840000</v>
      </c>
      <c r="R398" s="205">
        <v>55</v>
      </c>
      <c r="S398" s="157">
        <v>0</v>
      </c>
      <c r="T398" s="206">
        <f t="shared" si="90"/>
        <v>221</v>
      </c>
      <c r="U398" s="164">
        <f t="shared" si="88"/>
        <v>100</v>
      </c>
      <c r="V398" s="143" t="s">
        <v>58</v>
      </c>
      <c r="W398" s="159">
        <f t="shared" si="89"/>
        <v>840000</v>
      </c>
      <c r="X398" s="164">
        <f t="shared" si="84"/>
        <v>70</v>
      </c>
      <c r="Y398" s="143" t="s">
        <v>58</v>
      </c>
      <c r="Z398" s="206">
        <f t="shared" si="50"/>
        <v>400</v>
      </c>
      <c r="AA398" s="159">
        <f t="shared" si="85"/>
        <v>1320000</v>
      </c>
      <c r="AB398" s="149">
        <f t="shared" si="86"/>
        <v>74.487895716945999</v>
      </c>
      <c r="AC398" s="143" t="s">
        <v>58</v>
      </c>
      <c r="AD398" s="194">
        <f t="shared" si="87"/>
        <v>46.808510638297875</v>
      </c>
      <c r="AE398" s="162"/>
      <c r="AF398" s="1"/>
      <c r="AG398" s="1"/>
      <c r="AH398" s="163"/>
      <c r="AI398" s="1"/>
      <c r="AJ398" s="1"/>
      <c r="AK398" s="1"/>
    </row>
    <row r="399" spans="1:37" customFormat="1" ht="150">
      <c r="A399" s="151"/>
      <c r="B399" s="147"/>
      <c r="C399" s="153" t="s">
        <v>653</v>
      </c>
      <c r="D399" s="154" t="s">
        <v>643</v>
      </c>
      <c r="E399" s="155">
        <v>378</v>
      </c>
      <c r="F399" s="182" t="s">
        <v>57</v>
      </c>
      <c r="G399" s="195">
        <v>3165000</v>
      </c>
      <c r="H399" s="205">
        <v>133</v>
      </c>
      <c r="I399" s="157">
        <v>665000</v>
      </c>
      <c r="J399" s="158">
        <v>133</v>
      </c>
      <c r="K399" s="157">
        <v>1250000</v>
      </c>
      <c r="L399" s="142">
        <v>0</v>
      </c>
      <c r="M399" s="207" t="s">
        <v>449</v>
      </c>
      <c r="N399" s="158">
        <v>0</v>
      </c>
      <c r="O399" s="157">
        <v>0</v>
      </c>
      <c r="P399" s="158">
        <v>96</v>
      </c>
      <c r="Q399" s="157">
        <v>1250000</v>
      </c>
      <c r="R399" s="205"/>
      <c r="S399" s="207" t="s">
        <v>449</v>
      </c>
      <c r="T399" s="206">
        <f t="shared" si="90"/>
        <v>96</v>
      </c>
      <c r="U399" s="164">
        <f t="shared" si="88"/>
        <v>72.180451127819538</v>
      </c>
      <c r="V399" s="143" t="s">
        <v>58</v>
      </c>
      <c r="W399" s="159">
        <f t="shared" si="89"/>
        <v>1250000</v>
      </c>
      <c r="X399" s="164">
        <f t="shared" si="84"/>
        <v>100</v>
      </c>
      <c r="Y399" s="143" t="s">
        <v>58</v>
      </c>
      <c r="Z399" s="206">
        <f t="shared" si="50"/>
        <v>229</v>
      </c>
      <c r="AA399" s="159">
        <f t="shared" si="85"/>
        <v>1915000</v>
      </c>
      <c r="AB399" s="149">
        <f t="shared" si="86"/>
        <v>60.582010582010582</v>
      </c>
      <c r="AC399" s="143" t="s">
        <v>58</v>
      </c>
      <c r="AD399" s="194">
        <f t="shared" si="87"/>
        <v>60.505529225908376</v>
      </c>
      <c r="AE399" s="162"/>
      <c r="AF399" s="1"/>
      <c r="AG399" s="1"/>
      <c r="AH399" s="163"/>
      <c r="AI399" s="1"/>
      <c r="AJ399" s="1"/>
      <c r="AK399" s="1"/>
    </row>
    <row r="400" spans="1:37" customFormat="1" ht="150">
      <c r="A400" s="151"/>
      <c r="B400" s="147"/>
      <c r="C400" s="153" t="s">
        <v>654</v>
      </c>
      <c r="D400" s="154" t="s">
        <v>643</v>
      </c>
      <c r="E400" s="155">
        <v>724</v>
      </c>
      <c r="F400" s="182" t="s">
        <v>57</v>
      </c>
      <c r="G400" s="195">
        <v>2560000</v>
      </c>
      <c r="H400" s="205">
        <v>386</v>
      </c>
      <c r="I400" s="157">
        <v>0</v>
      </c>
      <c r="J400" s="158">
        <v>176</v>
      </c>
      <c r="K400" s="157">
        <v>1280000</v>
      </c>
      <c r="L400" s="142">
        <v>88</v>
      </c>
      <c r="M400" s="207" t="s">
        <v>449</v>
      </c>
      <c r="N400" s="158">
        <v>96</v>
      </c>
      <c r="O400" s="157">
        <v>0</v>
      </c>
      <c r="P400" s="158">
        <v>105</v>
      </c>
      <c r="Q400" s="157">
        <v>1280000</v>
      </c>
      <c r="R400" s="205">
        <v>100</v>
      </c>
      <c r="S400" s="157">
        <v>0</v>
      </c>
      <c r="T400" s="206">
        <f t="shared" si="90"/>
        <v>389</v>
      </c>
      <c r="U400" s="164">
        <f t="shared" si="88"/>
        <v>221.02272727272728</v>
      </c>
      <c r="V400" s="143" t="s">
        <v>58</v>
      </c>
      <c r="W400" s="159">
        <f t="shared" si="89"/>
        <v>1280000</v>
      </c>
      <c r="X400" s="164">
        <f t="shared" si="84"/>
        <v>100</v>
      </c>
      <c r="Y400" s="143" t="s">
        <v>58</v>
      </c>
      <c r="Z400" s="206">
        <f t="shared" si="50"/>
        <v>775</v>
      </c>
      <c r="AA400" s="159">
        <f t="shared" si="85"/>
        <v>1280000</v>
      </c>
      <c r="AB400" s="149">
        <f t="shared" si="86"/>
        <v>107.04419889502763</v>
      </c>
      <c r="AC400" s="143" t="s">
        <v>58</v>
      </c>
      <c r="AD400" s="194">
        <f t="shared" si="87"/>
        <v>50</v>
      </c>
      <c r="AE400" s="162"/>
      <c r="AF400" s="1"/>
      <c r="AG400" s="1"/>
      <c r="AH400" s="163"/>
      <c r="AI400" s="1"/>
      <c r="AJ400" s="1"/>
      <c r="AK400" s="1"/>
    </row>
    <row r="401" spans="1:37" customFormat="1" ht="150">
      <c r="A401" s="151"/>
      <c r="B401" s="147"/>
      <c r="C401" s="153" t="s">
        <v>655</v>
      </c>
      <c r="D401" s="154" t="s">
        <v>643</v>
      </c>
      <c r="E401" s="155">
        <v>315</v>
      </c>
      <c r="F401" s="182" t="s">
        <v>57</v>
      </c>
      <c r="G401" s="195">
        <v>17985000</v>
      </c>
      <c r="H401" s="205">
        <v>82</v>
      </c>
      <c r="I401" s="157">
        <v>2520000</v>
      </c>
      <c r="J401" s="158">
        <v>100</v>
      </c>
      <c r="K401" s="157">
        <v>7017500</v>
      </c>
      <c r="L401" s="142">
        <v>27</v>
      </c>
      <c r="M401" s="207" t="s">
        <v>449</v>
      </c>
      <c r="N401" s="158">
        <v>5</v>
      </c>
      <c r="O401" s="157">
        <v>230000</v>
      </c>
      <c r="P401" s="158">
        <v>79</v>
      </c>
      <c r="Q401" s="157">
        <v>3590000</v>
      </c>
      <c r="R401" s="212">
        <v>95</v>
      </c>
      <c r="S401" s="209">
        <v>6940000</v>
      </c>
      <c r="T401" s="206">
        <f t="shared" si="90"/>
        <v>206</v>
      </c>
      <c r="U401" s="164">
        <f t="shared" si="88"/>
        <v>206</v>
      </c>
      <c r="V401" s="143" t="s">
        <v>58</v>
      </c>
      <c r="W401" s="159">
        <f t="shared" si="89"/>
        <v>10760000</v>
      </c>
      <c r="X401" s="164">
        <f t="shared" si="84"/>
        <v>153.33095831848948</v>
      </c>
      <c r="Y401" s="143" t="s">
        <v>58</v>
      </c>
      <c r="Z401" s="206">
        <f t="shared" ref="Z401:Z647" si="91">SUM(H401,T401)</f>
        <v>288</v>
      </c>
      <c r="AA401" s="159">
        <f t="shared" si="85"/>
        <v>13280000</v>
      </c>
      <c r="AB401" s="149">
        <f t="shared" si="86"/>
        <v>91.428571428571431</v>
      </c>
      <c r="AC401" s="143" t="s">
        <v>58</v>
      </c>
      <c r="AD401" s="194">
        <f t="shared" si="87"/>
        <v>73.839310536558244</v>
      </c>
      <c r="AE401" s="162"/>
      <c r="AF401" s="1"/>
      <c r="AG401" s="1"/>
      <c r="AH401" s="163"/>
      <c r="AI401" s="1"/>
      <c r="AJ401" s="1"/>
      <c r="AK401" s="1"/>
    </row>
    <row r="402" spans="1:37" customFormat="1" ht="150">
      <c r="A402" s="151"/>
      <c r="B402" s="147"/>
      <c r="C402" s="153" t="s">
        <v>656</v>
      </c>
      <c r="D402" s="154" t="s">
        <v>643</v>
      </c>
      <c r="E402" s="155">
        <v>218</v>
      </c>
      <c r="F402" s="182" t="s">
        <v>57</v>
      </c>
      <c r="G402" s="195">
        <v>7600000</v>
      </c>
      <c r="H402" s="205">
        <v>80</v>
      </c>
      <c r="I402" s="157">
        <v>2800000</v>
      </c>
      <c r="J402" s="158">
        <v>69</v>
      </c>
      <c r="K402" s="157">
        <v>2400000</v>
      </c>
      <c r="L402" s="142">
        <v>22</v>
      </c>
      <c r="M402" s="207" t="s">
        <v>449</v>
      </c>
      <c r="N402" s="158">
        <v>19</v>
      </c>
      <c r="O402" s="157">
        <v>980000</v>
      </c>
      <c r="P402" s="158">
        <v>21</v>
      </c>
      <c r="Q402" s="157">
        <v>710000</v>
      </c>
      <c r="R402" s="212">
        <v>21</v>
      </c>
      <c r="S402" s="209">
        <v>320000</v>
      </c>
      <c r="T402" s="206">
        <f t="shared" si="90"/>
        <v>83</v>
      </c>
      <c r="U402" s="164">
        <f t="shared" si="88"/>
        <v>120.28985507246377</v>
      </c>
      <c r="V402" s="143" t="s">
        <v>58</v>
      </c>
      <c r="W402" s="159">
        <f t="shared" si="89"/>
        <v>2010000</v>
      </c>
      <c r="X402" s="164">
        <f t="shared" si="84"/>
        <v>83.75</v>
      </c>
      <c r="Y402" s="143" t="s">
        <v>58</v>
      </c>
      <c r="Z402" s="206">
        <f t="shared" si="91"/>
        <v>163</v>
      </c>
      <c r="AA402" s="159">
        <f t="shared" si="85"/>
        <v>4810000</v>
      </c>
      <c r="AB402" s="149">
        <f t="shared" si="86"/>
        <v>74.77064220183486</v>
      </c>
      <c r="AC402" s="143" t="s">
        <v>58</v>
      </c>
      <c r="AD402" s="194">
        <f t="shared" si="87"/>
        <v>63.289473684210527</v>
      </c>
      <c r="AE402" s="162"/>
      <c r="AF402" s="1"/>
      <c r="AG402" s="1"/>
      <c r="AH402" s="163"/>
      <c r="AI402" s="1"/>
      <c r="AJ402" s="1"/>
      <c r="AK402" s="1"/>
    </row>
    <row r="403" spans="1:37" customFormat="1" ht="150">
      <c r="A403" s="151"/>
      <c r="B403" s="147"/>
      <c r="C403" s="153" t="s">
        <v>657</v>
      </c>
      <c r="D403" s="154" t="s">
        <v>643</v>
      </c>
      <c r="E403" s="155">
        <v>1341</v>
      </c>
      <c r="F403" s="182" t="s">
        <v>57</v>
      </c>
      <c r="G403" s="195">
        <v>16360000</v>
      </c>
      <c r="H403" s="205">
        <v>417</v>
      </c>
      <c r="I403" s="157">
        <v>12060000</v>
      </c>
      <c r="J403" s="158">
        <v>460</v>
      </c>
      <c r="K403" s="157">
        <v>1760000</v>
      </c>
      <c r="L403" s="142">
        <v>119</v>
      </c>
      <c r="M403" s="207" t="s">
        <v>449</v>
      </c>
      <c r="N403" s="158">
        <v>52</v>
      </c>
      <c r="O403" s="157">
        <v>700000</v>
      </c>
      <c r="P403" s="158">
        <v>137</v>
      </c>
      <c r="Q403" s="157">
        <v>420000</v>
      </c>
      <c r="R403" s="212">
        <v>106</v>
      </c>
      <c r="S403" s="209">
        <v>280000</v>
      </c>
      <c r="T403" s="206">
        <f t="shared" si="90"/>
        <v>414</v>
      </c>
      <c r="U403" s="164">
        <f t="shared" si="88"/>
        <v>90</v>
      </c>
      <c r="V403" s="143" t="s">
        <v>58</v>
      </c>
      <c r="W403" s="159">
        <f t="shared" si="89"/>
        <v>1400000</v>
      </c>
      <c r="X403" s="164">
        <f t="shared" si="84"/>
        <v>79.545454545454547</v>
      </c>
      <c r="Y403" s="143" t="s">
        <v>58</v>
      </c>
      <c r="Z403" s="206">
        <f t="shared" si="91"/>
        <v>831</v>
      </c>
      <c r="AA403" s="159">
        <f t="shared" si="85"/>
        <v>13460000</v>
      </c>
      <c r="AB403" s="149">
        <f t="shared" si="86"/>
        <v>61.96868008948546</v>
      </c>
      <c r="AC403" s="143" t="s">
        <v>58</v>
      </c>
      <c r="AD403" s="194">
        <f t="shared" si="87"/>
        <v>82.27383863080685</v>
      </c>
      <c r="AE403" s="162"/>
      <c r="AF403" s="1"/>
      <c r="AG403" s="1"/>
      <c r="AH403" s="163"/>
      <c r="AI403" s="1"/>
      <c r="AJ403" s="1"/>
      <c r="AK403" s="1"/>
    </row>
    <row r="404" spans="1:37" customFormat="1" ht="165">
      <c r="A404" s="151"/>
      <c r="B404" s="147"/>
      <c r="C404" s="153" t="s">
        <v>658</v>
      </c>
      <c r="D404" s="154" t="s">
        <v>643</v>
      </c>
      <c r="E404" s="155">
        <v>483</v>
      </c>
      <c r="F404" s="182" t="s">
        <v>57</v>
      </c>
      <c r="G404" s="195">
        <v>10640000</v>
      </c>
      <c r="H404" s="205">
        <v>156</v>
      </c>
      <c r="I404" s="157">
        <v>3360000</v>
      </c>
      <c r="J404" s="158">
        <v>156</v>
      </c>
      <c r="K404" s="157">
        <v>3640000</v>
      </c>
      <c r="L404" s="142">
        <v>24</v>
      </c>
      <c r="M404" s="207" t="s">
        <v>449</v>
      </c>
      <c r="N404" s="158">
        <v>38</v>
      </c>
      <c r="O404" s="157">
        <v>3640000</v>
      </c>
      <c r="P404" s="158">
        <v>88</v>
      </c>
      <c r="Q404" s="157">
        <v>0</v>
      </c>
      <c r="R404" s="205">
        <v>6</v>
      </c>
      <c r="S404" s="157">
        <v>0</v>
      </c>
      <c r="T404" s="206">
        <f t="shared" si="90"/>
        <v>156</v>
      </c>
      <c r="U404" s="164">
        <f t="shared" si="88"/>
        <v>100</v>
      </c>
      <c r="V404" s="143" t="s">
        <v>58</v>
      </c>
      <c r="W404" s="159">
        <f t="shared" si="89"/>
        <v>3640000</v>
      </c>
      <c r="X404" s="164">
        <f t="shared" si="84"/>
        <v>100</v>
      </c>
      <c r="Y404" s="143" t="s">
        <v>58</v>
      </c>
      <c r="Z404" s="206">
        <f t="shared" si="91"/>
        <v>312</v>
      </c>
      <c r="AA404" s="159">
        <f t="shared" si="85"/>
        <v>7000000</v>
      </c>
      <c r="AB404" s="149">
        <f t="shared" si="86"/>
        <v>64.596273291925471</v>
      </c>
      <c r="AC404" s="143" t="s">
        <v>58</v>
      </c>
      <c r="AD404" s="194">
        <f t="shared" si="87"/>
        <v>65.789473684210535</v>
      </c>
      <c r="AE404" s="162"/>
      <c r="AF404" s="1"/>
      <c r="AG404" s="1"/>
      <c r="AH404" s="163"/>
      <c r="AI404" s="1"/>
      <c r="AJ404" s="1"/>
      <c r="AK404" s="1"/>
    </row>
    <row r="405" spans="1:37" customFormat="1" ht="150">
      <c r="A405" s="151"/>
      <c r="B405" s="147"/>
      <c r="C405" s="153" t="s">
        <v>659</v>
      </c>
      <c r="D405" s="154" t="s">
        <v>643</v>
      </c>
      <c r="E405" s="155">
        <v>757</v>
      </c>
      <c r="F405" s="182" t="s">
        <v>57</v>
      </c>
      <c r="G405" s="195">
        <v>8540000</v>
      </c>
      <c r="H405" s="205">
        <v>271</v>
      </c>
      <c r="I405" s="157">
        <v>4040000</v>
      </c>
      <c r="J405" s="158">
        <v>260</v>
      </c>
      <c r="K405" s="157">
        <v>2240000</v>
      </c>
      <c r="L405" s="213">
        <v>82</v>
      </c>
      <c r="M405" s="214">
        <v>0</v>
      </c>
      <c r="N405" s="215">
        <v>56</v>
      </c>
      <c r="O405" s="209" t="s">
        <v>449</v>
      </c>
      <c r="P405" s="215">
        <v>75</v>
      </c>
      <c r="Q405" s="209">
        <v>1050000</v>
      </c>
      <c r="R405" s="216">
        <v>57</v>
      </c>
      <c r="S405" s="209">
        <v>1050000</v>
      </c>
      <c r="T405" s="206">
        <f t="shared" si="90"/>
        <v>270</v>
      </c>
      <c r="U405" s="164">
        <f t="shared" si="88"/>
        <v>103.84615384615385</v>
      </c>
      <c r="V405" s="143" t="s">
        <v>58</v>
      </c>
      <c r="W405" s="159">
        <f t="shared" si="89"/>
        <v>2100000</v>
      </c>
      <c r="X405" s="164">
        <f t="shared" si="84"/>
        <v>93.75</v>
      </c>
      <c r="Y405" s="143" t="s">
        <v>58</v>
      </c>
      <c r="Z405" s="206">
        <f t="shared" si="91"/>
        <v>541</v>
      </c>
      <c r="AA405" s="159">
        <f t="shared" si="85"/>
        <v>6140000</v>
      </c>
      <c r="AB405" s="149">
        <f t="shared" si="86"/>
        <v>71.466314398943197</v>
      </c>
      <c r="AC405" s="143" t="s">
        <v>58</v>
      </c>
      <c r="AD405" s="194">
        <f t="shared" si="87"/>
        <v>71.896955503512885</v>
      </c>
      <c r="AE405" s="162"/>
      <c r="AF405" s="1"/>
      <c r="AG405" s="1"/>
      <c r="AH405" s="163"/>
      <c r="AI405" s="1"/>
      <c r="AJ405" s="1"/>
      <c r="AK405" s="1"/>
    </row>
    <row r="406" spans="1:37" customFormat="1" ht="150">
      <c r="A406" s="151"/>
      <c r="B406" s="147"/>
      <c r="C406" s="153" t="s">
        <v>660</v>
      </c>
      <c r="D406" s="154" t="s">
        <v>643</v>
      </c>
      <c r="E406" s="155">
        <v>515</v>
      </c>
      <c r="F406" s="182" t="s">
        <v>57</v>
      </c>
      <c r="G406" s="195">
        <v>6535000</v>
      </c>
      <c r="H406" s="205">
        <v>149</v>
      </c>
      <c r="I406" s="157">
        <v>0</v>
      </c>
      <c r="J406" s="158">
        <v>169</v>
      </c>
      <c r="K406" s="157">
        <v>3225000</v>
      </c>
      <c r="L406" s="142">
        <v>48</v>
      </c>
      <c r="M406" s="157">
        <v>0</v>
      </c>
      <c r="N406" s="158">
        <v>44</v>
      </c>
      <c r="O406" s="157">
        <v>0</v>
      </c>
      <c r="P406" s="158">
        <v>38</v>
      </c>
      <c r="Q406" s="157">
        <v>460000</v>
      </c>
      <c r="R406" s="212">
        <v>33</v>
      </c>
      <c r="S406" s="183">
        <v>1920000</v>
      </c>
      <c r="T406" s="206">
        <f t="shared" si="90"/>
        <v>163</v>
      </c>
      <c r="U406" s="164">
        <f t="shared" si="88"/>
        <v>96.449704142011839</v>
      </c>
      <c r="V406" s="143" t="s">
        <v>58</v>
      </c>
      <c r="W406" s="159">
        <f t="shared" si="89"/>
        <v>2380000</v>
      </c>
      <c r="X406" s="164">
        <f t="shared" si="84"/>
        <v>73.798449612403104</v>
      </c>
      <c r="Y406" s="143" t="s">
        <v>58</v>
      </c>
      <c r="Z406" s="206">
        <f t="shared" si="91"/>
        <v>312</v>
      </c>
      <c r="AA406" s="159">
        <f t="shared" si="85"/>
        <v>2380000</v>
      </c>
      <c r="AB406" s="149">
        <f t="shared" si="86"/>
        <v>60.582524271844662</v>
      </c>
      <c r="AC406" s="143" t="s">
        <v>58</v>
      </c>
      <c r="AD406" s="194">
        <f t="shared" si="87"/>
        <v>36.41928079571538</v>
      </c>
      <c r="AE406" s="162"/>
      <c r="AF406" s="1"/>
      <c r="AG406" s="1"/>
      <c r="AH406" s="163"/>
      <c r="AI406" s="1"/>
      <c r="AJ406" s="1"/>
      <c r="AK406" s="1"/>
    </row>
    <row r="407" spans="1:37" customFormat="1" ht="165">
      <c r="A407" s="151"/>
      <c r="B407" s="147"/>
      <c r="C407" s="153" t="s">
        <v>661</v>
      </c>
      <c r="D407" s="154" t="s">
        <v>643</v>
      </c>
      <c r="E407" s="155">
        <v>825</v>
      </c>
      <c r="F407" s="182" t="s">
        <v>57</v>
      </c>
      <c r="G407" s="195">
        <v>11698000</v>
      </c>
      <c r="H407" s="205">
        <v>135</v>
      </c>
      <c r="I407" s="157">
        <v>2038000</v>
      </c>
      <c r="J407" s="158">
        <v>263</v>
      </c>
      <c r="K407" s="157">
        <v>4795000</v>
      </c>
      <c r="L407" s="142">
        <v>65</v>
      </c>
      <c r="M407" s="207" t="s">
        <v>449</v>
      </c>
      <c r="N407" s="158">
        <v>65</v>
      </c>
      <c r="O407" s="157">
        <v>0</v>
      </c>
      <c r="P407" s="158">
        <v>65</v>
      </c>
      <c r="Q407" s="157">
        <v>2337500</v>
      </c>
      <c r="R407" s="212">
        <v>68</v>
      </c>
      <c r="S407" s="209">
        <v>2437500</v>
      </c>
      <c r="T407" s="206">
        <f t="shared" si="90"/>
        <v>263</v>
      </c>
      <c r="U407" s="164">
        <f t="shared" si="88"/>
        <v>100</v>
      </c>
      <c r="V407" s="143" t="s">
        <v>58</v>
      </c>
      <c r="W407" s="159">
        <f t="shared" si="89"/>
        <v>4775000</v>
      </c>
      <c r="X407" s="164">
        <f t="shared" si="84"/>
        <v>99.582898852971852</v>
      </c>
      <c r="Y407" s="143" t="s">
        <v>58</v>
      </c>
      <c r="Z407" s="206">
        <f t="shared" si="91"/>
        <v>398</v>
      </c>
      <c r="AA407" s="159">
        <f t="shared" si="85"/>
        <v>6813000</v>
      </c>
      <c r="AB407" s="149">
        <f t="shared" si="86"/>
        <v>48.242424242424242</v>
      </c>
      <c r="AC407" s="143" t="s">
        <v>58</v>
      </c>
      <c r="AD407" s="194">
        <f t="shared" si="87"/>
        <v>58.24072491024107</v>
      </c>
      <c r="AE407" s="162"/>
      <c r="AF407" s="1"/>
      <c r="AG407" s="1"/>
      <c r="AH407" s="163"/>
      <c r="AI407" s="1"/>
      <c r="AJ407" s="1"/>
      <c r="AK407" s="1"/>
    </row>
    <row r="408" spans="1:37" customFormat="1" ht="195">
      <c r="A408" s="151"/>
      <c r="B408" s="147"/>
      <c r="C408" s="153" t="s">
        <v>662</v>
      </c>
      <c r="D408" s="154" t="s">
        <v>663</v>
      </c>
      <c r="E408" s="155">
        <f>23*3</f>
        <v>69</v>
      </c>
      <c r="F408" s="182" t="s">
        <v>55</v>
      </c>
      <c r="G408" s="157">
        <v>684180100</v>
      </c>
      <c r="H408" s="158">
        <v>23</v>
      </c>
      <c r="I408" s="157">
        <v>62995000</v>
      </c>
      <c r="J408" s="158">
        <v>23</v>
      </c>
      <c r="K408" s="157">
        <v>126657600</v>
      </c>
      <c r="L408" s="142">
        <v>23</v>
      </c>
      <c r="M408" s="157">
        <v>0</v>
      </c>
      <c r="N408" s="158">
        <v>23</v>
      </c>
      <c r="O408" s="157">
        <v>0</v>
      </c>
      <c r="P408" s="158">
        <v>23</v>
      </c>
      <c r="Q408" s="157">
        <v>17350000</v>
      </c>
      <c r="R408" s="158">
        <v>23</v>
      </c>
      <c r="S408" s="157">
        <f>110958422-Q408</f>
        <v>93608422</v>
      </c>
      <c r="T408" s="142">
        <f>AVERAGE(L408,N408,P408,R408)</f>
        <v>23</v>
      </c>
      <c r="U408" s="143">
        <f t="shared" si="88"/>
        <v>100</v>
      </c>
      <c r="V408" s="143" t="s">
        <v>58</v>
      </c>
      <c r="W408" s="159">
        <f t="shared" si="89"/>
        <v>110958422</v>
      </c>
      <c r="X408" s="164">
        <f t="shared" si="84"/>
        <v>87.605024885991838</v>
      </c>
      <c r="Y408" s="143" t="s">
        <v>58</v>
      </c>
      <c r="Z408" s="143">
        <f t="shared" si="91"/>
        <v>46</v>
      </c>
      <c r="AA408" s="159">
        <f t="shared" si="85"/>
        <v>173953422</v>
      </c>
      <c r="AB408" s="149">
        <f t="shared" si="86"/>
        <v>66.666666666666657</v>
      </c>
      <c r="AC408" s="143" t="s">
        <v>58</v>
      </c>
      <c r="AD408" s="194">
        <f t="shared" si="87"/>
        <v>25.425092311220393</v>
      </c>
      <c r="AE408" s="162"/>
      <c r="AF408" s="1"/>
      <c r="AG408" s="1"/>
      <c r="AH408" s="163"/>
      <c r="AI408" s="1"/>
      <c r="AJ408" s="1"/>
      <c r="AK408" s="1"/>
    </row>
    <row r="409" spans="1:37" customFormat="1" ht="195">
      <c r="A409" s="151"/>
      <c r="B409" s="147"/>
      <c r="C409" s="153" t="s">
        <v>664</v>
      </c>
      <c r="D409" s="154" t="s">
        <v>663</v>
      </c>
      <c r="E409" s="155">
        <v>36</v>
      </c>
      <c r="F409" s="182" t="s">
        <v>55</v>
      </c>
      <c r="G409" s="195">
        <v>363845000</v>
      </c>
      <c r="H409" s="205">
        <v>12</v>
      </c>
      <c r="I409" s="157">
        <v>37830000</v>
      </c>
      <c r="J409" s="158">
        <v>12</v>
      </c>
      <c r="K409" s="157">
        <v>57255000</v>
      </c>
      <c r="L409" s="142">
        <v>3</v>
      </c>
      <c r="M409" s="207" t="s">
        <v>449</v>
      </c>
      <c r="N409" s="158">
        <v>3</v>
      </c>
      <c r="O409" s="157">
        <v>11600000</v>
      </c>
      <c r="P409" s="158">
        <v>3</v>
      </c>
      <c r="Q409" s="157">
        <v>20130000</v>
      </c>
      <c r="R409" s="205">
        <v>3</v>
      </c>
      <c r="S409" s="157">
        <v>4320000</v>
      </c>
      <c r="T409" s="206">
        <f t="shared" si="90"/>
        <v>12</v>
      </c>
      <c r="U409" s="164">
        <f t="shared" si="88"/>
        <v>100</v>
      </c>
      <c r="V409" s="143" t="s">
        <v>58</v>
      </c>
      <c r="W409" s="159">
        <f t="shared" si="89"/>
        <v>36050000</v>
      </c>
      <c r="X409" s="164">
        <f t="shared" si="84"/>
        <v>62.96393328093616</v>
      </c>
      <c r="Y409" s="143" t="s">
        <v>58</v>
      </c>
      <c r="Z409" s="206">
        <f t="shared" si="91"/>
        <v>24</v>
      </c>
      <c r="AA409" s="159">
        <f t="shared" si="85"/>
        <v>73880000</v>
      </c>
      <c r="AB409" s="149">
        <f t="shared" si="86"/>
        <v>66.666666666666657</v>
      </c>
      <c r="AC409" s="143" t="s">
        <v>58</v>
      </c>
      <c r="AD409" s="194">
        <f t="shared" si="87"/>
        <v>20.305349805549067</v>
      </c>
      <c r="AE409" s="162"/>
      <c r="AF409" s="1"/>
      <c r="AG409" s="1"/>
      <c r="AH409" s="163"/>
      <c r="AI409" s="1"/>
      <c r="AJ409" s="1"/>
      <c r="AK409" s="1"/>
    </row>
    <row r="410" spans="1:37" customFormat="1" ht="195">
      <c r="A410" s="151"/>
      <c r="B410" s="147"/>
      <c r="C410" s="153" t="s">
        <v>665</v>
      </c>
      <c r="D410" s="154" t="s">
        <v>663</v>
      </c>
      <c r="E410" s="155">
        <v>12</v>
      </c>
      <c r="F410" s="182" t="s">
        <v>55</v>
      </c>
      <c r="G410" s="195">
        <v>446802500</v>
      </c>
      <c r="H410" s="205">
        <v>12</v>
      </c>
      <c r="I410" s="157">
        <v>37350000</v>
      </c>
      <c r="J410" s="158">
        <v>12</v>
      </c>
      <c r="K410" s="157">
        <v>15622500</v>
      </c>
      <c r="L410" s="142">
        <v>3</v>
      </c>
      <c r="M410" s="207" t="s">
        <v>449</v>
      </c>
      <c r="N410" s="158">
        <v>3</v>
      </c>
      <c r="O410" s="157">
        <v>4600000</v>
      </c>
      <c r="P410" s="158">
        <v>3</v>
      </c>
      <c r="Q410" s="157">
        <v>1150000</v>
      </c>
      <c r="R410" s="205">
        <v>3</v>
      </c>
      <c r="S410" s="157">
        <v>6150000</v>
      </c>
      <c r="T410" s="206">
        <f t="shared" si="90"/>
        <v>12</v>
      </c>
      <c r="U410" s="164">
        <f t="shared" si="88"/>
        <v>100</v>
      </c>
      <c r="V410" s="143" t="s">
        <v>58</v>
      </c>
      <c r="W410" s="159">
        <f t="shared" si="89"/>
        <v>11900000</v>
      </c>
      <c r="X410" s="164">
        <f t="shared" si="84"/>
        <v>76.17218755000799</v>
      </c>
      <c r="Y410" s="143" t="s">
        <v>58</v>
      </c>
      <c r="Z410" s="206">
        <f t="shared" si="91"/>
        <v>24</v>
      </c>
      <c r="AA410" s="159">
        <f t="shared" si="85"/>
        <v>49250000</v>
      </c>
      <c r="AB410" s="149">
        <f t="shared" si="86"/>
        <v>200</v>
      </c>
      <c r="AC410" s="143" t="s">
        <v>58</v>
      </c>
      <c r="AD410" s="194">
        <f t="shared" si="87"/>
        <v>11.022767330084321</v>
      </c>
      <c r="AE410" s="162"/>
      <c r="AF410" s="1"/>
      <c r="AG410" s="1"/>
      <c r="AH410" s="163"/>
      <c r="AI410" s="1"/>
      <c r="AJ410" s="1"/>
      <c r="AK410" s="1"/>
    </row>
    <row r="411" spans="1:37" customFormat="1" ht="195">
      <c r="A411" s="151"/>
      <c r="B411" s="147"/>
      <c r="C411" s="153" t="s">
        <v>666</v>
      </c>
      <c r="D411" s="154" t="s">
        <v>663</v>
      </c>
      <c r="E411" s="155">
        <v>36</v>
      </c>
      <c r="F411" s="182" t="s">
        <v>55</v>
      </c>
      <c r="G411" s="195">
        <v>378540800</v>
      </c>
      <c r="H411" s="205">
        <v>12</v>
      </c>
      <c r="I411" s="157">
        <v>214987400</v>
      </c>
      <c r="J411" s="158">
        <v>12</v>
      </c>
      <c r="K411" s="157">
        <v>28657650</v>
      </c>
      <c r="L411" s="142">
        <v>0</v>
      </c>
      <c r="M411" s="207" t="s">
        <v>449</v>
      </c>
      <c r="N411" s="158">
        <v>3</v>
      </c>
      <c r="O411" s="157">
        <v>9200000</v>
      </c>
      <c r="P411" s="158">
        <v>3</v>
      </c>
      <c r="Q411" s="157"/>
      <c r="R411" s="205">
        <v>6</v>
      </c>
      <c r="S411" s="157">
        <v>19457650</v>
      </c>
      <c r="T411" s="206">
        <f t="shared" si="90"/>
        <v>12</v>
      </c>
      <c r="U411" s="164">
        <f t="shared" si="88"/>
        <v>100</v>
      </c>
      <c r="V411" s="143" t="s">
        <v>58</v>
      </c>
      <c r="W411" s="159">
        <f t="shared" si="89"/>
        <v>28657650</v>
      </c>
      <c r="X411" s="164">
        <f t="shared" si="84"/>
        <v>100</v>
      </c>
      <c r="Y411" s="143" t="s">
        <v>58</v>
      </c>
      <c r="Z411" s="206">
        <f t="shared" si="91"/>
        <v>24</v>
      </c>
      <c r="AA411" s="159">
        <f t="shared" si="85"/>
        <v>243645050</v>
      </c>
      <c r="AB411" s="149">
        <f t="shared" si="86"/>
        <v>66.666666666666657</v>
      </c>
      <c r="AC411" s="143" t="s">
        <v>58</v>
      </c>
      <c r="AD411" s="194">
        <f t="shared" si="87"/>
        <v>64.364277245676021</v>
      </c>
      <c r="AE411" s="162"/>
      <c r="AF411" s="1"/>
      <c r="AG411" s="1"/>
      <c r="AH411" s="163"/>
      <c r="AI411" s="1"/>
      <c r="AJ411" s="1"/>
      <c r="AK411" s="1"/>
    </row>
    <row r="412" spans="1:37" customFormat="1" ht="195">
      <c r="A412" s="151"/>
      <c r="B412" s="147"/>
      <c r="C412" s="153" t="s">
        <v>667</v>
      </c>
      <c r="D412" s="154" t="s">
        <v>663</v>
      </c>
      <c r="E412" s="155">
        <v>36</v>
      </c>
      <c r="F412" s="182" t="s">
        <v>55</v>
      </c>
      <c r="G412" s="195">
        <v>490167000</v>
      </c>
      <c r="H412" s="205">
        <v>12</v>
      </c>
      <c r="I412" s="157">
        <v>51735000</v>
      </c>
      <c r="J412" s="158">
        <v>12</v>
      </c>
      <c r="K412" s="157">
        <v>39415000</v>
      </c>
      <c r="L412" s="142">
        <v>3</v>
      </c>
      <c r="M412" s="207" t="s">
        <v>449</v>
      </c>
      <c r="N412" s="158">
        <v>3</v>
      </c>
      <c r="O412" s="157">
        <v>21195000</v>
      </c>
      <c r="P412" s="158">
        <v>3</v>
      </c>
      <c r="Q412" s="157">
        <v>6933000</v>
      </c>
      <c r="R412" s="205">
        <v>3</v>
      </c>
      <c r="S412" s="157">
        <v>2625000</v>
      </c>
      <c r="T412" s="206">
        <f t="shared" si="90"/>
        <v>12</v>
      </c>
      <c r="U412" s="164">
        <f t="shared" si="88"/>
        <v>100</v>
      </c>
      <c r="V412" s="143" t="s">
        <v>58</v>
      </c>
      <c r="W412" s="159">
        <f t="shared" si="89"/>
        <v>30753000</v>
      </c>
      <c r="X412" s="164">
        <f t="shared" si="84"/>
        <v>78.023595078015987</v>
      </c>
      <c r="Y412" s="143" t="s">
        <v>58</v>
      </c>
      <c r="Z412" s="206">
        <f t="shared" si="91"/>
        <v>24</v>
      </c>
      <c r="AA412" s="159">
        <f t="shared" si="85"/>
        <v>82488000</v>
      </c>
      <c r="AB412" s="149">
        <f t="shared" si="86"/>
        <v>66.666666666666657</v>
      </c>
      <c r="AC412" s="143" t="s">
        <v>58</v>
      </c>
      <c r="AD412" s="194">
        <f t="shared" si="87"/>
        <v>16.828550269601994</v>
      </c>
      <c r="AE412" s="162"/>
      <c r="AF412" s="1"/>
      <c r="AG412" s="1"/>
      <c r="AH412" s="163"/>
      <c r="AI412" s="1"/>
      <c r="AJ412" s="1"/>
      <c r="AK412" s="1"/>
    </row>
    <row r="413" spans="1:37" customFormat="1" ht="195">
      <c r="A413" s="151"/>
      <c r="B413" s="147"/>
      <c r="C413" s="153" t="s">
        <v>668</v>
      </c>
      <c r="D413" s="154" t="s">
        <v>663</v>
      </c>
      <c r="E413" s="155">
        <v>36</v>
      </c>
      <c r="F413" s="182" t="s">
        <v>55</v>
      </c>
      <c r="G413" s="195">
        <v>203253900</v>
      </c>
      <c r="H413" s="205">
        <v>12</v>
      </c>
      <c r="I413" s="157">
        <v>30883900</v>
      </c>
      <c r="J413" s="158">
        <v>12</v>
      </c>
      <c r="K413" s="157">
        <v>39735000</v>
      </c>
      <c r="L413" s="142">
        <v>3</v>
      </c>
      <c r="M413" s="207" t="s">
        <v>449</v>
      </c>
      <c r="N413" s="158">
        <v>3</v>
      </c>
      <c r="O413" s="157">
        <v>14217000</v>
      </c>
      <c r="P413" s="158">
        <v>3</v>
      </c>
      <c r="Q413" s="157">
        <v>3300000</v>
      </c>
      <c r="R413" s="205">
        <v>3</v>
      </c>
      <c r="S413" s="157">
        <v>4400000</v>
      </c>
      <c r="T413" s="206">
        <f t="shared" si="90"/>
        <v>12</v>
      </c>
      <c r="U413" s="164">
        <f t="shared" si="88"/>
        <v>100</v>
      </c>
      <c r="V413" s="143" t="s">
        <v>58</v>
      </c>
      <c r="W413" s="159">
        <f t="shared" si="89"/>
        <v>21917000</v>
      </c>
      <c r="X413" s="164">
        <f t="shared" si="84"/>
        <v>55.157921228136409</v>
      </c>
      <c r="Y413" s="143" t="s">
        <v>58</v>
      </c>
      <c r="Z413" s="206">
        <f t="shared" si="91"/>
        <v>24</v>
      </c>
      <c r="AA413" s="159">
        <f t="shared" si="85"/>
        <v>52800900</v>
      </c>
      <c r="AB413" s="149">
        <f t="shared" si="86"/>
        <v>66.666666666666657</v>
      </c>
      <c r="AC413" s="143" t="s">
        <v>58</v>
      </c>
      <c r="AD413" s="194">
        <f t="shared" si="87"/>
        <v>25.977804115935783</v>
      </c>
      <c r="AE413" s="162"/>
      <c r="AF413" s="1"/>
      <c r="AG413" s="1"/>
      <c r="AH413" s="163"/>
      <c r="AI413" s="1"/>
      <c r="AJ413" s="1"/>
      <c r="AK413" s="1"/>
    </row>
    <row r="414" spans="1:37" customFormat="1" ht="195">
      <c r="A414" s="151"/>
      <c r="B414" s="147"/>
      <c r="C414" s="153" t="s">
        <v>669</v>
      </c>
      <c r="D414" s="154" t="s">
        <v>663</v>
      </c>
      <c r="E414" s="155">
        <v>36</v>
      </c>
      <c r="F414" s="182" t="s">
        <v>55</v>
      </c>
      <c r="G414" s="195">
        <v>461839900</v>
      </c>
      <c r="H414" s="205">
        <v>12</v>
      </c>
      <c r="I414" s="157">
        <v>38205900</v>
      </c>
      <c r="J414" s="158">
        <v>12</v>
      </c>
      <c r="K414" s="157">
        <v>50625750</v>
      </c>
      <c r="L414" s="142">
        <v>0</v>
      </c>
      <c r="M414" s="207" t="s">
        <v>449</v>
      </c>
      <c r="N414" s="158">
        <v>2</v>
      </c>
      <c r="O414" s="157">
        <v>13337000</v>
      </c>
      <c r="P414" s="158">
        <v>2</v>
      </c>
      <c r="Q414" s="157">
        <v>9825000</v>
      </c>
      <c r="R414" s="205">
        <v>5</v>
      </c>
      <c r="S414" s="157">
        <v>9952500</v>
      </c>
      <c r="T414" s="206">
        <f t="shared" si="90"/>
        <v>9</v>
      </c>
      <c r="U414" s="164">
        <f t="shared" si="88"/>
        <v>75</v>
      </c>
      <c r="V414" s="143" t="s">
        <v>58</v>
      </c>
      <c r="W414" s="159">
        <f t="shared" si="89"/>
        <v>33114500</v>
      </c>
      <c r="X414" s="164">
        <f t="shared" si="84"/>
        <v>65.410388981891629</v>
      </c>
      <c r="Y414" s="143" t="s">
        <v>58</v>
      </c>
      <c r="Z414" s="206">
        <f t="shared" si="91"/>
        <v>21</v>
      </c>
      <c r="AA414" s="159">
        <f t="shared" si="85"/>
        <v>71320400</v>
      </c>
      <c r="AB414" s="149">
        <f t="shared" si="86"/>
        <v>58.333333333333336</v>
      </c>
      <c r="AC414" s="143" t="s">
        <v>58</v>
      </c>
      <c r="AD414" s="194">
        <f t="shared" si="87"/>
        <v>15.442667469830996</v>
      </c>
      <c r="AE414" s="162"/>
      <c r="AF414" s="1"/>
      <c r="AG414" s="1"/>
      <c r="AH414" s="163"/>
      <c r="AI414" s="1"/>
      <c r="AJ414" s="1"/>
      <c r="AK414" s="1"/>
    </row>
    <row r="415" spans="1:37" customFormat="1" ht="195">
      <c r="A415" s="151"/>
      <c r="B415" s="147"/>
      <c r="C415" s="153" t="s">
        <v>670</v>
      </c>
      <c r="D415" s="154" t="s">
        <v>663</v>
      </c>
      <c r="E415" s="155">
        <v>36</v>
      </c>
      <c r="F415" s="182" t="s">
        <v>55</v>
      </c>
      <c r="G415" s="195">
        <v>440149550</v>
      </c>
      <c r="H415" s="205">
        <v>12</v>
      </c>
      <c r="I415" s="157">
        <v>21800000</v>
      </c>
      <c r="J415" s="158">
        <v>12</v>
      </c>
      <c r="K415" s="157">
        <v>35287730</v>
      </c>
      <c r="L415" s="142">
        <v>3</v>
      </c>
      <c r="M415" s="207" t="s">
        <v>449</v>
      </c>
      <c r="N415" s="158">
        <v>3</v>
      </c>
      <c r="O415" s="157">
        <v>12400000</v>
      </c>
      <c r="P415" s="158">
        <v>3</v>
      </c>
      <c r="Q415" s="157"/>
      <c r="R415" s="205">
        <v>3</v>
      </c>
      <c r="S415" s="157">
        <v>6850000</v>
      </c>
      <c r="T415" s="206">
        <f t="shared" si="90"/>
        <v>12</v>
      </c>
      <c r="U415" s="164">
        <f t="shared" si="88"/>
        <v>100</v>
      </c>
      <c r="V415" s="143" t="s">
        <v>58</v>
      </c>
      <c r="W415" s="159">
        <f t="shared" si="89"/>
        <v>19250000</v>
      </c>
      <c r="X415" s="164">
        <f t="shared" si="84"/>
        <v>54.551539586139427</v>
      </c>
      <c r="Y415" s="143" t="s">
        <v>58</v>
      </c>
      <c r="Z415" s="206">
        <f t="shared" si="91"/>
        <v>24</v>
      </c>
      <c r="AA415" s="159">
        <f t="shared" si="85"/>
        <v>41050000</v>
      </c>
      <c r="AB415" s="149">
        <f t="shared" si="86"/>
        <v>66.666666666666657</v>
      </c>
      <c r="AC415" s="143" t="s">
        <v>58</v>
      </c>
      <c r="AD415" s="194">
        <f t="shared" si="87"/>
        <v>9.3263755466749885</v>
      </c>
      <c r="AE415" s="162"/>
      <c r="AF415" s="1"/>
      <c r="AG415" s="1"/>
      <c r="AH415" s="163"/>
      <c r="AI415" s="1"/>
      <c r="AJ415" s="1"/>
      <c r="AK415" s="1"/>
    </row>
    <row r="416" spans="1:37" customFormat="1" ht="195">
      <c r="A416" s="151"/>
      <c r="B416" s="147"/>
      <c r="C416" s="153" t="s">
        <v>671</v>
      </c>
      <c r="D416" s="154" t="s">
        <v>663</v>
      </c>
      <c r="E416" s="155">
        <v>36</v>
      </c>
      <c r="F416" s="182" t="s">
        <v>55</v>
      </c>
      <c r="G416" s="195">
        <v>629121000</v>
      </c>
      <c r="H416" s="205">
        <v>12</v>
      </c>
      <c r="I416" s="157">
        <v>153101000</v>
      </c>
      <c r="J416" s="158">
        <v>12</v>
      </c>
      <c r="K416" s="157">
        <v>47688000</v>
      </c>
      <c r="L416" s="142">
        <v>3</v>
      </c>
      <c r="M416" s="207" t="s">
        <v>449</v>
      </c>
      <c r="N416" s="158">
        <v>3</v>
      </c>
      <c r="O416" s="157">
        <v>41225000</v>
      </c>
      <c r="P416" s="158">
        <v>3</v>
      </c>
      <c r="Q416" s="157">
        <v>6463000</v>
      </c>
      <c r="R416" s="205">
        <v>3</v>
      </c>
      <c r="S416" s="157">
        <v>0</v>
      </c>
      <c r="T416" s="206">
        <f t="shared" si="90"/>
        <v>12</v>
      </c>
      <c r="U416" s="164">
        <f t="shared" si="88"/>
        <v>100</v>
      </c>
      <c r="V416" s="143" t="s">
        <v>58</v>
      </c>
      <c r="W416" s="159">
        <f t="shared" si="89"/>
        <v>47688000</v>
      </c>
      <c r="X416" s="164">
        <f t="shared" si="84"/>
        <v>100</v>
      </c>
      <c r="Y416" s="143" t="s">
        <v>58</v>
      </c>
      <c r="Z416" s="206">
        <f t="shared" si="91"/>
        <v>24</v>
      </c>
      <c r="AA416" s="159">
        <f t="shared" si="85"/>
        <v>200789000</v>
      </c>
      <c r="AB416" s="149">
        <f t="shared" si="86"/>
        <v>66.666666666666657</v>
      </c>
      <c r="AC416" s="143" t="s">
        <v>58</v>
      </c>
      <c r="AD416" s="194">
        <f t="shared" si="87"/>
        <v>31.915799981243669</v>
      </c>
      <c r="AE416" s="162"/>
      <c r="AF416" s="1"/>
      <c r="AG416" s="1"/>
      <c r="AH416" s="163"/>
      <c r="AI416" s="1"/>
      <c r="AJ416" s="1"/>
      <c r="AK416" s="1"/>
    </row>
    <row r="417" spans="1:37" customFormat="1" ht="195">
      <c r="A417" s="151"/>
      <c r="B417" s="147"/>
      <c r="C417" s="153" t="s">
        <v>672</v>
      </c>
      <c r="D417" s="154" t="s">
        <v>663</v>
      </c>
      <c r="E417" s="155">
        <v>36</v>
      </c>
      <c r="F417" s="182" t="s">
        <v>55</v>
      </c>
      <c r="G417" s="195">
        <v>290189400</v>
      </c>
      <c r="H417" s="205">
        <v>12</v>
      </c>
      <c r="I417" s="157">
        <v>28380000</v>
      </c>
      <c r="J417" s="158">
        <v>12</v>
      </c>
      <c r="K417" s="157">
        <v>40900850</v>
      </c>
      <c r="L417" s="142">
        <v>3</v>
      </c>
      <c r="M417" s="207" t="s">
        <v>449</v>
      </c>
      <c r="N417" s="158">
        <v>3</v>
      </c>
      <c r="O417" s="157">
        <v>5600000</v>
      </c>
      <c r="P417" s="158">
        <v>3</v>
      </c>
      <c r="Q417" s="157">
        <v>3160000</v>
      </c>
      <c r="R417" s="205">
        <v>4</v>
      </c>
      <c r="S417" s="157">
        <v>4480000</v>
      </c>
      <c r="T417" s="206">
        <f t="shared" si="90"/>
        <v>13</v>
      </c>
      <c r="U417" s="164">
        <f t="shared" si="88"/>
        <v>108.33333333333333</v>
      </c>
      <c r="V417" s="143" t="s">
        <v>58</v>
      </c>
      <c r="W417" s="159">
        <f t="shared" si="89"/>
        <v>13240000</v>
      </c>
      <c r="X417" s="164">
        <f t="shared" si="84"/>
        <v>32.37096539558469</v>
      </c>
      <c r="Y417" s="143" t="s">
        <v>58</v>
      </c>
      <c r="Z417" s="206">
        <f t="shared" si="91"/>
        <v>25</v>
      </c>
      <c r="AA417" s="159">
        <f t="shared" si="85"/>
        <v>41620000</v>
      </c>
      <c r="AB417" s="149">
        <f t="shared" si="86"/>
        <v>69.444444444444443</v>
      </c>
      <c r="AC417" s="143" t="s">
        <v>58</v>
      </c>
      <c r="AD417" s="194">
        <f t="shared" si="87"/>
        <v>14.342357095055849</v>
      </c>
      <c r="AE417" s="162"/>
      <c r="AF417" s="1"/>
      <c r="AG417" s="1"/>
      <c r="AH417" s="163"/>
      <c r="AI417" s="1"/>
      <c r="AJ417" s="1"/>
      <c r="AK417" s="1"/>
    </row>
    <row r="418" spans="1:37" customFormat="1" ht="195">
      <c r="A418" s="151"/>
      <c r="B418" s="147"/>
      <c r="C418" s="153" t="s">
        <v>673</v>
      </c>
      <c r="D418" s="154" t="s">
        <v>663</v>
      </c>
      <c r="E418" s="155">
        <v>36</v>
      </c>
      <c r="F418" s="182" t="s">
        <v>55</v>
      </c>
      <c r="G418" s="195">
        <v>179101000</v>
      </c>
      <c r="H418" s="205">
        <v>12</v>
      </c>
      <c r="I418" s="157">
        <v>17425000</v>
      </c>
      <c r="J418" s="158">
        <v>12</v>
      </c>
      <c r="K418" s="157">
        <v>37270000</v>
      </c>
      <c r="L418" s="142">
        <v>3</v>
      </c>
      <c r="M418" s="207" t="s">
        <v>449</v>
      </c>
      <c r="N418" s="158">
        <v>3</v>
      </c>
      <c r="O418" s="157">
        <v>3875000</v>
      </c>
      <c r="P418" s="158">
        <v>3</v>
      </c>
      <c r="Q418" s="157">
        <v>4600000</v>
      </c>
      <c r="R418" s="205">
        <v>3</v>
      </c>
      <c r="S418" s="157">
        <v>6990000</v>
      </c>
      <c r="T418" s="206">
        <f t="shared" si="90"/>
        <v>12</v>
      </c>
      <c r="U418" s="164">
        <f t="shared" si="88"/>
        <v>100</v>
      </c>
      <c r="V418" s="143" t="s">
        <v>58</v>
      </c>
      <c r="W418" s="159">
        <f t="shared" si="89"/>
        <v>15465000</v>
      </c>
      <c r="X418" s="164">
        <f t="shared" si="84"/>
        <v>41.494499597531522</v>
      </c>
      <c r="Y418" s="143" t="s">
        <v>58</v>
      </c>
      <c r="Z418" s="206">
        <f t="shared" si="91"/>
        <v>24</v>
      </c>
      <c r="AA418" s="159">
        <f t="shared" si="85"/>
        <v>32890000</v>
      </c>
      <c r="AB418" s="149">
        <f t="shared" si="86"/>
        <v>66.666666666666657</v>
      </c>
      <c r="AC418" s="143" t="s">
        <v>58</v>
      </c>
      <c r="AD418" s="194">
        <f t="shared" si="87"/>
        <v>18.363939899833053</v>
      </c>
      <c r="AE418" s="162"/>
      <c r="AF418" s="1"/>
      <c r="AG418" s="1"/>
      <c r="AH418" s="163"/>
      <c r="AI418" s="1"/>
      <c r="AJ418" s="1"/>
      <c r="AK418" s="1"/>
    </row>
    <row r="419" spans="1:37" customFormat="1" ht="195">
      <c r="A419" s="151"/>
      <c r="B419" s="147"/>
      <c r="C419" s="153" t="s">
        <v>674</v>
      </c>
      <c r="D419" s="154" t="s">
        <v>663</v>
      </c>
      <c r="E419" s="155">
        <v>36</v>
      </c>
      <c r="F419" s="182" t="s">
        <v>55</v>
      </c>
      <c r="G419" s="195">
        <v>651015000</v>
      </c>
      <c r="H419" s="205">
        <v>12</v>
      </c>
      <c r="I419" s="157">
        <v>45625000</v>
      </c>
      <c r="J419" s="158">
        <v>12</v>
      </c>
      <c r="K419" s="157">
        <v>69700000</v>
      </c>
      <c r="L419" s="142">
        <v>3</v>
      </c>
      <c r="M419" s="207" t="s">
        <v>449</v>
      </c>
      <c r="N419" s="158">
        <v>3</v>
      </c>
      <c r="O419" s="157">
        <v>27295000</v>
      </c>
      <c r="P419" s="158">
        <v>3</v>
      </c>
      <c r="Q419" s="157">
        <v>4335000</v>
      </c>
      <c r="R419" s="205">
        <v>3</v>
      </c>
      <c r="S419" s="157">
        <v>16080000</v>
      </c>
      <c r="T419" s="206">
        <f t="shared" si="90"/>
        <v>12</v>
      </c>
      <c r="U419" s="164">
        <f t="shared" si="88"/>
        <v>100</v>
      </c>
      <c r="V419" s="143" t="s">
        <v>58</v>
      </c>
      <c r="W419" s="159">
        <f t="shared" si="89"/>
        <v>47710000</v>
      </c>
      <c r="X419" s="164">
        <f t="shared" si="84"/>
        <v>68.450502152080333</v>
      </c>
      <c r="Y419" s="143" t="s">
        <v>58</v>
      </c>
      <c r="Z419" s="206">
        <f t="shared" si="91"/>
        <v>24</v>
      </c>
      <c r="AA419" s="159">
        <f t="shared" si="85"/>
        <v>93335000</v>
      </c>
      <c r="AB419" s="149">
        <f t="shared" si="86"/>
        <v>66.666666666666657</v>
      </c>
      <c r="AC419" s="143" t="s">
        <v>58</v>
      </c>
      <c r="AD419" s="194">
        <f t="shared" si="87"/>
        <v>14.336843237098993</v>
      </c>
      <c r="AE419" s="162"/>
      <c r="AF419" s="1"/>
      <c r="AG419" s="1"/>
      <c r="AH419" s="163"/>
      <c r="AI419" s="1"/>
      <c r="AJ419" s="1"/>
      <c r="AK419" s="1"/>
    </row>
    <row r="420" spans="1:37" customFormat="1" ht="195">
      <c r="A420" s="151"/>
      <c r="B420" s="147"/>
      <c r="C420" s="153" t="s">
        <v>675</v>
      </c>
      <c r="D420" s="154" t="s">
        <v>663</v>
      </c>
      <c r="E420" s="155">
        <v>36</v>
      </c>
      <c r="F420" s="182" t="s">
        <v>55</v>
      </c>
      <c r="G420" s="195">
        <v>436482500</v>
      </c>
      <c r="H420" s="205">
        <v>12</v>
      </c>
      <c r="I420" s="157">
        <v>25095000</v>
      </c>
      <c r="J420" s="158">
        <v>12</v>
      </c>
      <c r="K420" s="157">
        <v>34510000</v>
      </c>
      <c r="L420" s="142">
        <v>3</v>
      </c>
      <c r="M420" s="207" t="s">
        <v>449</v>
      </c>
      <c r="N420" s="158">
        <v>3</v>
      </c>
      <c r="O420" s="157">
        <v>9255000</v>
      </c>
      <c r="P420" s="158">
        <v>3</v>
      </c>
      <c r="Q420" s="157">
        <v>12255000</v>
      </c>
      <c r="R420" s="205">
        <v>3</v>
      </c>
      <c r="S420" s="183">
        <v>16255000</v>
      </c>
      <c r="T420" s="206">
        <f t="shared" si="90"/>
        <v>12</v>
      </c>
      <c r="U420" s="164">
        <f t="shared" si="88"/>
        <v>100</v>
      </c>
      <c r="V420" s="143" t="s">
        <v>58</v>
      </c>
      <c r="W420" s="159">
        <f t="shared" si="89"/>
        <v>37765000</v>
      </c>
      <c r="X420" s="164">
        <f t="shared" si="84"/>
        <v>109.43204868154157</v>
      </c>
      <c r="Y420" s="143" t="s">
        <v>58</v>
      </c>
      <c r="Z420" s="206">
        <f t="shared" si="91"/>
        <v>24</v>
      </c>
      <c r="AA420" s="159">
        <f t="shared" si="85"/>
        <v>62860000</v>
      </c>
      <c r="AB420" s="149">
        <f t="shared" si="86"/>
        <v>66.666666666666657</v>
      </c>
      <c r="AC420" s="143" t="s">
        <v>58</v>
      </c>
      <c r="AD420" s="194">
        <f t="shared" si="87"/>
        <v>14.401493759772729</v>
      </c>
      <c r="AE420" s="162"/>
      <c r="AF420" s="1"/>
      <c r="AG420" s="1"/>
      <c r="AH420" s="163"/>
      <c r="AI420" s="1"/>
      <c r="AJ420" s="1"/>
      <c r="AK420" s="1"/>
    </row>
    <row r="421" spans="1:37" customFormat="1" ht="195">
      <c r="A421" s="151"/>
      <c r="B421" s="147"/>
      <c r="C421" s="153" t="s">
        <v>676</v>
      </c>
      <c r="D421" s="154" t="s">
        <v>663</v>
      </c>
      <c r="E421" s="155">
        <v>36</v>
      </c>
      <c r="F421" s="182" t="s">
        <v>55</v>
      </c>
      <c r="G421" s="195">
        <v>407673140</v>
      </c>
      <c r="H421" s="205">
        <v>12</v>
      </c>
      <c r="I421" s="157">
        <v>33323600</v>
      </c>
      <c r="J421" s="158">
        <v>12</v>
      </c>
      <c r="K421" s="157">
        <v>34829915</v>
      </c>
      <c r="L421" s="142">
        <v>3</v>
      </c>
      <c r="M421" s="207" t="s">
        <v>449</v>
      </c>
      <c r="N421" s="158">
        <v>3</v>
      </c>
      <c r="O421" s="157">
        <v>1280000</v>
      </c>
      <c r="P421" s="158">
        <v>3</v>
      </c>
      <c r="Q421" s="157">
        <v>23735500</v>
      </c>
      <c r="R421" s="212">
        <v>3</v>
      </c>
      <c r="S421" s="209">
        <v>3840000</v>
      </c>
      <c r="T421" s="206">
        <f t="shared" si="90"/>
        <v>12</v>
      </c>
      <c r="U421" s="164">
        <f t="shared" si="88"/>
        <v>100</v>
      </c>
      <c r="V421" s="143" t="s">
        <v>58</v>
      </c>
      <c r="W421" s="159">
        <f t="shared" si="89"/>
        <v>28855500</v>
      </c>
      <c r="X421" s="164">
        <f t="shared" si="84"/>
        <v>82.846886074800935</v>
      </c>
      <c r="Y421" s="143" t="s">
        <v>58</v>
      </c>
      <c r="Z421" s="206">
        <f t="shared" si="91"/>
        <v>24</v>
      </c>
      <c r="AA421" s="159">
        <f t="shared" si="85"/>
        <v>62179100</v>
      </c>
      <c r="AB421" s="149">
        <f t="shared" si="86"/>
        <v>66.666666666666657</v>
      </c>
      <c r="AC421" s="143" t="s">
        <v>58</v>
      </c>
      <c r="AD421" s="194">
        <f t="shared" si="87"/>
        <v>15.252194441851136</v>
      </c>
      <c r="AE421" s="162"/>
      <c r="AF421" s="1"/>
      <c r="AG421" s="1"/>
      <c r="AH421" s="163"/>
      <c r="AI421" s="1"/>
      <c r="AJ421" s="1"/>
      <c r="AK421" s="1"/>
    </row>
    <row r="422" spans="1:37" customFormat="1" ht="195">
      <c r="A422" s="151"/>
      <c r="B422" s="147"/>
      <c r="C422" s="153" t="s">
        <v>677</v>
      </c>
      <c r="D422" s="154" t="s">
        <v>663</v>
      </c>
      <c r="E422" s="155">
        <v>36</v>
      </c>
      <c r="F422" s="182" t="s">
        <v>55</v>
      </c>
      <c r="G422" s="195">
        <v>566149550</v>
      </c>
      <c r="H422" s="205">
        <v>12</v>
      </c>
      <c r="I422" s="157">
        <v>39165000</v>
      </c>
      <c r="J422" s="158">
        <v>12</v>
      </c>
      <c r="K422" s="157">
        <v>34298000</v>
      </c>
      <c r="L422" s="142">
        <v>3</v>
      </c>
      <c r="M422" s="207" t="s">
        <v>449</v>
      </c>
      <c r="N422" s="158">
        <v>3</v>
      </c>
      <c r="O422" s="157">
        <v>11225000</v>
      </c>
      <c r="P422" s="158">
        <v>3</v>
      </c>
      <c r="Q422" s="157">
        <v>3300000</v>
      </c>
      <c r="R422" s="212">
        <v>3</v>
      </c>
      <c r="S422" s="209">
        <v>3300000</v>
      </c>
      <c r="T422" s="206">
        <f t="shared" si="90"/>
        <v>12</v>
      </c>
      <c r="U422" s="164">
        <f t="shared" si="88"/>
        <v>100</v>
      </c>
      <c r="V422" s="143" t="s">
        <v>58</v>
      </c>
      <c r="W422" s="159">
        <f t="shared" si="89"/>
        <v>17825000</v>
      </c>
      <c r="X422" s="164">
        <f t="shared" si="84"/>
        <v>51.970960405854569</v>
      </c>
      <c r="Y422" s="143" t="s">
        <v>58</v>
      </c>
      <c r="Z422" s="206">
        <f t="shared" si="91"/>
        <v>24</v>
      </c>
      <c r="AA422" s="159">
        <f t="shared" si="85"/>
        <v>56990000</v>
      </c>
      <c r="AB422" s="149">
        <f t="shared" si="86"/>
        <v>66.666666666666657</v>
      </c>
      <c r="AC422" s="143" t="s">
        <v>58</v>
      </c>
      <c r="AD422" s="194">
        <f t="shared" si="87"/>
        <v>10.066244864099954</v>
      </c>
      <c r="AE422" s="162"/>
      <c r="AF422" s="1"/>
      <c r="AG422" s="1"/>
      <c r="AH422" s="163"/>
      <c r="AI422" s="1"/>
      <c r="AJ422" s="1"/>
      <c r="AK422" s="1"/>
    </row>
    <row r="423" spans="1:37" customFormat="1" ht="195">
      <c r="A423" s="151"/>
      <c r="B423" s="147"/>
      <c r="C423" s="153" t="s">
        <v>678</v>
      </c>
      <c r="D423" s="154" t="s">
        <v>663</v>
      </c>
      <c r="E423" s="155">
        <v>36</v>
      </c>
      <c r="F423" s="182" t="s">
        <v>55</v>
      </c>
      <c r="G423" s="195">
        <v>457469400</v>
      </c>
      <c r="H423" s="205">
        <v>12</v>
      </c>
      <c r="I423" s="157">
        <v>254259400</v>
      </c>
      <c r="J423" s="158">
        <v>12</v>
      </c>
      <c r="K423" s="157">
        <v>30481500</v>
      </c>
      <c r="L423" s="142">
        <v>3</v>
      </c>
      <c r="M423" s="207" t="s">
        <v>449</v>
      </c>
      <c r="N423" s="158">
        <v>3</v>
      </c>
      <c r="O423" s="157">
        <v>3300000</v>
      </c>
      <c r="P423" s="158">
        <v>3</v>
      </c>
      <c r="Q423" s="157">
        <v>9740000</v>
      </c>
      <c r="R423" s="212">
        <v>1</v>
      </c>
      <c r="S423" s="209">
        <v>3300000</v>
      </c>
      <c r="T423" s="206">
        <f t="shared" si="90"/>
        <v>10</v>
      </c>
      <c r="U423" s="164">
        <f t="shared" si="88"/>
        <v>83.333333333333343</v>
      </c>
      <c r="V423" s="143" t="s">
        <v>58</v>
      </c>
      <c r="W423" s="159">
        <f t="shared" si="89"/>
        <v>16340000</v>
      </c>
      <c r="X423" s="164">
        <f t="shared" si="84"/>
        <v>53.606285779899288</v>
      </c>
      <c r="Y423" s="143" t="s">
        <v>58</v>
      </c>
      <c r="Z423" s="206">
        <f t="shared" si="91"/>
        <v>22</v>
      </c>
      <c r="AA423" s="159">
        <f t="shared" si="85"/>
        <v>270599400</v>
      </c>
      <c r="AB423" s="149">
        <f t="shared" si="86"/>
        <v>61.111111111111114</v>
      </c>
      <c r="AC423" s="143" t="s">
        <v>58</v>
      </c>
      <c r="AD423" s="194">
        <f t="shared" si="87"/>
        <v>59.151366189738596</v>
      </c>
      <c r="AE423" s="162"/>
      <c r="AF423" s="1"/>
      <c r="AG423" s="1"/>
      <c r="AH423" s="163"/>
      <c r="AI423" s="1"/>
      <c r="AJ423" s="1"/>
      <c r="AK423" s="1"/>
    </row>
    <row r="424" spans="1:37" customFormat="1" ht="195">
      <c r="A424" s="151"/>
      <c r="B424" s="147"/>
      <c r="C424" s="153" t="s">
        <v>679</v>
      </c>
      <c r="D424" s="154" t="s">
        <v>663</v>
      </c>
      <c r="E424" s="155">
        <v>36</v>
      </c>
      <c r="F424" s="182" t="s">
        <v>55</v>
      </c>
      <c r="G424" s="195">
        <v>440927050</v>
      </c>
      <c r="H424" s="205">
        <v>12</v>
      </c>
      <c r="I424" s="157">
        <v>46060300</v>
      </c>
      <c r="J424" s="158">
        <v>12</v>
      </c>
      <c r="K424" s="157">
        <v>19254600</v>
      </c>
      <c r="L424" s="213">
        <v>3</v>
      </c>
      <c r="M424" s="214">
        <v>0</v>
      </c>
      <c r="N424" s="215">
        <v>3</v>
      </c>
      <c r="O424" s="209">
        <v>6285000</v>
      </c>
      <c r="P424" s="215">
        <v>3</v>
      </c>
      <c r="Q424" s="209">
        <v>5224800</v>
      </c>
      <c r="R424" s="216">
        <v>3</v>
      </c>
      <c r="S424" s="209">
        <v>3300000</v>
      </c>
      <c r="T424" s="206">
        <f t="shared" si="90"/>
        <v>12</v>
      </c>
      <c r="U424" s="164">
        <f t="shared" si="88"/>
        <v>100</v>
      </c>
      <c r="V424" s="143" t="s">
        <v>58</v>
      </c>
      <c r="W424" s="159">
        <f t="shared" si="89"/>
        <v>14809800</v>
      </c>
      <c r="X424" s="164">
        <f t="shared" si="84"/>
        <v>76.915646131314077</v>
      </c>
      <c r="Y424" s="143" t="s">
        <v>58</v>
      </c>
      <c r="Z424" s="206">
        <f t="shared" si="91"/>
        <v>24</v>
      </c>
      <c r="AA424" s="159">
        <f t="shared" si="85"/>
        <v>60870100</v>
      </c>
      <c r="AB424" s="149">
        <f t="shared" si="86"/>
        <v>66.666666666666657</v>
      </c>
      <c r="AC424" s="143" t="s">
        <v>58</v>
      </c>
      <c r="AD424" s="194">
        <f t="shared" si="87"/>
        <v>13.805027384915485</v>
      </c>
      <c r="AE424" s="162"/>
      <c r="AF424" s="1"/>
      <c r="AG424" s="1"/>
      <c r="AH424" s="163"/>
      <c r="AI424" s="1"/>
      <c r="AJ424" s="1"/>
      <c r="AK424" s="1"/>
    </row>
    <row r="425" spans="1:37" customFormat="1" ht="195">
      <c r="A425" s="151"/>
      <c r="B425" s="147"/>
      <c r="C425" s="153" t="s">
        <v>680</v>
      </c>
      <c r="D425" s="154" t="s">
        <v>663</v>
      </c>
      <c r="E425" s="155">
        <v>36</v>
      </c>
      <c r="F425" s="182" t="s">
        <v>55</v>
      </c>
      <c r="G425" s="195">
        <v>415118000</v>
      </c>
      <c r="H425" s="205">
        <v>12</v>
      </c>
      <c r="I425" s="157">
        <v>17670000</v>
      </c>
      <c r="J425" s="158">
        <v>12</v>
      </c>
      <c r="K425" s="157">
        <v>38754300</v>
      </c>
      <c r="L425" s="142">
        <v>3</v>
      </c>
      <c r="M425" s="157">
        <v>0</v>
      </c>
      <c r="N425" s="158">
        <v>3</v>
      </c>
      <c r="O425" s="157">
        <v>12940000</v>
      </c>
      <c r="P425" s="158">
        <v>3</v>
      </c>
      <c r="Q425" s="157">
        <v>3630000</v>
      </c>
      <c r="R425" s="212">
        <v>3</v>
      </c>
      <c r="S425" s="183">
        <v>5860000</v>
      </c>
      <c r="T425" s="206">
        <f t="shared" si="90"/>
        <v>12</v>
      </c>
      <c r="U425" s="164">
        <f t="shared" si="88"/>
        <v>100</v>
      </c>
      <c r="V425" s="143" t="s">
        <v>58</v>
      </c>
      <c r="W425" s="159">
        <f t="shared" si="89"/>
        <v>22430000</v>
      </c>
      <c r="X425" s="164">
        <f t="shared" si="84"/>
        <v>57.877448437979787</v>
      </c>
      <c r="Y425" s="143" t="s">
        <v>58</v>
      </c>
      <c r="Z425" s="206">
        <f t="shared" si="91"/>
        <v>24</v>
      </c>
      <c r="AA425" s="159">
        <f t="shared" si="85"/>
        <v>40100000</v>
      </c>
      <c r="AB425" s="149">
        <f t="shared" si="86"/>
        <v>66.666666666666657</v>
      </c>
      <c r="AC425" s="143" t="s">
        <v>58</v>
      </c>
      <c r="AD425" s="194">
        <f t="shared" si="87"/>
        <v>9.6599039309304828</v>
      </c>
      <c r="AE425" s="162"/>
      <c r="AF425" s="1"/>
      <c r="AG425" s="1"/>
      <c r="AH425" s="163"/>
      <c r="AI425" s="1"/>
      <c r="AJ425" s="1"/>
      <c r="AK425" s="1"/>
    </row>
    <row r="426" spans="1:37" customFormat="1" ht="195">
      <c r="A426" s="151"/>
      <c r="B426" s="147"/>
      <c r="C426" s="153" t="s">
        <v>681</v>
      </c>
      <c r="D426" s="154" t="s">
        <v>663</v>
      </c>
      <c r="E426" s="155">
        <v>24</v>
      </c>
      <c r="F426" s="182" t="s">
        <v>55</v>
      </c>
      <c r="G426" s="195">
        <v>399406040</v>
      </c>
      <c r="H426" s="205">
        <v>12</v>
      </c>
      <c r="I426" s="157">
        <v>31170000</v>
      </c>
      <c r="J426" s="158">
        <v>12</v>
      </c>
      <c r="K426" s="157">
        <v>42642340</v>
      </c>
      <c r="L426" s="142">
        <v>3</v>
      </c>
      <c r="M426" s="207" t="s">
        <v>449</v>
      </c>
      <c r="N426" s="158">
        <v>3</v>
      </c>
      <c r="O426" s="157">
        <v>16850000</v>
      </c>
      <c r="P426" s="158">
        <v>3</v>
      </c>
      <c r="Q426" s="157">
        <v>13984740</v>
      </c>
      <c r="R426" s="205">
        <v>3</v>
      </c>
      <c r="S426" s="157">
        <v>9934740</v>
      </c>
      <c r="T426" s="206">
        <f t="shared" si="90"/>
        <v>12</v>
      </c>
      <c r="U426" s="164">
        <f t="shared" si="88"/>
        <v>100</v>
      </c>
      <c r="V426" s="143" t="s">
        <v>58</v>
      </c>
      <c r="W426" s="159">
        <f t="shared" si="89"/>
        <v>40769480</v>
      </c>
      <c r="X426" s="164">
        <f t="shared" si="84"/>
        <v>95.60798023748228</v>
      </c>
      <c r="Y426" s="143" t="s">
        <v>58</v>
      </c>
      <c r="Z426" s="206">
        <f t="shared" si="91"/>
        <v>24</v>
      </c>
      <c r="AA426" s="159">
        <f t="shared" si="85"/>
        <v>71939480</v>
      </c>
      <c r="AB426" s="149">
        <f t="shared" si="86"/>
        <v>100</v>
      </c>
      <c r="AC426" s="143" t="s">
        <v>58</v>
      </c>
      <c r="AD426" s="194">
        <f t="shared" si="87"/>
        <v>18.011615447778407</v>
      </c>
      <c r="AE426" s="162"/>
      <c r="AF426" s="1"/>
      <c r="AG426" s="1"/>
      <c r="AH426" s="163"/>
      <c r="AI426" s="1"/>
      <c r="AJ426" s="1"/>
      <c r="AK426" s="1"/>
    </row>
    <row r="427" spans="1:37" customFormat="1" ht="195">
      <c r="A427" s="151"/>
      <c r="B427" s="147"/>
      <c r="C427" s="153" t="s">
        <v>682</v>
      </c>
      <c r="D427" s="154" t="s">
        <v>663</v>
      </c>
      <c r="E427" s="155">
        <v>36</v>
      </c>
      <c r="F427" s="182" t="s">
        <v>55</v>
      </c>
      <c r="G427" s="195">
        <v>95000000</v>
      </c>
      <c r="H427" s="205">
        <v>12</v>
      </c>
      <c r="I427" s="157">
        <v>31550000</v>
      </c>
      <c r="J427" s="158">
        <v>12</v>
      </c>
      <c r="K427" s="157">
        <v>41360000</v>
      </c>
      <c r="L427" s="142">
        <v>3</v>
      </c>
      <c r="M427" s="207" t="s">
        <v>449</v>
      </c>
      <c r="N427" s="158">
        <v>3</v>
      </c>
      <c r="O427" s="157">
        <v>5850000</v>
      </c>
      <c r="P427" s="158">
        <v>3</v>
      </c>
      <c r="Q427" s="157">
        <v>3000000</v>
      </c>
      <c r="R427" s="205">
        <v>3</v>
      </c>
      <c r="S427" s="157">
        <v>8160000</v>
      </c>
      <c r="T427" s="206">
        <f t="shared" si="90"/>
        <v>12</v>
      </c>
      <c r="U427" s="164">
        <f t="shared" si="88"/>
        <v>100</v>
      </c>
      <c r="V427" s="143" t="s">
        <v>58</v>
      </c>
      <c r="W427" s="159">
        <f t="shared" si="89"/>
        <v>17010000</v>
      </c>
      <c r="X427" s="164">
        <f t="shared" si="84"/>
        <v>41.126692456479688</v>
      </c>
      <c r="Y427" s="143" t="s">
        <v>58</v>
      </c>
      <c r="Z427" s="206">
        <f t="shared" si="91"/>
        <v>24</v>
      </c>
      <c r="AA427" s="159">
        <f t="shared" si="85"/>
        <v>48560000</v>
      </c>
      <c r="AB427" s="149">
        <f t="shared" si="86"/>
        <v>66.666666666666657</v>
      </c>
      <c r="AC427" s="143" t="s">
        <v>58</v>
      </c>
      <c r="AD427" s="194">
        <f t="shared" si="87"/>
        <v>51.115789473684217</v>
      </c>
      <c r="AE427" s="162"/>
      <c r="AF427" s="1"/>
      <c r="AG427" s="1"/>
      <c r="AH427" s="163"/>
      <c r="AI427" s="1"/>
      <c r="AJ427" s="1"/>
      <c r="AK427" s="1"/>
    </row>
    <row r="428" spans="1:37" customFormat="1" ht="195">
      <c r="A428" s="151"/>
      <c r="B428" s="147"/>
      <c r="C428" s="153" t="s">
        <v>683</v>
      </c>
      <c r="D428" s="154" t="s">
        <v>663</v>
      </c>
      <c r="E428" s="155">
        <v>24</v>
      </c>
      <c r="F428" s="182" t="s">
        <v>55</v>
      </c>
      <c r="G428" s="195">
        <v>399350000</v>
      </c>
      <c r="H428" s="205">
        <v>12</v>
      </c>
      <c r="I428" s="157">
        <v>74200000</v>
      </c>
      <c r="J428" s="158">
        <v>12</v>
      </c>
      <c r="K428" s="157">
        <v>35055000</v>
      </c>
      <c r="L428" s="142">
        <v>3</v>
      </c>
      <c r="M428" s="207" t="s">
        <v>449</v>
      </c>
      <c r="N428" s="158">
        <v>3</v>
      </c>
      <c r="O428" s="157">
        <v>10975000</v>
      </c>
      <c r="P428" s="158">
        <v>3</v>
      </c>
      <c r="Q428" s="157">
        <v>3475000</v>
      </c>
      <c r="R428" s="212">
        <v>3</v>
      </c>
      <c r="S428" s="209">
        <v>9650000</v>
      </c>
      <c r="T428" s="206">
        <f t="shared" si="90"/>
        <v>12</v>
      </c>
      <c r="U428" s="164">
        <f t="shared" si="88"/>
        <v>100</v>
      </c>
      <c r="V428" s="143" t="s">
        <v>58</v>
      </c>
      <c r="W428" s="159">
        <f t="shared" si="89"/>
        <v>24100000</v>
      </c>
      <c r="X428" s="164">
        <f t="shared" si="84"/>
        <v>68.749108543717014</v>
      </c>
      <c r="Y428" s="143" t="s">
        <v>58</v>
      </c>
      <c r="Z428" s="206">
        <f t="shared" si="91"/>
        <v>24</v>
      </c>
      <c r="AA428" s="159">
        <f t="shared" si="85"/>
        <v>98300000</v>
      </c>
      <c r="AB428" s="149">
        <f t="shared" si="86"/>
        <v>100</v>
      </c>
      <c r="AC428" s="143" t="s">
        <v>58</v>
      </c>
      <c r="AD428" s="194">
        <f t="shared" si="87"/>
        <v>24.61499937398272</v>
      </c>
      <c r="AE428" s="162"/>
      <c r="AF428" s="1"/>
      <c r="AG428" s="1"/>
      <c r="AH428" s="163"/>
      <c r="AI428" s="1"/>
      <c r="AJ428" s="1"/>
      <c r="AK428" s="1"/>
    </row>
    <row r="429" spans="1:37" customFormat="1" ht="120">
      <c r="A429" s="151"/>
      <c r="B429" s="147"/>
      <c r="C429" s="153" t="s">
        <v>684</v>
      </c>
      <c r="D429" s="154" t="s">
        <v>685</v>
      </c>
      <c r="E429" s="155">
        <v>36</v>
      </c>
      <c r="F429" s="182" t="s">
        <v>55</v>
      </c>
      <c r="G429" s="157">
        <v>1470311350</v>
      </c>
      <c r="H429" s="158">
        <v>12</v>
      </c>
      <c r="I429" s="157">
        <v>77415000</v>
      </c>
      <c r="J429" s="158">
        <v>12</v>
      </c>
      <c r="K429" s="157">
        <v>1390138850</v>
      </c>
      <c r="L429" s="142">
        <v>3</v>
      </c>
      <c r="M429" s="157">
        <v>0</v>
      </c>
      <c r="N429" s="158">
        <v>3</v>
      </c>
      <c r="O429" s="157">
        <v>28847500</v>
      </c>
      <c r="P429" s="158">
        <v>3</v>
      </c>
      <c r="Q429" s="157">
        <f>917186590-O429</f>
        <v>888339090</v>
      </c>
      <c r="R429" s="158">
        <v>3</v>
      </c>
      <c r="S429" s="157">
        <f>1146891590-O429-Q429</f>
        <v>229705000</v>
      </c>
      <c r="T429" s="142">
        <f t="shared" si="90"/>
        <v>12</v>
      </c>
      <c r="U429" s="143">
        <f t="shared" si="88"/>
        <v>100</v>
      </c>
      <c r="V429" s="143" t="s">
        <v>58</v>
      </c>
      <c r="W429" s="159">
        <f t="shared" si="89"/>
        <v>1146891590</v>
      </c>
      <c r="X429" s="164">
        <f t="shared" si="84"/>
        <v>82.501945039518901</v>
      </c>
      <c r="Y429" s="143" t="s">
        <v>58</v>
      </c>
      <c r="Z429" s="143">
        <f t="shared" si="91"/>
        <v>24</v>
      </c>
      <c r="AA429" s="159">
        <f t="shared" si="85"/>
        <v>1224306590</v>
      </c>
      <c r="AB429" s="149">
        <f t="shared" si="86"/>
        <v>66.666666666666657</v>
      </c>
      <c r="AC429" s="143" t="s">
        <v>58</v>
      </c>
      <c r="AD429" s="194">
        <f t="shared" si="87"/>
        <v>83.268526084628263</v>
      </c>
      <c r="AE429" s="162"/>
      <c r="AF429" s="1"/>
      <c r="AG429" s="1"/>
      <c r="AH429" s="163"/>
      <c r="AI429" s="1"/>
      <c r="AJ429" s="1"/>
      <c r="AK429" s="1"/>
    </row>
    <row r="430" spans="1:37" customFormat="1" ht="120">
      <c r="A430" s="151"/>
      <c r="B430" s="147"/>
      <c r="C430" s="153" t="s">
        <v>686</v>
      </c>
      <c r="D430" s="154" t="s">
        <v>685</v>
      </c>
      <c r="E430" s="155">
        <v>36</v>
      </c>
      <c r="F430" s="182" t="s">
        <v>55</v>
      </c>
      <c r="G430" s="195">
        <v>35915000</v>
      </c>
      <c r="H430" s="205">
        <v>12</v>
      </c>
      <c r="I430" s="157">
        <v>1322000</v>
      </c>
      <c r="J430" s="158">
        <v>12</v>
      </c>
      <c r="K430" s="157">
        <v>34480000</v>
      </c>
      <c r="L430" s="142">
        <v>3</v>
      </c>
      <c r="M430" s="207" t="s">
        <v>449</v>
      </c>
      <c r="N430" s="158">
        <v>3</v>
      </c>
      <c r="O430" s="157">
        <v>12225000</v>
      </c>
      <c r="P430" s="158">
        <v>3</v>
      </c>
      <c r="Q430" s="157">
        <v>9752500</v>
      </c>
      <c r="R430" s="205">
        <v>3</v>
      </c>
      <c r="S430" s="157">
        <v>11890000</v>
      </c>
      <c r="T430" s="206">
        <f t="shared" si="90"/>
        <v>12</v>
      </c>
      <c r="U430" s="164">
        <f t="shared" si="88"/>
        <v>100</v>
      </c>
      <c r="V430" s="143" t="s">
        <v>58</v>
      </c>
      <c r="W430" s="159">
        <f t="shared" si="89"/>
        <v>33867500</v>
      </c>
      <c r="X430" s="164">
        <f t="shared" si="84"/>
        <v>98.223607888631093</v>
      </c>
      <c r="Y430" s="143" t="s">
        <v>58</v>
      </c>
      <c r="Z430" s="206">
        <f t="shared" si="91"/>
        <v>24</v>
      </c>
      <c r="AA430" s="159">
        <f t="shared" si="85"/>
        <v>35189500</v>
      </c>
      <c r="AB430" s="149">
        <f t="shared" si="86"/>
        <v>66.666666666666657</v>
      </c>
      <c r="AC430" s="143" t="s">
        <v>58</v>
      </c>
      <c r="AD430" s="194">
        <f t="shared" si="87"/>
        <v>97.979952666016985</v>
      </c>
      <c r="AE430" s="162"/>
      <c r="AF430" s="1"/>
      <c r="AG430" s="1"/>
      <c r="AH430" s="163"/>
      <c r="AI430" s="1"/>
      <c r="AJ430" s="1"/>
      <c r="AK430" s="1"/>
    </row>
    <row r="431" spans="1:37" customFormat="1" ht="120">
      <c r="A431" s="151"/>
      <c r="B431" s="147"/>
      <c r="C431" s="153" t="s">
        <v>687</v>
      </c>
      <c r="D431" s="154" t="s">
        <v>685</v>
      </c>
      <c r="E431" s="155">
        <v>36</v>
      </c>
      <c r="F431" s="182" t="s">
        <v>55</v>
      </c>
      <c r="G431" s="195">
        <v>33530000</v>
      </c>
      <c r="H431" s="205">
        <v>12</v>
      </c>
      <c r="I431" s="157">
        <v>30700000</v>
      </c>
      <c r="J431" s="158">
        <v>12</v>
      </c>
      <c r="K431" s="157">
        <v>875000</v>
      </c>
      <c r="L431" s="142">
        <v>3</v>
      </c>
      <c r="M431" s="207" t="s">
        <v>449</v>
      </c>
      <c r="N431" s="158">
        <v>3</v>
      </c>
      <c r="O431" s="157">
        <v>0</v>
      </c>
      <c r="P431" s="158">
        <v>3</v>
      </c>
      <c r="Q431" s="157">
        <v>810000</v>
      </c>
      <c r="R431" s="205">
        <v>3</v>
      </c>
      <c r="S431" s="157">
        <v>0</v>
      </c>
      <c r="T431" s="206">
        <f t="shared" si="90"/>
        <v>12</v>
      </c>
      <c r="U431" s="164">
        <f t="shared" si="88"/>
        <v>100</v>
      </c>
      <c r="V431" s="143" t="s">
        <v>58</v>
      </c>
      <c r="W431" s="159">
        <f t="shared" si="89"/>
        <v>810000</v>
      </c>
      <c r="X431" s="164">
        <f t="shared" si="84"/>
        <v>92.571428571428569</v>
      </c>
      <c r="Y431" s="143" t="s">
        <v>58</v>
      </c>
      <c r="Z431" s="206">
        <f t="shared" si="91"/>
        <v>24</v>
      </c>
      <c r="AA431" s="159">
        <f t="shared" si="85"/>
        <v>31510000</v>
      </c>
      <c r="AB431" s="149">
        <f t="shared" si="86"/>
        <v>66.666666666666657</v>
      </c>
      <c r="AC431" s="143" t="s">
        <v>58</v>
      </c>
      <c r="AD431" s="194">
        <f t="shared" si="87"/>
        <v>93.975544288696682</v>
      </c>
      <c r="AE431" s="162"/>
      <c r="AF431" s="1"/>
      <c r="AG431" s="1"/>
      <c r="AH431" s="163"/>
      <c r="AI431" s="1"/>
      <c r="AJ431" s="1"/>
      <c r="AK431" s="1"/>
    </row>
    <row r="432" spans="1:37" customFormat="1" ht="120">
      <c r="A432" s="151"/>
      <c r="B432" s="147"/>
      <c r="C432" s="153" t="s">
        <v>688</v>
      </c>
      <c r="D432" s="154" t="s">
        <v>685</v>
      </c>
      <c r="E432" s="155">
        <v>36</v>
      </c>
      <c r="F432" s="182" t="s">
        <v>55</v>
      </c>
      <c r="G432" s="195">
        <v>123578000</v>
      </c>
      <c r="H432" s="205">
        <v>12</v>
      </c>
      <c r="I432" s="157">
        <v>72698000</v>
      </c>
      <c r="J432" s="158">
        <v>12</v>
      </c>
      <c r="K432" s="157">
        <v>25440000</v>
      </c>
      <c r="L432" s="142">
        <v>3</v>
      </c>
      <c r="M432" s="207" t="s">
        <v>449</v>
      </c>
      <c r="N432" s="158">
        <v>3</v>
      </c>
      <c r="O432" s="157">
        <v>3480000</v>
      </c>
      <c r="P432" s="158">
        <v>3</v>
      </c>
      <c r="Q432" s="157">
        <v>12200000</v>
      </c>
      <c r="R432" s="205">
        <v>3</v>
      </c>
      <c r="S432" s="157">
        <v>9760000</v>
      </c>
      <c r="T432" s="206">
        <f t="shared" si="90"/>
        <v>12</v>
      </c>
      <c r="U432" s="164">
        <f t="shared" si="88"/>
        <v>100</v>
      </c>
      <c r="V432" s="143" t="s">
        <v>58</v>
      </c>
      <c r="W432" s="159">
        <f t="shared" si="89"/>
        <v>25440000</v>
      </c>
      <c r="X432" s="164">
        <f t="shared" si="84"/>
        <v>100</v>
      </c>
      <c r="Y432" s="143" t="s">
        <v>58</v>
      </c>
      <c r="Z432" s="206">
        <f t="shared" si="91"/>
        <v>24</v>
      </c>
      <c r="AA432" s="159">
        <f t="shared" si="85"/>
        <v>98138000</v>
      </c>
      <c r="AB432" s="149">
        <f t="shared" si="86"/>
        <v>66.666666666666657</v>
      </c>
      <c r="AC432" s="143" t="s">
        <v>58</v>
      </c>
      <c r="AD432" s="194">
        <f t="shared" si="87"/>
        <v>79.413811519849816</v>
      </c>
      <c r="AE432" s="162"/>
      <c r="AF432" s="1"/>
      <c r="AG432" s="1"/>
      <c r="AH432" s="163"/>
      <c r="AI432" s="1"/>
      <c r="AJ432" s="1"/>
      <c r="AK432" s="1"/>
    </row>
    <row r="433" spans="1:37" customFormat="1" ht="120">
      <c r="A433" s="151"/>
      <c r="B433" s="147"/>
      <c r="C433" s="153" t="s">
        <v>689</v>
      </c>
      <c r="D433" s="154" t="s">
        <v>685</v>
      </c>
      <c r="E433" s="155">
        <v>36</v>
      </c>
      <c r="F433" s="182" t="s">
        <v>55</v>
      </c>
      <c r="G433" s="195">
        <v>95445800</v>
      </c>
      <c r="H433" s="205">
        <v>12</v>
      </c>
      <c r="I433" s="157">
        <v>8490000</v>
      </c>
      <c r="J433" s="158">
        <v>12</v>
      </c>
      <c r="K433" s="157">
        <v>37082900</v>
      </c>
      <c r="L433" s="142">
        <v>3</v>
      </c>
      <c r="M433" s="207" t="s">
        <v>449</v>
      </c>
      <c r="N433" s="158">
        <v>3</v>
      </c>
      <c r="O433" s="157">
        <v>15692500</v>
      </c>
      <c r="P433" s="158">
        <v>3</v>
      </c>
      <c r="Q433" s="157">
        <v>10908000</v>
      </c>
      <c r="R433" s="205">
        <v>3</v>
      </c>
      <c r="S433" s="157">
        <v>8960000</v>
      </c>
      <c r="T433" s="206">
        <f t="shared" si="90"/>
        <v>12</v>
      </c>
      <c r="U433" s="164">
        <f t="shared" si="88"/>
        <v>100</v>
      </c>
      <c r="V433" s="143" t="s">
        <v>58</v>
      </c>
      <c r="W433" s="159">
        <f t="shared" si="89"/>
        <v>35560500</v>
      </c>
      <c r="X433" s="164">
        <f t="shared" si="84"/>
        <v>95.894603712223159</v>
      </c>
      <c r="Y433" s="143" t="s">
        <v>58</v>
      </c>
      <c r="Z433" s="206">
        <f t="shared" si="91"/>
        <v>24</v>
      </c>
      <c r="AA433" s="159">
        <f t="shared" si="85"/>
        <v>44050500</v>
      </c>
      <c r="AB433" s="149">
        <f t="shared" si="86"/>
        <v>66.666666666666657</v>
      </c>
      <c r="AC433" s="143" t="s">
        <v>58</v>
      </c>
      <c r="AD433" s="194">
        <f t="shared" si="87"/>
        <v>46.152371293446123</v>
      </c>
      <c r="AE433" s="162"/>
      <c r="AF433" s="1"/>
      <c r="AG433" s="1"/>
      <c r="AH433" s="163"/>
      <c r="AI433" s="1"/>
      <c r="AJ433" s="1"/>
      <c r="AK433" s="1"/>
    </row>
    <row r="434" spans="1:37" customFormat="1" ht="120">
      <c r="A434" s="151"/>
      <c r="B434" s="147"/>
      <c r="C434" s="153" t="s">
        <v>690</v>
      </c>
      <c r="D434" s="154" t="s">
        <v>685</v>
      </c>
      <c r="E434" s="155">
        <v>36</v>
      </c>
      <c r="F434" s="182" t="s">
        <v>55</v>
      </c>
      <c r="G434" s="195">
        <v>136210000</v>
      </c>
      <c r="H434" s="205">
        <v>12</v>
      </c>
      <c r="I434" s="157">
        <v>21724000</v>
      </c>
      <c r="J434" s="158">
        <v>12</v>
      </c>
      <c r="K434" s="157">
        <v>57243000</v>
      </c>
      <c r="L434" s="142">
        <v>3</v>
      </c>
      <c r="M434" s="207" t="s">
        <v>449</v>
      </c>
      <c r="N434" s="158">
        <v>3</v>
      </c>
      <c r="O434" s="157">
        <v>25000</v>
      </c>
      <c r="P434" s="158">
        <v>3</v>
      </c>
      <c r="Q434" s="157">
        <v>30250000</v>
      </c>
      <c r="R434" s="205">
        <v>3</v>
      </c>
      <c r="S434" s="157">
        <v>26330000</v>
      </c>
      <c r="T434" s="206">
        <f t="shared" si="90"/>
        <v>12</v>
      </c>
      <c r="U434" s="164">
        <f t="shared" si="88"/>
        <v>100</v>
      </c>
      <c r="V434" s="143" t="s">
        <v>58</v>
      </c>
      <c r="W434" s="159">
        <f t="shared" si="89"/>
        <v>56605000</v>
      </c>
      <c r="X434" s="164">
        <f t="shared" si="84"/>
        <v>98.885453243191307</v>
      </c>
      <c r="Y434" s="143" t="s">
        <v>58</v>
      </c>
      <c r="Z434" s="206">
        <f t="shared" si="91"/>
        <v>24</v>
      </c>
      <c r="AA434" s="159">
        <f t="shared" si="85"/>
        <v>78329000</v>
      </c>
      <c r="AB434" s="149">
        <f t="shared" si="86"/>
        <v>66.666666666666657</v>
      </c>
      <c r="AC434" s="143" t="s">
        <v>58</v>
      </c>
      <c r="AD434" s="194">
        <f t="shared" si="87"/>
        <v>57.506056824021734</v>
      </c>
      <c r="AE434" s="162"/>
      <c r="AF434" s="1"/>
      <c r="AG434" s="1"/>
      <c r="AH434" s="163"/>
      <c r="AI434" s="1"/>
      <c r="AJ434" s="1"/>
      <c r="AK434" s="1"/>
    </row>
    <row r="435" spans="1:37" customFormat="1" ht="120">
      <c r="A435" s="151"/>
      <c r="B435" s="147"/>
      <c r="C435" s="153" t="s">
        <v>691</v>
      </c>
      <c r="D435" s="154" t="s">
        <v>685</v>
      </c>
      <c r="E435" s="155">
        <v>36</v>
      </c>
      <c r="F435" s="182" t="s">
        <v>55</v>
      </c>
      <c r="G435" s="195">
        <v>234125000</v>
      </c>
      <c r="H435" s="205">
        <v>12</v>
      </c>
      <c r="I435" s="157">
        <v>22240000</v>
      </c>
      <c r="J435" s="158">
        <v>12</v>
      </c>
      <c r="K435" s="157">
        <v>105942500</v>
      </c>
      <c r="L435" s="142">
        <v>3</v>
      </c>
      <c r="M435" s="207" t="s">
        <v>449</v>
      </c>
      <c r="N435" s="158">
        <v>3</v>
      </c>
      <c r="O435" s="157">
        <v>12660000</v>
      </c>
      <c r="P435" s="158">
        <v>3</v>
      </c>
      <c r="Q435" s="157">
        <v>48276000</v>
      </c>
      <c r="R435" s="205">
        <v>3</v>
      </c>
      <c r="S435" s="157">
        <v>31848500</v>
      </c>
      <c r="T435" s="206">
        <f t="shared" si="90"/>
        <v>12</v>
      </c>
      <c r="U435" s="164">
        <f t="shared" si="88"/>
        <v>100</v>
      </c>
      <c r="V435" s="143" t="s">
        <v>58</v>
      </c>
      <c r="W435" s="159">
        <f t="shared" si="89"/>
        <v>92784500</v>
      </c>
      <c r="X435" s="164">
        <f t="shared" si="84"/>
        <v>87.580055218632751</v>
      </c>
      <c r="Y435" s="143" t="s">
        <v>58</v>
      </c>
      <c r="Z435" s="206">
        <f t="shared" si="91"/>
        <v>24</v>
      </c>
      <c r="AA435" s="159">
        <f t="shared" si="85"/>
        <v>115024500</v>
      </c>
      <c r="AB435" s="149">
        <f t="shared" si="86"/>
        <v>66.666666666666657</v>
      </c>
      <c r="AC435" s="143" t="s">
        <v>58</v>
      </c>
      <c r="AD435" s="194">
        <f t="shared" si="87"/>
        <v>49.129524826481578</v>
      </c>
      <c r="AE435" s="162"/>
      <c r="AF435" s="1"/>
      <c r="AG435" s="1"/>
      <c r="AH435" s="163"/>
      <c r="AI435" s="1"/>
      <c r="AJ435" s="1"/>
      <c r="AK435" s="1"/>
    </row>
    <row r="436" spans="1:37" customFormat="1" ht="120">
      <c r="A436" s="151"/>
      <c r="B436" s="147"/>
      <c r="C436" s="153" t="s">
        <v>692</v>
      </c>
      <c r="D436" s="154" t="s">
        <v>685</v>
      </c>
      <c r="E436" s="155">
        <v>36</v>
      </c>
      <c r="F436" s="182" t="s">
        <v>55</v>
      </c>
      <c r="G436" s="195">
        <v>220305000</v>
      </c>
      <c r="H436" s="205">
        <v>12</v>
      </c>
      <c r="I436" s="157">
        <v>7992000</v>
      </c>
      <c r="J436" s="158">
        <v>12</v>
      </c>
      <c r="K436" s="157">
        <v>95150000</v>
      </c>
      <c r="L436" s="142">
        <v>3</v>
      </c>
      <c r="M436" s="207" t="s">
        <v>449</v>
      </c>
      <c r="N436" s="158">
        <v>3</v>
      </c>
      <c r="O436" s="157">
        <v>35200000</v>
      </c>
      <c r="P436" s="158">
        <v>3</v>
      </c>
      <c r="Q436" s="157">
        <v>29550000</v>
      </c>
      <c r="R436" s="205">
        <v>3</v>
      </c>
      <c r="S436" s="157">
        <v>30400000</v>
      </c>
      <c r="T436" s="206">
        <f t="shared" si="90"/>
        <v>12</v>
      </c>
      <c r="U436" s="164">
        <f t="shared" si="88"/>
        <v>100</v>
      </c>
      <c r="V436" s="143" t="s">
        <v>58</v>
      </c>
      <c r="W436" s="159">
        <f t="shared" si="89"/>
        <v>95150000</v>
      </c>
      <c r="X436" s="164">
        <f t="shared" si="84"/>
        <v>100</v>
      </c>
      <c r="Y436" s="143" t="s">
        <v>58</v>
      </c>
      <c r="Z436" s="206">
        <f t="shared" si="91"/>
        <v>24</v>
      </c>
      <c r="AA436" s="159">
        <f t="shared" si="85"/>
        <v>103142000</v>
      </c>
      <c r="AB436" s="149">
        <f t="shared" si="86"/>
        <v>66.666666666666657</v>
      </c>
      <c r="AC436" s="143" t="s">
        <v>58</v>
      </c>
      <c r="AD436" s="194">
        <f t="shared" si="87"/>
        <v>46.817820748507749</v>
      </c>
      <c r="AE436" s="162"/>
      <c r="AF436" s="1"/>
      <c r="AG436" s="1"/>
      <c r="AH436" s="163"/>
      <c r="AI436" s="1"/>
      <c r="AJ436" s="1"/>
      <c r="AK436" s="1"/>
    </row>
    <row r="437" spans="1:37" customFormat="1" ht="120">
      <c r="A437" s="151"/>
      <c r="B437" s="147"/>
      <c r="C437" s="153" t="s">
        <v>693</v>
      </c>
      <c r="D437" s="154" t="s">
        <v>685</v>
      </c>
      <c r="E437" s="155">
        <v>36</v>
      </c>
      <c r="F437" s="182" t="s">
        <v>55</v>
      </c>
      <c r="G437" s="195">
        <v>50172900</v>
      </c>
      <c r="H437" s="205">
        <v>12</v>
      </c>
      <c r="I437" s="157">
        <v>19100000</v>
      </c>
      <c r="J437" s="158">
        <v>12</v>
      </c>
      <c r="K437" s="157">
        <v>11866450</v>
      </c>
      <c r="L437" s="142">
        <v>3</v>
      </c>
      <c r="M437" s="207" t="s">
        <v>449</v>
      </c>
      <c r="N437" s="158">
        <v>3</v>
      </c>
      <c r="O437" s="157">
        <v>2520000</v>
      </c>
      <c r="P437" s="158">
        <v>3</v>
      </c>
      <c r="Q437" s="157">
        <v>5709000</v>
      </c>
      <c r="R437" s="205">
        <v>4</v>
      </c>
      <c r="S437" s="157">
        <v>3426250</v>
      </c>
      <c r="T437" s="206">
        <f t="shared" si="90"/>
        <v>13</v>
      </c>
      <c r="U437" s="164">
        <f t="shared" si="88"/>
        <v>108.33333333333333</v>
      </c>
      <c r="V437" s="143" t="s">
        <v>58</v>
      </c>
      <c r="W437" s="159">
        <f t="shared" si="89"/>
        <v>11655250</v>
      </c>
      <c r="X437" s="164">
        <f t="shared" si="84"/>
        <v>98.220192222610805</v>
      </c>
      <c r="Y437" s="143" t="s">
        <v>58</v>
      </c>
      <c r="Z437" s="206">
        <f t="shared" si="91"/>
        <v>25</v>
      </c>
      <c r="AA437" s="159">
        <f t="shared" si="85"/>
        <v>30755250</v>
      </c>
      <c r="AB437" s="149">
        <f t="shared" si="86"/>
        <v>69.444444444444443</v>
      </c>
      <c r="AC437" s="143" t="s">
        <v>58</v>
      </c>
      <c r="AD437" s="194">
        <f t="shared" si="87"/>
        <v>61.298529684351507</v>
      </c>
      <c r="AE437" s="162"/>
      <c r="AF437" s="1"/>
      <c r="AG437" s="1"/>
      <c r="AH437" s="163"/>
      <c r="AI437" s="1"/>
      <c r="AJ437" s="1"/>
      <c r="AK437" s="1"/>
    </row>
    <row r="438" spans="1:37" customFormat="1" ht="120">
      <c r="A438" s="151"/>
      <c r="B438" s="147"/>
      <c r="C438" s="153" t="s">
        <v>694</v>
      </c>
      <c r="D438" s="154" t="s">
        <v>685</v>
      </c>
      <c r="E438" s="155">
        <v>36</v>
      </c>
      <c r="F438" s="182" t="s">
        <v>55</v>
      </c>
      <c r="G438" s="195">
        <v>54791000</v>
      </c>
      <c r="H438" s="205">
        <v>12</v>
      </c>
      <c r="I438" s="157">
        <v>13157000</v>
      </c>
      <c r="J438" s="158">
        <v>12</v>
      </c>
      <c r="K438" s="157">
        <v>20817000</v>
      </c>
      <c r="L438" s="142">
        <v>3</v>
      </c>
      <c r="M438" s="207" t="s">
        <v>449</v>
      </c>
      <c r="N438" s="158">
        <v>3</v>
      </c>
      <c r="O438" s="157">
        <v>3960000</v>
      </c>
      <c r="P438" s="158">
        <v>3</v>
      </c>
      <c r="Q438" s="157">
        <v>5940000</v>
      </c>
      <c r="R438" s="205">
        <v>3</v>
      </c>
      <c r="S438" s="157">
        <v>9657000</v>
      </c>
      <c r="T438" s="206">
        <f t="shared" si="90"/>
        <v>12</v>
      </c>
      <c r="U438" s="164">
        <f t="shared" si="88"/>
        <v>100</v>
      </c>
      <c r="V438" s="143" t="s">
        <v>58</v>
      </c>
      <c r="W438" s="159">
        <f t="shared" si="89"/>
        <v>19557000</v>
      </c>
      <c r="X438" s="164">
        <f t="shared" si="84"/>
        <v>93.947254647643746</v>
      </c>
      <c r="Y438" s="143" t="s">
        <v>58</v>
      </c>
      <c r="Z438" s="206">
        <f t="shared" si="91"/>
        <v>24</v>
      </c>
      <c r="AA438" s="159">
        <f t="shared" si="85"/>
        <v>32714000</v>
      </c>
      <c r="AB438" s="149">
        <f t="shared" si="86"/>
        <v>66.666666666666657</v>
      </c>
      <c r="AC438" s="143" t="s">
        <v>58</v>
      </c>
      <c r="AD438" s="194">
        <f t="shared" si="87"/>
        <v>59.706886167436259</v>
      </c>
      <c r="AE438" s="162"/>
      <c r="AF438" s="1"/>
      <c r="AG438" s="1"/>
      <c r="AH438" s="163"/>
      <c r="AI438" s="1"/>
      <c r="AJ438" s="1"/>
      <c r="AK438" s="1"/>
    </row>
    <row r="439" spans="1:37" customFormat="1" ht="120">
      <c r="A439" s="151"/>
      <c r="B439" s="147"/>
      <c r="C439" s="153" t="s">
        <v>695</v>
      </c>
      <c r="D439" s="154" t="s">
        <v>685</v>
      </c>
      <c r="E439" s="155">
        <v>36</v>
      </c>
      <c r="F439" s="182" t="s">
        <v>55</v>
      </c>
      <c r="G439" s="195">
        <v>15130000</v>
      </c>
      <c r="H439" s="205">
        <v>12</v>
      </c>
      <c r="I439" s="157">
        <v>4870000</v>
      </c>
      <c r="J439" s="158">
        <v>12</v>
      </c>
      <c r="K439" s="157">
        <v>11820000</v>
      </c>
      <c r="L439" s="142">
        <v>3</v>
      </c>
      <c r="M439" s="207" t="s">
        <v>449</v>
      </c>
      <c r="N439" s="158">
        <v>3</v>
      </c>
      <c r="O439" s="157">
        <v>850000</v>
      </c>
      <c r="P439" s="158">
        <v>3</v>
      </c>
      <c r="Q439" s="157">
        <v>1700000</v>
      </c>
      <c r="R439" s="205">
        <v>3</v>
      </c>
      <c r="S439" s="157">
        <v>8420000</v>
      </c>
      <c r="T439" s="206">
        <f t="shared" si="90"/>
        <v>12</v>
      </c>
      <c r="U439" s="164">
        <f t="shared" si="88"/>
        <v>100</v>
      </c>
      <c r="V439" s="143" t="s">
        <v>58</v>
      </c>
      <c r="W439" s="159">
        <f t="shared" si="89"/>
        <v>10970000</v>
      </c>
      <c r="X439" s="164">
        <f t="shared" si="84"/>
        <v>92.808798646362106</v>
      </c>
      <c r="Y439" s="143" t="s">
        <v>58</v>
      </c>
      <c r="Z439" s="206">
        <f t="shared" si="91"/>
        <v>24</v>
      </c>
      <c r="AA439" s="159">
        <f t="shared" si="85"/>
        <v>15840000</v>
      </c>
      <c r="AB439" s="149">
        <f t="shared" si="86"/>
        <v>66.666666666666657</v>
      </c>
      <c r="AC439" s="143" t="s">
        <v>58</v>
      </c>
      <c r="AD439" s="194">
        <f t="shared" si="87"/>
        <v>104.69266358228684</v>
      </c>
      <c r="AE439" s="162"/>
      <c r="AF439" s="1"/>
      <c r="AG439" s="1"/>
      <c r="AH439" s="163"/>
      <c r="AI439" s="1"/>
      <c r="AJ439" s="1"/>
      <c r="AK439" s="1"/>
    </row>
    <row r="440" spans="1:37" customFormat="1" ht="120">
      <c r="A440" s="151"/>
      <c r="B440" s="147"/>
      <c r="C440" s="153" t="s">
        <v>696</v>
      </c>
      <c r="D440" s="154" t="s">
        <v>685</v>
      </c>
      <c r="E440" s="155">
        <v>36</v>
      </c>
      <c r="F440" s="182" t="s">
        <v>55</v>
      </c>
      <c r="G440" s="195">
        <v>22288000</v>
      </c>
      <c r="H440" s="205">
        <v>12</v>
      </c>
      <c r="I440" s="157">
        <v>2620000</v>
      </c>
      <c r="J440" s="158">
        <v>12</v>
      </c>
      <c r="K440" s="157">
        <v>6560000</v>
      </c>
      <c r="L440" s="142">
        <v>3</v>
      </c>
      <c r="M440" s="207" t="s">
        <v>449</v>
      </c>
      <c r="N440" s="158">
        <v>3</v>
      </c>
      <c r="O440" s="157">
        <v>3660000</v>
      </c>
      <c r="P440" s="158">
        <v>3</v>
      </c>
      <c r="Q440" s="157">
        <v>3940000</v>
      </c>
      <c r="R440" s="205">
        <v>3</v>
      </c>
      <c r="S440" s="183">
        <v>4220000</v>
      </c>
      <c r="T440" s="206">
        <f t="shared" si="90"/>
        <v>12</v>
      </c>
      <c r="U440" s="164">
        <f t="shared" si="88"/>
        <v>100</v>
      </c>
      <c r="V440" s="143" t="s">
        <v>58</v>
      </c>
      <c r="W440" s="159">
        <f t="shared" si="89"/>
        <v>11820000</v>
      </c>
      <c r="X440" s="164">
        <f t="shared" si="84"/>
        <v>180.1829268292683</v>
      </c>
      <c r="Y440" s="143" t="s">
        <v>58</v>
      </c>
      <c r="Z440" s="206">
        <f t="shared" si="91"/>
        <v>24</v>
      </c>
      <c r="AA440" s="159">
        <f t="shared" si="85"/>
        <v>14440000</v>
      </c>
      <c r="AB440" s="149">
        <f t="shared" si="86"/>
        <v>66.666666666666657</v>
      </c>
      <c r="AC440" s="143" t="s">
        <v>58</v>
      </c>
      <c r="AD440" s="194">
        <f t="shared" si="87"/>
        <v>64.788226848528353</v>
      </c>
      <c r="AE440" s="162"/>
      <c r="AF440" s="1"/>
      <c r="AG440" s="1"/>
      <c r="AH440" s="163"/>
      <c r="AI440" s="1"/>
      <c r="AJ440" s="1"/>
      <c r="AK440" s="1"/>
    </row>
    <row r="441" spans="1:37" customFormat="1" ht="120">
      <c r="A441" s="151"/>
      <c r="B441" s="147"/>
      <c r="C441" s="153" t="s">
        <v>697</v>
      </c>
      <c r="D441" s="154" t="s">
        <v>685</v>
      </c>
      <c r="E441" s="155">
        <v>36</v>
      </c>
      <c r="F441" s="182" t="s">
        <v>55</v>
      </c>
      <c r="G441" s="195">
        <v>170127400</v>
      </c>
      <c r="H441" s="205">
        <v>12</v>
      </c>
      <c r="I441" s="157">
        <v>69090000</v>
      </c>
      <c r="J441" s="158">
        <v>12</v>
      </c>
      <c r="K441" s="157">
        <v>48726700</v>
      </c>
      <c r="L441" s="142">
        <v>3</v>
      </c>
      <c r="M441" s="207" t="s">
        <v>449</v>
      </c>
      <c r="N441" s="158">
        <v>3</v>
      </c>
      <c r="O441" s="157">
        <v>2100000</v>
      </c>
      <c r="P441" s="158">
        <v>3</v>
      </c>
      <c r="Q441" s="157">
        <v>28845000</v>
      </c>
      <c r="R441" s="212">
        <v>3</v>
      </c>
      <c r="S441" s="209">
        <v>13160000</v>
      </c>
      <c r="T441" s="206">
        <f t="shared" si="90"/>
        <v>12</v>
      </c>
      <c r="U441" s="164">
        <f t="shared" si="88"/>
        <v>100</v>
      </c>
      <c r="V441" s="143" t="s">
        <v>58</v>
      </c>
      <c r="W441" s="159">
        <f t="shared" si="89"/>
        <v>44105000</v>
      </c>
      <c r="X441" s="164">
        <f t="shared" si="84"/>
        <v>90.515056426969196</v>
      </c>
      <c r="Y441" s="143" t="s">
        <v>58</v>
      </c>
      <c r="Z441" s="206">
        <f t="shared" si="91"/>
        <v>24</v>
      </c>
      <c r="AA441" s="159">
        <f t="shared" si="85"/>
        <v>113195000</v>
      </c>
      <c r="AB441" s="149">
        <f t="shared" si="86"/>
        <v>66.666666666666657</v>
      </c>
      <c r="AC441" s="143" t="s">
        <v>58</v>
      </c>
      <c r="AD441" s="194">
        <f t="shared" si="87"/>
        <v>66.535431682374508</v>
      </c>
      <c r="AE441" s="162"/>
      <c r="AF441" s="1"/>
      <c r="AG441" s="1"/>
      <c r="AH441" s="163"/>
      <c r="AI441" s="1"/>
      <c r="AJ441" s="1"/>
      <c r="AK441" s="1"/>
    </row>
    <row r="442" spans="1:37" customFormat="1" ht="120">
      <c r="A442" s="151"/>
      <c r="B442" s="147"/>
      <c r="C442" s="153" t="s">
        <v>698</v>
      </c>
      <c r="D442" s="154" t="s">
        <v>685</v>
      </c>
      <c r="E442" s="155">
        <v>36</v>
      </c>
      <c r="F442" s="182" t="s">
        <v>55</v>
      </c>
      <c r="G442" s="195">
        <v>190220500</v>
      </c>
      <c r="H442" s="205">
        <v>20</v>
      </c>
      <c r="I442" s="157">
        <v>50794000</v>
      </c>
      <c r="J442" s="158">
        <v>20</v>
      </c>
      <c r="K442" s="157">
        <v>61673250</v>
      </c>
      <c r="L442" s="142">
        <v>3</v>
      </c>
      <c r="M442" s="207" t="s">
        <v>449</v>
      </c>
      <c r="N442" s="158">
        <v>3</v>
      </c>
      <c r="O442" s="157">
        <v>4540000</v>
      </c>
      <c r="P442" s="158">
        <v>3</v>
      </c>
      <c r="Q442" s="157">
        <v>39883000</v>
      </c>
      <c r="R442" s="212">
        <v>3</v>
      </c>
      <c r="S442" s="209">
        <v>16180000</v>
      </c>
      <c r="T442" s="206">
        <f t="shared" si="90"/>
        <v>12</v>
      </c>
      <c r="U442" s="164">
        <f t="shared" si="88"/>
        <v>60</v>
      </c>
      <c r="V442" s="143" t="s">
        <v>58</v>
      </c>
      <c r="W442" s="159">
        <f t="shared" si="89"/>
        <v>60603000</v>
      </c>
      <c r="X442" s="164">
        <f t="shared" si="84"/>
        <v>98.264644720360934</v>
      </c>
      <c r="Y442" s="143" t="s">
        <v>58</v>
      </c>
      <c r="Z442" s="206">
        <f t="shared" si="91"/>
        <v>32</v>
      </c>
      <c r="AA442" s="159">
        <f t="shared" si="85"/>
        <v>111397000</v>
      </c>
      <c r="AB442" s="149">
        <f t="shared" si="86"/>
        <v>88.888888888888886</v>
      </c>
      <c r="AC442" s="143" t="s">
        <v>58</v>
      </c>
      <c r="AD442" s="194">
        <f t="shared" si="87"/>
        <v>58.562037214706088</v>
      </c>
      <c r="AE442" s="162"/>
      <c r="AF442" s="1"/>
      <c r="AG442" s="1"/>
      <c r="AH442" s="163"/>
      <c r="AI442" s="1"/>
      <c r="AJ442" s="1"/>
      <c r="AK442" s="1"/>
    </row>
    <row r="443" spans="1:37" customFormat="1" ht="120">
      <c r="A443" s="151"/>
      <c r="B443" s="147"/>
      <c r="C443" s="153" t="s">
        <v>699</v>
      </c>
      <c r="D443" s="154" t="s">
        <v>685</v>
      </c>
      <c r="E443" s="155">
        <v>36</v>
      </c>
      <c r="F443" s="182" t="s">
        <v>55</v>
      </c>
      <c r="G443" s="195">
        <v>43250000</v>
      </c>
      <c r="H443" s="205">
        <v>12</v>
      </c>
      <c r="I443" s="157">
        <v>37500000</v>
      </c>
      <c r="J443" s="158">
        <v>12</v>
      </c>
      <c r="K443" s="157">
        <v>2875000</v>
      </c>
      <c r="L443" s="142">
        <v>3</v>
      </c>
      <c r="M443" s="207" t="s">
        <v>449</v>
      </c>
      <c r="N443" s="158">
        <v>3</v>
      </c>
      <c r="O443" s="157"/>
      <c r="P443" s="158">
        <v>3</v>
      </c>
      <c r="Q443" s="157">
        <v>0</v>
      </c>
      <c r="R443" s="205">
        <v>3</v>
      </c>
      <c r="S443" s="157">
        <v>0</v>
      </c>
      <c r="T443" s="206">
        <f t="shared" si="90"/>
        <v>12</v>
      </c>
      <c r="U443" s="164">
        <f t="shared" si="88"/>
        <v>100</v>
      </c>
      <c r="V443" s="143" t="s">
        <v>58</v>
      </c>
      <c r="W443" s="159">
        <f t="shared" si="89"/>
        <v>0</v>
      </c>
      <c r="X443" s="164">
        <f t="shared" si="84"/>
        <v>0</v>
      </c>
      <c r="Y443" s="143" t="s">
        <v>58</v>
      </c>
      <c r="Z443" s="206">
        <f t="shared" si="91"/>
        <v>24</v>
      </c>
      <c r="AA443" s="159">
        <f t="shared" si="85"/>
        <v>37500000</v>
      </c>
      <c r="AB443" s="149">
        <f t="shared" si="86"/>
        <v>66.666666666666657</v>
      </c>
      <c r="AC443" s="143" t="s">
        <v>58</v>
      </c>
      <c r="AD443" s="194">
        <f t="shared" si="87"/>
        <v>86.705202312138724</v>
      </c>
      <c r="AE443" s="162"/>
      <c r="AF443" s="1"/>
      <c r="AG443" s="1"/>
      <c r="AH443" s="163"/>
      <c r="AI443" s="1"/>
      <c r="AJ443" s="1"/>
      <c r="AK443" s="1"/>
    </row>
    <row r="444" spans="1:37" customFormat="1" ht="120">
      <c r="A444" s="151"/>
      <c r="B444" s="147"/>
      <c r="C444" s="153" t="s">
        <v>700</v>
      </c>
      <c r="D444" s="154" t="s">
        <v>685</v>
      </c>
      <c r="E444" s="155">
        <v>36</v>
      </c>
      <c r="F444" s="182" t="s">
        <v>55</v>
      </c>
      <c r="G444" s="195">
        <v>20948800</v>
      </c>
      <c r="H444" s="205">
        <v>12</v>
      </c>
      <c r="I444" s="157">
        <v>9330000</v>
      </c>
      <c r="J444" s="158">
        <v>12</v>
      </c>
      <c r="K444" s="157">
        <v>17989400</v>
      </c>
      <c r="L444" s="213">
        <v>3</v>
      </c>
      <c r="M444" s="214">
        <v>0</v>
      </c>
      <c r="N444" s="215">
        <v>3</v>
      </c>
      <c r="O444" s="209" t="s">
        <v>449</v>
      </c>
      <c r="P444" s="215">
        <v>3</v>
      </c>
      <c r="Q444" s="209">
        <v>7775000</v>
      </c>
      <c r="R444" s="216">
        <v>3</v>
      </c>
      <c r="S444" s="209">
        <v>9800000</v>
      </c>
      <c r="T444" s="206">
        <f t="shared" si="90"/>
        <v>12</v>
      </c>
      <c r="U444" s="164">
        <f t="shared" si="88"/>
        <v>100</v>
      </c>
      <c r="V444" s="143" t="s">
        <v>58</v>
      </c>
      <c r="W444" s="159">
        <f t="shared" si="89"/>
        <v>17575000</v>
      </c>
      <c r="X444" s="164">
        <f t="shared" si="84"/>
        <v>97.696421225832992</v>
      </c>
      <c r="Y444" s="143" t="s">
        <v>58</v>
      </c>
      <c r="Z444" s="206">
        <f t="shared" si="91"/>
        <v>24</v>
      </c>
      <c r="AA444" s="159">
        <f t="shared" si="85"/>
        <v>26905000</v>
      </c>
      <c r="AB444" s="149">
        <f t="shared" si="86"/>
        <v>66.666666666666657</v>
      </c>
      <c r="AC444" s="143" t="s">
        <v>58</v>
      </c>
      <c r="AD444" s="194">
        <f t="shared" si="87"/>
        <v>128.43217749942715</v>
      </c>
      <c r="AE444" s="162"/>
      <c r="AF444" s="1"/>
      <c r="AG444" s="1"/>
      <c r="AH444" s="163"/>
      <c r="AI444" s="1"/>
      <c r="AJ444" s="1"/>
      <c r="AK444" s="1"/>
    </row>
    <row r="445" spans="1:37" customFormat="1" ht="120">
      <c r="A445" s="151"/>
      <c r="B445" s="147"/>
      <c r="C445" s="153" t="s">
        <v>701</v>
      </c>
      <c r="D445" s="154" t="s">
        <v>685</v>
      </c>
      <c r="E445" s="155">
        <v>36</v>
      </c>
      <c r="F445" s="182" t="s">
        <v>55</v>
      </c>
      <c r="G445" s="195">
        <v>70675000</v>
      </c>
      <c r="H445" s="205">
        <v>12</v>
      </c>
      <c r="I445" s="157">
        <v>19550000</v>
      </c>
      <c r="J445" s="158">
        <v>12</v>
      </c>
      <c r="K445" s="157">
        <v>20860000</v>
      </c>
      <c r="L445" s="142">
        <v>3</v>
      </c>
      <c r="M445" s="157">
        <v>0</v>
      </c>
      <c r="N445" s="158">
        <v>3</v>
      </c>
      <c r="O445" s="157">
        <v>8470000</v>
      </c>
      <c r="P445" s="158">
        <v>3</v>
      </c>
      <c r="Q445" s="157">
        <v>5460000</v>
      </c>
      <c r="R445" s="212">
        <v>3</v>
      </c>
      <c r="S445" s="183">
        <v>5950000</v>
      </c>
      <c r="T445" s="206">
        <f t="shared" si="90"/>
        <v>12</v>
      </c>
      <c r="U445" s="164">
        <f t="shared" si="88"/>
        <v>100</v>
      </c>
      <c r="V445" s="143" t="s">
        <v>58</v>
      </c>
      <c r="W445" s="159">
        <f t="shared" si="89"/>
        <v>19880000</v>
      </c>
      <c r="X445" s="164">
        <f t="shared" si="84"/>
        <v>95.302013422818789</v>
      </c>
      <c r="Y445" s="143" t="s">
        <v>58</v>
      </c>
      <c r="Z445" s="206">
        <f t="shared" si="91"/>
        <v>24</v>
      </c>
      <c r="AA445" s="159">
        <f t="shared" si="85"/>
        <v>39430000</v>
      </c>
      <c r="AB445" s="149">
        <f t="shared" si="86"/>
        <v>66.666666666666657</v>
      </c>
      <c r="AC445" s="143" t="s">
        <v>58</v>
      </c>
      <c r="AD445" s="194">
        <f t="shared" si="87"/>
        <v>55.790590732224977</v>
      </c>
      <c r="AE445" s="162"/>
      <c r="AF445" s="1"/>
      <c r="AG445" s="1"/>
      <c r="AH445" s="163"/>
      <c r="AI445" s="1"/>
      <c r="AJ445" s="1"/>
      <c r="AK445" s="1"/>
    </row>
    <row r="446" spans="1:37" customFormat="1" ht="120">
      <c r="A446" s="151"/>
      <c r="B446" s="147"/>
      <c r="C446" s="153" t="s">
        <v>702</v>
      </c>
      <c r="D446" s="154" t="s">
        <v>685</v>
      </c>
      <c r="E446" s="155">
        <v>36</v>
      </c>
      <c r="F446" s="182" t="s">
        <v>55</v>
      </c>
      <c r="G446" s="195">
        <v>23004000</v>
      </c>
      <c r="H446" s="205">
        <v>12</v>
      </c>
      <c r="I446" s="157">
        <v>8616000</v>
      </c>
      <c r="J446" s="158">
        <v>12</v>
      </c>
      <c r="K446" s="157">
        <v>7164000</v>
      </c>
      <c r="L446" s="142">
        <v>3</v>
      </c>
      <c r="M446" s="207" t="s">
        <v>449</v>
      </c>
      <c r="N446" s="158">
        <v>3</v>
      </c>
      <c r="O446" s="157">
        <v>0</v>
      </c>
      <c r="P446" s="158">
        <v>3</v>
      </c>
      <c r="Q446" s="157">
        <v>3375000</v>
      </c>
      <c r="R446" s="212">
        <v>3</v>
      </c>
      <c r="S446" s="209">
        <v>3470000</v>
      </c>
      <c r="T446" s="206">
        <f t="shared" si="90"/>
        <v>12</v>
      </c>
      <c r="U446" s="164">
        <f t="shared" si="88"/>
        <v>100</v>
      </c>
      <c r="V446" s="143" t="s">
        <v>58</v>
      </c>
      <c r="W446" s="159">
        <f t="shared" si="89"/>
        <v>6845000</v>
      </c>
      <c r="X446" s="164">
        <f t="shared" si="84"/>
        <v>95.547180346175324</v>
      </c>
      <c r="Y446" s="143" t="s">
        <v>58</v>
      </c>
      <c r="Z446" s="206">
        <f t="shared" si="91"/>
        <v>24</v>
      </c>
      <c r="AA446" s="159">
        <f t="shared" si="85"/>
        <v>15461000</v>
      </c>
      <c r="AB446" s="149">
        <f t="shared" si="86"/>
        <v>66.666666666666657</v>
      </c>
      <c r="AC446" s="143" t="s">
        <v>58</v>
      </c>
      <c r="AD446" s="194">
        <f t="shared" si="87"/>
        <v>67.21005042601287</v>
      </c>
      <c r="AE446" s="162"/>
      <c r="AF446" s="1"/>
      <c r="AG446" s="1"/>
      <c r="AH446" s="163"/>
      <c r="AI446" s="1"/>
      <c r="AJ446" s="1"/>
      <c r="AK446" s="1"/>
    </row>
    <row r="447" spans="1:37" customFormat="1" ht="120">
      <c r="A447" s="151"/>
      <c r="B447" s="147"/>
      <c r="C447" s="153" t="s">
        <v>703</v>
      </c>
      <c r="D447" s="154" t="s">
        <v>685</v>
      </c>
      <c r="E447" s="155">
        <v>60</v>
      </c>
      <c r="F447" s="182" t="s">
        <v>55</v>
      </c>
      <c r="G447" s="195">
        <v>190857700</v>
      </c>
      <c r="H447" s="205">
        <v>20</v>
      </c>
      <c r="I447" s="157">
        <v>36361300</v>
      </c>
      <c r="J447" s="158">
        <v>20</v>
      </c>
      <c r="K447" s="157">
        <v>77248200</v>
      </c>
      <c r="L447" s="142">
        <v>3</v>
      </c>
      <c r="M447" s="207" t="s">
        <v>449</v>
      </c>
      <c r="N447" s="158">
        <v>3</v>
      </c>
      <c r="O447" s="157">
        <v>12370000</v>
      </c>
      <c r="P447" s="158">
        <v>3</v>
      </c>
      <c r="Q447" s="157">
        <v>19413400</v>
      </c>
      <c r="R447" s="205">
        <v>11</v>
      </c>
      <c r="S447" s="157">
        <v>30273400</v>
      </c>
      <c r="T447" s="206">
        <f t="shared" si="90"/>
        <v>20</v>
      </c>
      <c r="U447" s="164">
        <f t="shared" si="88"/>
        <v>100</v>
      </c>
      <c r="V447" s="143" t="s">
        <v>58</v>
      </c>
      <c r="W447" s="159">
        <f t="shared" si="89"/>
        <v>62056800</v>
      </c>
      <c r="X447" s="164">
        <f t="shared" si="84"/>
        <v>80.334299051628392</v>
      </c>
      <c r="Y447" s="143" t="s">
        <v>58</v>
      </c>
      <c r="Z447" s="206">
        <f t="shared" si="91"/>
        <v>40</v>
      </c>
      <c r="AA447" s="159">
        <f t="shared" si="85"/>
        <v>98418100</v>
      </c>
      <c r="AB447" s="149">
        <f t="shared" si="86"/>
        <v>66.666666666666657</v>
      </c>
      <c r="AC447" s="143" t="s">
        <v>58</v>
      </c>
      <c r="AD447" s="194">
        <f t="shared" si="87"/>
        <v>51.566219230348054</v>
      </c>
      <c r="AE447" s="162"/>
      <c r="AF447" s="1"/>
      <c r="AG447" s="1"/>
      <c r="AH447" s="163"/>
      <c r="AI447" s="1"/>
      <c r="AJ447" s="1"/>
      <c r="AK447" s="1"/>
    </row>
    <row r="448" spans="1:37" customFormat="1" ht="120">
      <c r="A448" s="151"/>
      <c r="B448" s="147"/>
      <c r="C448" s="153" t="s">
        <v>704</v>
      </c>
      <c r="D448" s="154" t="s">
        <v>685</v>
      </c>
      <c r="E448" s="155">
        <v>82</v>
      </c>
      <c r="F448" s="182" t="s">
        <v>55</v>
      </c>
      <c r="G448" s="195">
        <v>245941450</v>
      </c>
      <c r="H448" s="205">
        <v>18</v>
      </c>
      <c r="I448" s="157">
        <v>58132500</v>
      </c>
      <c r="J448" s="158">
        <v>28</v>
      </c>
      <c r="K448" s="157">
        <v>82970000</v>
      </c>
      <c r="L448" s="142">
        <v>3</v>
      </c>
      <c r="M448" s="207" t="s">
        <v>449</v>
      </c>
      <c r="N448" s="158">
        <v>3</v>
      </c>
      <c r="O448" s="157">
        <v>23540000</v>
      </c>
      <c r="P448" s="158">
        <v>3</v>
      </c>
      <c r="Q448" s="157">
        <v>23670000</v>
      </c>
      <c r="R448" s="205">
        <v>3</v>
      </c>
      <c r="S448" s="157">
        <v>31090000</v>
      </c>
      <c r="T448" s="206">
        <f t="shared" si="90"/>
        <v>12</v>
      </c>
      <c r="U448" s="164">
        <f t="shared" si="88"/>
        <v>42.857142857142854</v>
      </c>
      <c r="V448" s="143" t="s">
        <v>58</v>
      </c>
      <c r="W448" s="159">
        <f t="shared" si="89"/>
        <v>78300000</v>
      </c>
      <c r="X448" s="164">
        <f t="shared" si="84"/>
        <v>94.371459563697726</v>
      </c>
      <c r="Y448" s="143" t="s">
        <v>58</v>
      </c>
      <c r="Z448" s="206">
        <f t="shared" si="91"/>
        <v>30</v>
      </c>
      <c r="AA448" s="159">
        <f t="shared" si="85"/>
        <v>136432500</v>
      </c>
      <c r="AB448" s="149">
        <f t="shared" si="86"/>
        <v>36.585365853658537</v>
      </c>
      <c r="AC448" s="143" t="s">
        <v>58</v>
      </c>
      <c r="AD448" s="194">
        <f t="shared" si="87"/>
        <v>55.473569014088518</v>
      </c>
      <c r="AE448" s="162"/>
      <c r="AF448" s="1"/>
      <c r="AG448" s="1"/>
      <c r="AH448" s="163"/>
      <c r="AI448" s="1"/>
      <c r="AJ448" s="1"/>
      <c r="AK448" s="1"/>
    </row>
    <row r="449" spans="1:37" customFormat="1" ht="120">
      <c r="A449" s="151"/>
      <c r="B449" s="147"/>
      <c r="C449" s="153" t="s">
        <v>705</v>
      </c>
      <c r="D449" s="154" t="s">
        <v>685</v>
      </c>
      <c r="E449" s="155">
        <v>36</v>
      </c>
      <c r="F449" s="182" t="s">
        <v>55</v>
      </c>
      <c r="G449" s="195">
        <v>274739000</v>
      </c>
      <c r="H449" s="205">
        <v>12</v>
      </c>
      <c r="I449" s="157">
        <v>81145000</v>
      </c>
      <c r="J449" s="158">
        <v>12</v>
      </c>
      <c r="K449" s="157">
        <v>96797000</v>
      </c>
      <c r="L449" s="142">
        <v>3</v>
      </c>
      <c r="M449" s="207" t="s">
        <v>449</v>
      </c>
      <c r="N449" s="158">
        <v>3</v>
      </c>
      <c r="O449" s="157">
        <v>24025000</v>
      </c>
      <c r="P449" s="158">
        <v>3</v>
      </c>
      <c r="Q449" s="157">
        <v>27783800</v>
      </c>
      <c r="R449" s="212">
        <v>3</v>
      </c>
      <c r="S449" s="209">
        <v>37654500</v>
      </c>
      <c r="T449" s="206">
        <f t="shared" si="90"/>
        <v>12</v>
      </c>
      <c r="U449" s="164">
        <f t="shared" si="88"/>
        <v>100</v>
      </c>
      <c r="V449" s="143" t="s">
        <v>58</v>
      </c>
      <c r="W449" s="159">
        <f t="shared" si="89"/>
        <v>89463300</v>
      </c>
      <c r="X449" s="164">
        <f t="shared" si="84"/>
        <v>92.423628831472044</v>
      </c>
      <c r="Y449" s="143" t="s">
        <v>58</v>
      </c>
      <c r="Z449" s="206">
        <f t="shared" si="91"/>
        <v>24</v>
      </c>
      <c r="AA449" s="159">
        <f t="shared" si="85"/>
        <v>170608300</v>
      </c>
      <c r="AB449" s="149">
        <f t="shared" si="86"/>
        <v>66.666666666666657</v>
      </c>
      <c r="AC449" s="143" t="s">
        <v>58</v>
      </c>
      <c r="AD449" s="194">
        <f t="shared" si="87"/>
        <v>62.098318767994357</v>
      </c>
      <c r="AE449" s="162"/>
      <c r="AF449" s="1"/>
      <c r="AG449" s="1"/>
      <c r="AH449" s="163"/>
      <c r="AI449" s="1"/>
      <c r="AJ449" s="1"/>
      <c r="AK449" s="1"/>
    </row>
    <row r="450" spans="1:37" customFormat="1" ht="120">
      <c r="A450" s="151"/>
      <c r="B450" s="147"/>
      <c r="C450" s="153" t="s">
        <v>706</v>
      </c>
      <c r="D450" s="154" t="s">
        <v>707</v>
      </c>
      <c r="E450" s="155">
        <v>21</v>
      </c>
      <c r="F450" s="182" t="s">
        <v>55</v>
      </c>
      <c r="G450" s="195">
        <v>25487500</v>
      </c>
      <c r="H450" s="158">
        <v>21</v>
      </c>
      <c r="I450" s="157">
        <v>18967500</v>
      </c>
      <c r="J450" s="158"/>
      <c r="K450" s="157"/>
      <c r="L450" s="142"/>
      <c r="M450" s="157"/>
      <c r="N450" s="158"/>
      <c r="O450" s="157"/>
      <c r="P450" s="158"/>
      <c r="Q450" s="157">
        <v>0</v>
      </c>
      <c r="R450" s="158"/>
      <c r="S450" s="157"/>
      <c r="T450" s="142">
        <f t="shared" si="90"/>
        <v>0</v>
      </c>
      <c r="U450" s="143">
        <v>0</v>
      </c>
      <c r="V450" s="143" t="s">
        <v>58</v>
      </c>
      <c r="W450" s="159">
        <f t="shared" si="89"/>
        <v>0</v>
      </c>
      <c r="X450" s="164" t="e">
        <f t="shared" si="84"/>
        <v>#DIV/0!</v>
      </c>
      <c r="Y450" s="143" t="s">
        <v>58</v>
      </c>
      <c r="Z450" s="143">
        <f t="shared" si="91"/>
        <v>21</v>
      </c>
      <c r="AA450" s="159">
        <f t="shared" si="85"/>
        <v>18967500</v>
      </c>
      <c r="AB450" s="149">
        <f t="shared" si="86"/>
        <v>100</v>
      </c>
      <c r="AC450" s="143" t="s">
        <v>58</v>
      </c>
      <c r="AD450" s="194">
        <f t="shared" si="87"/>
        <v>74.418832761157432</v>
      </c>
      <c r="AE450" s="162"/>
      <c r="AF450" s="1"/>
      <c r="AG450" s="1"/>
      <c r="AH450" s="163"/>
      <c r="AI450" s="1"/>
      <c r="AJ450" s="1"/>
      <c r="AK450" s="1"/>
    </row>
    <row r="451" spans="1:37" customFormat="1" ht="120">
      <c r="A451" s="151"/>
      <c r="B451" s="147"/>
      <c r="C451" s="153" t="s">
        <v>708</v>
      </c>
      <c r="D451" s="154" t="s">
        <v>707</v>
      </c>
      <c r="E451" s="155">
        <v>36</v>
      </c>
      <c r="F451" s="182" t="s">
        <v>55</v>
      </c>
      <c r="G451" s="195">
        <v>11240000</v>
      </c>
      <c r="H451" s="205">
        <v>12</v>
      </c>
      <c r="I451" s="157">
        <v>4700000</v>
      </c>
      <c r="J451" s="158">
        <v>12</v>
      </c>
      <c r="K451" s="157">
        <v>6540000</v>
      </c>
      <c r="L451" s="142">
        <v>3</v>
      </c>
      <c r="M451" s="207" t="s">
        <v>449</v>
      </c>
      <c r="N451" s="158">
        <v>3</v>
      </c>
      <c r="O451" s="157">
        <v>660000</v>
      </c>
      <c r="P451" s="158">
        <v>3</v>
      </c>
      <c r="Q451" s="157">
        <v>3330000</v>
      </c>
      <c r="R451" s="205">
        <v>3</v>
      </c>
      <c r="S451" s="157">
        <v>2020000</v>
      </c>
      <c r="T451" s="206">
        <f t="shared" si="90"/>
        <v>12</v>
      </c>
      <c r="U451" s="164">
        <f t="shared" ref="U451:U577" si="92">T451/J451*100</f>
        <v>100</v>
      </c>
      <c r="V451" s="143" t="s">
        <v>58</v>
      </c>
      <c r="W451" s="159">
        <f t="shared" si="89"/>
        <v>6010000</v>
      </c>
      <c r="X451" s="164">
        <f t="shared" si="84"/>
        <v>91.896024464831811</v>
      </c>
      <c r="Y451" s="143" t="s">
        <v>58</v>
      </c>
      <c r="Z451" s="206">
        <f t="shared" si="91"/>
        <v>24</v>
      </c>
      <c r="AA451" s="159">
        <f t="shared" si="85"/>
        <v>10710000</v>
      </c>
      <c r="AB451" s="149">
        <f t="shared" si="86"/>
        <v>66.666666666666657</v>
      </c>
      <c r="AC451" s="143" t="s">
        <v>58</v>
      </c>
      <c r="AD451" s="194">
        <f t="shared" si="87"/>
        <v>95.284697508896798</v>
      </c>
      <c r="AE451" s="162"/>
      <c r="AF451" s="1"/>
      <c r="AG451" s="1"/>
      <c r="AH451" s="163"/>
      <c r="AI451" s="1"/>
      <c r="AJ451" s="1"/>
      <c r="AK451" s="1"/>
    </row>
    <row r="452" spans="1:37" customFormat="1" ht="120">
      <c r="A452" s="151"/>
      <c r="B452" s="147"/>
      <c r="C452" s="153" t="s">
        <v>709</v>
      </c>
      <c r="D452" s="154" t="s">
        <v>707</v>
      </c>
      <c r="E452" s="155">
        <v>36</v>
      </c>
      <c r="F452" s="182" t="s">
        <v>55</v>
      </c>
      <c r="G452" s="195">
        <v>70910000</v>
      </c>
      <c r="H452" s="205">
        <v>12</v>
      </c>
      <c r="I452" s="157">
        <v>5730000</v>
      </c>
      <c r="J452" s="158">
        <v>12</v>
      </c>
      <c r="K452" s="157">
        <v>32590000</v>
      </c>
      <c r="L452" s="142">
        <v>3</v>
      </c>
      <c r="M452" s="207" t="s">
        <v>449</v>
      </c>
      <c r="N452" s="158">
        <v>3</v>
      </c>
      <c r="O452" s="157">
        <v>0</v>
      </c>
      <c r="P452" s="158">
        <v>3</v>
      </c>
      <c r="Q452" s="157">
        <v>3490000</v>
      </c>
      <c r="R452" s="205">
        <v>3</v>
      </c>
      <c r="S452" s="157">
        <v>25380000</v>
      </c>
      <c r="T452" s="206">
        <f t="shared" si="90"/>
        <v>12</v>
      </c>
      <c r="U452" s="164">
        <f t="shared" si="92"/>
        <v>100</v>
      </c>
      <c r="V452" s="143" t="s">
        <v>58</v>
      </c>
      <c r="W452" s="159">
        <f t="shared" si="89"/>
        <v>28870000</v>
      </c>
      <c r="X452" s="164">
        <f t="shared" si="84"/>
        <v>88.585455661245788</v>
      </c>
      <c r="Y452" s="143" t="s">
        <v>58</v>
      </c>
      <c r="Z452" s="206">
        <f t="shared" si="91"/>
        <v>24</v>
      </c>
      <c r="AA452" s="159">
        <f t="shared" si="85"/>
        <v>34600000</v>
      </c>
      <c r="AB452" s="149">
        <f t="shared" si="86"/>
        <v>66.666666666666657</v>
      </c>
      <c r="AC452" s="143" t="s">
        <v>58</v>
      </c>
      <c r="AD452" s="194">
        <f t="shared" si="87"/>
        <v>48.794246227612462</v>
      </c>
      <c r="AE452" s="162"/>
      <c r="AF452" s="1"/>
      <c r="AG452" s="1"/>
      <c r="AH452" s="163"/>
      <c r="AI452" s="1"/>
      <c r="AJ452" s="1"/>
      <c r="AK452" s="1"/>
    </row>
    <row r="453" spans="1:37" customFormat="1" ht="120">
      <c r="A453" s="151"/>
      <c r="B453" s="147"/>
      <c r="C453" s="153" t="s">
        <v>710</v>
      </c>
      <c r="D453" s="154" t="s">
        <v>707</v>
      </c>
      <c r="E453" s="155">
        <v>36</v>
      </c>
      <c r="F453" s="182" t="s">
        <v>55</v>
      </c>
      <c r="G453" s="195">
        <v>16070000</v>
      </c>
      <c r="H453" s="205">
        <v>12</v>
      </c>
      <c r="I453" s="157">
        <v>300000</v>
      </c>
      <c r="J453" s="158">
        <v>12</v>
      </c>
      <c r="K453" s="157">
        <v>5650000</v>
      </c>
      <c r="L453" s="142">
        <v>3</v>
      </c>
      <c r="M453" s="207" t="s">
        <v>449</v>
      </c>
      <c r="N453" s="158">
        <v>3</v>
      </c>
      <c r="O453" s="157">
        <v>460000</v>
      </c>
      <c r="P453" s="158">
        <v>3</v>
      </c>
      <c r="Q453" s="157">
        <v>490000</v>
      </c>
      <c r="R453" s="205">
        <v>3</v>
      </c>
      <c r="S453" s="157"/>
      <c r="T453" s="206">
        <f t="shared" si="90"/>
        <v>12</v>
      </c>
      <c r="U453" s="164">
        <f t="shared" si="92"/>
        <v>100</v>
      </c>
      <c r="V453" s="143" t="s">
        <v>58</v>
      </c>
      <c r="W453" s="159">
        <f t="shared" si="89"/>
        <v>950000</v>
      </c>
      <c r="X453" s="164">
        <f t="shared" si="84"/>
        <v>16.814159292035399</v>
      </c>
      <c r="Y453" s="143" t="s">
        <v>58</v>
      </c>
      <c r="Z453" s="206">
        <f t="shared" si="91"/>
        <v>24</v>
      </c>
      <c r="AA453" s="159">
        <f t="shared" si="85"/>
        <v>1250000</v>
      </c>
      <c r="AB453" s="149">
        <f t="shared" si="86"/>
        <v>66.666666666666657</v>
      </c>
      <c r="AC453" s="143" t="s">
        <v>58</v>
      </c>
      <c r="AD453" s="194">
        <f t="shared" si="87"/>
        <v>7.7784691972619795</v>
      </c>
      <c r="AE453" s="162"/>
      <c r="AF453" s="1"/>
      <c r="AG453" s="1"/>
      <c r="AH453" s="163"/>
      <c r="AI453" s="1"/>
      <c r="AJ453" s="1"/>
      <c r="AK453" s="1"/>
    </row>
    <row r="454" spans="1:37" customFormat="1" ht="120">
      <c r="A454" s="151"/>
      <c r="B454" s="147"/>
      <c r="C454" s="153" t="s">
        <v>711</v>
      </c>
      <c r="D454" s="154" t="s">
        <v>707</v>
      </c>
      <c r="E454" s="155">
        <v>36</v>
      </c>
      <c r="F454" s="182" t="s">
        <v>55</v>
      </c>
      <c r="G454" s="195">
        <v>31745500</v>
      </c>
      <c r="H454" s="205">
        <v>12</v>
      </c>
      <c r="I454" s="157">
        <v>7961500</v>
      </c>
      <c r="J454" s="158">
        <v>12</v>
      </c>
      <c r="K454" s="157">
        <v>11892000</v>
      </c>
      <c r="L454" s="142">
        <v>3</v>
      </c>
      <c r="M454" s="207" t="s">
        <v>449</v>
      </c>
      <c r="N454" s="158">
        <v>3</v>
      </c>
      <c r="O454" s="157">
        <v>190000</v>
      </c>
      <c r="P454" s="158">
        <v>3</v>
      </c>
      <c r="Q454" s="157">
        <v>5802000</v>
      </c>
      <c r="R454" s="205">
        <v>3</v>
      </c>
      <c r="S454" s="157">
        <v>5802000</v>
      </c>
      <c r="T454" s="206">
        <f t="shared" si="90"/>
        <v>12</v>
      </c>
      <c r="U454" s="164">
        <f t="shared" si="92"/>
        <v>100</v>
      </c>
      <c r="V454" s="143" t="s">
        <v>58</v>
      </c>
      <c r="W454" s="159">
        <f t="shared" si="89"/>
        <v>11794000</v>
      </c>
      <c r="X454" s="164">
        <f t="shared" si="84"/>
        <v>99.175916582576519</v>
      </c>
      <c r="Y454" s="143" t="s">
        <v>58</v>
      </c>
      <c r="Z454" s="206">
        <f t="shared" si="91"/>
        <v>24</v>
      </c>
      <c r="AA454" s="159">
        <f t="shared" si="85"/>
        <v>19755500</v>
      </c>
      <c r="AB454" s="149">
        <f t="shared" si="86"/>
        <v>66.666666666666657</v>
      </c>
      <c r="AC454" s="143" t="s">
        <v>58</v>
      </c>
      <c r="AD454" s="194">
        <f t="shared" si="87"/>
        <v>62.230867367028395</v>
      </c>
      <c r="AE454" s="162"/>
      <c r="AF454" s="1"/>
      <c r="AG454" s="1"/>
      <c r="AH454" s="163"/>
      <c r="AI454" s="1"/>
      <c r="AJ454" s="1"/>
      <c r="AK454" s="1"/>
    </row>
    <row r="455" spans="1:37" customFormat="1" ht="120">
      <c r="A455" s="151"/>
      <c r="B455" s="147"/>
      <c r="C455" s="153" t="s">
        <v>712</v>
      </c>
      <c r="D455" s="154" t="s">
        <v>707</v>
      </c>
      <c r="E455" s="155">
        <v>36</v>
      </c>
      <c r="F455" s="182" t="s">
        <v>55</v>
      </c>
      <c r="G455" s="195">
        <v>41345000</v>
      </c>
      <c r="H455" s="205">
        <v>12</v>
      </c>
      <c r="I455" s="157">
        <v>0</v>
      </c>
      <c r="J455" s="158">
        <v>12</v>
      </c>
      <c r="K455" s="157">
        <v>20672500</v>
      </c>
      <c r="L455" s="142">
        <v>3</v>
      </c>
      <c r="M455" s="207" t="s">
        <v>449</v>
      </c>
      <c r="N455" s="158">
        <v>3</v>
      </c>
      <c r="O455" s="157">
        <v>0</v>
      </c>
      <c r="P455" s="158">
        <v>3</v>
      </c>
      <c r="Q455" s="157">
        <v>11535000</v>
      </c>
      <c r="R455" s="205">
        <v>3</v>
      </c>
      <c r="S455" s="157">
        <v>9007500</v>
      </c>
      <c r="T455" s="206">
        <f t="shared" si="90"/>
        <v>12</v>
      </c>
      <c r="U455" s="164">
        <f t="shared" si="92"/>
        <v>100</v>
      </c>
      <c r="V455" s="143" t="s">
        <v>58</v>
      </c>
      <c r="W455" s="159">
        <f t="shared" si="89"/>
        <v>20542500</v>
      </c>
      <c r="X455" s="164">
        <f t="shared" si="84"/>
        <v>99.371145241262553</v>
      </c>
      <c r="Y455" s="143" t="s">
        <v>58</v>
      </c>
      <c r="Z455" s="206">
        <f t="shared" si="91"/>
        <v>24</v>
      </c>
      <c r="AA455" s="159">
        <f t="shared" si="85"/>
        <v>20542500</v>
      </c>
      <c r="AB455" s="149">
        <f t="shared" si="86"/>
        <v>66.666666666666657</v>
      </c>
      <c r="AC455" s="143" t="s">
        <v>58</v>
      </c>
      <c r="AD455" s="194">
        <f t="shared" si="87"/>
        <v>49.685572620631277</v>
      </c>
      <c r="AE455" s="162"/>
      <c r="AF455" s="1"/>
      <c r="AG455" s="1"/>
      <c r="AH455" s="163"/>
      <c r="AI455" s="1"/>
      <c r="AJ455" s="1"/>
      <c r="AK455" s="1"/>
    </row>
    <row r="456" spans="1:37" customFormat="1" ht="120">
      <c r="A456" s="151"/>
      <c r="B456" s="147"/>
      <c r="C456" s="153" t="s">
        <v>713</v>
      </c>
      <c r="D456" s="154" t="s">
        <v>707</v>
      </c>
      <c r="E456" s="155">
        <v>36</v>
      </c>
      <c r="F456" s="182" t="s">
        <v>55</v>
      </c>
      <c r="G456" s="195">
        <v>32910000</v>
      </c>
      <c r="H456" s="205">
        <v>12</v>
      </c>
      <c r="I456" s="157">
        <v>2970000</v>
      </c>
      <c r="J456" s="158">
        <v>12</v>
      </c>
      <c r="K456" s="157">
        <v>12950000</v>
      </c>
      <c r="L456" s="142">
        <v>3</v>
      </c>
      <c r="M456" s="207" t="s">
        <v>449</v>
      </c>
      <c r="N456" s="158">
        <v>3</v>
      </c>
      <c r="O456" s="157">
        <v>4450000</v>
      </c>
      <c r="P456" s="158">
        <v>3</v>
      </c>
      <c r="Q456" s="157">
        <v>5690000</v>
      </c>
      <c r="R456" s="205">
        <v>3</v>
      </c>
      <c r="S456" s="157">
        <v>0</v>
      </c>
      <c r="T456" s="206">
        <f t="shared" si="90"/>
        <v>12</v>
      </c>
      <c r="U456" s="164">
        <f t="shared" si="92"/>
        <v>100</v>
      </c>
      <c r="V456" s="143" t="s">
        <v>58</v>
      </c>
      <c r="W456" s="159">
        <f t="shared" si="89"/>
        <v>10140000</v>
      </c>
      <c r="X456" s="164">
        <f t="shared" si="84"/>
        <v>78.301158301158296</v>
      </c>
      <c r="Y456" s="143" t="s">
        <v>58</v>
      </c>
      <c r="Z456" s="206">
        <f t="shared" si="91"/>
        <v>24</v>
      </c>
      <c r="AA456" s="159">
        <f t="shared" si="85"/>
        <v>13110000</v>
      </c>
      <c r="AB456" s="149">
        <f t="shared" si="86"/>
        <v>66.666666666666657</v>
      </c>
      <c r="AC456" s="143" t="s">
        <v>58</v>
      </c>
      <c r="AD456" s="194">
        <f t="shared" si="87"/>
        <v>39.835916134913404</v>
      </c>
      <c r="AE456" s="162"/>
      <c r="AF456" s="1"/>
      <c r="AG456" s="1"/>
      <c r="AH456" s="163"/>
      <c r="AI456" s="1"/>
      <c r="AJ456" s="1"/>
      <c r="AK456" s="1"/>
    </row>
    <row r="457" spans="1:37" customFormat="1" ht="120">
      <c r="A457" s="151"/>
      <c r="B457" s="147"/>
      <c r="C457" s="153" t="s">
        <v>714</v>
      </c>
      <c r="D457" s="154" t="s">
        <v>707</v>
      </c>
      <c r="E457" s="155">
        <v>36</v>
      </c>
      <c r="F457" s="182" t="s">
        <v>55</v>
      </c>
      <c r="G457" s="195">
        <v>20263500</v>
      </c>
      <c r="H457" s="205">
        <v>12</v>
      </c>
      <c r="I457" s="157">
        <v>3537500</v>
      </c>
      <c r="J457" s="158">
        <v>12</v>
      </c>
      <c r="K457" s="157">
        <v>6766000</v>
      </c>
      <c r="L457" s="142">
        <v>3</v>
      </c>
      <c r="M457" s="207" t="s">
        <v>449</v>
      </c>
      <c r="N457" s="158">
        <v>3</v>
      </c>
      <c r="O457" s="157">
        <v>0</v>
      </c>
      <c r="P457" s="158">
        <v>3</v>
      </c>
      <c r="Q457" s="157">
        <v>5597500</v>
      </c>
      <c r="R457" s="205">
        <v>3</v>
      </c>
      <c r="S457" s="157">
        <v>1140000</v>
      </c>
      <c r="T457" s="206">
        <f t="shared" si="90"/>
        <v>12</v>
      </c>
      <c r="U457" s="164">
        <f t="shared" si="92"/>
        <v>100</v>
      </c>
      <c r="V457" s="143" t="s">
        <v>58</v>
      </c>
      <c r="W457" s="159">
        <f t="shared" si="89"/>
        <v>6737500</v>
      </c>
      <c r="X457" s="164">
        <f t="shared" si="84"/>
        <v>99.578776234111729</v>
      </c>
      <c r="Y457" s="143" t="s">
        <v>58</v>
      </c>
      <c r="Z457" s="206">
        <f t="shared" si="91"/>
        <v>24</v>
      </c>
      <c r="AA457" s="159">
        <f t="shared" si="85"/>
        <v>10275000</v>
      </c>
      <c r="AB457" s="149">
        <f t="shared" si="86"/>
        <v>66.666666666666657</v>
      </c>
      <c r="AC457" s="143" t="s">
        <v>58</v>
      </c>
      <c r="AD457" s="194">
        <f t="shared" si="87"/>
        <v>50.706936116662973</v>
      </c>
      <c r="AE457" s="162"/>
      <c r="AF457" s="1"/>
      <c r="AG457" s="1"/>
      <c r="AH457" s="163"/>
      <c r="AI457" s="1"/>
      <c r="AJ457" s="1"/>
      <c r="AK457" s="1"/>
    </row>
    <row r="458" spans="1:37" customFormat="1" ht="120">
      <c r="A458" s="151"/>
      <c r="B458" s="147"/>
      <c r="C458" s="153" t="s">
        <v>715</v>
      </c>
      <c r="D458" s="154" t="s">
        <v>707</v>
      </c>
      <c r="E458" s="155">
        <v>36</v>
      </c>
      <c r="F458" s="182" t="s">
        <v>55</v>
      </c>
      <c r="G458" s="195">
        <v>18536400</v>
      </c>
      <c r="H458" s="205">
        <v>12</v>
      </c>
      <c r="I458" s="157">
        <v>3180000</v>
      </c>
      <c r="J458" s="158">
        <v>12</v>
      </c>
      <c r="K458" s="157">
        <v>7538200</v>
      </c>
      <c r="L458" s="142">
        <v>3</v>
      </c>
      <c r="M458" s="207" t="s">
        <v>449</v>
      </c>
      <c r="N458" s="158">
        <v>3</v>
      </c>
      <c r="O458" s="157">
        <v>0</v>
      </c>
      <c r="P458" s="158">
        <v>3</v>
      </c>
      <c r="Q458" s="157">
        <v>0</v>
      </c>
      <c r="R458" s="205">
        <v>3</v>
      </c>
      <c r="S458" s="157">
        <v>7538200</v>
      </c>
      <c r="T458" s="206">
        <f t="shared" si="90"/>
        <v>12</v>
      </c>
      <c r="U458" s="164">
        <f t="shared" si="92"/>
        <v>100</v>
      </c>
      <c r="V458" s="143" t="s">
        <v>58</v>
      </c>
      <c r="W458" s="159">
        <f t="shared" si="89"/>
        <v>7538200</v>
      </c>
      <c r="X458" s="164">
        <f t="shared" si="84"/>
        <v>100</v>
      </c>
      <c r="Y458" s="143" t="s">
        <v>58</v>
      </c>
      <c r="Z458" s="206">
        <f t="shared" si="91"/>
        <v>24</v>
      </c>
      <c r="AA458" s="159">
        <f t="shared" si="85"/>
        <v>10718200</v>
      </c>
      <c r="AB458" s="149">
        <f t="shared" si="86"/>
        <v>66.666666666666657</v>
      </c>
      <c r="AC458" s="143" t="s">
        <v>58</v>
      </c>
      <c r="AD458" s="194">
        <f t="shared" si="87"/>
        <v>57.822446645519086</v>
      </c>
      <c r="AE458" s="162"/>
      <c r="AF458" s="1"/>
      <c r="AG458" s="1"/>
      <c r="AH458" s="163"/>
      <c r="AI458" s="1"/>
      <c r="AJ458" s="1"/>
      <c r="AK458" s="1"/>
    </row>
    <row r="459" spans="1:37" customFormat="1" ht="120">
      <c r="A459" s="151"/>
      <c r="B459" s="147"/>
      <c r="C459" s="153" t="s">
        <v>716</v>
      </c>
      <c r="D459" s="154" t="s">
        <v>707</v>
      </c>
      <c r="E459" s="155">
        <v>36</v>
      </c>
      <c r="F459" s="182" t="s">
        <v>55</v>
      </c>
      <c r="G459" s="195">
        <v>31567500</v>
      </c>
      <c r="H459" s="205">
        <v>12</v>
      </c>
      <c r="I459" s="157">
        <v>7002500</v>
      </c>
      <c r="J459" s="158">
        <v>12</v>
      </c>
      <c r="K459" s="157">
        <v>12282500</v>
      </c>
      <c r="L459" s="142">
        <v>3</v>
      </c>
      <c r="M459" s="207" t="s">
        <v>449</v>
      </c>
      <c r="N459" s="158">
        <v>3</v>
      </c>
      <c r="O459" s="157">
        <v>2520000</v>
      </c>
      <c r="P459" s="158">
        <v>3</v>
      </c>
      <c r="Q459" s="157">
        <v>1680000</v>
      </c>
      <c r="R459" s="205">
        <v>3</v>
      </c>
      <c r="S459" s="157">
        <v>6382500</v>
      </c>
      <c r="T459" s="206">
        <f t="shared" si="90"/>
        <v>12</v>
      </c>
      <c r="U459" s="164">
        <f t="shared" si="92"/>
        <v>100</v>
      </c>
      <c r="V459" s="143" t="s">
        <v>58</v>
      </c>
      <c r="W459" s="159">
        <f t="shared" si="89"/>
        <v>10582500</v>
      </c>
      <c r="X459" s="164">
        <f t="shared" si="84"/>
        <v>86.159169550173004</v>
      </c>
      <c r="Y459" s="143" t="s">
        <v>58</v>
      </c>
      <c r="Z459" s="206">
        <f t="shared" si="91"/>
        <v>24</v>
      </c>
      <c r="AA459" s="159">
        <f t="shared" si="85"/>
        <v>17585000</v>
      </c>
      <c r="AB459" s="149">
        <f t="shared" si="86"/>
        <v>66.666666666666657</v>
      </c>
      <c r="AC459" s="143" t="s">
        <v>58</v>
      </c>
      <c r="AD459" s="194">
        <f t="shared" si="87"/>
        <v>55.706026768036743</v>
      </c>
      <c r="AE459" s="162"/>
      <c r="AF459" s="1"/>
      <c r="AG459" s="1"/>
      <c r="AH459" s="163"/>
      <c r="AI459" s="1"/>
      <c r="AJ459" s="1"/>
      <c r="AK459" s="1"/>
    </row>
    <row r="460" spans="1:37" customFormat="1" ht="120">
      <c r="A460" s="151"/>
      <c r="B460" s="147"/>
      <c r="C460" s="153" t="s">
        <v>717</v>
      </c>
      <c r="D460" s="154" t="s">
        <v>707</v>
      </c>
      <c r="E460" s="155">
        <v>36</v>
      </c>
      <c r="F460" s="182" t="s">
        <v>55</v>
      </c>
      <c r="G460" s="195">
        <v>29121500</v>
      </c>
      <c r="H460" s="205">
        <v>12</v>
      </c>
      <c r="I460" s="157">
        <v>9616500</v>
      </c>
      <c r="J460" s="158">
        <v>12</v>
      </c>
      <c r="K460" s="157">
        <v>9367500</v>
      </c>
      <c r="L460" s="142">
        <v>3</v>
      </c>
      <c r="M460" s="207" t="s">
        <v>449</v>
      </c>
      <c r="N460" s="158">
        <v>3</v>
      </c>
      <c r="O460" s="157">
        <v>6690000</v>
      </c>
      <c r="P460" s="158">
        <v>3</v>
      </c>
      <c r="Q460" s="157">
        <v>1942500</v>
      </c>
      <c r="R460" s="205">
        <v>3</v>
      </c>
      <c r="S460" s="157">
        <v>460000</v>
      </c>
      <c r="T460" s="206">
        <f t="shared" si="90"/>
        <v>12</v>
      </c>
      <c r="U460" s="164">
        <f t="shared" si="92"/>
        <v>100</v>
      </c>
      <c r="V460" s="143" t="s">
        <v>58</v>
      </c>
      <c r="W460" s="159">
        <f t="shared" si="89"/>
        <v>9092500</v>
      </c>
      <c r="X460" s="164">
        <f t="shared" si="84"/>
        <v>97.064318121163595</v>
      </c>
      <c r="Y460" s="143" t="s">
        <v>58</v>
      </c>
      <c r="Z460" s="206">
        <f t="shared" si="91"/>
        <v>24</v>
      </c>
      <c r="AA460" s="159">
        <f t="shared" si="85"/>
        <v>18709000</v>
      </c>
      <c r="AB460" s="149">
        <f t="shared" si="86"/>
        <v>66.666666666666657</v>
      </c>
      <c r="AC460" s="143" t="s">
        <v>58</v>
      </c>
      <c r="AD460" s="194">
        <f t="shared" si="87"/>
        <v>64.244630255996427</v>
      </c>
      <c r="AE460" s="162"/>
      <c r="AF460" s="1"/>
      <c r="AG460" s="1"/>
      <c r="AH460" s="163"/>
      <c r="AI460" s="1"/>
      <c r="AJ460" s="1"/>
      <c r="AK460" s="1"/>
    </row>
    <row r="461" spans="1:37" customFormat="1" ht="120">
      <c r="A461" s="151"/>
      <c r="B461" s="147"/>
      <c r="C461" s="153" t="s">
        <v>718</v>
      </c>
      <c r="D461" s="154" t="s">
        <v>707</v>
      </c>
      <c r="E461" s="155">
        <v>36</v>
      </c>
      <c r="F461" s="182" t="s">
        <v>55</v>
      </c>
      <c r="G461" s="195">
        <v>12217500</v>
      </c>
      <c r="H461" s="205">
        <v>12</v>
      </c>
      <c r="I461" s="157">
        <v>997500</v>
      </c>
      <c r="J461" s="158">
        <v>12</v>
      </c>
      <c r="K461" s="157">
        <v>5610000</v>
      </c>
      <c r="L461" s="142">
        <v>3</v>
      </c>
      <c r="M461" s="207" t="s">
        <v>449</v>
      </c>
      <c r="N461" s="158">
        <v>3</v>
      </c>
      <c r="O461" s="157">
        <v>2420000</v>
      </c>
      <c r="P461" s="158">
        <v>3</v>
      </c>
      <c r="Q461" s="157">
        <v>2420000</v>
      </c>
      <c r="R461" s="205">
        <v>3</v>
      </c>
      <c r="S461" s="183">
        <v>5530000</v>
      </c>
      <c r="T461" s="206">
        <f t="shared" si="90"/>
        <v>12</v>
      </c>
      <c r="U461" s="164">
        <f t="shared" si="92"/>
        <v>100</v>
      </c>
      <c r="V461" s="143" t="s">
        <v>58</v>
      </c>
      <c r="W461" s="159">
        <f t="shared" si="89"/>
        <v>10370000</v>
      </c>
      <c r="X461" s="164">
        <f t="shared" ref="X461:X555" si="93">W461/K461*100</f>
        <v>184.84848484848484</v>
      </c>
      <c r="Y461" s="143" t="s">
        <v>58</v>
      </c>
      <c r="Z461" s="206">
        <f t="shared" si="91"/>
        <v>24</v>
      </c>
      <c r="AA461" s="159">
        <f t="shared" ref="AA461:AA555" si="94">SUM(I461,W461)</f>
        <v>11367500</v>
      </c>
      <c r="AB461" s="149">
        <f t="shared" ref="AB461:AB647" si="95">Z461/E461*100</f>
        <v>66.666666666666657</v>
      </c>
      <c r="AC461" s="143" t="s">
        <v>58</v>
      </c>
      <c r="AD461" s="194">
        <f t="shared" ref="AD461:AD647" si="96">AA461/G461*100</f>
        <v>93.042766523429506</v>
      </c>
      <c r="AE461" s="162"/>
      <c r="AF461" s="1"/>
      <c r="AG461" s="1"/>
      <c r="AH461" s="163"/>
      <c r="AI461" s="1"/>
      <c r="AJ461" s="1"/>
      <c r="AK461" s="1"/>
    </row>
    <row r="462" spans="1:37" customFormat="1" ht="120">
      <c r="A462" s="151"/>
      <c r="B462" s="147"/>
      <c r="C462" s="153" t="s">
        <v>719</v>
      </c>
      <c r="D462" s="154" t="s">
        <v>707</v>
      </c>
      <c r="E462" s="155">
        <v>36</v>
      </c>
      <c r="F462" s="182" t="s">
        <v>55</v>
      </c>
      <c r="G462" s="195">
        <v>18449000</v>
      </c>
      <c r="H462" s="205">
        <v>12</v>
      </c>
      <c r="I462" s="157">
        <v>2800000</v>
      </c>
      <c r="J462" s="158">
        <v>12</v>
      </c>
      <c r="K462" s="157">
        <v>7444500</v>
      </c>
      <c r="L462" s="142">
        <v>3</v>
      </c>
      <c r="M462" s="207" t="s">
        <v>449</v>
      </c>
      <c r="N462" s="158">
        <v>3</v>
      </c>
      <c r="O462" s="157">
        <v>1485000</v>
      </c>
      <c r="P462" s="158">
        <v>3</v>
      </c>
      <c r="Q462" s="157">
        <v>4342500</v>
      </c>
      <c r="R462" s="212">
        <v>3</v>
      </c>
      <c r="S462" s="209">
        <v>1447500</v>
      </c>
      <c r="T462" s="206">
        <f t="shared" si="90"/>
        <v>12</v>
      </c>
      <c r="U462" s="164">
        <f t="shared" si="92"/>
        <v>100</v>
      </c>
      <c r="V462" s="143" t="s">
        <v>58</v>
      </c>
      <c r="W462" s="159">
        <f t="shared" si="89"/>
        <v>7275000</v>
      </c>
      <c r="X462" s="164">
        <f t="shared" si="93"/>
        <v>97.723151319766259</v>
      </c>
      <c r="Y462" s="143" t="s">
        <v>58</v>
      </c>
      <c r="Z462" s="206">
        <f t="shared" si="91"/>
        <v>24</v>
      </c>
      <c r="AA462" s="159">
        <f t="shared" si="94"/>
        <v>10075000</v>
      </c>
      <c r="AB462" s="149">
        <f t="shared" si="95"/>
        <v>66.666666666666657</v>
      </c>
      <c r="AC462" s="143" t="s">
        <v>58</v>
      </c>
      <c r="AD462" s="194">
        <f t="shared" si="96"/>
        <v>54.610005962382793</v>
      </c>
      <c r="AE462" s="162"/>
      <c r="AF462" s="1"/>
      <c r="AG462" s="1"/>
      <c r="AH462" s="163"/>
      <c r="AI462" s="1"/>
      <c r="AJ462" s="1"/>
      <c r="AK462" s="1"/>
    </row>
    <row r="463" spans="1:37" customFormat="1" ht="120">
      <c r="A463" s="151"/>
      <c r="B463" s="147"/>
      <c r="C463" s="153" t="s">
        <v>720</v>
      </c>
      <c r="D463" s="154" t="s">
        <v>707</v>
      </c>
      <c r="E463" s="155">
        <v>24</v>
      </c>
      <c r="F463" s="182" t="s">
        <v>55</v>
      </c>
      <c r="G463" s="195">
        <v>26259350</v>
      </c>
      <c r="H463" s="205">
        <v>2</v>
      </c>
      <c r="I463" s="157">
        <v>2225000</v>
      </c>
      <c r="J463" s="158">
        <v>8</v>
      </c>
      <c r="K463" s="157">
        <v>6256000</v>
      </c>
      <c r="L463" s="142">
        <v>2</v>
      </c>
      <c r="M463" s="207" t="s">
        <v>449</v>
      </c>
      <c r="N463" s="158">
        <v>2</v>
      </c>
      <c r="O463" s="157">
        <v>0</v>
      </c>
      <c r="P463" s="158">
        <v>2</v>
      </c>
      <c r="Q463" s="157">
        <v>6216000</v>
      </c>
      <c r="R463" s="205">
        <v>2</v>
      </c>
      <c r="S463" s="157">
        <v>0</v>
      </c>
      <c r="T463" s="206">
        <f t="shared" si="90"/>
        <v>8</v>
      </c>
      <c r="U463" s="164">
        <f t="shared" si="92"/>
        <v>100</v>
      </c>
      <c r="V463" s="143" t="s">
        <v>58</v>
      </c>
      <c r="W463" s="159">
        <f t="shared" si="89"/>
        <v>6216000</v>
      </c>
      <c r="X463" s="164">
        <f t="shared" si="93"/>
        <v>99.360613810741683</v>
      </c>
      <c r="Y463" s="143" t="s">
        <v>58</v>
      </c>
      <c r="Z463" s="206">
        <f t="shared" si="91"/>
        <v>10</v>
      </c>
      <c r="AA463" s="159">
        <f t="shared" si="94"/>
        <v>8441000</v>
      </c>
      <c r="AB463" s="149">
        <f t="shared" si="95"/>
        <v>41.666666666666671</v>
      </c>
      <c r="AC463" s="143" t="s">
        <v>58</v>
      </c>
      <c r="AD463" s="194">
        <f t="shared" si="96"/>
        <v>32.144740825648768</v>
      </c>
      <c r="AE463" s="162"/>
      <c r="AF463" s="1"/>
      <c r="AG463" s="1"/>
      <c r="AH463" s="163"/>
      <c r="AI463" s="1"/>
      <c r="AJ463" s="1"/>
      <c r="AK463" s="1"/>
    </row>
    <row r="464" spans="1:37" customFormat="1" ht="120">
      <c r="A464" s="151"/>
      <c r="B464" s="147"/>
      <c r="C464" s="153" t="s">
        <v>721</v>
      </c>
      <c r="D464" s="154" t="s">
        <v>707</v>
      </c>
      <c r="E464" s="155">
        <v>36</v>
      </c>
      <c r="F464" s="182" t="s">
        <v>55</v>
      </c>
      <c r="G464" s="195">
        <v>18600000</v>
      </c>
      <c r="H464" s="205">
        <v>12</v>
      </c>
      <c r="I464" s="157">
        <v>2760000</v>
      </c>
      <c r="J464" s="158">
        <v>12</v>
      </c>
      <c r="K464" s="157">
        <v>7920000</v>
      </c>
      <c r="L464" s="142">
        <v>3</v>
      </c>
      <c r="M464" s="207" t="s">
        <v>449</v>
      </c>
      <c r="N464" s="158">
        <v>3</v>
      </c>
      <c r="O464" s="157"/>
      <c r="P464" s="158">
        <v>3</v>
      </c>
      <c r="Q464" s="157">
        <v>1840000</v>
      </c>
      <c r="R464" s="212">
        <v>3</v>
      </c>
      <c r="S464" s="209">
        <v>5500000</v>
      </c>
      <c r="T464" s="206">
        <f t="shared" si="90"/>
        <v>12</v>
      </c>
      <c r="U464" s="164">
        <f t="shared" si="92"/>
        <v>100</v>
      </c>
      <c r="V464" s="143" t="s">
        <v>58</v>
      </c>
      <c r="W464" s="159">
        <f t="shared" si="89"/>
        <v>7340000</v>
      </c>
      <c r="X464" s="164">
        <f t="shared" si="93"/>
        <v>92.676767676767682</v>
      </c>
      <c r="Y464" s="143" t="s">
        <v>58</v>
      </c>
      <c r="Z464" s="206">
        <f t="shared" si="91"/>
        <v>24</v>
      </c>
      <c r="AA464" s="159">
        <f t="shared" si="94"/>
        <v>10100000</v>
      </c>
      <c r="AB464" s="149">
        <f t="shared" si="95"/>
        <v>66.666666666666657</v>
      </c>
      <c r="AC464" s="143" t="s">
        <v>58</v>
      </c>
      <c r="AD464" s="194">
        <f t="shared" si="96"/>
        <v>54.3010752688172</v>
      </c>
      <c r="AE464" s="162"/>
      <c r="AF464" s="1"/>
      <c r="AG464" s="1"/>
      <c r="AH464" s="163"/>
      <c r="AI464" s="1"/>
      <c r="AJ464" s="1"/>
      <c r="AK464" s="1"/>
    </row>
    <row r="465" spans="1:37" customFormat="1" ht="120">
      <c r="A465" s="151"/>
      <c r="B465" s="147"/>
      <c r="C465" s="153" t="s">
        <v>722</v>
      </c>
      <c r="D465" s="154" t="s">
        <v>707</v>
      </c>
      <c r="E465" s="155">
        <v>36</v>
      </c>
      <c r="F465" s="182" t="s">
        <v>55</v>
      </c>
      <c r="G465" s="195">
        <v>13180500</v>
      </c>
      <c r="H465" s="205">
        <v>12</v>
      </c>
      <c r="I465" s="157">
        <v>5480000</v>
      </c>
      <c r="J465" s="158">
        <v>12</v>
      </c>
      <c r="K465" s="157">
        <v>4280500</v>
      </c>
      <c r="L465" s="142">
        <v>3</v>
      </c>
      <c r="M465" s="157">
        <v>0</v>
      </c>
      <c r="N465" s="158">
        <v>3</v>
      </c>
      <c r="O465" s="157">
        <v>1025000</v>
      </c>
      <c r="P465" s="158">
        <v>3</v>
      </c>
      <c r="Q465" s="157">
        <v>0</v>
      </c>
      <c r="R465" s="212">
        <v>3</v>
      </c>
      <c r="S465" s="183">
        <v>1600000</v>
      </c>
      <c r="T465" s="206">
        <f t="shared" si="90"/>
        <v>12</v>
      </c>
      <c r="U465" s="164">
        <f t="shared" si="92"/>
        <v>100</v>
      </c>
      <c r="V465" s="143" t="s">
        <v>58</v>
      </c>
      <c r="W465" s="159">
        <f t="shared" si="89"/>
        <v>2625000</v>
      </c>
      <c r="X465" s="164">
        <f t="shared" si="93"/>
        <v>61.324611610793134</v>
      </c>
      <c r="Y465" s="143" t="s">
        <v>58</v>
      </c>
      <c r="Z465" s="206">
        <f t="shared" si="91"/>
        <v>24</v>
      </c>
      <c r="AA465" s="159">
        <f t="shared" si="94"/>
        <v>8105000</v>
      </c>
      <c r="AB465" s="149">
        <f t="shared" si="95"/>
        <v>66.666666666666657</v>
      </c>
      <c r="AC465" s="143" t="s">
        <v>58</v>
      </c>
      <c r="AD465" s="194">
        <f t="shared" si="96"/>
        <v>61.492356132164936</v>
      </c>
      <c r="AE465" s="162"/>
      <c r="AF465" s="1"/>
      <c r="AG465" s="1"/>
      <c r="AH465" s="163"/>
      <c r="AI465" s="1"/>
      <c r="AJ465" s="1"/>
      <c r="AK465" s="1"/>
    </row>
    <row r="466" spans="1:37" customFormat="1" ht="120">
      <c r="A466" s="151"/>
      <c r="B466" s="147"/>
      <c r="C466" s="153" t="s">
        <v>723</v>
      </c>
      <c r="D466" s="154" t="s">
        <v>707</v>
      </c>
      <c r="E466" s="155">
        <v>36</v>
      </c>
      <c r="F466" s="182" t="s">
        <v>55</v>
      </c>
      <c r="G466" s="195">
        <v>81625000</v>
      </c>
      <c r="H466" s="205">
        <v>12</v>
      </c>
      <c r="I466" s="157">
        <v>7336000</v>
      </c>
      <c r="J466" s="158">
        <v>12</v>
      </c>
      <c r="K466" s="157">
        <v>37134000</v>
      </c>
      <c r="L466" s="142">
        <v>3</v>
      </c>
      <c r="M466" s="207" t="s">
        <v>449</v>
      </c>
      <c r="N466" s="158">
        <v>3</v>
      </c>
      <c r="O466" s="157">
        <v>3865000</v>
      </c>
      <c r="P466" s="158">
        <v>3</v>
      </c>
      <c r="Q466" s="157">
        <v>3865000</v>
      </c>
      <c r="R466" s="212">
        <v>3</v>
      </c>
      <c r="S466" s="209">
        <v>29327500</v>
      </c>
      <c r="T466" s="206">
        <f t="shared" si="90"/>
        <v>12</v>
      </c>
      <c r="U466" s="164">
        <f t="shared" si="92"/>
        <v>100</v>
      </c>
      <c r="V466" s="143" t="s">
        <v>58</v>
      </c>
      <c r="W466" s="159">
        <f t="shared" si="89"/>
        <v>37057500</v>
      </c>
      <c r="X466" s="164">
        <f t="shared" si="93"/>
        <v>99.793989335918567</v>
      </c>
      <c r="Y466" s="143" t="s">
        <v>58</v>
      </c>
      <c r="Z466" s="206">
        <f t="shared" si="91"/>
        <v>24</v>
      </c>
      <c r="AA466" s="159">
        <f t="shared" si="94"/>
        <v>44393500</v>
      </c>
      <c r="AB466" s="149">
        <f t="shared" si="95"/>
        <v>66.666666666666657</v>
      </c>
      <c r="AC466" s="143" t="s">
        <v>58</v>
      </c>
      <c r="AD466" s="194">
        <f t="shared" si="96"/>
        <v>54.387136294027563</v>
      </c>
      <c r="AE466" s="162"/>
      <c r="AF466" s="1"/>
      <c r="AG466" s="1"/>
      <c r="AH466" s="163"/>
      <c r="AI466" s="1"/>
      <c r="AJ466" s="1"/>
      <c r="AK466" s="1"/>
    </row>
    <row r="467" spans="1:37" customFormat="1" ht="120">
      <c r="A467" s="151"/>
      <c r="B467" s="147"/>
      <c r="C467" s="153" t="s">
        <v>724</v>
      </c>
      <c r="D467" s="154" t="s">
        <v>707</v>
      </c>
      <c r="E467" s="155">
        <v>24</v>
      </c>
      <c r="F467" s="182" t="s">
        <v>55</v>
      </c>
      <c r="G467" s="195">
        <v>24267500</v>
      </c>
      <c r="H467" s="205">
        <v>0</v>
      </c>
      <c r="I467" s="157">
        <v>0</v>
      </c>
      <c r="J467" s="158">
        <v>12</v>
      </c>
      <c r="K467" s="157">
        <v>9618000</v>
      </c>
      <c r="L467" s="142">
        <v>3</v>
      </c>
      <c r="M467" s="207" t="s">
        <v>449</v>
      </c>
      <c r="N467" s="158">
        <v>3</v>
      </c>
      <c r="O467" s="157">
        <v>0</v>
      </c>
      <c r="P467" s="158">
        <v>3</v>
      </c>
      <c r="Q467" s="157">
        <v>937500</v>
      </c>
      <c r="R467" s="205">
        <v>3</v>
      </c>
      <c r="S467" s="157">
        <v>4710000</v>
      </c>
      <c r="T467" s="206">
        <f t="shared" si="90"/>
        <v>12</v>
      </c>
      <c r="U467" s="164">
        <f t="shared" si="92"/>
        <v>100</v>
      </c>
      <c r="V467" s="143" t="s">
        <v>58</v>
      </c>
      <c r="W467" s="159">
        <f t="shared" si="89"/>
        <v>5647500</v>
      </c>
      <c r="X467" s="164">
        <f t="shared" si="93"/>
        <v>58.718028696194636</v>
      </c>
      <c r="Y467" s="143" t="s">
        <v>58</v>
      </c>
      <c r="Z467" s="206">
        <f t="shared" si="91"/>
        <v>12</v>
      </c>
      <c r="AA467" s="159">
        <f t="shared" si="94"/>
        <v>5647500</v>
      </c>
      <c r="AB467" s="149">
        <f t="shared" si="95"/>
        <v>50</v>
      </c>
      <c r="AC467" s="143" t="s">
        <v>58</v>
      </c>
      <c r="AD467" s="194">
        <f t="shared" si="96"/>
        <v>23.271865663953847</v>
      </c>
      <c r="AE467" s="162"/>
      <c r="AF467" s="1"/>
      <c r="AG467" s="1"/>
      <c r="AH467" s="163"/>
      <c r="AI467" s="1"/>
      <c r="AJ467" s="1"/>
      <c r="AK467" s="1"/>
    </row>
    <row r="468" spans="1:37" customFormat="1" ht="120">
      <c r="A468" s="151"/>
      <c r="B468" s="147"/>
      <c r="C468" s="153" t="s">
        <v>725</v>
      </c>
      <c r="D468" s="154" t="s">
        <v>707</v>
      </c>
      <c r="E468" s="155">
        <v>24</v>
      </c>
      <c r="F468" s="182" t="s">
        <v>55</v>
      </c>
      <c r="G468" s="195">
        <v>3250000</v>
      </c>
      <c r="H468" s="205"/>
      <c r="I468" s="157"/>
      <c r="J468" s="158">
        <v>12</v>
      </c>
      <c r="K468" s="157">
        <v>1625000</v>
      </c>
      <c r="L468" s="142">
        <v>3</v>
      </c>
      <c r="M468" s="207" t="s">
        <v>449</v>
      </c>
      <c r="N468" s="158">
        <v>3</v>
      </c>
      <c r="O468" s="157">
        <v>0</v>
      </c>
      <c r="P468" s="158">
        <v>3</v>
      </c>
      <c r="Q468" s="157">
        <v>0</v>
      </c>
      <c r="R468" s="205">
        <v>3</v>
      </c>
      <c r="S468" s="157">
        <v>1625000</v>
      </c>
      <c r="T468" s="206">
        <f t="shared" si="90"/>
        <v>12</v>
      </c>
      <c r="U468" s="164">
        <f t="shared" si="92"/>
        <v>100</v>
      </c>
      <c r="V468" s="143" t="s">
        <v>58</v>
      </c>
      <c r="W468" s="159">
        <f t="shared" si="89"/>
        <v>1625000</v>
      </c>
      <c r="X468" s="164">
        <f t="shared" si="93"/>
        <v>100</v>
      </c>
      <c r="Y468" s="143" t="s">
        <v>58</v>
      </c>
      <c r="Z468" s="206">
        <f t="shared" si="91"/>
        <v>12</v>
      </c>
      <c r="AA468" s="159">
        <f t="shared" si="94"/>
        <v>1625000</v>
      </c>
      <c r="AB468" s="149">
        <f t="shared" si="95"/>
        <v>50</v>
      </c>
      <c r="AC468" s="143" t="s">
        <v>58</v>
      </c>
      <c r="AD468" s="194">
        <f t="shared" si="96"/>
        <v>50</v>
      </c>
      <c r="AE468" s="162"/>
      <c r="AF468" s="1"/>
      <c r="AG468" s="1"/>
      <c r="AH468" s="163"/>
      <c r="AI468" s="1"/>
      <c r="AJ468" s="1"/>
      <c r="AK468" s="1"/>
    </row>
    <row r="469" spans="1:37" customFormat="1" ht="120">
      <c r="A469" s="151"/>
      <c r="B469" s="147"/>
      <c r="C469" s="153" t="s">
        <v>726</v>
      </c>
      <c r="D469" s="154" t="s">
        <v>707</v>
      </c>
      <c r="E469" s="155">
        <v>36</v>
      </c>
      <c r="F469" s="182" t="s">
        <v>55</v>
      </c>
      <c r="G469" s="195">
        <v>34450000</v>
      </c>
      <c r="H469" s="205">
        <v>12</v>
      </c>
      <c r="I469" s="157">
        <v>5490000</v>
      </c>
      <c r="J469" s="158">
        <v>12</v>
      </c>
      <c r="K469" s="157">
        <v>14480000</v>
      </c>
      <c r="L469" s="142">
        <v>3</v>
      </c>
      <c r="M469" s="207" t="s">
        <v>449</v>
      </c>
      <c r="N469" s="158">
        <v>3</v>
      </c>
      <c r="O469" s="157"/>
      <c r="P469" s="158">
        <v>3</v>
      </c>
      <c r="Q469" s="157">
        <v>5947250</v>
      </c>
      <c r="R469" s="212">
        <v>3</v>
      </c>
      <c r="S469" s="209">
        <v>5976750</v>
      </c>
      <c r="T469" s="206">
        <f t="shared" si="90"/>
        <v>12</v>
      </c>
      <c r="U469" s="164">
        <f t="shared" si="92"/>
        <v>100</v>
      </c>
      <c r="V469" s="143" t="s">
        <v>58</v>
      </c>
      <c r="W469" s="159">
        <f t="shared" si="89"/>
        <v>11924000</v>
      </c>
      <c r="X469" s="164">
        <f t="shared" si="93"/>
        <v>82.34806629834253</v>
      </c>
      <c r="Y469" s="143" t="s">
        <v>58</v>
      </c>
      <c r="Z469" s="206">
        <f t="shared" si="91"/>
        <v>24</v>
      </c>
      <c r="AA469" s="159">
        <f t="shared" si="94"/>
        <v>17414000</v>
      </c>
      <c r="AB469" s="149">
        <f t="shared" si="95"/>
        <v>66.666666666666657</v>
      </c>
      <c r="AC469" s="143" t="s">
        <v>58</v>
      </c>
      <c r="AD469" s="194">
        <f t="shared" si="96"/>
        <v>50.548621190130625</v>
      </c>
      <c r="AE469" s="162"/>
      <c r="AF469" s="1"/>
      <c r="AG469" s="1"/>
      <c r="AH469" s="163"/>
      <c r="AI469" s="1"/>
      <c r="AJ469" s="1"/>
      <c r="AK469" s="1"/>
    </row>
    <row r="470" spans="1:37" customFormat="1" ht="123" customHeight="1">
      <c r="A470" s="151"/>
      <c r="B470" s="147"/>
      <c r="C470" s="153" t="s">
        <v>727</v>
      </c>
      <c r="D470" s="154" t="s">
        <v>728</v>
      </c>
      <c r="E470" s="155">
        <v>148</v>
      </c>
      <c r="F470" s="182" t="s">
        <v>55</v>
      </c>
      <c r="G470" s="195">
        <v>788110100</v>
      </c>
      <c r="H470" s="205">
        <v>148</v>
      </c>
      <c r="I470" s="157">
        <v>316634400</v>
      </c>
      <c r="J470" s="158">
        <v>148</v>
      </c>
      <c r="K470" s="157">
        <v>385552100</v>
      </c>
      <c r="L470" s="206">
        <v>50</v>
      </c>
      <c r="M470" s="157">
        <v>0</v>
      </c>
      <c r="N470" s="158">
        <v>50</v>
      </c>
      <c r="O470" s="157">
        <v>122672000</v>
      </c>
      <c r="P470" s="158">
        <v>48</v>
      </c>
      <c r="Q470" s="157">
        <f>130322000-O470</f>
        <v>7650000</v>
      </c>
      <c r="R470" s="158">
        <v>0</v>
      </c>
      <c r="S470" s="157">
        <f>325411500-O470-Q470</f>
        <v>195089500</v>
      </c>
      <c r="T470" s="206">
        <f t="shared" si="90"/>
        <v>148</v>
      </c>
      <c r="U470" s="164">
        <f t="shared" si="92"/>
        <v>100</v>
      </c>
      <c r="V470" s="143" t="s">
        <v>58</v>
      </c>
      <c r="W470" s="159">
        <f t="shared" si="89"/>
        <v>325411500</v>
      </c>
      <c r="X470" s="164">
        <f t="shared" si="93"/>
        <v>84.401433684319187</v>
      </c>
      <c r="Y470" s="143" t="s">
        <v>58</v>
      </c>
      <c r="Z470" s="206">
        <f t="shared" si="91"/>
        <v>296</v>
      </c>
      <c r="AA470" s="159">
        <f t="shared" si="94"/>
        <v>642045900</v>
      </c>
      <c r="AB470" s="149">
        <f t="shared" si="95"/>
        <v>200</v>
      </c>
      <c r="AC470" s="143" t="s">
        <v>58</v>
      </c>
      <c r="AD470" s="194">
        <f t="shared" si="96"/>
        <v>81.466523522538282</v>
      </c>
      <c r="AE470" s="162"/>
      <c r="AF470" s="1"/>
      <c r="AG470" s="1"/>
      <c r="AH470" s="163"/>
      <c r="AI470" s="1"/>
      <c r="AJ470" s="1"/>
      <c r="AK470" s="1"/>
    </row>
    <row r="471" spans="1:37" customFormat="1" ht="105">
      <c r="A471" s="151"/>
      <c r="B471" s="147"/>
      <c r="C471" s="153" t="s">
        <v>729</v>
      </c>
      <c r="D471" s="154" t="s">
        <v>728</v>
      </c>
      <c r="E471" s="155">
        <v>36</v>
      </c>
      <c r="F471" s="182" t="s">
        <v>55</v>
      </c>
      <c r="G471" s="195">
        <v>41894700</v>
      </c>
      <c r="H471" s="205">
        <v>12</v>
      </c>
      <c r="I471" s="157">
        <v>18510500</v>
      </c>
      <c r="J471" s="158">
        <v>12</v>
      </c>
      <c r="K471" s="157">
        <v>23384200</v>
      </c>
      <c r="L471" s="142">
        <v>3</v>
      </c>
      <c r="M471" s="207" t="s">
        <v>449</v>
      </c>
      <c r="N471" s="158">
        <v>3</v>
      </c>
      <c r="O471" s="157">
        <v>6850000</v>
      </c>
      <c r="P471" s="158">
        <v>3</v>
      </c>
      <c r="Q471" s="157">
        <v>6542700</v>
      </c>
      <c r="R471" s="205">
        <v>3</v>
      </c>
      <c r="S471" s="157">
        <v>7791500</v>
      </c>
      <c r="T471" s="206">
        <f t="shared" si="90"/>
        <v>12</v>
      </c>
      <c r="U471" s="164">
        <f t="shared" si="92"/>
        <v>100</v>
      </c>
      <c r="V471" s="143" t="s">
        <v>58</v>
      </c>
      <c r="W471" s="159">
        <f t="shared" si="89"/>
        <v>21184200</v>
      </c>
      <c r="X471" s="164">
        <f t="shared" si="93"/>
        <v>90.591938146269698</v>
      </c>
      <c r="Y471" s="143" t="s">
        <v>58</v>
      </c>
      <c r="Z471" s="206">
        <f t="shared" si="91"/>
        <v>24</v>
      </c>
      <c r="AA471" s="159">
        <f t="shared" si="94"/>
        <v>39694700</v>
      </c>
      <c r="AB471" s="149">
        <f t="shared" si="95"/>
        <v>66.666666666666657</v>
      </c>
      <c r="AC471" s="143" t="s">
        <v>58</v>
      </c>
      <c r="AD471" s="194">
        <f t="shared" si="96"/>
        <v>94.748739100649956</v>
      </c>
      <c r="AE471" s="162"/>
      <c r="AF471" s="1"/>
      <c r="AG471" s="1"/>
      <c r="AH471" s="163"/>
      <c r="AI471" s="1"/>
      <c r="AJ471" s="1"/>
      <c r="AK471" s="1"/>
    </row>
    <row r="472" spans="1:37" customFormat="1" ht="105">
      <c r="A472" s="151"/>
      <c r="B472" s="147"/>
      <c r="C472" s="153" t="s">
        <v>730</v>
      </c>
      <c r="D472" s="154" t="s">
        <v>728</v>
      </c>
      <c r="E472" s="155">
        <v>36</v>
      </c>
      <c r="F472" s="182" t="s">
        <v>55</v>
      </c>
      <c r="G472" s="195">
        <v>32758300</v>
      </c>
      <c r="H472" s="205">
        <v>12</v>
      </c>
      <c r="I472" s="157">
        <v>4653500</v>
      </c>
      <c r="J472" s="158">
        <v>12</v>
      </c>
      <c r="K472" s="157">
        <v>13690700</v>
      </c>
      <c r="L472" s="142">
        <v>3</v>
      </c>
      <c r="M472" s="207" t="s">
        <v>449</v>
      </c>
      <c r="N472" s="158">
        <v>3</v>
      </c>
      <c r="O472" s="157">
        <v>3010000</v>
      </c>
      <c r="P472" s="158">
        <v>3</v>
      </c>
      <c r="Q472" s="157">
        <v>1050000</v>
      </c>
      <c r="R472" s="205">
        <v>3</v>
      </c>
      <c r="S472" s="157">
        <v>9490700</v>
      </c>
      <c r="T472" s="206">
        <f t="shared" si="90"/>
        <v>12</v>
      </c>
      <c r="U472" s="164">
        <f t="shared" si="92"/>
        <v>100</v>
      </c>
      <c r="V472" s="143" t="s">
        <v>58</v>
      </c>
      <c r="W472" s="159">
        <f t="shared" si="89"/>
        <v>13550700</v>
      </c>
      <c r="X472" s="164">
        <f t="shared" si="93"/>
        <v>98.977408021503649</v>
      </c>
      <c r="Y472" s="143" t="s">
        <v>58</v>
      </c>
      <c r="Z472" s="206">
        <f t="shared" si="91"/>
        <v>24</v>
      </c>
      <c r="AA472" s="159">
        <f t="shared" si="94"/>
        <v>18204200</v>
      </c>
      <c r="AB472" s="149">
        <f t="shared" si="95"/>
        <v>66.666666666666657</v>
      </c>
      <c r="AC472" s="143" t="s">
        <v>58</v>
      </c>
      <c r="AD472" s="194">
        <f t="shared" si="96"/>
        <v>55.571259802859117</v>
      </c>
      <c r="AE472" s="162"/>
      <c r="AF472" s="1"/>
      <c r="AG472" s="1"/>
      <c r="AH472" s="163"/>
      <c r="AI472" s="1"/>
      <c r="AJ472" s="1"/>
      <c r="AK472" s="1"/>
    </row>
    <row r="473" spans="1:37" customFormat="1" ht="105">
      <c r="A473" s="151"/>
      <c r="B473" s="147"/>
      <c r="C473" s="153" t="s">
        <v>731</v>
      </c>
      <c r="D473" s="154" t="s">
        <v>728</v>
      </c>
      <c r="E473" s="155">
        <v>36</v>
      </c>
      <c r="F473" s="182" t="s">
        <v>55</v>
      </c>
      <c r="G473" s="195">
        <v>43475600</v>
      </c>
      <c r="H473" s="205">
        <v>12</v>
      </c>
      <c r="I473" s="157">
        <v>11457600</v>
      </c>
      <c r="J473" s="158">
        <v>12</v>
      </c>
      <c r="K473" s="157">
        <v>16009000</v>
      </c>
      <c r="L473" s="142">
        <v>3</v>
      </c>
      <c r="M473" s="207" t="s">
        <v>449</v>
      </c>
      <c r="N473" s="158">
        <v>3</v>
      </c>
      <c r="O473" s="157">
        <v>4200000</v>
      </c>
      <c r="P473" s="158">
        <v>3</v>
      </c>
      <c r="Q473" s="157">
        <v>3560000</v>
      </c>
      <c r="R473" s="205">
        <v>3</v>
      </c>
      <c r="S473" s="157">
        <v>7690000</v>
      </c>
      <c r="T473" s="206">
        <f t="shared" si="90"/>
        <v>12</v>
      </c>
      <c r="U473" s="164">
        <f t="shared" si="92"/>
        <v>100</v>
      </c>
      <c r="V473" s="143" t="s">
        <v>58</v>
      </c>
      <c r="W473" s="159">
        <f t="shared" si="89"/>
        <v>15450000</v>
      </c>
      <c r="X473" s="164">
        <f t="shared" si="93"/>
        <v>96.50821412955213</v>
      </c>
      <c r="Y473" s="143" t="s">
        <v>58</v>
      </c>
      <c r="Z473" s="206">
        <f t="shared" si="91"/>
        <v>24</v>
      </c>
      <c r="AA473" s="159">
        <f t="shared" si="94"/>
        <v>26907600</v>
      </c>
      <c r="AB473" s="149">
        <f t="shared" si="95"/>
        <v>66.666666666666657</v>
      </c>
      <c r="AC473" s="143" t="s">
        <v>58</v>
      </c>
      <c r="AD473" s="194">
        <f t="shared" si="96"/>
        <v>61.891267745586035</v>
      </c>
      <c r="AE473" s="162"/>
      <c r="AF473" s="1"/>
      <c r="AG473" s="1"/>
      <c r="AH473" s="163"/>
      <c r="AI473" s="1"/>
      <c r="AJ473" s="1"/>
      <c r="AK473" s="1"/>
    </row>
    <row r="474" spans="1:37" customFormat="1" ht="105">
      <c r="A474" s="151"/>
      <c r="B474" s="147"/>
      <c r="C474" s="153" t="s">
        <v>732</v>
      </c>
      <c r="D474" s="154" t="s">
        <v>728</v>
      </c>
      <c r="E474" s="155">
        <v>36</v>
      </c>
      <c r="F474" s="182" t="s">
        <v>55</v>
      </c>
      <c r="G474" s="195">
        <v>37882000</v>
      </c>
      <c r="H474" s="205">
        <v>12</v>
      </c>
      <c r="I474" s="157">
        <v>8160000</v>
      </c>
      <c r="J474" s="158">
        <v>12</v>
      </c>
      <c r="K474" s="157">
        <v>12481000</v>
      </c>
      <c r="L474" s="142">
        <v>3</v>
      </c>
      <c r="M474" s="207" t="s">
        <v>449</v>
      </c>
      <c r="N474" s="158">
        <v>3</v>
      </c>
      <c r="O474" s="157">
        <v>5250000</v>
      </c>
      <c r="P474" s="158">
        <v>3</v>
      </c>
      <c r="Q474" s="157">
        <v>4679000</v>
      </c>
      <c r="R474" s="205">
        <v>3</v>
      </c>
      <c r="S474" s="157">
        <v>2190000</v>
      </c>
      <c r="T474" s="206">
        <f t="shared" si="90"/>
        <v>12</v>
      </c>
      <c r="U474" s="164">
        <f t="shared" si="92"/>
        <v>100</v>
      </c>
      <c r="V474" s="143" t="s">
        <v>58</v>
      </c>
      <c r="W474" s="159">
        <f t="shared" si="89"/>
        <v>12119000</v>
      </c>
      <c r="X474" s="164">
        <f t="shared" si="93"/>
        <v>97.099591378895923</v>
      </c>
      <c r="Y474" s="143" t="s">
        <v>58</v>
      </c>
      <c r="Z474" s="206">
        <f t="shared" si="91"/>
        <v>24</v>
      </c>
      <c r="AA474" s="159">
        <f t="shared" si="94"/>
        <v>20279000</v>
      </c>
      <c r="AB474" s="149">
        <f t="shared" si="95"/>
        <v>66.666666666666657</v>
      </c>
      <c r="AC474" s="143" t="s">
        <v>58</v>
      </c>
      <c r="AD474" s="194">
        <f t="shared" si="96"/>
        <v>53.532020484662901</v>
      </c>
      <c r="AE474" s="162"/>
      <c r="AF474" s="1"/>
      <c r="AG474" s="1"/>
      <c r="AH474" s="163"/>
      <c r="AI474" s="1"/>
      <c r="AJ474" s="1"/>
      <c r="AK474" s="1"/>
    </row>
    <row r="475" spans="1:37" customFormat="1" ht="105">
      <c r="A475" s="151"/>
      <c r="B475" s="147"/>
      <c r="C475" s="153" t="s">
        <v>733</v>
      </c>
      <c r="D475" s="154" t="s">
        <v>728</v>
      </c>
      <c r="E475" s="155">
        <v>36</v>
      </c>
      <c r="F475" s="182" t="s">
        <v>55</v>
      </c>
      <c r="G475" s="195">
        <v>100976000</v>
      </c>
      <c r="H475" s="205">
        <v>12</v>
      </c>
      <c r="I475" s="157">
        <v>19318000</v>
      </c>
      <c r="J475" s="158">
        <v>12</v>
      </c>
      <c r="K475" s="157">
        <v>40829000</v>
      </c>
      <c r="L475" s="142">
        <v>3</v>
      </c>
      <c r="M475" s="207" t="s">
        <v>449</v>
      </c>
      <c r="N475" s="158">
        <v>3</v>
      </c>
      <c r="O475" s="157">
        <v>4779000</v>
      </c>
      <c r="P475" s="158">
        <v>3</v>
      </c>
      <c r="Q475" s="157">
        <v>13080000</v>
      </c>
      <c r="R475" s="205">
        <v>3</v>
      </c>
      <c r="S475" s="157">
        <v>21630000</v>
      </c>
      <c r="T475" s="206">
        <f t="shared" si="90"/>
        <v>12</v>
      </c>
      <c r="U475" s="164">
        <f t="shared" si="92"/>
        <v>100</v>
      </c>
      <c r="V475" s="143" t="s">
        <v>58</v>
      </c>
      <c r="W475" s="159">
        <f t="shared" si="89"/>
        <v>39489000</v>
      </c>
      <c r="X475" s="164">
        <f t="shared" si="93"/>
        <v>96.718019055083388</v>
      </c>
      <c r="Y475" s="143" t="s">
        <v>58</v>
      </c>
      <c r="Z475" s="206">
        <f t="shared" si="91"/>
        <v>24</v>
      </c>
      <c r="AA475" s="159">
        <f t="shared" si="94"/>
        <v>58807000</v>
      </c>
      <c r="AB475" s="149">
        <f t="shared" si="95"/>
        <v>66.666666666666657</v>
      </c>
      <c r="AC475" s="143" t="s">
        <v>58</v>
      </c>
      <c r="AD475" s="194">
        <f t="shared" si="96"/>
        <v>58.238591348439229</v>
      </c>
      <c r="AE475" s="162"/>
      <c r="AF475" s="1"/>
      <c r="AG475" s="1"/>
      <c r="AH475" s="163"/>
      <c r="AI475" s="1"/>
      <c r="AJ475" s="1"/>
      <c r="AK475" s="1"/>
    </row>
    <row r="476" spans="1:37" customFormat="1" ht="105">
      <c r="A476" s="151"/>
      <c r="B476" s="147"/>
      <c r="C476" s="153" t="s">
        <v>734</v>
      </c>
      <c r="D476" s="154" t="s">
        <v>728</v>
      </c>
      <c r="E476" s="155">
        <v>36</v>
      </c>
      <c r="F476" s="182" t="s">
        <v>55</v>
      </c>
      <c r="G476" s="195">
        <v>33050600</v>
      </c>
      <c r="H476" s="205">
        <v>12</v>
      </c>
      <c r="I476" s="157">
        <v>10655600</v>
      </c>
      <c r="J476" s="158">
        <v>12</v>
      </c>
      <c r="K476" s="157">
        <v>11197500</v>
      </c>
      <c r="L476" s="142">
        <v>3</v>
      </c>
      <c r="M476" s="207" t="s">
        <v>449</v>
      </c>
      <c r="N476" s="158">
        <v>3</v>
      </c>
      <c r="O476" s="157">
        <v>1365000</v>
      </c>
      <c r="P476" s="158">
        <v>3</v>
      </c>
      <c r="Q476" s="157">
        <v>5175000</v>
      </c>
      <c r="R476" s="205">
        <v>3</v>
      </c>
      <c r="S476" s="157">
        <v>4517500</v>
      </c>
      <c r="T476" s="206">
        <f t="shared" si="90"/>
        <v>12</v>
      </c>
      <c r="U476" s="164">
        <f t="shared" si="92"/>
        <v>100</v>
      </c>
      <c r="V476" s="143" t="s">
        <v>58</v>
      </c>
      <c r="W476" s="159">
        <f t="shared" si="89"/>
        <v>11057500</v>
      </c>
      <c r="X476" s="164">
        <f t="shared" si="93"/>
        <v>98.749720919848187</v>
      </c>
      <c r="Y476" s="143" t="s">
        <v>58</v>
      </c>
      <c r="Z476" s="206">
        <f t="shared" si="91"/>
        <v>24</v>
      </c>
      <c r="AA476" s="159">
        <f t="shared" si="94"/>
        <v>21713100</v>
      </c>
      <c r="AB476" s="149">
        <f t="shared" si="95"/>
        <v>66.666666666666657</v>
      </c>
      <c r="AC476" s="143" t="s">
        <v>58</v>
      </c>
      <c r="AD476" s="194">
        <f t="shared" si="96"/>
        <v>65.696538035618119</v>
      </c>
      <c r="AE476" s="162"/>
      <c r="AF476" s="1"/>
      <c r="AG476" s="1"/>
      <c r="AH476" s="163"/>
      <c r="AI476" s="1"/>
      <c r="AJ476" s="1"/>
      <c r="AK476" s="1"/>
    </row>
    <row r="477" spans="1:37" customFormat="1" ht="105">
      <c r="A477" s="151"/>
      <c r="B477" s="147"/>
      <c r="C477" s="153" t="s">
        <v>735</v>
      </c>
      <c r="D477" s="154" t="s">
        <v>728</v>
      </c>
      <c r="E477" s="155">
        <v>36</v>
      </c>
      <c r="F477" s="182" t="s">
        <v>55</v>
      </c>
      <c r="G477" s="195">
        <v>137480000</v>
      </c>
      <c r="H477" s="205">
        <v>12</v>
      </c>
      <c r="I477" s="157">
        <v>10080000</v>
      </c>
      <c r="J477" s="158">
        <v>12</v>
      </c>
      <c r="K477" s="157">
        <v>63700000</v>
      </c>
      <c r="L477" s="142">
        <v>3</v>
      </c>
      <c r="M477" s="207" t="s">
        <v>449</v>
      </c>
      <c r="N477" s="158">
        <v>3</v>
      </c>
      <c r="O477" s="157">
        <v>7410000</v>
      </c>
      <c r="P477" s="158">
        <v>3</v>
      </c>
      <c r="Q477" s="157">
        <v>24686000</v>
      </c>
      <c r="R477" s="205">
        <v>3</v>
      </c>
      <c r="S477" s="157">
        <v>11610000</v>
      </c>
      <c r="T477" s="206">
        <f t="shared" si="90"/>
        <v>12</v>
      </c>
      <c r="U477" s="164">
        <f t="shared" si="92"/>
        <v>100</v>
      </c>
      <c r="V477" s="143" t="s">
        <v>58</v>
      </c>
      <c r="W477" s="159">
        <f t="shared" si="89"/>
        <v>43706000</v>
      </c>
      <c r="X477" s="164">
        <f t="shared" si="93"/>
        <v>68.612244897959187</v>
      </c>
      <c r="Y477" s="143" t="s">
        <v>58</v>
      </c>
      <c r="Z477" s="206">
        <f t="shared" si="91"/>
        <v>24</v>
      </c>
      <c r="AA477" s="159">
        <f t="shared" si="94"/>
        <v>53786000</v>
      </c>
      <c r="AB477" s="149">
        <f t="shared" si="95"/>
        <v>66.666666666666657</v>
      </c>
      <c r="AC477" s="143" t="s">
        <v>58</v>
      </c>
      <c r="AD477" s="194">
        <f t="shared" si="96"/>
        <v>39.122781495490258</v>
      </c>
      <c r="AE477" s="162"/>
      <c r="AF477" s="1"/>
      <c r="AG477" s="1"/>
      <c r="AH477" s="163"/>
      <c r="AI477" s="1"/>
      <c r="AJ477" s="1"/>
      <c r="AK477" s="1"/>
    </row>
    <row r="478" spans="1:37" customFormat="1" ht="105">
      <c r="A478" s="151"/>
      <c r="B478" s="147"/>
      <c r="C478" s="153" t="s">
        <v>736</v>
      </c>
      <c r="D478" s="154" t="s">
        <v>728</v>
      </c>
      <c r="E478" s="155">
        <v>36</v>
      </c>
      <c r="F478" s="182" t="s">
        <v>55</v>
      </c>
      <c r="G478" s="195">
        <v>62083950</v>
      </c>
      <c r="H478" s="205">
        <v>12</v>
      </c>
      <c r="I478" s="157">
        <v>25134500</v>
      </c>
      <c r="J478" s="158">
        <v>12</v>
      </c>
      <c r="K478" s="157">
        <v>18660000</v>
      </c>
      <c r="L478" s="142">
        <v>3</v>
      </c>
      <c r="M478" s="207" t="s">
        <v>449</v>
      </c>
      <c r="N478" s="158">
        <v>3</v>
      </c>
      <c r="O478" s="157">
        <v>2700000</v>
      </c>
      <c r="P478" s="158">
        <v>3</v>
      </c>
      <c r="Q478" s="157">
        <v>10312100</v>
      </c>
      <c r="R478" s="205">
        <v>3</v>
      </c>
      <c r="S478" s="157">
        <v>5190000</v>
      </c>
      <c r="T478" s="206">
        <f t="shared" si="90"/>
        <v>12</v>
      </c>
      <c r="U478" s="164">
        <f t="shared" si="92"/>
        <v>100</v>
      </c>
      <c r="V478" s="143" t="s">
        <v>58</v>
      </c>
      <c r="W478" s="159">
        <f t="shared" si="89"/>
        <v>18202100</v>
      </c>
      <c r="X478" s="164">
        <f t="shared" si="93"/>
        <v>97.546087888531616</v>
      </c>
      <c r="Y478" s="143" t="s">
        <v>58</v>
      </c>
      <c r="Z478" s="206">
        <f t="shared" si="91"/>
        <v>24</v>
      </c>
      <c r="AA478" s="159">
        <f t="shared" si="94"/>
        <v>43336600</v>
      </c>
      <c r="AB478" s="149">
        <f t="shared" si="95"/>
        <v>66.666666666666657</v>
      </c>
      <c r="AC478" s="143" t="s">
        <v>58</v>
      </c>
      <c r="AD478" s="194">
        <f t="shared" si="96"/>
        <v>69.803226115606364</v>
      </c>
      <c r="AE478" s="162"/>
      <c r="AF478" s="1"/>
      <c r="AG478" s="1"/>
      <c r="AH478" s="163"/>
      <c r="AI478" s="1"/>
      <c r="AJ478" s="1"/>
      <c r="AK478" s="1"/>
    </row>
    <row r="479" spans="1:37" customFormat="1" ht="105">
      <c r="A479" s="151"/>
      <c r="B479" s="147"/>
      <c r="C479" s="153" t="s">
        <v>737</v>
      </c>
      <c r="D479" s="154" t="s">
        <v>728</v>
      </c>
      <c r="E479" s="155">
        <v>36</v>
      </c>
      <c r="F479" s="182" t="s">
        <v>55</v>
      </c>
      <c r="G479" s="195">
        <v>83870200</v>
      </c>
      <c r="H479" s="205">
        <v>12</v>
      </c>
      <c r="I479" s="157">
        <v>20399200</v>
      </c>
      <c r="J479" s="158">
        <v>12</v>
      </c>
      <c r="K479" s="157">
        <v>29620500</v>
      </c>
      <c r="L479" s="142">
        <v>3</v>
      </c>
      <c r="M479" s="207" t="s">
        <v>449</v>
      </c>
      <c r="N479" s="158">
        <v>3</v>
      </c>
      <c r="O479" s="157">
        <v>7200000</v>
      </c>
      <c r="P479" s="158">
        <v>3</v>
      </c>
      <c r="Q479" s="157">
        <v>22396300</v>
      </c>
      <c r="R479" s="205">
        <v>0</v>
      </c>
      <c r="S479" s="157">
        <v>0</v>
      </c>
      <c r="T479" s="206">
        <f t="shared" si="90"/>
        <v>9</v>
      </c>
      <c r="U479" s="164">
        <f t="shared" si="92"/>
        <v>75</v>
      </c>
      <c r="V479" s="143" t="s">
        <v>58</v>
      </c>
      <c r="W479" s="159">
        <f t="shared" si="89"/>
        <v>29596300</v>
      </c>
      <c r="X479" s="164">
        <f t="shared" si="93"/>
        <v>99.918299826133932</v>
      </c>
      <c r="Y479" s="143" t="s">
        <v>58</v>
      </c>
      <c r="Z479" s="206">
        <f t="shared" si="91"/>
        <v>21</v>
      </c>
      <c r="AA479" s="159">
        <f t="shared" si="94"/>
        <v>49995500</v>
      </c>
      <c r="AB479" s="149">
        <f t="shared" si="95"/>
        <v>58.333333333333336</v>
      </c>
      <c r="AC479" s="143" t="s">
        <v>58</v>
      </c>
      <c r="AD479" s="194">
        <f t="shared" si="96"/>
        <v>59.610564896709441</v>
      </c>
      <c r="AE479" s="162"/>
      <c r="AF479" s="1"/>
      <c r="AG479" s="1"/>
      <c r="AH479" s="163"/>
      <c r="AI479" s="1"/>
      <c r="AJ479" s="1"/>
      <c r="AK479" s="1"/>
    </row>
    <row r="480" spans="1:37" customFormat="1" ht="105">
      <c r="A480" s="151"/>
      <c r="B480" s="147"/>
      <c r="C480" s="153" t="s">
        <v>738</v>
      </c>
      <c r="D480" s="154" t="s">
        <v>728</v>
      </c>
      <c r="E480" s="155">
        <v>36</v>
      </c>
      <c r="F480" s="182" t="s">
        <v>55</v>
      </c>
      <c r="G480" s="195">
        <v>46638700</v>
      </c>
      <c r="H480" s="205">
        <v>12</v>
      </c>
      <c r="I480" s="157">
        <v>28410000</v>
      </c>
      <c r="J480" s="158">
        <v>12</v>
      </c>
      <c r="K480" s="157">
        <v>36392500</v>
      </c>
      <c r="L480" s="142">
        <v>3</v>
      </c>
      <c r="M480" s="207" t="s">
        <v>449</v>
      </c>
      <c r="N480" s="158">
        <v>3</v>
      </c>
      <c r="O480" s="157">
        <v>2354500</v>
      </c>
      <c r="P480" s="158">
        <v>3</v>
      </c>
      <c r="Q480" s="157">
        <v>5990000</v>
      </c>
      <c r="R480" s="205"/>
      <c r="S480" s="157">
        <v>25988000</v>
      </c>
      <c r="T480" s="206">
        <f t="shared" si="90"/>
        <v>9</v>
      </c>
      <c r="U480" s="164">
        <f t="shared" si="92"/>
        <v>75</v>
      </c>
      <c r="V480" s="143" t="s">
        <v>58</v>
      </c>
      <c r="W480" s="159">
        <f t="shared" si="89"/>
        <v>34332500</v>
      </c>
      <c r="X480" s="164">
        <f t="shared" si="93"/>
        <v>94.339493027409489</v>
      </c>
      <c r="Y480" s="143" t="s">
        <v>58</v>
      </c>
      <c r="Z480" s="206">
        <f t="shared" si="91"/>
        <v>21</v>
      </c>
      <c r="AA480" s="159">
        <f t="shared" si="94"/>
        <v>62742500</v>
      </c>
      <c r="AB480" s="149">
        <f t="shared" si="95"/>
        <v>58.333333333333336</v>
      </c>
      <c r="AC480" s="143" t="s">
        <v>58</v>
      </c>
      <c r="AD480" s="194">
        <f t="shared" si="96"/>
        <v>134.52883549498594</v>
      </c>
      <c r="AE480" s="162"/>
      <c r="AF480" s="1"/>
      <c r="AG480" s="1"/>
      <c r="AH480" s="163"/>
      <c r="AI480" s="1"/>
      <c r="AJ480" s="1"/>
      <c r="AK480" s="1"/>
    </row>
    <row r="481" spans="1:37" customFormat="1" ht="105">
      <c r="A481" s="151"/>
      <c r="B481" s="147"/>
      <c r="C481" s="153" t="s">
        <v>739</v>
      </c>
      <c r="D481" s="154" t="s">
        <v>728</v>
      </c>
      <c r="E481" s="155">
        <v>36</v>
      </c>
      <c r="F481" s="182" t="s">
        <v>55</v>
      </c>
      <c r="G481" s="195">
        <v>32398000</v>
      </c>
      <c r="H481" s="205">
        <v>12</v>
      </c>
      <c r="I481" s="157">
        <v>8770000</v>
      </c>
      <c r="J481" s="158">
        <v>12</v>
      </c>
      <c r="K481" s="157">
        <v>18421500</v>
      </c>
      <c r="L481" s="142">
        <v>3</v>
      </c>
      <c r="M481" s="207" t="s">
        <v>449</v>
      </c>
      <c r="N481" s="158">
        <v>3</v>
      </c>
      <c r="O481" s="157">
        <v>0</v>
      </c>
      <c r="P481" s="158">
        <v>3</v>
      </c>
      <c r="Q481" s="157">
        <v>3666500</v>
      </c>
      <c r="R481" s="205">
        <v>3</v>
      </c>
      <c r="S481" s="157">
        <v>14577600</v>
      </c>
      <c r="T481" s="206">
        <f t="shared" si="90"/>
        <v>12</v>
      </c>
      <c r="U481" s="164">
        <f t="shared" si="92"/>
        <v>100</v>
      </c>
      <c r="V481" s="143" t="s">
        <v>58</v>
      </c>
      <c r="W481" s="159">
        <f t="shared" si="89"/>
        <v>18244100</v>
      </c>
      <c r="X481" s="164">
        <f t="shared" si="93"/>
        <v>99.036994815840188</v>
      </c>
      <c r="Y481" s="143" t="s">
        <v>58</v>
      </c>
      <c r="Z481" s="206">
        <f t="shared" si="91"/>
        <v>24</v>
      </c>
      <c r="AA481" s="159">
        <f t="shared" si="94"/>
        <v>27014100</v>
      </c>
      <c r="AB481" s="149">
        <f t="shared" si="95"/>
        <v>66.666666666666657</v>
      </c>
      <c r="AC481" s="143" t="s">
        <v>58</v>
      </c>
      <c r="AD481" s="194">
        <f t="shared" si="96"/>
        <v>83.381998888820291</v>
      </c>
      <c r="AE481" s="162"/>
      <c r="AF481" s="1"/>
      <c r="AG481" s="1"/>
      <c r="AH481" s="163"/>
      <c r="AI481" s="1"/>
      <c r="AJ481" s="1"/>
      <c r="AK481" s="1"/>
    </row>
    <row r="482" spans="1:37" customFormat="1" ht="105">
      <c r="A482" s="151"/>
      <c r="B482" s="147"/>
      <c r="C482" s="153" t="s">
        <v>740</v>
      </c>
      <c r="D482" s="154" t="s">
        <v>728</v>
      </c>
      <c r="E482" s="155">
        <v>36</v>
      </c>
      <c r="F482" s="182" t="s">
        <v>55</v>
      </c>
      <c r="G482" s="195">
        <v>76357950</v>
      </c>
      <c r="H482" s="205">
        <v>12</v>
      </c>
      <c r="I482" s="157">
        <v>20875000</v>
      </c>
      <c r="J482" s="158">
        <v>12</v>
      </c>
      <c r="K482" s="157">
        <v>27547500</v>
      </c>
      <c r="L482" s="142">
        <v>3</v>
      </c>
      <c r="M482" s="207" t="s">
        <v>449</v>
      </c>
      <c r="N482" s="158">
        <v>3</v>
      </c>
      <c r="O482" s="157">
        <v>16275000</v>
      </c>
      <c r="P482" s="158">
        <v>3</v>
      </c>
      <c r="Q482" s="157">
        <v>19550000</v>
      </c>
      <c r="R482" s="205">
        <v>3</v>
      </c>
      <c r="S482" s="183">
        <v>25630000</v>
      </c>
      <c r="T482" s="206">
        <f t="shared" si="90"/>
        <v>12</v>
      </c>
      <c r="U482" s="164">
        <f t="shared" si="92"/>
        <v>100</v>
      </c>
      <c r="V482" s="143" t="s">
        <v>58</v>
      </c>
      <c r="W482" s="159">
        <f t="shared" si="89"/>
        <v>61455000</v>
      </c>
      <c r="X482" s="164">
        <f t="shared" si="93"/>
        <v>223.08739450040838</v>
      </c>
      <c r="Y482" s="143" t="s">
        <v>58</v>
      </c>
      <c r="Z482" s="206">
        <f t="shared" si="91"/>
        <v>24</v>
      </c>
      <c r="AA482" s="159">
        <f t="shared" si="94"/>
        <v>82330000</v>
      </c>
      <c r="AB482" s="149">
        <f t="shared" si="95"/>
        <v>66.666666666666657</v>
      </c>
      <c r="AC482" s="143" t="s">
        <v>58</v>
      </c>
      <c r="AD482" s="194">
        <f t="shared" si="96"/>
        <v>107.82112406108335</v>
      </c>
      <c r="AE482" s="162"/>
      <c r="AF482" s="1"/>
      <c r="AG482" s="1"/>
      <c r="AH482" s="163"/>
      <c r="AI482" s="1"/>
      <c r="AJ482" s="1"/>
      <c r="AK482" s="1"/>
    </row>
    <row r="483" spans="1:37" customFormat="1" ht="105">
      <c r="A483" s="151"/>
      <c r="B483" s="147"/>
      <c r="C483" s="153" t="s">
        <v>741</v>
      </c>
      <c r="D483" s="154" t="s">
        <v>728</v>
      </c>
      <c r="E483" s="155">
        <v>36</v>
      </c>
      <c r="F483" s="182" t="s">
        <v>55</v>
      </c>
      <c r="G483" s="195">
        <v>93621000</v>
      </c>
      <c r="H483" s="205">
        <v>12</v>
      </c>
      <c r="I483" s="157">
        <v>23810000</v>
      </c>
      <c r="J483" s="158">
        <v>12</v>
      </c>
      <c r="K483" s="157">
        <v>34905500</v>
      </c>
      <c r="L483" s="142">
        <v>3</v>
      </c>
      <c r="M483" s="207" t="s">
        <v>449</v>
      </c>
      <c r="N483" s="158">
        <v>3</v>
      </c>
      <c r="O483" s="157">
        <v>6800000</v>
      </c>
      <c r="P483" s="158">
        <v>3</v>
      </c>
      <c r="Q483" s="157">
        <v>24415000</v>
      </c>
      <c r="R483" s="212">
        <v>3</v>
      </c>
      <c r="S483" s="209">
        <v>2185000</v>
      </c>
      <c r="T483" s="206">
        <f t="shared" si="90"/>
        <v>12</v>
      </c>
      <c r="U483" s="164">
        <f t="shared" si="92"/>
        <v>100</v>
      </c>
      <c r="V483" s="143" t="s">
        <v>58</v>
      </c>
      <c r="W483" s="159">
        <f t="shared" si="89"/>
        <v>33400000</v>
      </c>
      <c r="X483" s="164">
        <f t="shared" si="93"/>
        <v>95.686926129120053</v>
      </c>
      <c r="Y483" s="143" t="s">
        <v>58</v>
      </c>
      <c r="Z483" s="206">
        <f t="shared" si="91"/>
        <v>24</v>
      </c>
      <c r="AA483" s="159">
        <f t="shared" si="94"/>
        <v>57210000</v>
      </c>
      <c r="AB483" s="149">
        <f t="shared" si="95"/>
        <v>66.666666666666657</v>
      </c>
      <c r="AC483" s="143" t="s">
        <v>58</v>
      </c>
      <c r="AD483" s="194">
        <f t="shared" si="96"/>
        <v>61.108084724581026</v>
      </c>
      <c r="AE483" s="162"/>
      <c r="AF483" s="1"/>
      <c r="AG483" s="1"/>
      <c r="AH483" s="163"/>
      <c r="AI483" s="1"/>
      <c r="AJ483" s="1"/>
      <c r="AK483" s="1"/>
    </row>
    <row r="484" spans="1:37" customFormat="1" ht="105">
      <c r="A484" s="151"/>
      <c r="B484" s="147"/>
      <c r="C484" s="153" t="s">
        <v>742</v>
      </c>
      <c r="D484" s="154" t="s">
        <v>728</v>
      </c>
      <c r="E484" s="155">
        <v>36</v>
      </c>
      <c r="F484" s="182" t="s">
        <v>55</v>
      </c>
      <c r="G484" s="195">
        <v>149899700</v>
      </c>
      <c r="H484" s="205">
        <v>12</v>
      </c>
      <c r="I484" s="157">
        <v>10220000</v>
      </c>
      <c r="J484" s="158">
        <v>12</v>
      </c>
      <c r="K484" s="157">
        <v>68544650</v>
      </c>
      <c r="L484" s="142">
        <v>3</v>
      </c>
      <c r="M484" s="207" t="s">
        <v>449</v>
      </c>
      <c r="N484" s="158">
        <v>3</v>
      </c>
      <c r="O484" s="157">
        <v>1040000</v>
      </c>
      <c r="P484" s="158">
        <v>3</v>
      </c>
      <c r="Q484" s="157">
        <v>61382000</v>
      </c>
      <c r="R484" s="212">
        <v>3</v>
      </c>
      <c r="S484" s="209">
        <v>5840000</v>
      </c>
      <c r="T484" s="206">
        <f t="shared" si="90"/>
        <v>12</v>
      </c>
      <c r="U484" s="164">
        <f t="shared" si="92"/>
        <v>100</v>
      </c>
      <c r="V484" s="143" t="s">
        <v>58</v>
      </c>
      <c r="W484" s="159">
        <f t="shared" si="89"/>
        <v>68262000</v>
      </c>
      <c r="X484" s="164">
        <f t="shared" si="93"/>
        <v>99.587641048571982</v>
      </c>
      <c r="Y484" s="143" t="s">
        <v>58</v>
      </c>
      <c r="Z484" s="206">
        <f t="shared" si="91"/>
        <v>24</v>
      </c>
      <c r="AA484" s="159">
        <f t="shared" si="94"/>
        <v>78482000</v>
      </c>
      <c r="AB484" s="149">
        <f t="shared" si="95"/>
        <v>66.666666666666657</v>
      </c>
      <c r="AC484" s="143" t="s">
        <v>58</v>
      </c>
      <c r="AD484" s="194">
        <f t="shared" si="96"/>
        <v>52.356342274200685</v>
      </c>
      <c r="AE484" s="162"/>
      <c r="AF484" s="1"/>
      <c r="AG484" s="1"/>
      <c r="AH484" s="163"/>
      <c r="AI484" s="1"/>
      <c r="AJ484" s="1"/>
      <c r="AK484" s="1"/>
    </row>
    <row r="485" spans="1:37" customFormat="1" ht="105">
      <c r="A485" s="151"/>
      <c r="B485" s="147"/>
      <c r="C485" s="153" t="s">
        <v>743</v>
      </c>
      <c r="D485" s="154" t="s">
        <v>728</v>
      </c>
      <c r="E485" s="155">
        <v>36</v>
      </c>
      <c r="F485" s="182" t="s">
        <v>55</v>
      </c>
      <c r="G485" s="195">
        <v>42240000</v>
      </c>
      <c r="H485" s="205">
        <v>12</v>
      </c>
      <c r="I485" s="157">
        <v>5000000</v>
      </c>
      <c r="J485" s="158">
        <v>12</v>
      </c>
      <c r="K485" s="157">
        <v>18940000</v>
      </c>
      <c r="L485" s="142">
        <v>3</v>
      </c>
      <c r="M485" s="207" t="s">
        <v>449</v>
      </c>
      <c r="N485" s="158">
        <v>3</v>
      </c>
      <c r="O485" s="157">
        <v>3680000</v>
      </c>
      <c r="P485" s="158">
        <v>3</v>
      </c>
      <c r="Q485" s="157">
        <v>8460000</v>
      </c>
      <c r="R485" s="212">
        <v>3</v>
      </c>
      <c r="S485" s="209">
        <v>6680000</v>
      </c>
      <c r="T485" s="206">
        <f t="shared" si="90"/>
        <v>12</v>
      </c>
      <c r="U485" s="164">
        <f t="shared" si="92"/>
        <v>100</v>
      </c>
      <c r="V485" s="143" t="s">
        <v>58</v>
      </c>
      <c r="W485" s="159">
        <f t="shared" si="89"/>
        <v>18820000</v>
      </c>
      <c r="X485" s="164">
        <f t="shared" si="93"/>
        <v>99.366420274551217</v>
      </c>
      <c r="Y485" s="143" t="s">
        <v>58</v>
      </c>
      <c r="Z485" s="206">
        <f t="shared" si="91"/>
        <v>24</v>
      </c>
      <c r="AA485" s="159">
        <f t="shared" si="94"/>
        <v>23820000</v>
      </c>
      <c r="AB485" s="149">
        <f t="shared" si="95"/>
        <v>66.666666666666657</v>
      </c>
      <c r="AC485" s="143" t="s">
        <v>58</v>
      </c>
      <c r="AD485" s="194">
        <f t="shared" si="96"/>
        <v>56.39204545454546</v>
      </c>
      <c r="AE485" s="162"/>
      <c r="AF485" s="1"/>
      <c r="AG485" s="1"/>
      <c r="AH485" s="163"/>
      <c r="AI485" s="1"/>
      <c r="AJ485" s="1"/>
      <c r="AK485" s="1"/>
    </row>
    <row r="486" spans="1:37" customFormat="1" ht="105">
      <c r="A486" s="151"/>
      <c r="B486" s="147"/>
      <c r="C486" s="153" t="s">
        <v>744</v>
      </c>
      <c r="D486" s="154" t="s">
        <v>728</v>
      </c>
      <c r="E486" s="155">
        <v>36</v>
      </c>
      <c r="F486" s="182" t="s">
        <v>55</v>
      </c>
      <c r="G486" s="195">
        <v>76486800</v>
      </c>
      <c r="H486" s="205">
        <v>12</v>
      </c>
      <c r="I486" s="157">
        <v>6805200</v>
      </c>
      <c r="J486" s="158">
        <v>12</v>
      </c>
      <c r="K486" s="157">
        <v>32708300</v>
      </c>
      <c r="L486" s="213">
        <v>3</v>
      </c>
      <c r="M486" s="214">
        <v>0</v>
      </c>
      <c r="N486" s="215">
        <v>3</v>
      </c>
      <c r="O486" s="209">
        <v>4080000</v>
      </c>
      <c r="P486" s="215">
        <v>3</v>
      </c>
      <c r="Q486" s="209">
        <v>23033700</v>
      </c>
      <c r="R486" s="216">
        <v>3</v>
      </c>
      <c r="S486" s="209">
        <v>3450000</v>
      </c>
      <c r="T486" s="206">
        <f t="shared" si="90"/>
        <v>12</v>
      </c>
      <c r="U486" s="164">
        <f t="shared" si="92"/>
        <v>100</v>
      </c>
      <c r="V486" s="143" t="s">
        <v>58</v>
      </c>
      <c r="W486" s="159">
        <f t="shared" si="89"/>
        <v>30563700</v>
      </c>
      <c r="X486" s="164">
        <f t="shared" si="93"/>
        <v>93.443254464463138</v>
      </c>
      <c r="Y486" s="143" t="s">
        <v>58</v>
      </c>
      <c r="Z486" s="206">
        <f t="shared" si="91"/>
        <v>24</v>
      </c>
      <c r="AA486" s="159">
        <f t="shared" si="94"/>
        <v>37368900</v>
      </c>
      <c r="AB486" s="149">
        <f t="shared" si="95"/>
        <v>66.666666666666657</v>
      </c>
      <c r="AC486" s="143" t="s">
        <v>58</v>
      </c>
      <c r="AD486" s="194">
        <f t="shared" si="96"/>
        <v>48.856665463844742</v>
      </c>
      <c r="AE486" s="162"/>
      <c r="AF486" s="1"/>
      <c r="AG486" s="1"/>
      <c r="AH486" s="163"/>
      <c r="AI486" s="1"/>
      <c r="AJ486" s="1"/>
      <c r="AK486" s="1"/>
    </row>
    <row r="487" spans="1:37" customFormat="1" ht="105">
      <c r="A487" s="151"/>
      <c r="B487" s="147"/>
      <c r="C487" s="153" t="s">
        <v>745</v>
      </c>
      <c r="D487" s="154" t="s">
        <v>728</v>
      </c>
      <c r="E487" s="155">
        <v>36</v>
      </c>
      <c r="F487" s="182" t="s">
        <v>55</v>
      </c>
      <c r="G487" s="195">
        <v>54980000</v>
      </c>
      <c r="H487" s="205">
        <v>12</v>
      </c>
      <c r="I487" s="157">
        <v>5440000</v>
      </c>
      <c r="J487" s="158">
        <v>12</v>
      </c>
      <c r="K487" s="157">
        <v>24770000</v>
      </c>
      <c r="L487" s="142">
        <v>3</v>
      </c>
      <c r="M487" s="157">
        <v>0</v>
      </c>
      <c r="N487" s="158">
        <v>3</v>
      </c>
      <c r="O487" s="157">
        <v>6930000</v>
      </c>
      <c r="P487" s="158">
        <v>3</v>
      </c>
      <c r="Q487" s="157">
        <v>8500000</v>
      </c>
      <c r="R487" s="212">
        <v>3</v>
      </c>
      <c r="S487" s="183">
        <v>6910000</v>
      </c>
      <c r="T487" s="206">
        <f t="shared" si="90"/>
        <v>12</v>
      </c>
      <c r="U487" s="164">
        <f t="shared" si="92"/>
        <v>100</v>
      </c>
      <c r="V487" s="143" t="s">
        <v>58</v>
      </c>
      <c r="W487" s="159">
        <f t="shared" si="89"/>
        <v>22340000</v>
      </c>
      <c r="X487" s="164">
        <f t="shared" si="93"/>
        <v>90.189745660072674</v>
      </c>
      <c r="Y487" s="143" t="s">
        <v>58</v>
      </c>
      <c r="Z487" s="206">
        <f t="shared" si="91"/>
        <v>24</v>
      </c>
      <c r="AA487" s="159">
        <f t="shared" si="94"/>
        <v>27780000</v>
      </c>
      <c r="AB487" s="149">
        <f t="shared" si="95"/>
        <v>66.666666666666657</v>
      </c>
      <c r="AC487" s="143" t="s">
        <v>58</v>
      </c>
      <c r="AD487" s="194">
        <f t="shared" si="96"/>
        <v>50.527464532557296</v>
      </c>
      <c r="AE487" s="162"/>
      <c r="AF487" s="1"/>
      <c r="AG487" s="1"/>
      <c r="AH487" s="163"/>
      <c r="AI487" s="1"/>
      <c r="AJ487" s="1"/>
      <c r="AK487" s="1"/>
    </row>
    <row r="488" spans="1:37" customFormat="1" ht="105">
      <c r="A488" s="151"/>
      <c r="B488" s="147"/>
      <c r="C488" s="153" t="s">
        <v>746</v>
      </c>
      <c r="D488" s="154" t="s">
        <v>728</v>
      </c>
      <c r="E488" s="155">
        <v>36</v>
      </c>
      <c r="F488" s="182" t="s">
        <v>55</v>
      </c>
      <c r="G488" s="195">
        <v>93042000</v>
      </c>
      <c r="H488" s="205">
        <v>12</v>
      </c>
      <c r="I488" s="157">
        <v>18112000</v>
      </c>
      <c r="J488" s="158">
        <v>12</v>
      </c>
      <c r="K488" s="157">
        <v>37052500</v>
      </c>
      <c r="L488" s="142">
        <v>3</v>
      </c>
      <c r="M488" s="207" t="s">
        <v>449</v>
      </c>
      <c r="N488" s="158">
        <v>3</v>
      </c>
      <c r="O488" s="157">
        <v>0</v>
      </c>
      <c r="P488" s="158">
        <v>3</v>
      </c>
      <c r="Q488" s="157">
        <v>13447500</v>
      </c>
      <c r="R488" s="212">
        <v>3</v>
      </c>
      <c r="S488" s="209">
        <v>22470000</v>
      </c>
      <c r="T488" s="206">
        <f t="shared" si="90"/>
        <v>12</v>
      </c>
      <c r="U488" s="164">
        <f t="shared" si="92"/>
        <v>100</v>
      </c>
      <c r="V488" s="143" t="s">
        <v>58</v>
      </c>
      <c r="W488" s="159">
        <f t="shared" si="89"/>
        <v>35917500</v>
      </c>
      <c r="X488" s="164">
        <f t="shared" si="93"/>
        <v>96.936778894811411</v>
      </c>
      <c r="Y488" s="143" t="s">
        <v>58</v>
      </c>
      <c r="Z488" s="206">
        <f t="shared" si="91"/>
        <v>24</v>
      </c>
      <c r="AA488" s="159">
        <f t="shared" si="94"/>
        <v>54029500</v>
      </c>
      <c r="AB488" s="149">
        <f t="shared" si="95"/>
        <v>66.666666666666657</v>
      </c>
      <c r="AC488" s="143" t="s">
        <v>58</v>
      </c>
      <c r="AD488" s="194">
        <f t="shared" si="96"/>
        <v>58.070011392704366</v>
      </c>
      <c r="AE488" s="162"/>
      <c r="AF488" s="1"/>
      <c r="AG488" s="1"/>
      <c r="AH488" s="163"/>
      <c r="AI488" s="1"/>
      <c r="AJ488" s="1"/>
      <c r="AK488" s="1"/>
    </row>
    <row r="489" spans="1:37" customFormat="1" ht="105">
      <c r="A489" s="151"/>
      <c r="B489" s="147"/>
      <c r="C489" s="153" t="s">
        <v>747</v>
      </c>
      <c r="D489" s="154" t="s">
        <v>728</v>
      </c>
      <c r="E489" s="155">
        <v>36</v>
      </c>
      <c r="F489" s="182" t="s">
        <v>55</v>
      </c>
      <c r="G489" s="195">
        <v>36669150</v>
      </c>
      <c r="H489" s="205">
        <v>12</v>
      </c>
      <c r="I489" s="157">
        <v>36654750</v>
      </c>
      <c r="J489" s="158">
        <v>12</v>
      </c>
      <c r="K489" s="157">
        <v>9120000</v>
      </c>
      <c r="L489" s="142">
        <v>3</v>
      </c>
      <c r="M489" s="207" t="s">
        <v>449</v>
      </c>
      <c r="N489" s="158">
        <v>3</v>
      </c>
      <c r="O489" s="157">
        <v>0</v>
      </c>
      <c r="P489" s="158">
        <v>3</v>
      </c>
      <c r="Q489" s="157">
        <v>5400000</v>
      </c>
      <c r="R489" s="205">
        <v>3</v>
      </c>
      <c r="S489" s="157">
        <v>3150000</v>
      </c>
      <c r="T489" s="206">
        <f t="shared" si="90"/>
        <v>12</v>
      </c>
      <c r="U489" s="164">
        <f t="shared" si="92"/>
        <v>100</v>
      </c>
      <c r="V489" s="143" t="s">
        <v>58</v>
      </c>
      <c r="W489" s="159">
        <f t="shared" si="89"/>
        <v>8550000</v>
      </c>
      <c r="X489" s="164">
        <f t="shared" si="93"/>
        <v>93.75</v>
      </c>
      <c r="Y489" s="143" t="s">
        <v>58</v>
      </c>
      <c r="Z489" s="206">
        <f t="shared" si="91"/>
        <v>24</v>
      </c>
      <c r="AA489" s="159">
        <f t="shared" si="94"/>
        <v>45204750</v>
      </c>
      <c r="AB489" s="149">
        <f t="shared" si="95"/>
        <v>66.666666666666657</v>
      </c>
      <c r="AC489" s="143" t="s">
        <v>58</v>
      </c>
      <c r="AD489" s="194">
        <f t="shared" si="96"/>
        <v>123.27733258065703</v>
      </c>
      <c r="AE489" s="162"/>
      <c r="AF489" s="1"/>
      <c r="AG489" s="1"/>
      <c r="AH489" s="163"/>
      <c r="AI489" s="1"/>
      <c r="AJ489" s="1"/>
      <c r="AK489" s="1"/>
    </row>
    <row r="490" spans="1:37" customFormat="1" ht="105">
      <c r="A490" s="151"/>
      <c r="B490" s="147"/>
      <c r="C490" s="153" t="s">
        <v>748</v>
      </c>
      <c r="D490" s="154" t="s">
        <v>728</v>
      </c>
      <c r="E490" s="155">
        <v>36</v>
      </c>
      <c r="F490" s="182" t="s">
        <v>55</v>
      </c>
      <c r="G490" s="195">
        <v>15350000</v>
      </c>
      <c r="H490" s="205">
        <v>12</v>
      </c>
      <c r="I490" s="157">
        <v>5280000</v>
      </c>
      <c r="J490" s="158">
        <v>12</v>
      </c>
      <c r="K490" s="157">
        <v>7253206</v>
      </c>
      <c r="L490" s="142">
        <v>3</v>
      </c>
      <c r="M490" s="207" t="s">
        <v>449</v>
      </c>
      <c r="N490" s="158">
        <v>3</v>
      </c>
      <c r="O490" s="157">
        <v>0</v>
      </c>
      <c r="P490" s="158">
        <v>3</v>
      </c>
      <c r="Q490" s="157">
        <v>1670000</v>
      </c>
      <c r="R490" s="205">
        <v>3</v>
      </c>
      <c r="S490" s="157">
        <v>4400000</v>
      </c>
      <c r="T490" s="206">
        <f t="shared" si="90"/>
        <v>12</v>
      </c>
      <c r="U490" s="164">
        <f t="shared" si="92"/>
        <v>100</v>
      </c>
      <c r="V490" s="143" t="s">
        <v>58</v>
      </c>
      <c r="W490" s="159">
        <f t="shared" si="89"/>
        <v>6070000</v>
      </c>
      <c r="X490" s="164">
        <f t="shared" si="93"/>
        <v>83.687130904595847</v>
      </c>
      <c r="Y490" s="143" t="s">
        <v>58</v>
      </c>
      <c r="Z490" s="206">
        <f t="shared" si="91"/>
        <v>24</v>
      </c>
      <c r="AA490" s="159">
        <f t="shared" si="94"/>
        <v>11350000</v>
      </c>
      <c r="AB490" s="149">
        <f t="shared" si="95"/>
        <v>66.666666666666657</v>
      </c>
      <c r="AC490" s="143" t="s">
        <v>58</v>
      </c>
      <c r="AD490" s="194">
        <f t="shared" si="96"/>
        <v>73.941368078175898</v>
      </c>
      <c r="AE490" s="162"/>
      <c r="AF490" s="1"/>
      <c r="AG490" s="1"/>
      <c r="AH490" s="163"/>
      <c r="AI490" s="1"/>
      <c r="AJ490" s="1"/>
      <c r="AK490" s="1"/>
    </row>
    <row r="491" spans="1:37" customFormat="1" ht="105">
      <c r="A491" s="151"/>
      <c r="B491" s="147"/>
      <c r="C491" s="153" t="s">
        <v>749</v>
      </c>
      <c r="D491" s="154" t="s">
        <v>728</v>
      </c>
      <c r="E491" s="155">
        <v>36</v>
      </c>
      <c r="F491" s="182" t="s">
        <v>55</v>
      </c>
      <c r="G491" s="195">
        <v>22158000</v>
      </c>
      <c r="H491" s="205">
        <v>12</v>
      </c>
      <c r="I491" s="157">
        <v>5730000</v>
      </c>
      <c r="J491" s="158">
        <v>12</v>
      </c>
      <c r="K491" s="157">
        <v>8214000</v>
      </c>
      <c r="L491" s="142">
        <v>3</v>
      </c>
      <c r="M491" s="207" t="s">
        <v>449</v>
      </c>
      <c r="N491" s="158">
        <v>3</v>
      </c>
      <c r="O491" s="157">
        <v>2240000</v>
      </c>
      <c r="P491" s="158">
        <v>3</v>
      </c>
      <c r="Q491" s="157">
        <v>2210000</v>
      </c>
      <c r="R491" s="212">
        <v>3</v>
      </c>
      <c r="S491" s="209">
        <v>3020000</v>
      </c>
      <c r="T491" s="206">
        <f t="shared" si="90"/>
        <v>12</v>
      </c>
      <c r="U491" s="164">
        <f t="shared" si="92"/>
        <v>100</v>
      </c>
      <c r="V491" s="143" t="s">
        <v>58</v>
      </c>
      <c r="W491" s="159">
        <f t="shared" si="89"/>
        <v>7470000</v>
      </c>
      <c r="X491" s="164">
        <f t="shared" si="93"/>
        <v>90.942293644996354</v>
      </c>
      <c r="Y491" s="143" t="s">
        <v>58</v>
      </c>
      <c r="Z491" s="206">
        <f t="shared" si="91"/>
        <v>24</v>
      </c>
      <c r="AA491" s="159">
        <f t="shared" si="94"/>
        <v>13200000</v>
      </c>
      <c r="AB491" s="149">
        <f t="shared" si="95"/>
        <v>66.666666666666657</v>
      </c>
      <c r="AC491" s="143" t="s">
        <v>58</v>
      </c>
      <c r="AD491" s="194">
        <f t="shared" si="96"/>
        <v>59.572163552667213</v>
      </c>
      <c r="AE491" s="162"/>
      <c r="AF491" s="1"/>
      <c r="AG491" s="1"/>
      <c r="AH491" s="163"/>
      <c r="AI491" s="1"/>
      <c r="AJ491" s="1"/>
      <c r="AK491" s="1"/>
    </row>
    <row r="492" spans="1:37" customFormat="1" ht="105">
      <c r="A492" s="151"/>
      <c r="B492" s="147"/>
      <c r="C492" s="153" t="s">
        <v>750</v>
      </c>
      <c r="D492" s="154" t="s">
        <v>751</v>
      </c>
      <c r="E492" s="155">
        <v>24</v>
      </c>
      <c r="F492" s="182" t="s">
        <v>55</v>
      </c>
      <c r="G492" s="195">
        <f>K492*2</f>
        <v>89046600</v>
      </c>
      <c r="H492" s="205"/>
      <c r="I492" s="157"/>
      <c r="J492" s="158">
        <v>12</v>
      </c>
      <c r="K492" s="157">
        <v>44523300</v>
      </c>
      <c r="L492" s="142">
        <v>3</v>
      </c>
      <c r="M492" s="157">
        <v>5918250</v>
      </c>
      <c r="N492" s="158">
        <v>3</v>
      </c>
      <c r="O492" s="157">
        <f>25560750-M492</f>
        <v>19642500</v>
      </c>
      <c r="P492" s="158">
        <v>3</v>
      </c>
      <c r="Q492" s="157">
        <f>25560750-M492-O492</f>
        <v>0</v>
      </c>
      <c r="R492" s="205">
        <v>3</v>
      </c>
      <c r="S492" s="157">
        <f>35865750-M492-O492</f>
        <v>10305000</v>
      </c>
      <c r="T492" s="206">
        <f t="shared" si="90"/>
        <v>12</v>
      </c>
      <c r="U492" s="164">
        <f t="shared" si="92"/>
        <v>100</v>
      </c>
      <c r="V492" s="143" t="s">
        <v>58</v>
      </c>
      <c r="W492" s="159">
        <f t="shared" si="89"/>
        <v>35865750</v>
      </c>
      <c r="X492" s="164">
        <f t="shared" si="93"/>
        <v>80.555012768595319</v>
      </c>
      <c r="Y492" s="143" t="s">
        <v>58</v>
      </c>
      <c r="Z492" s="206">
        <f t="shared" si="91"/>
        <v>12</v>
      </c>
      <c r="AA492" s="159">
        <f t="shared" si="94"/>
        <v>35865750</v>
      </c>
      <c r="AB492" s="149">
        <f t="shared" si="95"/>
        <v>50</v>
      </c>
      <c r="AC492" s="143" t="s">
        <v>58</v>
      </c>
      <c r="AD492" s="194">
        <f t="shared" si="96"/>
        <v>40.277506384297659</v>
      </c>
      <c r="AE492" s="162"/>
      <c r="AF492" s="1"/>
      <c r="AG492" s="1"/>
      <c r="AH492" s="163"/>
      <c r="AI492" s="1"/>
      <c r="AJ492" s="1"/>
      <c r="AK492" s="1"/>
    </row>
    <row r="493" spans="1:37" customFormat="1" ht="105">
      <c r="A493" s="151"/>
      <c r="B493" s="147"/>
      <c r="C493" s="153" t="s">
        <v>752</v>
      </c>
      <c r="D493" s="154" t="s">
        <v>751</v>
      </c>
      <c r="E493" s="155">
        <v>36</v>
      </c>
      <c r="F493" s="182" t="s">
        <v>55</v>
      </c>
      <c r="G493" s="195">
        <v>94646259</v>
      </c>
      <c r="H493" s="205">
        <v>12</v>
      </c>
      <c r="I493" s="157">
        <v>22452600</v>
      </c>
      <c r="J493" s="158">
        <v>12</v>
      </c>
      <c r="K493" s="157">
        <v>54725059</v>
      </c>
      <c r="L493" s="142">
        <v>3</v>
      </c>
      <c r="M493" s="207" t="s">
        <v>449</v>
      </c>
      <c r="N493" s="158">
        <v>3</v>
      </c>
      <c r="O493" s="157">
        <v>0</v>
      </c>
      <c r="P493" s="158">
        <v>3</v>
      </c>
      <c r="Q493" s="157">
        <v>0</v>
      </c>
      <c r="R493" s="205">
        <v>3</v>
      </c>
      <c r="S493" s="157">
        <v>51420000</v>
      </c>
      <c r="T493" s="206">
        <f t="shared" si="90"/>
        <v>12</v>
      </c>
      <c r="U493" s="164">
        <f t="shared" si="92"/>
        <v>100</v>
      </c>
      <c r="V493" s="143" t="s">
        <v>58</v>
      </c>
      <c r="W493" s="159">
        <f t="shared" si="89"/>
        <v>51420000</v>
      </c>
      <c r="X493" s="164">
        <f t="shared" si="93"/>
        <v>93.960611353566563</v>
      </c>
      <c r="Y493" s="143" t="s">
        <v>58</v>
      </c>
      <c r="Z493" s="206">
        <f t="shared" si="91"/>
        <v>24</v>
      </c>
      <c r="AA493" s="159">
        <f t="shared" si="94"/>
        <v>73872600</v>
      </c>
      <c r="AB493" s="149">
        <f t="shared" si="95"/>
        <v>66.666666666666657</v>
      </c>
      <c r="AC493" s="143" t="s">
        <v>58</v>
      </c>
      <c r="AD493" s="194">
        <f t="shared" si="96"/>
        <v>78.0512624381699</v>
      </c>
      <c r="AE493" s="162"/>
      <c r="AF493" s="1"/>
      <c r="AG493" s="1"/>
      <c r="AH493" s="163"/>
      <c r="AI493" s="1"/>
      <c r="AJ493" s="1"/>
      <c r="AK493" s="1"/>
    </row>
    <row r="494" spans="1:37" customFormat="1" ht="105">
      <c r="A494" s="151"/>
      <c r="B494" s="147"/>
      <c r="C494" s="153" t="s">
        <v>753</v>
      </c>
      <c r="D494" s="154" t="s">
        <v>751</v>
      </c>
      <c r="E494" s="155">
        <v>36</v>
      </c>
      <c r="F494" s="182" t="s">
        <v>55</v>
      </c>
      <c r="G494" s="195">
        <v>34263800</v>
      </c>
      <c r="H494" s="205">
        <v>12</v>
      </c>
      <c r="I494" s="157">
        <v>23027000</v>
      </c>
      <c r="J494" s="158">
        <v>12</v>
      </c>
      <c r="K494" s="157">
        <v>45496300</v>
      </c>
      <c r="L494" s="142">
        <v>3</v>
      </c>
      <c r="M494" s="207" t="s">
        <v>449</v>
      </c>
      <c r="N494" s="158">
        <v>3</v>
      </c>
      <c r="O494" s="157">
        <v>1222500</v>
      </c>
      <c r="P494" s="158">
        <v>3</v>
      </c>
      <c r="Q494" s="157">
        <v>2075000</v>
      </c>
      <c r="R494" s="205">
        <v>3</v>
      </c>
      <c r="S494" s="157">
        <v>41559000</v>
      </c>
      <c r="T494" s="206">
        <f t="shared" si="90"/>
        <v>12</v>
      </c>
      <c r="U494" s="164">
        <f t="shared" si="92"/>
        <v>100</v>
      </c>
      <c r="V494" s="143" t="s">
        <v>58</v>
      </c>
      <c r="W494" s="159">
        <f t="shared" si="89"/>
        <v>44856500</v>
      </c>
      <c r="X494" s="164">
        <f t="shared" si="93"/>
        <v>98.593731797970392</v>
      </c>
      <c r="Y494" s="143" t="s">
        <v>58</v>
      </c>
      <c r="Z494" s="206">
        <f t="shared" si="91"/>
        <v>24</v>
      </c>
      <c r="AA494" s="159">
        <f t="shared" si="94"/>
        <v>67883500</v>
      </c>
      <c r="AB494" s="149">
        <f t="shared" si="95"/>
        <v>66.666666666666657</v>
      </c>
      <c r="AC494" s="143" t="s">
        <v>58</v>
      </c>
      <c r="AD494" s="194">
        <f t="shared" si="96"/>
        <v>198.12017347754772</v>
      </c>
      <c r="AE494" s="162"/>
      <c r="AF494" s="1"/>
      <c r="AG494" s="1"/>
      <c r="AH494" s="163"/>
      <c r="AI494" s="1"/>
      <c r="AJ494" s="1"/>
      <c r="AK494" s="1"/>
    </row>
    <row r="495" spans="1:37" customFormat="1" ht="105">
      <c r="A495" s="151"/>
      <c r="B495" s="147"/>
      <c r="C495" s="153" t="s">
        <v>754</v>
      </c>
      <c r="D495" s="154" t="s">
        <v>751</v>
      </c>
      <c r="E495" s="155">
        <v>36</v>
      </c>
      <c r="F495" s="182" t="s">
        <v>55</v>
      </c>
      <c r="G495" s="195">
        <v>40567500</v>
      </c>
      <c r="H495" s="205">
        <v>12</v>
      </c>
      <c r="I495" s="157">
        <v>33527500</v>
      </c>
      <c r="J495" s="158">
        <v>12</v>
      </c>
      <c r="K495" s="157">
        <v>3520000</v>
      </c>
      <c r="L495" s="142">
        <v>3</v>
      </c>
      <c r="M495" s="207" t="s">
        <v>449</v>
      </c>
      <c r="N495" s="158">
        <v>3</v>
      </c>
      <c r="O495" s="157">
        <v>0</v>
      </c>
      <c r="P495" s="158">
        <v>3</v>
      </c>
      <c r="Q495" s="157">
        <v>2560000</v>
      </c>
      <c r="R495" s="205">
        <v>3</v>
      </c>
      <c r="S495" s="157">
        <v>880000</v>
      </c>
      <c r="T495" s="206">
        <f t="shared" si="90"/>
        <v>12</v>
      </c>
      <c r="U495" s="164">
        <f t="shared" si="92"/>
        <v>100</v>
      </c>
      <c r="V495" s="143" t="s">
        <v>58</v>
      </c>
      <c r="W495" s="159">
        <f t="shared" si="89"/>
        <v>3440000</v>
      </c>
      <c r="X495" s="164">
        <f t="shared" si="93"/>
        <v>97.727272727272734</v>
      </c>
      <c r="Y495" s="143" t="s">
        <v>58</v>
      </c>
      <c r="Z495" s="206">
        <f t="shared" si="91"/>
        <v>24</v>
      </c>
      <c r="AA495" s="159">
        <f t="shared" si="94"/>
        <v>36967500</v>
      </c>
      <c r="AB495" s="149">
        <f t="shared" si="95"/>
        <v>66.666666666666657</v>
      </c>
      <c r="AC495" s="143" t="s">
        <v>58</v>
      </c>
      <c r="AD495" s="194">
        <f t="shared" si="96"/>
        <v>91.125901275651685</v>
      </c>
      <c r="AE495" s="162"/>
      <c r="AF495" s="1"/>
      <c r="AG495" s="1"/>
      <c r="AH495" s="163"/>
      <c r="AI495" s="1"/>
      <c r="AJ495" s="1"/>
      <c r="AK495" s="1"/>
    </row>
    <row r="496" spans="1:37" customFormat="1" ht="105">
      <c r="A496" s="151"/>
      <c r="B496" s="147"/>
      <c r="C496" s="153" t="s">
        <v>755</v>
      </c>
      <c r="D496" s="154" t="s">
        <v>751</v>
      </c>
      <c r="E496" s="155">
        <v>36</v>
      </c>
      <c r="F496" s="182" t="s">
        <v>55</v>
      </c>
      <c r="G496" s="195">
        <v>64226600</v>
      </c>
      <c r="H496" s="205">
        <v>12</v>
      </c>
      <c r="I496" s="157">
        <v>32313250</v>
      </c>
      <c r="J496" s="158">
        <v>12</v>
      </c>
      <c r="K496" s="157">
        <v>12520000</v>
      </c>
      <c r="L496" s="142">
        <v>3</v>
      </c>
      <c r="M496" s="207" t="s">
        <v>449</v>
      </c>
      <c r="N496" s="158">
        <v>3</v>
      </c>
      <c r="O496" s="157">
        <v>150000</v>
      </c>
      <c r="P496" s="158">
        <v>3</v>
      </c>
      <c r="Q496" s="157">
        <v>2486000</v>
      </c>
      <c r="R496" s="205">
        <v>3</v>
      </c>
      <c r="S496" s="157">
        <v>9870000</v>
      </c>
      <c r="T496" s="206">
        <f t="shared" si="90"/>
        <v>12</v>
      </c>
      <c r="U496" s="164">
        <f t="shared" si="92"/>
        <v>100</v>
      </c>
      <c r="V496" s="143" t="s">
        <v>58</v>
      </c>
      <c r="W496" s="159">
        <f t="shared" si="89"/>
        <v>12506000</v>
      </c>
      <c r="X496" s="164">
        <f t="shared" si="93"/>
        <v>99.888178913738017</v>
      </c>
      <c r="Y496" s="143" t="s">
        <v>58</v>
      </c>
      <c r="Z496" s="206">
        <f t="shared" si="91"/>
        <v>24</v>
      </c>
      <c r="AA496" s="159">
        <f t="shared" si="94"/>
        <v>44819250</v>
      </c>
      <c r="AB496" s="149">
        <f t="shared" si="95"/>
        <v>66.666666666666657</v>
      </c>
      <c r="AC496" s="143" t="s">
        <v>58</v>
      </c>
      <c r="AD496" s="194">
        <f t="shared" si="96"/>
        <v>69.783002681132118</v>
      </c>
      <c r="AE496" s="162"/>
      <c r="AF496" s="1"/>
      <c r="AG496" s="1"/>
      <c r="AH496" s="163"/>
      <c r="AI496" s="1"/>
      <c r="AJ496" s="1"/>
      <c r="AK496" s="1"/>
    </row>
    <row r="497" spans="1:37" customFormat="1" ht="105">
      <c r="A497" s="151"/>
      <c r="B497" s="147"/>
      <c r="C497" s="153" t="s">
        <v>756</v>
      </c>
      <c r="D497" s="154" t="s">
        <v>751</v>
      </c>
      <c r="E497" s="155">
        <v>35</v>
      </c>
      <c r="F497" s="182" t="s">
        <v>55</v>
      </c>
      <c r="G497" s="195">
        <v>190107250</v>
      </c>
      <c r="H497" s="205">
        <v>12</v>
      </c>
      <c r="I497" s="157">
        <v>69365250</v>
      </c>
      <c r="J497" s="158">
        <v>12</v>
      </c>
      <c r="K497" s="157">
        <v>60371000</v>
      </c>
      <c r="L497" s="142">
        <v>3</v>
      </c>
      <c r="M497" s="207" t="s">
        <v>449</v>
      </c>
      <c r="N497" s="158">
        <v>3</v>
      </c>
      <c r="O497" s="157">
        <v>0</v>
      </c>
      <c r="P497" s="158">
        <v>3</v>
      </c>
      <c r="Q497" s="157">
        <v>50773000</v>
      </c>
      <c r="R497" s="205">
        <v>3</v>
      </c>
      <c r="S497" s="157">
        <v>8964000</v>
      </c>
      <c r="T497" s="206">
        <f t="shared" si="90"/>
        <v>12</v>
      </c>
      <c r="U497" s="164">
        <f t="shared" si="92"/>
        <v>100</v>
      </c>
      <c r="V497" s="143" t="s">
        <v>58</v>
      </c>
      <c r="W497" s="159">
        <f t="shared" si="89"/>
        <v>59737000</v>
      </c>
      <c r="X497" s="164">
        <f t="shared" si="93"/>
        <v>98.949826903645786</v>
      </c>
      <c r="Y497" s="143" t="s">
        <v>58</v>
      </c>
      <c r="Z497" s="206">
        <f t="shared" si="91"/>
        <v>24</v>
      </c>
      <c r="AA497" s="159">
        <f t="shared" si="94"/>
        <v>129102250</v>
      </c>
      <c r="AB497" s="149">
        <f t="shared" si="95"/>
        <v>68.571428571428569</v>
      </c>
      <c r="AC497" s="143" t="s">
        <v>58</v>
      </c>
      <c r="AD497" s="194">
        <f t="shared" si="96"/>
        <v>67.910219100008021</v>
      </c>
      <c r="AE497" s="162"/>
      <c r="AF497" s="1"/>
      <c r="AG497" s="1"/>
      <c r="AH497" s="163"/>
      <c r="AI497" s="1"/>
      <c r="AJ497" s="1"/>
      <c r="AK497" s="1"/>
    </row>
    <row r="498" spans="1:37" customFormat="1" ht="105">
      <c r="A498" s="151"/>
      <c r="B498" s="147"/>
      <c r="C498" s="153" t="s">
        <v>757</v>
      </c>
      <c r="D498" s="154" t="s">
        <v>751</v>
      </c>
      <c r="E498" s="155">
        <v>36</v>
      </c>
      <c r="F498" s="182" t="s">
        <v>55</v>
      </c>
      <c r="G498" s="195">
        <v>105727500</v>
      </c>
      <c r="H498" s="205">
        <v>12</v>
      </c>
      <c r="I498" s="157">
        <v>40727500</v>
      </c>
      <c r="J498" s="158">
        <v>12</v>
      </c>
      <c r="K498" s="157">
        <v>31030000</v>
      </c>
      <c r="L498" s="142">
        <v>3</v>
      </c>
      <c r="M498" s="207" t="s">
        <v>449</v>
      </c>
      <c r="N498" s="158">
        <v>3</v>
      </c>
      <c r="O498" s="157"/>
      <c r="P498" s="158">
        <v>3</v>
      </c>
      <c r="Q498" s="157">
        <v>15870000</v>
      </c>
      <c r="R498" s="205">
        <v>3</v>
      </c>
      <c r="S498" s="157">
        <v>15080000</v>
      </c>
      <c r="T498" s="206">
        <f t="shared" si="90"/>
        <v>12</v>
      </c>
      <c r="U498" s="164">
        <f t="shared" si="92"/>
        <v>100</v>
      </c>
      <c r="V498" s="143" t="s">
        <v>58</v>
      </c>
      <c r="W498" s="159">
        <f t="shared" si="89"/>
        <v>30950000</v>
      </c>
      <c r="X498" s="164">
        <f t="shared" si="93"/>
        <v>99.742184982275219</v>
      </c>
      <c r="Y498" s="143" t="s">
        <v>58</v>
      </c>
      <c r="Z498" s="206">
        <f t="shared" si="91"/>
        <v>24</v>
      </c>
      <c r="AA498" s="159">
        <f t="shared" si="94"/>
        <v>71677500</v>
      </c>
      <c r="AB498" s="149">
        <f t="shared" si="95"/>
        <v>66.666666666666657</v>
      </c>
      <c r="AC498" s="143" t="s">
        <v>58</v>
      </c>
      <c r="AD498" s="194">
        <f t="shared" si="96"/>
        <v>67.79456621976307</v>
      </c>
      <c r="AE498" s="162"/>
      <c r="AF498" s="1"/>
      <c r="AG498" s="1"/>
      <c r="AH498" s="163"/>
      <c r="AI498" s="1"/>
      <c r="AJ498" s="1"/>
      <c r="AK498" s="1"/>
    </row>
    <row r="499" spans="1:37" customFormat="1" ht="105">
      <c r="A499" s="151"/>
      <c r="B499" s="147"/>
      <c r="C499" s="153" t="s">
        <v>758</v>
      </c>
      <c r="D499" s="154" t="s">
        <v>751</v>
      </c>
      <c r="E499" s="155">
        <v>36</v>
      </c>
      <c r="F499" s="182" t="s">
        <v>55</v>
      </c>
      <c r="G499" s="195">
        <v>167514500</v>
      </c>
      <c r="H499" s="205">
        <v>12</v>
      </c>
      <c r="I499" s="157">
        <v>29420000</v>
      </c>
      <c r="J499" s="158">
        <v>12</v>
      </c>
      <c r="K499" s="157">
        <v>67617000</v>
      </c>
      <c r="L499" s="142">
        <v>3</v>
      </c>
      <c r="M499" s="207" t="s">
        <v>449</v>
      </c>
      <c r="N499" s="158">
        <v>3</v>
      </c>
      <c r="O499" s="157">
        <v>11897500</v>
      </c>
      <c r="P499" s="158">
        <v>3</v>
      </c>
      <c r="Q499" s="157">
        <v>11032500</v>
      </c>
      <c r="R499" s="205">
        <v>3</v>
      </c>
      <c r="S499" s="157">
        <v>44367000</v>
      </c>
      <c r="T499" s="206">
        <f t="shared" si="90"/>
        <v>12</v>
      </c>
      <c r="U499" s="164">
        <f t="shared" si="92"/>
        <v>100</v>
      </c>
      <c r="V499" s="143" t="s">
        <v>58</v>
      </c>
      <c r="W499" s="159">
        <f t="shared" si="89"/>
        <v>67297000</v>
      </c>
      <c r="X499" s="164">
        <f t="shared" si="93"/>
        <v>99.526746232456333</v>
      </c>
      <c r="Y499" s="143" t="s">
        <v>58</v>
      </c>
      <c r="Z499" s="206">
        <f t="shared" si="91"/>
        <v>24</v>
      </c>
      <c r="AA499" s="159">
        <f t="shared" si="94"/>
        <v>96717000</v>
      </c>
      <c r="AB499" s="149">
        <f t="shared" si="95"/>
        <v>66.666666666666657</v>
      </c>
      <c r="AC499" s="143" t="s">
        <v>58</v>
      </c>
      <c r="AD499" s="194">
        <f t="shared" si="96"/>
        <v>57.736494452719022</v>
      </c>
      <c r="AE499" s="162"/>
      <c r="AF499" s="1"/>
      <c r="AG499" s="1"/>
      <c r="AH499" s="163"/>
      <c r="AI499" s="1"/>
      <c r="AJ499" s="1"/>
      <c r="AK499" s="1"/>
    </row>
    <row r="500" spans="1:37" customFormat="1" ht="105">
      <c r="A500" s="151"/>
      <c r="B500" s="147"/>
      <c r="C500" s="153" t="s">
        <v>759</v>
      </c>
      <c r="D500" s="154" t="s">
        <v>751</v>
      </c>
      <c r="E500" s="155">
        <v>36</v>
      </c>
      <c r="F500" s="182" t="s">
        <v>55</v>
      </c>
      <c r="G500" s="195">
        <v>188137000</v>
      </c>
      <c r="H500" s="205">
        <v>12</v>
      </c>
      <c r="I500" s="157">
        <v>46281000</v>
      </c>
      <c r="J500" s="158">
        <v>12</v>
      </c>
      <c r="K500" s="157">
        <v>68118000</v>
      </c>
      <c r="L500" s="142">
        <v>3</v>
      </c>
      <c r="M500" s="207" t="s">
        <v>449</v>
      </c>
      <c r="N500" s="158">
        <v>3</v>
      </c>
      <c r="O500" s="157">
        <v>10395000</v>
      </c>
      <c r="P500" s="158">
        <v>3</v>
      </c>
      <c r="Q500" s="157">
        <v>26073000</v>
      </c>
      <c r="R500" s="205">
        <v>3</v>
      </c>
      <c r="S500" s="157">
        <v>29060000</v>
      </c>
      <c r="T500" s="206">
        <f t="shared" si="90"/>
        <v>12</v>
      </c>
      <c r="U500" s="164">
        <f t="shared" si="92"/>
        <v>100</v>
      </c>
      <c r="V500" s="143" t="s">
        <v>58</v>
      </c>
      <c r="W500" s="159">
        <f t="shared" si="89"/>
        <v>65528000</v>
      </c>
      <c r="X500" s="164">
        <f t="shared" si="93"/>
        <v>96.197774450218745</v>
      </c>
      <c r="Y500" s="143" t="s">
        <v>58</v>
      </c>
      <c r="Z500" s="206">
        <f t="shared" si="91"/>
        <v>24</v>
      </c>
      <c r="AA500" s="159">
        <f t="shared" si="94"/>
        <v>111809000</v>
      </c>
      <c r="AB500" s="149">
        <f t="shared" si="95"/>
        <v>66.666666666666657</v>
      </c>
      <c r="AC500" s="143" t="s">
        <v>58</v>
      </c>
      <c r="AD500" s="194">
        <f t="shared" si="96"/>
        <v>59.429564625778021</v>
      </c>
      <c r="AE500" s="162"/>
      <c r="AF500" s="1"/>
      <c r="AG500" s="1"/>
      <c r="AH500" s="163"/>
      <c r="AI500" s="1"/>
      <c r="AJ500" s="1"/>
      <c r="AK500" s="1"/>
    </row>
    <row r="501" spans="1:37" customFormat="1" ht="105">
      <c r="A501" s="151"/>
      <c r="B501" s="147"/>
      <c r="C501" s="153" t="s">
        <v>760</v>
      </c>
      <c r="D501" s="154" t="s">
        <v>751</v>
      </c>
      <c r="E501" s="155">
        <v>36</v>
      </c>
      <c r="F501" s="182" t="s">
        <v>55</v>
      </c>
      <c r="G501" s="195">
        <v>58416500</v>
      </c>
      <c r="H501" s="205">
        <v>12</v>
      </c>
      <c r="I501" s="157">
        <v>30392500</v>
      </c>
      <c r="J501" s="158">
        <v>12</v>
      </c>
      <c r="K501" s="157">
        <v>14012000</v>
      </c>
      <c r="L501" s="142">
        <v>3</v>
      </c>
      <c r="M501" s="207" t="s">
        <v>449</v>
      </c>
      <c r="N501" s="158">
        <v>3</v>
      </c>
      <c r="O501" s="157">
        <v>0</v>
      </c>
      <c r="P501" s="158">
        <v>3</v>
      </c>
      <c r="Q501" s="157">
        <v>0</v>
      </c>
      <c r="R501" s="205">
        <v>3</v>
      </c>
      <c r="S501" s="157">
        <v>14012000</v>
      </c>
      <c r="T501" s="206">
        <f t="shared" si="90"/>
        <v>12</v>
      </c>
      <c r="U501" s="164">
        <f t="shared" si="92"/>
        <v>100</v>
      </c>
      <c r="V501" s="143" t="s">
        <v>58</v>
      </c>
      <c r="W501" s="159">
        <f t="shared" si="89"/>
        <v>14012000</v>
      </c>
      <c r="X501" s="164">
        <f t="shared" si="93"/>
        <v>100</v>
      </c>
      <c r="Y501" s="143" t="s">
        <v>58</v>
      </c>
      <c r="Z501" s="206">
        <f t="shared" si="91"/>
        <v>24</v>
      </c>
      <c r="AA501" s="159">
        <f t="shared" si="94"/>
        <v>44404500</v>
      </c>
      <c r="AB501" s="149">
        <f t="shared" si="95"/>
        <v>66.666666666666657</v>
      </c>
      <c r="AC501" s="143" t="s">
        <v>58</v>
      </c>
      <c r="AD501" s="194">
        <f t="shared" si="96"/>
        <v>76.013626287093544</v>
      </c>
      <c r="AE501" s="162"/>
      <c r="AF501" s="1"/>
      <c r="AG501" s="1"/>
      <c r="AH501" s="163"/>
      <c r="AI501" s="1"/>
      <c r="AJ501" s="1"/>
      <c r="AK501" s="1"/>
    </row>
    <row r="502" spans="1:37" customFormat="1" ht="105">
      <c r="A502" s="151"/>
      <c r="B502" s="147"/>
      <c r="C502" s="153" t="s">
        <v>761</v>
      </c>
      <c r="D502" s="154" t="s">
        <v>751</v>
      </c>
      <c r="E502" s="155">
        <v>36</v>
      </c>
      <c r="F502" s="182" t="s">
        <v>55</v>
      </c>
      <c r="G502" s="195">
        <v>75020000</v>
      </c>
      <c r="H502" s="205">
        <v>12</v>
      </c>
      <c r="I502" s="157">
        <v>19418000</v>
      </c>
      <c r="J502" s="158">
        <v>12</v>
      </c>
      <c r="K502" s="157">
        <v>29224000</v>
      </c>
      <c r="L502" s="142">
        <v>3</v>
      </c>
      <c r="M502" s="207" t="s">
        <v>449</v>
      </c>
      <c r="N502" s="158">
        <v>3</v>
      </c>
      <c r="O502" s="157">
        <v>5025000</v>
      </c>
      <c r="P502" s="158">
        <v>3</v>
      </c>
      <c r="Q502" s="157">
        <v>14615000</v>
      </c>
      <c r="R502" s="205">
        <v>3</v>
      </c>
      <c r="S502" s="157">
        <v>6847500</v>
      </c>
      <c r="T502" s="206">
        <f t="shared" si="90"/>
        <v>12</v>
      </c>
      <c r="U502" s="164">
        <f t="shared" si="92"/>
        <v>100</v>
      </c>
      <c r="V502" s="143" t="s">
        <v>58</v>
      </c>
      <c r="W502" s="159">
        <f t="shared" si="89"/>
        <v>26487500</v>
      </c>
      <c r="X502" s="164">
        <f t="shared" si="93"/>
        <v>90.636120996441278</v>
      </c>
      <c r="Y502" s="143" t="s">
        <v>58</v>
      </c>
      <c r="Z502" s="206">
        <f t="shared" si="91"/>
        <v>24</v>
      </c>
      <c r="AA502" s="159">
        <f t="shared" si="94"/>
        <v>45905500</v>
      </c>
      <c r="AB502" s="149">
        <f t="shared" si="95"/>
        <v>66.666666666666657</v>
      </c>
      <c r="AC502" s="143" t="s">
        <v>58</v>
      </c>
      <c r="AD502" s="194">
        <f t="shared" si="96"/>
        <v>61.191015729138897</v>
      </c>
      <c r="AE502" s="162"/>
      <c r="AF502" s="1"/>
      <c r="AG502" s="1"/>
      <c r="AH502" s="163"/>
      <c r="AI502" s="1"/>
      <c r="AJ502" s="1"/>
      <c r="AK502" s="1"/>
    </row>
    <row r="503" spans="1:37" customFormat="1" ht="105">
      <c r="A503" s="151"/>
      <c r="B503" s="147"/>
      <c r="C503" s="153" t="s">
        <v>762</v>
      </c>
      <c r="D503" s="154" t="s">
        <v>751</v>
      </c>
      <c r="E503" s="155">
        <v>36</v>
      </c>
      <c r="F503" s="182" t="s">
        <v>55</v>
      </c>
      <c r="G503" s="195">
        <v>175862200</v>
      </c>
      <c r="H503" s="205">
        <v>12</v>
      </c>
      <c r="I503" s="157">
        <v>24980500</v>
      </c>
      <c r="J503" s="158">
        <v>12</v>
      </c>
      <c r="K503" s="157">
        <v>71494600</v>
      </c>
      <c r="L503" s="142">
        <v>3</v>
      </c>
      <c r="M503" s="207" t="s">
        <v>449</v>
      </c>
      <c r="N503" s="158">
        <v>3</v>
      </c>
      <c r="O503" s="157">
        <v>4240000</v>
      </c>
      <c r="P503" s="158">
        <v>3</v>
      </c>
      <c r="Q503" s="157">
        <v>22592500</v>
      </c>
      <c r="R503" s="205">
        <v>3</v>
      </c>
      <c r="S503" s="157">
        <v>69790000</v>
      </c>
      <c r="T503" s="206">
        <f t="shared" si="90"/>
        <v>12</v>
      </c>
      <c r="U503" s="164">
        <f t="shared" si="92"/>
        <v>100</v>
      </c>
      <c r="V503" s="143" t="s">
        <v>58</v>
      </c>
      <c r="W503" s="159">
        <f t="shared" si="89"/>
        <v>96622500</v>
      </c>
      <c r="X503" s="164">
        <f t="shared" si="93"/>
        <v>135.14657051022033</v>
      </c>
      <c r="Y503" s="143" t="s">
        <v>58</v>
      </c>
      <c r="Z503" s="206">
        <f t="shared" si="91"/>
        <v>24</v>
      </c>
      <c r="AA503" s="159">
        <f t="shared" si="94"/>
        <v>121603000</v>
      </c>
      <c r="AB503" s="149">
        <f t="shared" si="95"/>
        <v>66.666666666666657</v>
      </c>
      <c r="AC503" s="143" t="s">
        <v>58</v>
      </c>
      <c r="AD503" s="194">
        <f t="shared" si="96"/>
        <v>69.146752400458993</v>
      </c>
      <c r="AE503" s="162"/>
      <c r="AF503" s="1"/>
      <c r="AG503" s="1"/>
      <c r="AH503" s="163"/>
      <c r="AI503" s="1"/>
      <c r="AJ503" s="1"/>
      <c r="AK503" s="1"/>
    </row>
    <row r="504" spans="1:37" customFormat="1" ht="105">
      <c r="A504" s="151"/>
      <c r="B504" s="147"/>
      <c r="C504" s="153" t="s">
        <v>763</v>
      </c>
      <c r="D504" s="154" t="s">
        <v>751</v>
      </c>
      <c r="E504" s="155">
        <v>36</v>
      </c>
      <c r="F504" s="182" t="s">
        <v>55</v>
      </c>
      <c r="G504" s="195">
        <v>43355100</v>
      </c>
      <c r="H504" s="205">
        <v>12</v>
      </c>
      <c r="I504" s="157">
        <v>24941000</v>
      </c>
      <c r="J504" s="158">
        <v>12</v>
      </c>
      <c r="K504" s="157">
        <v>5580200</v>
      </c>
      <c r="L504" s="142">
        <v>3</v>
      </c>
      <c r="M504" s="207" t="s">
        <v>449</v>
      </c>
      <c r="N504" s="158">
        <v>3</v>
      </c>
      <c r="O504" s="157">
        <v>0</v>
      </c>
      <c r="P504" s="158">
        <v>3</v>
      </c>
      <c r="Q504" s="157">
        <v>910000</v>
      </c>
      <c r="R504" s="212">
        <v>3</v>
      </c>
      <c r="S504" s="209">
        <v>980000</v>
      </c>
      <c r="T504" s="206">
        <f t="shared" si="90"/>
        <v>12</v>
      </c>
      <c r="U504" s="164">
        <f t="shared" si="92"/>
        <v>100</v>
      </c>
      <c r="V504" s="143" t="s">
        <v>58</v>
      </c>
      <c r="W504" s="159">
        <f t="shared" si="89"/>
        <v>1890000</v>
      </c>
      <c r="X504" s="164">
        <f t="shared" si="93"/>
        <v>33.869753772266229</v>
      </c>
      <c r="Y504" s="143" t="s">
        <v>58</v>
      </c>
      <c r="Z504" s="206">
        <f t="shared" si="91"/>
        <v>24</v>
      </c>
      <c r="AA504" s="159">
        <f t="shared" si="94"/>
        <v>26831000</v>
      </c>
      <c r="AB504" s="149">
        <f t="shared" si="95"/>
        <v>66.666666666666657</v>
      </c>
      <c r="AC504" s="143" t="s">
        <v>58</v>
      </c>
      <c r="AD504" s="194">
        <f t="shared" si="96"/>
        <v>61.886606189352577</v>
      </c>
      <c r="AE504" s="162"/>
      <c r="AF504" s="1"/>
      <c r="AG504" s="1"/>
      <c r="AH504" s="163"/>
      <c r="AI504" s="1"/>
      <c r="AJ504" s="1"/>
      <c r="AK504" s="1"/>
    </row>
    <row r="505" spans="1:37" customFormat="1" ht="105">
      <c r="A505" s="151"/>
      <c r="B505" s="147"/>
      <c r="C505" s="153" t="s">
        <v>764</v>
      </c>
      <c r="D505" s="154" t="s">
        <v>751</v>
      </c>
      <c r="E505" s="155">
        <v>36</v>
      </c>
      <c r="F505" s="182" t="s">
        <v>55</v>
      </c>
      <c r="G505" s="195">
        <v>73100000</v>
      </c>
      <c r="H505" s="205">
        <v>12</v>
      </c>
      <c r="I505" s="157">
        <v>19080000</v>
      </c>
      <c r="J505" s="158">
        <v>12</v>
      </c>
      <c r="K505" s="157">
        <v>24775000</v>
      </c>
      <c r="L505" s="142">
        <v>3</v>
      </c>
      <c r="M505" s="207" t="s">
        <v>449</v>
      </c>
      <c r="N505" s="158">
        <v>3</v>
      </c>
      <c r="O505" s="157">
        <v>0</v>
      </c>
      <c r="P505" s="158">
        <v>3</v>
      </c>
      <c r="Q505" s="157">
        <v>9580000</v>
      </c>
      <c r="R505" s="212">
        <v>3</v>
      </c>
      <c r="S505" s="209">
        <v>14795000</v>
      </c>
      <c r="T505" s="206">
        <f t="shared" si="90"/>
        <v>12</v>
      </c>
      <c r="U505" s="164">
        <f t="shared" si="92"/>
        <v>100</v>
      </c>
      <c r="V505" s="143" t="s">
        <v>58</v>
      </c>
      <c r="W505" s="159">
        <f t="shared" si="89"/>
        <v>24375000</v>
      </c>
      <c r="X505" s="164">
        <f t="shared" si="93"/>
        <v>98.385469223007064</v>
      </c>
      <c r="Y505" s="143" t="s">
        <v>58</v>
      </c>
      <c r="Z505" s="206">
        <f t="shared" si="91"/>
        <v>24</v>
      </c>
      <c r="AA505" s="159">
        <f t="shared" si="94"/>
        <v>43455000</v>
      </c>
      <c r="AB505" s="149">
        <f t="shared" si="95"/>
        <v>66.666666666666657</v>
      </c>
      <c r="AC505" s="143" t="s">
        <v>58</v>
      </c>
      <c r="AD505" s="194">
        <f t="shared" si="96"/>
        <v>59.445964432284541</v>
      </c>
      <c r="AE505" s="162"/>
      <c r="AF505" s="1"/>
      <c r="AG505" s="1"/>
      <c r="AH505" s="163"/>
      <c r="AI505" s="1"/>
      <c r="AJ505" s="1"/>
      <c r="AK505" s="1"/>
    </row>
    <row r="506" spans="1:37" customFormat="1" ht="105">
      <c r="A506" s="151"/>
      <c r="B506" s="147"/>
      <c r="C506" s="153" t="s">
        <v>765</v>
      </c>
      <c r="D506" s="154" t="s">
        <v>751</v>
      </c>
      <c r="E506" s="155">
        <v>36</v>
      </c>
      <c r="F506" s="182" t="s">
        <v>55</v>
      </c>
      <c r="G506" s="195">
        <v>100582600</v>
      </c>
      <c r="H506" s="205">
        <v>12</v>
      </c>
      <c r="I506" s="157">
        <v>49042600</v>
      </c>
      <c r="J506" s="158">
        <v>12</v>
      </c>
      <c r="K506" s="157">
        <v>25770000</v>
      </c>
      <c r="L506" s="142">
        <v>3</v>
      </c>
      <c r="M506" s="207" t="s">
        <v>449</v>
      </c>
      <c r="N506" s="158">
        <v>3</v>
      </c>
      <c r="O506" s="157">
        <v>2400000</v>
      </c>
      <c r="P506" s="158">
        <v>3</v>
      </c>
      <c r="Q506" s="157">
        <v>19340000</v>
      </c>
      <c r="R506" s="212">
        <v>3</v>
      </c>
      <c r="S506" s="209">
        <v>29111250</v>
      </c>
      <c r="T506" s="206">
        <f t="shared" si="90"/>
        <v>12</v>
      </c>
      <c r="U506" s="164">
        <f t="shared" si="92"/>
        <v>100</v>
      </c>
      <c r="V506" s="143" t="s">
        <v>58</v>
      </c>
      <c r="W506" s="159">
        <f t="shared" si="89"/>
        <v>50851250</v>
      </c>
      <c r="X506" s="164">
        <f t="shared" si="93"/>
        <v>197.32731858750486</v>
      </c>
      <c r="Y506" s="143" t="s">
        <v>58</v>
      </c>
      <c r="Z506" s="206">
        <f t="shared" si="91"/>
        <v>24</v>
      </c>
      <c r="AA506" s="159">
        <f t="shared" si="94"/>
        <v>99893850</v>
      </c>
      <c r="AB506" s="149">
        <f t="shared" si="95"/>
        <v>66.666666666666657</v>
      </c>
      <c r="AC506" s="143" t="s">
        <v>58</v>
      </c>
      <c r="AD506" s="194">
        <f t="shared" si="96"/>
        <v>99.315239415167227</v>
      </c>
      <c r="AE506" s="162"/>
      <c r="AF506" s="1"/>
      <c r="AG506" s="1"/>
      <c r="AH506" s="163"/>
      <c r="AI506" s="1"/>
      <c r="AJ506" s="1"/>
      <c r="AK506" s="1"/>
    </row>
    <row r="507" spans="1:37" customFormat="1" ht="105">
      <c r="A507" s="151"/>
      <c r="B507" s="147"/>
      <c r="C507" s="153" t="s">
        <v>766</v>
      </c>
      <c r="D507" s="154" t="s">
        <v>751</v>
      </c>
      <c r="E507" s="155">
        <v>36</v>
      </c>
      <c r="F507" s="182" t="s">
        <v>55</v>
      </c>
      <c r="G507" s="195">
        <v>96002000</v>
      </c>
      <c r="H507" s="205">
        <v>12</v>
      </c>
      <c r="I507" s="157">
        <v>18467000</v>
      </c>
      <c r="J507" s="158">
        <v>12</v>
      </c>
      <c r="K507" s="157">
        <v>27183500</v>
      </c>
      <c r="L507" s="213">
        <v>3</v>
      </c>
      <c r="M507" s="214">
        <v>0</v>
      </c>
      <c r="N507" s="215">
        <v>3</v>
      </c>
      <c r="O507" s="209">
        <v>10870000</v>
      </c>
      <c r="P507" s="215">
        <v>3</v>
      </c>
      <c r="Q507" s="209">
        <v>9812500</v>
      </c>
      <c r="R507" s="216">
        <v>3</v>
      </c>
      <c r="S507" s="209">
        <v>5611800</v>
      </c>
      <c r="T507" s="206">
        <f t="shared" si="90"/>
        <v>12</v>
      </c>
      <c r="U507" s="164">
        <f t="shared" si="92"/>
        <v>100</v>
      </c>
      <c r="V507" s="143" t="s">
        <v>58</v>
      </c>
      <c r="W507" s="159">
        <f t="shared" si="89"/>
        <v>26294300</v>
      </c>
      <c r="X507" s="164">
        <f t="shared" si="93"/>
        <v>96.728898044769807</v>
      </c>
      <c r="Y507" s="143" t="s">
        <v>58</v>
      </c>
      <c r="Z507" s="206">
        <f t="shared" si="91"/>
        <v>24</v>
      </c>
      <c r="AA507" s="159">
        <f t="shared" si="94"/>
        <v>44761300</v>
      </c>
      <c r="AB507" s="149">
        <f t="shared" si="95"/>
        <v>66.666666666666657</v>
      </c>
      <c r="AC507" s="143" t="s">
        <v>58</v>
      </c>
      <c r="AD507" s="194">
        <f t="shared" si="96"/>
        <v>46.625382804524904</v>
      </c>
      <c r="AE507" s="162"/>
      <c r="AF507" s="1"/>
      <c r="AG507" s="1"/>
      <c r="AH507" s="163"/>
      <c r="AI507" s="1"/>
      <c r="AJ507" s="1"/>
      <c r="AK507" s="1"/>
    </row>
    <row r="508" spans="1:37" customFormat="1" ht="105">
      <c r="A508" s="151"/>
      <c r="B508" s="147"/>
      <c r="C508" s="153" t="s">
        <v>767</v>
      </c>
      <c r="D508" s="154" t="s">
        <v>751</v>
      </c>
      <c r="E508" s="155">
        <v>36</v>
      </c>
      <c r="F508" s="182" t="s">
        <v>55</v>
      </c>
      <c r="G508" s="195">
        <v>143397700</v>
      </c>
      <c r="H508" s="205">
        <v>12</v>
      </c>
      <c r="I508" s="157">
        <v>14552700</v>
      </c>
      <c r="J508" s="158">
        <v>12</v>
      </c>
      <c r="K508" s="157">
        <v>102105000</v>
      </c>
      <c r="L508" s="142">
        <v>3</v>
      </c>
      <c r="M508" s="157">
        <v>0</v>
      </c>
      <c r="N508" s="158">
        <v>3</v>
      </c>
      <c r="O508" s="157">
        <v>17090000</v>
      </c>
      <c r="P508" s="158">
        <v>3</v>
      </c>
      <c r="Q508" s="157">
        <v>52260000</v>
      </c>
      <c r="R508" s="212">
        <v>3</v>
      </c>
      <c r="S508" s="209">
        <v>29815000</v>
      </c>
      <c r="T508" s="206">
        <f t="shared" si="90"/>
        <v>12</v>
      </c>
      <c r="U508" s="164">
        <f t="shared" si="92"/>
        <v>100</v>
      </c>
      <c r="V508" s="143" t="s">
        <v>58</v>
      </c>
      <c r="W508" s="159">
        <f t="shared" si="89"/>
        <v>99165000</v>
      </c>
      <c r="X508" s="164">
        <f t="shared" si="93"/>
        <v>97.120611135595709</v>
      </c>
      <c r="Y508" s="143" t="s">
        <v>58</v>
      </c>
      <c r="Z508" s="206">
        <f t="shared" si="91"/>
        <v>24</v>
      </c>
      <c r="AA508" s="159">
        <f t="shared" si="94"/>
        <v>113717700</v>
      </c>
      <c r="AB508" s="149">
        <f t="shared" si="95"/>
        <v>66.666666666666657</v>
      </c>
      <c r="AC508" s="143" t="s">
        <v>58</v>
      </c>
      <c r="AD508" s="194">
        <f t="shared" si="96"/>
        <v>79.302317959074657</v>
      </c>
      <c r="AE508" s="162"/>
      <c r="AF508" s="1"/>
      <c r="AG508" s="1"/>
      <c r="AH508" s="163"/>
      <c r="AI508" s="1"/>
      <c r="AJ508" s="1"/>
      <c r="AK508" s="1"/>
    </row>
    <row r="509" spans="1:37" customFormat="1" ht="105">
      <c r="A509" s="151"/>
      <c r="B509" s="147"/>
      <c r="C509" s="153" t="s">
        <v>768</v>
      </c>
      <c r="D509" s="154" t="s">
        <v>751</v>
      </c>
      <c r="E509" s="155">
        <v>36</v>
      </c>
      <c r="F509" s="182" t="s">
        <v>55</v>
      </c>
      <c r="G509" s="195">
        <v>119845000</v>
      </c>
      <c r="H509" s="205">
        <v>12</v>
      </c>
      <c r="I509" s="157">
        <v>47431000</v>
      </c>
      <c r="J509" s="158">
        <v>12</v>
      </c>
      <c r="K509" s="157">
        <v>35125000</v>
      </c>
      <c r="L509" s="142">
        <v>3</v>
      </c>
      <c r="M509" s="207" t="s">
        <v>449</v>
      </c>
      <c r="N509" s="158">
        <v>3</v>
      </c>
      <c r="O509" s="157">
        <v>0</v>
      </c>
      <c r="P509" s="158">
        <v>3</v>
      </c>
      <c r="Q509" s="157">
        <v>23120000</v>
      </c>
      <c r="R509" s="212">
        <v>3</v>
      </c>
      <c r="S509" s="209">
        <v>11925000</v>
      </c>
      <c r="T509" s="206">
        <f t="shared" si="90"/>
        <v>12</v>
      </c>
      <c r="U509" s="164">
        <f t="shared" si="92"/>
        <v>100</v>
      </c>
      <c r="V509" s="143" t="s">
        <v>58</v>
      </c>
      <c r="W509" s="159">
        <f t="shared" si="89"/>
        <v>35045000</v>
      </c>
      <c r="X509" s="164">
        <f t="shared" si="93"/>
        <v>99.772241992882556</v>
      </c>
      <c r="Y509" s="143" t="s">
        <v>58</v>
      </c>
      <c r="Z509" s="206">
        <f t="shared" si="91"/>
        <v>24</v>
      </c>
      <c r="AA509" s="159">
        <f t="shared" si="94"/>
        <v>82476000</v>
      </c>
      <c r="AB509" s="149">
        <f t="shared" si="95"/>
        <v>66.666666666666657</v>
      </c>
      <c r="AC509" s="143" t="s">
        <v>58</v>
      </c>
      <c r="AD509" s="194">
        <f t="shared" si="96"/>
        <v>68.818891067629011</v>
      </c>
      <c r="AE509" s="162"/>
      <c r="AF509" s="1"/>
      <c r="AG509" s="1"/>
      <c r="AH509" s="163"/>
      <c r="AI509" s="1"/>
      <c r="AJ509" s="1"/>
      <c r="AK509" s="1"/>
    </row>
    <row r="510" spans="1:37" customFormat="1" ht="105">
      <c r="A510" s="151"/>
      <c r="B510" s="147"/>
      <c r="C510" s="153" t="s">
        <v>769</v>
      </c>
      <c r="D510" s="154" t="s">
        <v>751</v>
      </c>
      <c r="E510" s="155">
        <v>36</v>
      </c>
      <c r="F510" s="182" t="s">
        <v>55</v>
      </c>
      <c r="G510" s="195">
        <v>106231800</v>
      </c>
      <c r="H510" s="205">
        <v>12</v>
      </c>
      <c r="I510" s="157">
        <v>44853000</v>
      </c>
      <c r="J510" s="158">
        <v>12</v>
      </c>
      <c r="K510" s="157">
        <v>30689400</v>
      </c>
      <c r="L510" s="142">
        <v>3</v>
      </c>
      <c r="M510" s="207" t="s">
        <v>449</v>
      </c>
      <c r="N510" s="158">
        <v>3</v>
      </c>
      <c r="O510" s="157">
        <v>0</v>
      </c>
      <c r="P510" s="158">
        <v>3</v>
      </c>
      <c r="Q510" s="157">
        <v>10172500</v>
      </c>
      <c r="R510" s="205">
        <v>3</v>
      </c>
      <c r="S510" s="157">
        <v>8223900</v>
      </c>
      <c r="T510" s="206">
        <f t="shared" si="90"/>
        <v>12</v>
      </c>
      <c r="U510" s="164">
        <f t="shared" si="92"/>
        <v>100</v>
      </c>
      <c r="V510" s="143" t="s">
        <v>58</v>
      </c>
      <c r="W510" s="159">
        <f t="shared" si="89"/>
        <v>18396400</v>
      </c>
      <c r="X510" s="164">
        <f t="shared" si="93"/>
        <v>59.943824252021869</v>
      </c>
      <c r="Y510" s="143" t="s">
        <v>58</v>
      </c>
      <c r="Z510" s="206">
        <f t="shared" si="91"/>
        <v>24</v>
      </c>
      <c r="AA510" s="159">
        <f t="shared" si="94"/>
        <v>63249400</v>
      </c>
      <c r="AB510" s="149">
        <f t="shared" si="95"/>
        <v>66.666666666666657</v>
      </c>
      <c r="AC510" s="143" t="s">
        <v>58</v>
      </c>
      <c r="AD510" s="194">
        <f t="shared" si="96"/>
        <v>59.539045747130338</v>
      </c>
      <c r="AE510" s="162"/>
      <c r="AF510" s="1"/>
      <c r="AG510" s="1"/>
      <c r="AH510" s="163"/>
      <c r="AI510" s="1"/>
      <c r="AJ510" s="1"/>
      <c r="AK510" s="1"/>
    </row>
    <row r="511" spans="1:37" customFormat="1" ht="105">
      <c r="A511" s="151"/>
      <c r="B511" s="147"/>
      <c r="C511" s="153" t="s">
        <v>770</v>
      </c>
      <c r="D511" s="154" t="s">
        <v>751</v>
      </c>
      <c r="E511" s="155">
        <v>36</v>
      </c>
      <c r="F511" s="182" t="s">
        <v>55</v>
      </c>
      <c r="G511" s="195">
        <v>99852000</v>
      </c>
      <c r="H511" s="205">
        <v>12</v>
      </c>
      <c r="I511" s="157">
        <v>46120000</v>
      </c>
      <c r="J511" s="158">
        <v>12</v>
      </c>
      <c r="K511" s="157">
        <v>23391000</v>
      </c>
      <c r="L511" s="142">
        <v>3</v>
      </c>
      <c r="M511" s="207" t="s">
        <v>449</v>
      </c>
      <c r="N511" s="158">
        <v>3</v>
      </c>
      <c r="O511" s="157">
        <v>6105000</v>
      </c>
      <c r="P511" s="158">
        <v>3</v>
      </c>
      <c r="Q511" s="157">
        <v>12335000</v>
      </c>
      <c r="R511" s="205">
        <v>3</v>
      </c>
      <c r="S511" s="157">
        <v>4095000</v>
      </c>
      <c r="T511" s="206">
        <f t="shared" si="90"/>
        <v>12</v>
      </c>
      <c r="U511" s="164">
        <f t="shared" si="92"/>
        <v>100</v>
      </c>
      <c r="V511" s="143" t="s">
        <v>58</v>
      </c>
      <c r="W511" s="159">
        <f t="shared" si="89"/>
        <v>22535000</v>
      </c>
      <c r="X511" s="164">
        <f t="shared" si="93"/>
        <v>96.340472831430887</v>
      </c>
      <c r="Y511" s="143" t="s">
        <v>58</v>
      </c>
      <c r="Z511" s="206">
        <f t="shared" si="91"/>
        <v>24</v>
      </c>
      <c r="AA511" s="159">
        <f t="shared" si="94"/>
        <v>68655000</v>
      </c>
      <c r="AB511" s="149">
        <f t="shared" si="95"/>
        <v>66.666666666666657</v>
      </c>
      <c r="AC511" s="143" t="s">
        <v>58</v>
      </c>
      <c r="AD511" s="194">
        <f t="shared" si="96"/>
        <v>68.75676000480712</v>
      </c>
      <c r="AE511" s="162"/>
      <c r="AF511" s="1"/>
      <c r="AG511" s="1"/>
      <c r="AH511" s="163"/>
      <c r="AI511" s="1"/>
      <c r="AJ511" s="1"/>
      <c r="AK511" s="1"/>
    </row>
    <row r="512" spans="1:37" customFormat="1" ht="105">
      <c r="A512" s="151"/>
      <c r="B512" s="147"/>
      <c r="C512" s="153" t="s">
        <v>771</v>
      </c>
      <c r="D512" s="154" t="s">
        <v>751</v>
      </c>
      <c r="E512" s="155">
        <v>36</v>
      </c>
      <c r="F512" s="182" t="s">
        <v>55</v>
      </c>
      <c r="G512" s="195">
        <v>124950000</v>
      </c>
      <c r="H512" s="205"/>
      <c r="I512" s="157">
        <v>35990000</v>
      </c>
      <c r="J512" s="158">
        <v>12</v>
      </c>
      <c r="K512" s="157">
        <v>44480000</v>
      </c>
      <c r="L512" s="142">
        <v>3</v>
      </c>
      <c r="M512" s="207" t="s">
        <v>449</v>
      </c>
      <c r="N512" s="158">
        <v>3</v>
      </c>
      <c r="O512" s="157">
        <v>880000</v>
      </c>
      <c r="P512" s="158">
        <v>3</v>
      </c>
      <c r="Q512" s="157">
        <v>3920000</v>
      </c>
      <c r="R512" s="212">
        <v>3</v>
      </c>
      <c r="S512" s="209">
        <v>37582500</v>
      </c>
      <c r="T512" s="206">
        <f t="shared" si="90"/>
        <v>12</v>
      </c>
      <c r="U512" s="164">
        <f t="shared" si="92"/>
        <v>100</v>
      </c>
      <c r="V512" s="143" t="s">
        <v>58</v>
      </c>
      <c r="W512" s="159">
        <f t="shared" si="89"/>
        <v>42382500</v>
      </c>
      <c r="X512" s="164">
        <f t="shared" si="93"/>
        <v>95.284397482014398</v>
      </c>
      <c r="Y512" s="143" t="s">
        <v>58</v>
      </c>
      <c r="Z512" s="206">
        <f t="shared" si="91"/>
        <v>12</v>
      </c>
      <c r="AA512" s="159">
        <f t="shared" si="94"/>
        <v>78372500</v>
      </c>
      <c r="AB512" s="149">
        <f t="shared" si="95"/>
        <v>33.333333333333329</v>
      </c>
      <c r="AC512" s="143" t="s">
        <v>58</v>
      </c>
      <c r="AD512" s="194">
        <f t="shared" si="96"/>
        <v>62.723089235694275</v>
      </c>
      <c r="AE512" s="162"/>
      <c r="AF512" s="1"/>
      <c r="AG512" s="1"/>
      <c r="AH512" s="163"/>
      <c r="AI512" s="1"/>
      <c r="AJ512" s="1"/>
      <c r="AK512" s="1"/>
    </row>
    <row r="513" spans="1:37" customFormat="1" ht="180">
      <c r="A513" s="151"/>
      <c r="B513" s="147"/>
      <c r="C513" s="153" t="s">
        <v>772</v>
      </c>
      <c r="D513" s="154" t="s">
        <v>773</v>
      </c>
      <c r="E513" s="155">
        <v>21</v>
      </c>
      <c r="F513" s="182" t="s">
        <v>55</v>
      </c>
      <c r="G513" s="195">
        <v>21049800</v>
      </c>
      <c r="H513" s="158">
        <v>10</v>
      </c>
      <c r="I513" s="157">
        <v>10525000</v>
      </c>
      <c r="J513" s="158">
        <v>10</v>
      </c>
      <c r="K513" s="157">
        <v>10524800</v>
      </c>
      <c r="L513" s="142">
        <v>0</v>
      </c>
      <c r="M513" s="157">
        <v>0</v>
      </c>
      <c r="N513" s="158">
        <v>3</v>
      </c>
      <c r="O513" s="157">
        <v>0</v>
      </c>
      <c r="P513" s="158">
        <v>7</v>
      </c>
      <c r="Q513" s="157">
        <v>10375000</v>
      </c>
      <c r="R513" s="158">
        <v>0</v>
      </c>
      <c r="S513" s="157">
        <v>0</v>
      </c>
      <c r="T513" s="142">
        <f t="shared" si="90"/>
        <v>10</v>
      </c>
      <c r="U513" s="143">
        <f t="shared" si="92"/>
        <v>100</v>
      </c>
      <c r="V513" s="143" t="s">
        <v>58</v>
      </c>
      <c r="W513" s="159">
        <f t="shared" si="89"/>
        <v>10375000</v>
      </c>
      <c r="X513" s="143">
        <f t="shared" si="93"/>
        <v>98.57669504408635</v>
      </c>
      <c r="Y513" s="143" t="s">
        <v>58</v>
      </c>
      <c r="Z513" s="143">
        <f t="shared" si="91"/>
        <v>20</v>
      </c>
      <c r="AA513" s="159">
        <f t="shared" si="94"/>
        <v>20900000</v>
      </c>
      <c r="AB513" s="149">
        <f t="shared" si="95"/>
        <v>95.238095238095227</v>
      </c>
      <c r="AC513" s="143" t="s">
        <v>58</v>
      </c>
      <c r="AD513" s="194">
        <f t="shared" si="96"/>
        <v>99.288354283651145</v>
      </c>
      <c r="AE513" s="162"/>
      <c r="AF513" s="1"/>
      <c r="AG513" s="1"/>
      <c r="AH513" s="163"/>
      <c r="AI513" s="1"/>
      <c r="AJ513" s="1"/>
      <c r="AK513" s="1"/>
    </row>
    <row r="514" spans="1:37" customFormat="1" ht="180">
      <c r="A514" s="151"/>
      <c r="B514" s="147"/>
      <c r="C514" s="153" t="s">
        <v>774</v>
      </c>
      <c r="D514" s="154" t="s">
        <v>773</v>
      </c>
      <c r="E514" s="155">
        <v>36</v>
      </c>
      <c r="F514" s="182" t="s">
        <v>55</v>
      </c>
      <c r="G514" s="195">
        <v>13098000</v>
      </c>
      <c r="H514" s="158">
        <v>12</v>
      </c>
      <c r="I514" s="157">
        <v>0</v>
      </c>
      <c r="J514" s="158">
        <v>12</v>
      </c>
      <c r="K514" s="157">
        <v>8118000</v>
      </c>
      <c r="L514" s="142">
        <v>3</v>
      </c>
      <c r="M514" s="207" t="s">
        <v>449</v>
      </c>
      <c r="N514" s="158">
        <v>3</v>
      </c>
      <c r="O514" s="157">
        <v>3240000</v>
      </c>
      <c r="P514" s="158">
        <v>3</v>
      </c>
      <c r="Q514" s="157">
        <v>1440000</v>
      </c>
      <c r="R514" s="158">
        <v>3</v>
      </c>
      <c r="S514" s="157">
        <v>2880000</v>
      </c>
      <c r="T514" s="142">
        <f t="shared" si="90"/>
        <v>12</v>
      </c>
      <c r="U514" s="143">
        <f t="shared" si="92"/>
        <v>100</v>
      </c>
      <c r="V514" s="143" t="s">
        <v>58</v>
      </c>
      <c r="W514" s="159">
        <f t="shared" si="89"/>
        <v>7560000</v>
      </c>
      <c r="X514" s="143">
        <f t="shared" si="93"/>
        <v>93.126385809312637</v>
      </c>
      <c r="Y514" s="143" t="s">
        <v>58</v>
      </c>
      <c r="Z514" s="143">
        <f t="shared" si="91"/>
        <v>24</v>
      </c>
      <c r="AA514" s="159">
        <f t="shared" si="94"/>
        <v>7560000</v>
      </c>
      <c r="AB514" s="149">
        <f t="shared" si="95"/>
        <v>66.666666666666657</v>
      </c>
      <c r="AC514" s="143" t="s">
        <v>58</v>
      </c>
      <c r="AD514" s="194">
        <f t="shared" si="96"/>
        <v>57.718735684837377</v>
      </c>
      <c r="AE514" s="162"/>
      <c r="AF514" s="1"/>
      <c r="AG514" s="1"/>
      <c r="AH514" s="163"/>
      <c r="AI514" s="1"/>
      <c r="AJ514" s="1"/>
      <c r="AK514" s="1"/>
    </row>
    <row r="515" spans="1:37" customFormat="1" ht="90">
      <c r="A515" s="151"/>
      <c r="B515" s="147"/>
      <c r="C515" s="153" t="s">
        <v>775</v>
      </c>
      <c r="D515" s="154" t="s">
        <v>776</v>
      </c>
      <c r="E515" s="155">
        <v>24</v>
      </c>
      <c r="F515" s="182" t="s">
        <v>55</v>
      </c>
      <c r="G515" s="195">
        <f>K515*2</f>
        <v>3648060000</v>
      </c>
      <c r="H515" s="158"/>
      <c r="I515" s="157"/>
      <c r="J515" s="158">
        <v>12</v>
      </c>
      <c r="K515" s="157">
        <v>1824030000</v>
      </c>
      <c r="L515" s="142">
        <v>3</v>
      </c>
      <c r="M515" s="157">
        <v>232200000</v>
      </c>
      <c r="N515" s="158">
        <v>3</v>
      </c>
      <c r="O515" s="157">
        <f>809220000-M515</f>
        <v>577020000</v>
      </c>
      <c r="P515" s="158">
        <v>3</v>
      </c>
      <c r="Q515" s="157">
        <f>837180000-M515-O515</f>
        <v>27960000</v>
      </c>
      <c r="R515" s="158">
        <v>3</v>
      </c>
      <c r="S515" s="157">
        <f>1296280000-M515-O515-Q515</f>
        <v>459100000</v>
      </c>
      <c r="T515" s="142">
        <f t="shared" si="90"/>
        <v>12</v>
      </c>
      <c r="U515" s="143">
        <f t="shared" si="92"/>
        <v>100</v>
      </c>
      <c r="V515" s="143" t="s">
        <v>58</v>
      </c>
      <c r="W515" s="159">
        <f t="shared" si="89"/>
        <v>1296280000</v>
      </c>
      <c r="X515" s="143">
        <f t="shared" si="93"/>
        <v>71.066813594074659</v>
      </c>
      <c r="Y515" s="143" t="s">
        <v>58</v>
      </c>
      <c r="Z515" s="143">
        <f t="shared" si="91"/>
        <v>12</v>
      </c>
      <c r="AA515" s="159">
        <f t="shared" si="94"/>
        <v>1296280000</v>
      </c>
      <c r="AB515" s="149">
        <f t="shared" si="95"/>
        <v>50</v>
      </c>
      <c r="AC515" s="143" t="s">
        <v>58</v>
      </c>
      <c r="AD515" s="194">
        <f t="shared" si="96"/>
        <v>35.53340679703733</v>
      </c>
      <c r="AE515" s="162"/>
      <c r="AF515" s="1"/>
      <c r="AG515" s="1"/>
      <c r="AH515" s="163"/>
      <c r="AI515" s="1"/>
      <c r="AJ515" s="1"/>
      <c r="AK515" s="1"/>
    </row>
    <row r="516" spans="1:37" customFormat="1" ht="90">
      <c r="A516" s="151"/>
      <c r="B516" s="147"/>
      <c r="C516" s="153" t="s">
        <v>777</v>
      </c>
      <c r="D516" s="154" t="s">
        <v>776</v>
      </c>
      <c r="E516" s="155">
        <v>36</v>
      </c>
      <c r="F516" s="182" t="s">
        <v>55</v>
      </c>
      <c r="G516" s="195">
        <v>4440000</v>
      </c>
      <c r="H516" s="205">
        <v>12</v>
      </c>
      <c r="I516" s="157">
        <v>1120000</v>
      </c>
      <c r="J516" s="158">
        <v>12</v>
      </c>
      <c r="K516" s="157">
        <v>1480000</v>
      </c>
      <c r="L516" s="142">
        <v>3</v>
      </c>
      <c r="M516" s="207" t="s">
        <v>449</v>
      </c>
      <c r="N516" s="158">
        <v>3</v>
      </c>
      <c r="O516" s="157">
        <v>1120000</v>
      </c>
      <c r="P516" s="158">
        <v>3</v>
      </c>
      <c r="Q516" s="157">
        <v>140000</v>
      </c>
      <c r="R516" s="205">
        <v>3</v>
      </c>
      <c r="S516" s="157">
        <v>140000</v>
      </c>
      <c r="T516" s="206">
        <f t="shared" si="90"/>
        <v>12</v>
      </c>
      <c r="U516" s="164">
        <f t="shared" si="92"/>
        <v>100</v>
      </c>
      <c r="V516" s="143" t="s">
        <v>58</v>
      </c>
      <c r="W516" s="159">
        <f t="shared" si="89"/>
        <v>1400000</v>
      </c>
      <c r="X516" s="164">
        <f t="shared" si="93"/>
        <v>94.594594594594597</v>
      </c>
      <c r="Y516" s="143" t="s">
        <v>58</v>
      </c>
      <c r="Z516" s="206">
        <f t="shared" si="91"/>
        <v>24</v>
      </c>
      <c r="AA516" s="159">
        <f t="shared" si="94"/>
        <v>2520000</v>
      </c>
      <c r="AB516" s="149">
        <f t="shared" si="95"/>
        <v>66.666666666666657</v>
      </c>
      <c r="AC516" s="143" t="s">
        <v>58</v>
      </c>
      <c r="AD516" s="194">
        <f t="shared" si="96"/>
        <v>56.756756756756758</v>
      </c>
      <c r="AE516" s="162"/>
      <c r="AF516" s="1"/>
      <c r="AG516" s="1"/>
      <c r="AH516" s="163"/>
      <c r="AI516" s="1"/>
      <c r="AJ516" s="1"/>
      <c r="AK516" s="1"/>
    </row>
    <row r="517" spans="1:37" customFormat="1" ht="90">
      <c r="A517" s="151"/>
      <c r="B517" s="147"/>
      <c r="C517" s="153" t="s">
        <v>778</v>
      </c>
      <c r="D517" s="154" t="s">
        <v>776</v>
      </c>
      <c r="E517" s="155">
        <v>36</v>
      </c>
      <c r="F517" s="182" t="s">
        <v>55</v>
      </c>
      <c r="G517" s="195">
        <v>2240000</v>
      </c>
      <c r="H517" s="205">
        <v>12</v>
      </c>
      <c r="I517" s="157">
        <v>150000</v>
      </c>
      <c r="J517" s="158">
        <v>12</v>
      </c>
      <c r="K517" s="157">
        <v>600000</v>
      </c>
      <c r="L517" s="142">
        <v>3</v>
      </c>
      <c r="M517" s="207" t="s">
        <v>449</v>
      </c>
      <c r="N517" s="158">
        <v>3</v>
      </c>
      <c r="O517" s="157">
        <v>0</v>
      </c>
      <c r="P517" s="158">
        <v>3</v>
      </c>
      <c r="Q517" s="157">
        <v>0</v>
      </c>
      <c r="R517" s="205">
        <v>3</v>
      </c>
      <c r="S517" s="157">
        <v>0</v>
      </c>
      <c r="T517" s="206">
        <f t="shared" si="90"/>
        <v>12</v>
      </c>
      <c r="U517" s="164">
        <f t="shared" si="92"/>
        <v>100</v>
      </c>
      <c r="V517" s="143" t="s">
        <v>58</v>
      </c>
      <c r="W517" s="159">
        <f t="shared" si="89"/>
        <v>0</v>
      </c>
      <c r="X517" s="164">
        <f t="shared" si="93"/>
        <v>0</v>
      </c>
      <c r="Y517" s="143" t="s">
        <v>58</v>
      </c>
      <c r="Z517" s="206">
        <f t="shared" si="91"/>
        <v>24</v>
      </c>
      <c r="AA517" s="159">
        <f t="shared" si="94"/>
        <v>150000</v>
      </c>
      <c r="AB517" s="149">
        <f t="shared" si="95"/>
        <v>66.666666666666657</v>
      </c>
      <c r="AC517" s="143" t="s">
        <v>58</v>
      </c>
      <c r="AD517" s="194">
        <f t="shared" si="96"/>
        <v>6.6964285714285712</v>
      </c>
      <c r="AE517" s="162"/>
      <c r="AF517" s="1"/>
      <c r="AG517" s="1"/>
      <c r="AH517" s="163"/>
      <c r="AI517" s="1"/>
      <c r="AJ517" s="1"/>
      <c r="AK517" s="1"/>
    </row>
    <row r="518" spans="1:37" customFormat="1" ht="90">
      <c r="A518" s="151"/>
      <c r="B518" s="147"/>
      <c r="C518" s="153" t="s">
        <v>779</v>
      </c>
      <c r="D518" s="154" t="s">
        <v>776</v>
      </c>
      <c r="E518" s="155">
        <v>36</v>
      </c>
      <c r="F518" s="182" t="s">
        <v>55</v>
      </c>
      <c r="G518" s="195">
        <v>45160000</v>
      </c>
      <c r="H518" s="205">
        <v>12</v>
      </c>
      <c r="I518" s="157">
        <v>9130000</v>
      </c>
      <c r="J518" s="158">
        <v>12</v>
      </c>
      <c r="K518" s="157">
        <v>15800000</v>
      </c>
      <c r="L518" s="142">
        <v>3</v>
      </c>
      <c r="M518" s="157">
        <v>0</v>
      </c>
      <c r="N518" s="158">
        <v>3</v>
      </c>
      <c r="O518" s="157">
        <v>210000</v>
      </c>
      <c r="P518" s="158">
        <v>3</v>
      </c>
      <c r="Q518" s="157">
        <v>8850000</v>
      </c>
      <c r="R518" s="205">
        <v>3</v>
      </c>
      <c r="S518" s="157">
        <v>0</v>
      </c>
      <c r="T518" s="206">
        <f t="shared" si="90"/>
        <v>12</v>
      </c>
      <c r="U518" s="164">
        <f t="shared" si="92"/>
        <v>100</v>
      </c>
      <c r="V518" s="143" t="s">
        <v>58</v>
      </c>
      <c r="W518" s="159">
        <f t="shared" si="89"/>
        <v>9060000</v>
      </c>
      <c r="X518" s="164">
        <f t="shared" si="93"/>
        <v>57.341772151898731</v>
      </c>
      <c r="Y518" s="143" t="s">
        <v>58</v>
      </c>
      <c r="Z518" s="206">
        <f t="shared" si="91"/>
        <v>24</v>
      </c>
      <c r="AA518" s="159">
        <f t="shared" si="94"/>
        <v>18190000</v>
      </c>
      <c r="AB518" s="149">
        <f t="shared" si="95"/>
        <v>66.666666666666657</v>
      </c>
      <c r="AC518" s="143" t="s">
        <v>58</v>
      </c>
      <c r="AD518" s="194">
        <f t="shared" si="96"/>
        <v>40.279007971656334</v>
      </c>
      <c r="AE518" s="162"/>
      <c r="AF518" s="1"/>
      <c r="AG518" s="1"/>
      <c r="AH518" s="163"/>
      <c r="AI518" s="1"/>
      <c r="AJ518" s="1"/>
      <c r="AK518" s="1"/>
    </row>
    <row r="519" spans="1:37" customFormat="1" ht="90">
      <c r="A519" s="151"/>
      <c r="B519" s="147"/>
      <c r="C519" s="153" t="s">
        <v>780</v>
      </c>
      <c r="D519" s="154" t="s">
        <v>776</v>
      </c>
      <c r="E519" s="155">
        <v>36</v>
      </c>
      <c r="F519" s="182" t="s">
        <v>55</v>
      </c>
      <c r="G519" s="195">
        <v>82214000</v>
      </c>
      <c r="H519" s="205">
        <v>12</v>
      </c>
      <c r="I519" s="157">
        <v>16940000</v>
      </c>
      <c r="J519" s="158">
        <v>12</v>
      </c>
      <c r="K519" s="157">
        <v>49827000</v>
      </c>
      <c r="L519" s="142">
        <v>3</v>
      </c>
      <c r="M519" s="157">
        <v>0</v>
      </c>
      <c r="N519" s="158">
        <v>3</v>
      </c>
      <c r="O519" s="157">
        <v>0</v>
      </c>
      <c r="P519" s="158">
        <v>3</v>
      </c>
      <c r="Q519" s="157">
        <v>0</v>
      </c>
      <c r="R519" s="212">
        <v>3</v>
      </c>
      <c r="S519" s="209">
        <v>1734000</v>
      </c>
      <c r="T519" s="206">
        <f t="shared" si="90"/>
        <v>12</v>
      </c>
      <c r="U519" s="164">
        <f t="shared" si="92"/>
        <v>100</v>
      </c>
      <c r="V519" s="143" t="s">
        <v>58</v>
      </c>
      <c r="W519" s="159">
        <f t="shared" si="89"/>
        <v>1734000</v>
      </c>
      <c r="X519" s="164">
        <f t="shared" si="93"/>
        <v>3.480040941658137</v>
      </c>
      <c r="Y519" s="143" t="s">
        <v>58</v>
      </c>
      <c r="Z519" s="206">
        <f t="shared" si="91"/>
        <v>24</v>
      </c>
      <c r="AA519" s="159">
        <f t="shared" si="94"/>
        <v>18674000</v>
      </c>
      <c r="AB519" s="149">
        <f t="shared" si="95"/>
        <v>66.666666666666657</v>
      </c>
      <c r="AC519" s="143" t="s">
        <v>58</v>
      </c>
      <c r="AD519" s="194">
        <f t="shared" si="96"/>
        <v>22.713893010922714</v>
      </c>
      <c r="AE519" s="162"/>
      <c r="AF519" s="1"/>
      <c r="AG519" s="1"/>
      <c r="AH519" s="163"/>
      <c r="AI519" s="1"/>
      <c r="AJ519" s="1"/>
      <c r="AK519" s="1"/>
    </row>
    <row r="520" spans="1:37" customFormat="1" ht="90">
      <c r="A520" s="151"/>
      <c r="B520" s="147"/>
      <c r="C520" s="153" t="s">
        <v>781</v>
      </c>
      <c r="D520" s="154" t="s">
        <v>776</v>
      </c>
      <c r="E520" s="155">
        <v>36</v>
      </c>
      <c r="F520" s="182" t="s">
        <v>55</v>
      </c>
      <c r="G520" s="195">
        <v>480000</v>
      </c>
      <c r="H520" s="205"/>
      <c r="I520" s="157"/>
      <c r="J520" s="158">
        <v>12</v>
      </c>
      <c r="K520" s="157">
        <v>160000</v>
      </c>
      <c r="L520" s="142">
        <v>3</v>
      </c>
      <c r="M520" s="207" t="s">
        <v>449</v>
      </c>
      <c r="N520" s="158">
        <v>3</v>
      </c>
      <c r="O520" s="157"/>
      <c r="P520" s="158">
        <v>3</v>
      </c>
      <c r="Q520" s="157">
        <v>160000</v>
      </c>
      <c r="R520" s="212">
        <v>3</v>
      </c>
      <c r="S520" s="209" t="s">
        <v>449</v>
      </c>
      <c r="T520" s="206">
        <f t="shared" si="90"/>
        <v>12</v>
      </c>
      <c r="U520" s="164">
        <f t="shared" si="92"/>
        <v>100</v>
      </c>
      <c r="V520" s="143" t="s">
        <v>58</v>
      </c>
      <c r="W520" s="159">
        <f t="shared" si="89"/>
        <v>160000</v>
      </c>
      <c r="X520" s="164">
        <f t="shared" si="93"/>
        <v>100</v>
      </c>
      <c r="Y520" s="143" t="s">
        <v>58</v>
      </c>
      <c r="Z520" s="206">
        <f t="shared" si="91"/>
        <v>12</v>
      </c>
      <c r="AA520" s="159">
        <f t="shared" si="94"/>
        <v>160000</v>
      </c>
      <c r="AB520" s="149">
        <f t="shared" si="95"/>
        <v>33.333333333333329</v>
      </c>
      <c r="AC520" s="143" t="s">
        <v>58</v>
      </c>
      <c r="AD520" s="194">
        <f t="shared" si="96"/>
        <v>33.333333333333329</v>
      </c>
      <c r="AE520" s="162"/>
      <c r="AF520" s="1"/>
      <c r="AG520" s="1"/>
      <c r="AH520" s="163"/>
      <c r="AI520" s="1"/>
      <c r="AJ520" s="1"/>
      <c r="AK520" s="1"/>
    </row>
    <row r="521" spans="1:37" customFormat="1" ht="105">
      <c r="A521" s="151"/>
      <c r="B521" s="147"/>
      <c r="C521" s="153" t="s">
        <v>782</v>
      </c>
      <c r="D521" s="154" t="s">
        <v>783</v>
      </c>
      <c r="E521" s="155">
        <v>66</v>
      </c>
      <c r="F521" s="182" t="s">
        <v>57</v>
      </c>
      <c r="G521" s="195">
        <v>17280000</v>
      </c>
      <c r="H521" s="205">
        <v>22</v>
      </c>
      <c r="I521" s="157">
        <v>5760000</v>
      </c>
      <c r="J521" s="158">
        <v>22</v>
      </c>
      <c r="K521" s="157">
        <v>5760000</v>
      </c>
      <c r="L521" s="142">
        <v>21</v>
      </c>
      <c r="M521" s="207" t="s">
        <v>449</v>
      </c>
      <c r="N521" s="158">
        <v>0</v>
      </c>
      <c r="O521" s="157">
        <v>0</v>
      </c>
      <c r="P521" s="158">
        <v>0</v>
      </c>
      <c r="Q521" s="157">
        <v>0</v>
      </c>
      <c r="R521" s="205">
        <v>1</v>
      </c>
      <c r="S521" s="157">
        <v>5760000</v>
      </c>
      <c r="T521" s="206">
        <f t="shared" si="90"/>
        <v>22</v>
      </c>
      <c r="U521" s="164">
        <f t="shared" si="92"/>
        <v>100</v>
      </c>
      <c r="V521" s="143" t="s">
        <v>58</v>
      </c>
      <c r="W521" s="159">
        <f t="shared" si="89"/>
        <v>5760000</v>
      </c>
      <c r="X521" s="164">
        <f t="shared" si="93"/>
        <v>100</v>
      </c>
      <c r="Y521" s="143" t="s">
        <v>58</v>
      </c>
      <c r="Z521" s="206">
        <f t="shared" si="91"/>
        <v>44</v>
      </c>
      <c r="AA521" s="159">
        <f t="shared" si="94"/>
        <v>11520000</v>
      </c>
      <c r="AB521" s="149">
        <f t="shared" si="95"/>
        <v>66.666666666666657</v>
      </c>
      <c r="AC521" s="143" t="s">
        <v>58</v>
      </c>
      <c r="AD521" s="194">
        <f t="shared" si="96"/>
        <v>66.666666666666657</v>
      </c>
      <c r="AE521" s="162"/>
      <c r="AF521" s="1"/>
      <c r="AG521" s="1"/>
      <c r="AH521" s="163"/>
      <c r="AI521" s="1"/>
      <c r="AJ521" s="1"/>
      <c r="AK521" s="1"/>
    </row>
    <row r="522" spans="1:37" customFormat="1" ht="105">
      <c r="A522" s="151"/>
      <c r="B522" s="147"/>
      <c r="C522" s="153" t="s">
        <v>784</v>
      </c>
      <c r="D522" s="154" t="s">
        <v>783</v>
      </c>
      <c r="E522" s="155">
        <v>36</v>
      </c>
      <c r="F522" s="182" t="s">
        <v>57</v>
      </c>
      <c r="G522" s="195">
        <v>6940000</v>
      </c>
      <c r="H522" s="205">
        <v>12</v>
      </c>
      <c r="I522" s="157">
        <v>2070000</v>
      </c>
      <c r="J522" s="158">
        <v>12</v>
      </c>
      <c r="K522" s="157">
        <v>2350000</v>
      </c>
      <c r="L522" s="142">
        <v>3</v>
      </c>
      <c r="M522" s="207" t="s">
        <v>449</v>
      </c>
      <c r="N522" s="158">
        <v>0</v>
      </c>
      <c r="O522" s="157">
        <v>840000</v>
      </c>
      <c r="P522" s="158">
        <v>0</v>
      </c>
      <c r="Q522" s="157">
        <v>630000</v>
      </c>
      <c r="R522" s="205">
        <v>3</v>
      </c>
      <c r="S522" s="157">
        <v>770000</v>
      </c>
      <c r="T522" s="206">
        <f t="shared" si="90"/>
        <v>6</v>
      </c>
      <c r="U522" s="164">
        <f t="shared" si="92"/>
        <v>50</v>
      </c>
      <c r="V522" s="143" t="s">
        <v>58</v>
      </c>
      <c r="W522" s="159">
        <f t="shared" si="89"/>
        <v>2240000</v>
      </c>
      <c r="X522" s="164">
        <f t="shared" si="93"/>
        <v>95.319148936170222</v>
      </c>
      <c r="Y522" s="143" t="s">
        <v>58</v>
      </c>
      <c r="Z522" s="206">
        <f t="shared" si="91"/>
        <v>18</v>
      </c>
      <c r="AA522" s="159">
        <f t="shared" si="94"/>
        <v>4310000</v>
      </c>
      <c r="AB522" s="149">
        <f t="shared" si="95"/>
        <v>50</v>
      </c>
      <c r="AC522" s="143" t="s">
        <v>58</v>
      </c>
      <c r="AD522" s="194">
        <f t="shared" si="96"/>
        <v>62.103746397694529</v>
      </c>
      <c r="AE522" s="162"/>
      <c r="AF522" s="1"/>
      <c r="AG522" s="1"/>
      <c r="AH522" s="163"/>
      <c r="AI522" s="1"/>
      <c r="AJ522" s="1"/>
      <c r="AK522" s="1"/>
    </row>
    <row r="523" spans="1:37" customFormat="1" ht="105">
      <c r="A523" s="151"/>
      <c r="B523" s="147"/>
      <c r="C523" s="153" t="s">
        <v>785</v>
      </c>
      <c r="D523" s="154" t="s">
        <v>783</v>
      </c>
      <c r="E523" s="155">
        <v>54</v>
      </c>
      <c r="F523" s="182" t="s">
        <v>57</v>
      </c>
      <c r="G523" s="195">
        <v>22140000</v>
      </c>
      <c r="H523" s="205">
        <v>18</v>
      </c>
      <c r="I523" s="157">
        <v>3600000</v>
      </c>
      <c r="J523" s="158">
        <v>18</v>
      </c>
      <c r="K523" s="157">
        <v>9270000</v>
      </c>
      <c r="L523" s="142">
        <v>11</v>
      </c>
      <c r="M523" s="207" t="s">
        <v>449</v>
      </c>
      <c r="N523" s="158">
        <v>3</v>
      </c>
      <c r="O523" s="157">
        <v>5670000</v>
      </c>
      <c r="P523" s="158">
        <v>3</v>
      </c>
      <c r="Q523" s="157">
        <v>0</v>
      </c>
      <c r="R523" s="205">
        <v>2</v>
      </c>
      <c r="S523" s="157">
        <v>3600000</v>
      </c>
      <c r="T523" s="206">
        <f t="shared" si="90"/>
        <v>19</v>
      </c>
      <c r="U523" s="164">
        <f t="shared" si="92"/>
        <v>105.55555555555556</v>
      </c>
      <c r="V523" s="143" t="s">
        <v>58</v>
      </c>
      <c r="W523" s="159">
        <f t="shared" si="89"/>
        <v>9270000</v>
      </c>
      <c r="X523" s="164">
        <f t="shared" si="93"/>
        <v>100</v>
      </c>
      <c r="Y523" s="143" t="s">
        <v>58</v>
      </c>
      <c r="Z523" s="206">
        <f t="shared" si="91"/>
        <v>37</v>
      </c>
      <c r="AA523" s="159">
        <f t="shared" si="94"/>
        <v>12870000</v>
      </c>
      <c r="AB523" s="149">
        <f t="shared" si="95"/>
        <v>68.518518518518519</v>
      </c>
      <c r="AC523" s="143" t="s">
        <v>58</v>
      </c>
      <c r="AD523" s="194">
        <f t="shared" si="96"/>
        <v>58.130081300813011</v>
      </c>
      <c r="AE523" s="162"/>
      <c r="AF523" s="1"/>
      <c r="AG523" s="1"/>
      <c r="AH523" s="163"/>
      <c r="AI523" s="1"/>
      <c r="AJ523" s="1"/>
      <c r="AK523" s="1"/>
    </row>
    <row r="524" spans="1:37" customFormat="1" ht="105">
      <c r="A524" s="151"/>
      <c r="B524" s="147"/>
      <c r="C524" s="153" t="s">
        <v>786</v>
      </c>
      <c r="D524" s="154" t="s">
        <v>783</v>
      </c>
      <c r="E524" s="155">
        <v>90</v>
      </c>
      <c r="F524" s="182" t="s">
        <v>57</v>
      </c>
      <c r="G524" s="195">
        <v>20940000</v>
      </c>
      <c r="H524" s="205">
        <v>42</v>
      </c>
      <c r="I524" s="157">
        <v>2520000</v>
      </c>
      <c r="J524" s="158">
        <v>30</v>
      </c>
      <c r="K524" s="157">
        <v>8940000</v>
      </c>
      <c r="L524" s="142">
        <v>29</v>
      </c>
      <c r="M524" s="207" t="s">
        <v>449</v>
      </c>
      <c r="N524" s="158">
        <v>7</v>
      </c>
      <c r="O524" s="157">
        <v>1965000</v>
      </c>
      <c r="P524" s="158">
        <v>7</v>
      </c>
      <c r="Q524" s="157">
        <v>1815000</v>
      </c>
      <c r="R524" s="205">
        <v>0</v>
      </c>
      <c r="S524" s="157">
        <v>5010000</v>
      </c>
      <c r="T524" s="206">
        <f t="shared" si="90"/>
        <v>43</v>
      </c>
      <c r="U524" s="164">
        <f t="shared" si="92"/>
        <v>143.33333333333334</v>
      </c>
      <c r="V524" s="143" t="s">
        <v>58</v>
      </c>
      <c r="W524" s="159">
        <f t="shared" si="89"/>
        <v>8790000</v>
      </c>
      <c r="X524" s="164">
        <f t="shared" si="93"/>
        <v>98.322147651006702</v>
      </c>
      <c r="Y524" s="143" t="s">
        <v>58</v>
      </c>
      <c r="Z524" s="206">
        <f t="shared" si="91"/>
        <v>85</v>
      </c>
      <c r="AA524" s="159">
        <f t="shared" si="94"/>
        <v>11310000</v>
      </c>
      <c r="AB524" s="149">
        <f t="shared" si="95"/>
        <v>94.444444444444443</v>
      </c>
      <c r="AC524" s="143" t="s">
        <v>58</v>
      </c>
      <c r="AD524" s="194">
        <f t="shared" si="96"/>
        <v>54.01146131805158</v>
      </c>
      <c r="AE524" s="162"/>
      <c r="AF524" s="1"/>
      <c r="AG524" s="1"/>
      <c r="AH524" s="163"/>
      <c r="AI524" s="1"/>
      <c r="AJ524" s="1"/>
      <c r="AK524" s="1"/>
    </row>
    <row r="525" spans="1:37" customFormat="1" ht="105">
      <c r="A525" s="151"/>
      <c r="B525" s="147"/>
      <c r="C525" s="153" t="s">
        <v>787</v>
      </c>
      <c r="D525" s="154" t="s">
        <v>783</v>
      </c>
      <c r="E525" s="155">
        <v>57</v>
      </c>
      <c r="F525" s="182" t="s">
        <v>57</v>
      </c>
      <c r="G525" s="195">
        <v>17040000</v>
      </c>
      <c r="H525" s="205">
        <v>19</v>
      </c>
      <c r="I525" s="157">
        <v>2520000</v>
      </c>
      <c r="J525" s="158">
        <v>19</v>
      </c>
      <c r="K525" s="157">
        <v>5440000</v>
      </c>
      <c r="L525" s="142">
        <v>19</v>
      </c>
      <c r="M525" s="207" t="s">
        <v>449</v>
      </c>
      <c r="N525" s="158">
        <v>0</v>
      </c>
      <c r="O525" s="157">
        <v>0</v>
      </c>
      <c r="P525" s="158">
        <v>0</v>
      </c>
      <c r="Q525" s="157">
        <v>2240000</v>
      </c>
      <c r="R525" s="205">
        <v>0</v>
      </c>
      <c r="S525" s="157">
        <v>0</v>
      </c>
      <c r="T525" s="206">
        <f t="shared" si="90"/>
        <v>19</v>
      </c>
      <c r="U525" s="164">
        <f t="shared" si="92"/>
        <v>100</v>
      </c>
      <c r="V525" s="143" t="s">
        <v>58</v>
      </c>
      <c r="W525" s="159">
        <f t="shared" si="89"/>
        <v>2240000</v>
      </c>
      <c r="X525" s="164">
        <f t="shared" si="93"/>
        <v>41.17647058823529</v>
      </c>
      <c r="Y525" s="143" t="s">
        <v>58</v>
      </c>
      <c r="Z525" s="206">
        <f t="shared" si="91"/>
        <v>38</v>
      </c>
      <c r="AA525" s="159">
        <f t="shared" si="94"/>
        <v>4760000</v>
      </c>
      <c r="AB525" s="149">
        <f t="shared" si="95"/>
        <v>66.666666666666657</v>
      </c>
      <c r="AC525" s="143" t="s">
        <v>58</v>
      </c>
      <c r="AD525" s="194">
        <f t="shared" si="96"/>
        <v>27.93427230046948</v>
      </c>
      <c r="AE525" s="162"/>
      <c r="AF525" s="1"/>
      <c r="AG525" s="1"/>
      <c r="AH525" s="163"/>
      <c r="AI525" s="1"/>
      <c r="AJ525" s="1"/>
      <c r="AK525" s="1"/>
    </row>
    <row r="526" spans="1:37" customFormat="1" ht="105">
      <c r="A526" s="151"/>
      <c r="B526" s="147"/>
      <c r="C526" s="153" t="s">
        <v>788</v>
      </c>
      <c r="D526" s="154" t="s">
        <v>783</v>
      </c>
      <c r="E526" s="155">
        <v>24</v>
      </c>
      <c r="F526" s="182" t="s">
        <v>57</v>
      </c>
      <c r="G526" s="195">
        <v>46260000</v>
      </c>
      <c r="H526" s="205">
        <v>1</v>
      </c>
      <c r="I526" s="157">
        <v>1470000</v>
      </c>
      <c r="J526" s="158">
        <v>8</v>
      </c>
      <c r="K526" s="157">
        <v>18160000</v>
      </c>
      <c r="L526" s="142">
        <v>2</v>
      </c>
      <c r="M526" s="207" t="s">
        <v>449</v>
      </c>
      <c r="N526" s="158">
        <v>1</v>
      </c>
      <c r="O526" s="157">
        <v>1140000</v>
      </c>
      <c r="P526" s="158">
        <v>1</v>
      </c>
      <c r="Q526" s="157">
        <v>1740000</v>
      </c>
      <c r="R526" s="205">
        <v>1</v>
      </c>
      <c r="S526" s="183">
        <v>2640000</v>
      </c>
      <c r="T526" s="206">
        <f t="shared" si="90"/>
        <v>5</v>
      </c>
      <c r="U526" s="164">
        <f t="shared" si="92"/>
        <v>62.5</v>
      </c>
      <c r="V526" s="143" t="s">
        <v>58</v>
      </c>
      <c r="W526" s="159">
        <f t="shared" si="89"/>
        <v>5520000</v>
      </c>
      <c r="X526" s="164">
        <f t="shared" si="93"/>
        <v>30.396475770925107</v>
      </c>
      <c r="Y526" s="143" t="s">
        <v>58</v>
      </c>
      <c r="Z526" s="206">
        <f t="shared" si="91"/>
        <v>6</v>
      </c>
      <c r="AA526" s="159">
        <f t="shared" si="94"/>
        <v>6990000</v>
      </c>
      <c r="AB526" s="149">
        <f t="shared" si="95"/>
        <v>25</v>
      </c>
      <c r="AC526" s="143" t="s">
        <v>58</v>
      </c>
      <c r="AD526" s="194">
        <f t="shared" si="96"/>
        <v>15.110246433203631</v>
      </c>
      <c r="AE526" s="162"/>
      <c r="AF526" s="1"/>
      <c r="AG526" s="1"/>
      <c r="AH526" s="163"/>
      <c r="AI526" s="1"/>
      <c r="AJ526" s="1"/>
      <c r="AK526" s="1"/>
    </row>
    <row r="527" spans="1:37" customFormat="1" ht="105">
      <c r="A527" s="151"/>
      <c r="B527" s="147"/>
      <c r="C527" s="153" t="s">
        <v>789</v>
      </c>
      <c r="D527" s="154" t="s">
        <v>783</v>
      </c>
      <c r="E527" s="155">
        <v>4</v>
      </c>
      <c r="F527" s="182" t="s">
        <v>57</v>
      </c>
      <c r="G527" s="195">
        <v>5320000</v>
      </c>
      <c r="H527" s="205">
        <v>2</v>
      </c>
      <c r="I527" s="157">
        <v>2200000</v>
      </c>
      <c r="J527" s="158">
        <v>2</v>
      </c>
      <c r="K527" s="157">
        <v>1260000</v>
      </c>
      <c r="L527" s="142">
        <v>1</v>
      </c>
      <c r="M527" s="207" t="s">
        <v>449</v>
      </c>
      <c r="N527" s="158">
        <v>1</v>
      </c>
      <c r="O527" s="157">
        <v>560000</v>
      </c>
      <c r="P527" s="158">
        <v>0</v>
      </c>
      <c r="Q527" s="157">
        <v>0</v>
      </c>
      <c r="R527" s="205">
        <v>0</v>
      </c>
      <c r="S527" s="157">
        <v>0</v>
      </c>
      <c r="T527" s="206">
        <f t="shared" si="90"/>
        <v>2</v>
      </c>
      <c r="U527" s="164">
        <f t="shared" si="92"/>
        <v>100</v>
      </c>
      <c r="V527" s="143" t="s">
        <v>58</v>
      </c>
      <c r="W527" s="159">
        <f t="shared" si="89"/>
        <v>560000</v>
      </c>
      <c r="X527" s="164">
        <f t="shared" si="93"/>
        <v>44.444444444444443</v>
      </c>
      <c r="Y527" s="143" t="s">
        <v>58</v>
      </c>
      <c r="Z527" s="206">
        <f t="shared" si="91"/>
        <v>4</v>
      </c>
      <c r="AA527" s="159">
        <f t="shared" si="94"/>
        <v>2760000</v>
      </c>
      <c r="AB527" s="149">
        <f t="shared" si="95"/>
        <v>100</v>
      </c>
      <c r="AC527" s="143" t="s">
        <v>58</v>
      </c>
      <c r="AD527" s="194">
        <f t="shared" si="96"/>
        <v>51.879699248120303</v>
      </c>
      <c r="AE527" s="162"/>
      <c r="AF527" s="1"/>
      <c r="AG527" s="1"/>
      <c r="AH527" s="163"/>
      <c r="AI527" s="1"/>
      <c r="AJ527" s="1"/>
      <c r="AK527" s="1"/>
    </row>
    <row r="528" spans="1:37" customFormat="1" ht="105">
      <c r="A528" s="151"/>
      <c r="B528" s="147"/>
      <c r="C528" s="153" t="s">
        <v>790</v>
      </c>
      <c r="D528" s="154" t="s">
        <v>783</v>
      </c>
      <c r="E528" s="155">
        <v>39</v>
      </c>
      <c r="F528" s="182" t="s">
        <v>57</v>
      </c>
      <c r="G528" s="195">
        <v>8090000</v>
      </c>
      <c r="H528" s="205">
        <v>13</v>
      </c>
      <c r="I528" s="157">
        <v>1050000</v>
      </c>
      <c r="J528" s="158">
        <v>13</v>
      </c>
      <c r="K528" s="157">
        <v>3520000</v>
      </c>
      <c r="L528" s="142">
        <v>3</v>
      </c>
      <c r="M528" s="207" t="s">
        <v>449</v>
      </c>
      <c r="N528" s="158">
        <v>3</v>
      </c>
      <c r="O528" s="157">
        <v>0</v>
      </c>
      <c r="P528" s="158">
        <v>4</v>
      </c>
      <c r="Q528" s="157">
        <v>3520000</v>
      </c>
      <c r="R528" s="212">
        <v>3</v>
      </c>
      <c r="S528" s="218" t="s">
        <v>449</v>
      </c>
      <c r="T528" s="206">
        <f t="shared" si="90"/>
        <v>13</v>
      </c>
      <c r="U528" s="164">
        <f t="shared" si="92"/>
        <v>100</v>
      </c>
      <c r="V528" s="143" t="s">
        <v>58</v>
      </c>
      <c r="W528" s="159">
        <f t="shared" si="89"/>
        <v>3520000</v>
      </c>
      <c r="X528" s="164">
        <f t="shared" si="93"/>
        <v>100</v>
      </c>
      <c r="Y528" s="143" t="s">
        <v>58</v>
      </c>
      <c r="Z528" s="206">
        <f t="shared" si="91"/>
        <v>26</v>
      </c>
      <c r="AA528" s="159">
        <f t="shared" si="94"/>
        <v>4570000</v>
      </c>
      <c r="AB528" s="149">
        <f t="shared" si="95"/>
        <v>66.666666666666657</v>
      </c>
      <c r="AC528" s="143" t="s">
        <v>58</v>
      </c>
      <c r="AD528" s="194">
        <f t="shared" si="96"/>
        <v>56.489493201483313</v>
      </c>
      <c r="AE528" s="162"/>
      <c r="AF528" s="1"/>
      <c r="AG528" s="1"/>
      <c r="AH528" s="163"/>
      <c r="AI528" s="1"/>
      <c r="AJ528" s="1"/>
      <c r="AK528" s="1"/>
    </row>
    <row r="529" spans="1:37" customFormat="1" ht="105">
      <c r="A529" s="151"/>
      <c r="B529" s="147"/>
      <c r="C529" s="153" t="s">
        <v>791</v>
      </c>
      <c r="D529" s="154" t="s">
        <v>783</v>
      </c>
      <c r="E529" s="155">
        <v>9</v>
      </c>
      <c r="F529" s="182" t="s">
        <v>57</v>
      </c>
      <c r="G529" s="195">
        <v>1200000</v>
      </c>
      <c r="H529" s="205">
        <v>5</v>
      </c>
      <c r="I529" s="157">
        <v>880000</v>
      </c>
      <c r="J529" s="158">
        <v>9</v>
      </c>
      <c r="K529" s="157">
        <v>320000</v>
      </c>
      <c r="L529" s="142">
        <v>0</v>
      </c>
      <c r="M529" s="207" t="s">
        <v>449</v>
      </c>
      <c r="N529" s="158">
        <v>9</v>
      </c>
      <c r="O529" s="157">
        <v>320000</v>
      </c>
      <c r="P529" s="158">
        <v>0</v>
      </c>
      <c r="Q529" s="157"/>
      <c r="R529" s="212">
        <v>0</v>
      </c>
      <c r="S529" s="209" t="s">
        <v>449</v>
      </c>
      <c r="T529" s="206">
        <f t="shared" si="90"/>
        <v>9</v>
      </c>
      <c r="U529" s="164">
        <f t="shared" si="92"/>
        <v>100</v>
      </c>
      <c r="V529" s="143" t="s">
        <v>58</v>
      </c>
      <c r="W529" s="159">
        <f t="shared" si="89"/>
        <v>320000</v>
      </c>
      <c r="X529" s="164">
        <f t="shared" si="93"/>
        <v>100</v>
      </c>
      <c r="Y529" s="143" t="s">
        <v>58</v>
      </c>
      <c r="Z529" s="206">
        <f t="shared" si="91"/>
        <v>14</v>
      </c>
      <c r="AA529" s="159">
        <f t="shared" si="94"/>
        <v>1200000</v>
      </c>
      <c r="AB529" s="149">
        <f t="shared" si="95"/>
        <v>155.55555555555557</v>
      </c>
      <c r="AC529" s="143" t="s">
        <v>58</v>
      </c>
      <c r="AD529" s="194">
        <f t="shared" si="96"/>
        <v>100</v>
      </c>
      <c r="AE529" s="162"/>
      <c r="AF529" s="1"/>
      <c r="AG529" s="1"/>
      <c r="AH529" s="163"/>
      <c r="AI529" s="1"/>
      <c r="AJ529" s="1"/>
      <c r="AK529" s="1"/>
    </row>
    <row r="530" spans="1:37" customFormat="1" ht="135">
      <c r="A530" s="151"/>
      <c r="B530" s="147"/>
      <c r="C530" s="153" t="s">
        <v>792</v>
      </c>
      <c r="D530" s="154" t="s">
        <v>793</v>
      </c>
      <c r="E530" s="142">
        <f>21*3</f>
        <v>63</v>
      </c>
      <c r="F530" s="156" t="s">
        <v>55</v>
      </c>
      <c r="G530" s="195">
        <v>466387250</v>
      </c>
      <c r="H530" s="158">
        <v>21</v>
      </c>
      <c r="I530" s="157">
        <v>191636350</v>
      </c>
      <c r="J530" s="143">
        <v>21</v>
      </c>
      <c r="K530" s="157">
        <v>166847500</v>
      </c>
      <c r="L530" s="142">
        <v>21</v>
      </c>
      <c r="M530" s="157">
        <v>0</v>
      </c>
      <c r="N530" s="158">
        <v>21</v>
      </c>
      <c r="O530" s="157">
        <v>15510000</v>
      </c>
      <c r="P530" s="158">
        <v>21</v>
      </c>
      <c r="Q530" s="157">
        <f>61207500-O530</f>
        <v>45697500</v>
      </c>
      <c r="R530" s="158">
        <v>21</v>
      </c>
      <c r="S530" s="157">
        <f>164327500-O530-Q530</f>
        <v>103120000</v>
      </c>
      <c r="T530" s="142">
        <f>AVERAGE(L530,N530,P530,R530)</f>
        <v>21</v>
      </c>
      <c r="U530" s="143">
        <f t="shared" si="92"/>
        <v>100</v>
      </c>
      <c r="V530" s="143" t="s">
        <v>58</v>
      </c>
      <c r="W530" s="159">
        <f t="shared" si="89"/>
        <v>164327500</v>
      </c>
      <c r="X530" s="164">
        <f t="shared" si="93"/>
        <v>98.489638741964967</v>
      </c>
      <c r="Y530" s="143" t="s">
        <v>58</v>
      </c>
      <c r="Z530" s="143">
        <f t="shared" si="91"/>
        <v>42</v>
      </c>
      <c r="AA530" s="159">
        <f t="shared" si="94"/>
        <v>355963850</v>
      </c>
      <c r="AB530" s="149">
        <f t="shared" si="95"/>
        <v>66.666666666666657</v>
      </c>
      <c r="AC530" s="143" t="s">
        <v>58</v>
      </c>
      <c r="AD530" s="194">
        <f t="shared" si="96"/>
        <v>76.323666652551069</v>
      </c>
      <c r="AE530" s="162"/>
      <c r="AF530" s="1"/>
      <c r="AG530" s="1"/>
      <c r="AH530" s="163"/>
      <c r="AI530" s="1"/>
      <c r="AJ530" s="1"/>
      <c r="AK530" s="1"/>
    </row>
    <row r="531" spans="1:37" customFormat="1" ht="135">
      <c r="A531" s="151"/>
      <c r="B531" s="147"/>
      <c r="C531" s="153" t="s">
        <v>794</v>
      </c>
      <c r="D531" s="154" t="s">
        <v>793</v>
      </c>
      <c r="E531" s="142">
        <v>36</v>
      </c>
      <c r="F531" s="156" t="s">
        <v>55</v>
      </c>
      <c r="G531" s="195">
        <v>268006700</v>
      </c>
      <c r="H531" s="205">
        <v>12</v>
      </c>
      <c r="I531" s="157">
        <v>105107000</v>
      </c>
      <c r="J531" s="143">
        <v>12</v>
      </c>
      <c r="K531" s="157">
        <v>145975400</v>
      </c>
      <c r="L531" s="142">
        <v>3</v>
      </c>
      <c r="M531" s="207" t="s">
        <v>449</v>
      </c>
      <c r="N531" s="158">
        <v>3</v>
      </c>
      <c r="O531" s="157">
        <v>28810000</v>
      </c>
      <c r="P531" s="158">
        <v>3</v>
      </c>
      <c r="Q531" s="157">
        <v>33655000</v>
      </c>
      <c r="R531" s="205">
        <v>3</v>
      </c>
      <c r="S531" s="157">
        <v>69735000</v>
      </c>
      <c r="T531" s="206">
        <f t="shared" ref="T531:T553" si="97">SUM(L531,N531,P531,R531)</f>
        <v>12</v>
      </c>
      <c r="U531" s="164">
        <f t="shared" si="92"/>
        <v>100</v>
      </c>
      <c r="V531" s="143" t="s">
        <v>58</v>
      </c>
      <c r="W531" s="159">
        <f t="shared" si="89"/>
        <v>132200000</v>
      </c>
      <c r="X531" s="164">
        <f t="shared" si="93"/>
        <v>90.563204485139281</v>
      </c>
      <c r="Y531" s="143" t="s">
        <v>58</v>
      </c>
      <c r="Z531" s="206">
        <f t="shared" si="91"/>
        <v>24</v>
      </c>
      <c r="AA531" s="159">
        <f t="shared" si="94"/>
        <v>237307000</v>
      </c>
      <c r="AB531" s="149">
        <f t="shared" si="95"/>
        <v>66.666666666666657</v>
      </c>
      <c r="AC531" s="143" t="s">
        <v>58</v>
      </c>
      <c r="AD531" s="194">
        <f t="shared" si="96"/>
        <v>88.545174430340737</v>
      </c>
      <c r="AE531" s="162"/>
      <c r="AF531" s="1"/>
      <c r="AG531" s="1"/>
      <c r="AH531" s="163"/>
      <c r="AI531" s="1"/>
      <c r="AJ531" s="1"/>
      <c r="AK531" s="1"/>
    </row>
    <row r="532" spans="1:37" customFormat="1" ht="135">
      <c r="A532" s="151"/>
      <c r="B532" s="147"/>
      <c r="C532" s="153" t="s">
        <v>795</v>
      </c>
      <c r="D532" s="154" t="s">
        <v>793</v>
      </c>
      <c r="E532" s="142">
        <v>36</v>
      </c>
      <c r="F532" s="156" t="s">
        <v>55</v>
      </c>
      <c r="G532" s="195">
        <v>220581500</v>
      </c>
      <c r="H532" s="205">
        <v>12</v>
      </c>
      <c r="I532" s="157">
        <v>58660500</v>
      </c>
      <c r="J532" s="143">
        <v>12</v>
      </c>
      <c r="K532" s="157">
        <v>77560000</v>
      </c>
      <c r="L532" s="142">
        <v>3</v>
      </c>
      <c r="M532" s="207" t="s">
        <v>449</v>
      </c>
      <c r="N532" s="158">
        <v>3</v>
      </c>
      <c r="O532" s="157">
        <v>14400000</v>
      </c>
      <c r="P532" s="158">
        <v>3</v>
      </c>
      <c r="Q532" s="157">
        <v>17745000</v>
      </c>
      <c r="R532" s="205">
        <v>3</v>
      </c>
      <c r="S532" s="157">
        <v>39165000</v>
      </c>
      <c r="T532" s="206">
        <f t="shared" si="97"/>
        <v>12</v>
      </c>
      <c r="U532" s="164">
        <f t="shared" si="92"/>
        <v>100</v>
      </c>
      <c r="V532" s="143" t="s">
        <v>58</v>
      </c>
      <c r="W532" s="159">
        <f t="shared" ref="W532:W577" si="98">SUM(M532,O532,Q532,S532)</f>
        <v>71310000</v>
      </c>
      <c r="X532" s="164">
        <f t="shared" si="93"/>
        <v>91.941722537390405</v>
      </c>
      <c r="Y532" s="143" t="s">
        <v>58</v>
      </c>
      <c r="Z532" s="206">
        <f t="shared" si="91"/>
        <v>24</v>
      </c>
      <c r="AA532" s="159">
        <f t="shared" si="94"/>
        <v>129970500</v>
      </c>
      <c r="AB532" s="149">
        <f t="shared" si="95"/>
        <v>66.666666666666657</v>
      </c>
      <c r="AC532" s="143" t="s">
        <v>58</v>
      </c>
      <c r="AD532" s="194">
        <f t="shared" si="96"/>
        <v>58.921759077710512</v>
      </c>
      <c r="AE532" s="162"/>
      <c r="AF532" s="1"/>
      <c r="AG532" s="1"/>
      <c r="AH532" s="163"/>
      <c r="AI532" s="1"/>
      <c r="AJ532" s="1"/>
      <c r="AK532" s="1"/>
    </row>
    <row r="533" spans="1:37" customFormat="1" ht="135">
      <c r="A533" s="151"/>
      <c r="B533" s="147"/>
      <c r="C533" s="153" t="s">
        <v>796</v>
      </c>
      <c r="D533" s="154" t="s">
        <v>793</v>
      </c>
      <c r="E533" s="142">
        <v>36</v>
      </c>
      <c r="F533" s="156" t="s">
        <v>55</v>
      </c>
      <c r="G533" s="195">
        <v>328279900</v>
      </c>
      <c r="H533" s="205">
        <v>12</v>
      </c>
      <c r="I533" s="157">
        <v>93386100</v>
      </c>
      <c r="J533" s="143">
        <v>12</v>
      </c>
      <c r="K533" s="157">
        <v>117446900</v>
      </c>
      <c r="L533" s="142">
        <v>3</v>
      </c>
      <c r="M533" s="207" t="s">
        <v>449</v>
      </c>
      <c r="N533" s="158">
        <v>3</v>
      </c>
      <c r="O533" s="157">
        <v>6160000</v>
      </c>
      <c r="P533" s="158">
        <v>3</v>
      </c>
      <c r="Q533" s="157">
        <v>10000000</v>
      </c>
      <c r="R533" s="205">
        <v>1</v>
      </c>
      <c r="S533" s="157">
        <v>63797900</v>
      </c>
      <c r="T533" s="206">
        <f t="shared" si="97"/>
        <v>10</v>
      </c>
      <c r="U533" s="164">
        <f t="shared" si="92"/>
        <v>83.333333333333343</v>
      </c>
      <c r="V533" s="143" t="s">
        <v>58</v>
      </c>
      <c r="W533" s="159">
        <f t="shared" si="98"/>
        <v>79957900</v>
      </c>
      <c r="X533" s="164">
        <f t="shared" si="93"/>
        <v>68.080042981125942</v>
      </c>
      <c r="Y533" s="143" t="s">
        <v>58</v>
      </c>
      <c r="Z533" s="206">
        <f t="shared" si="91"/>
        <v>22</v>
      </c>
      <c r="AA533" s="159">
        <f t="shared" si="94"/>
        <v>173344000</v>
      </c>
      <c r="AB533" s="149">
        <f t="shared" si="95"/>
        <v>61.111111111111114</v>
      </c>
      <c r="AC533" s="143" t="s">
        <v>58</v>
      </c>
      <c r="AD533" s="194">
        <f t="shared" si="96"/>
        <v>52.803720239953769</v>
      </c>
      <c r="AE533" s="162"/>
      <c r="AF533" s="1"/>
      <c r="AG533" s="1"/>
      <c r="AH533" s="163"/>
      <c r="AI533" s="1"/>
      <c r="AJ533" s="1"/>
      <c r="AK533" s="1"/>
    </row>
    <row r="534" spans="1:37" customFormat="1" ht="135">
      <c r="A534" s="151"/>
      <c r="B534" s="147"/>
      <c r="C534" s="153" t="s">
        <v>797</v>
      </c>
      <c r="D534" s="154" t="s">
        <v>793</v>
      </c>
      <c r="E534" s="142">
        <v>36</v>
      </c>
      <c r="F534" s="156" t="s">
        <v>55</v>
      </c>
      <c r="G534" s="195">
        <v>430695000</v>
      </c>
      <c r="H534" s="205">
        <v>12</v>
      </c>
      <c r="I534" s="157">
        <v>82520000</v>
      </c>
      <c r="J534" s="143">
        <v>12</v>
      </c>
      <c r="K534" s="157">
        <v>163587500</v>
      </c>
      <c r="L534" s="142">
        <v>3</v>
      </c>
      <c r="M534" s="207" t="s">
        <v>449</v>
      </c>
      <c r="N534" s="158">
        <v>3</v>
      </c>
      <c r="O534" s="157">
        <v>19915000</v>
      </c>
      <c r="P534" s="158">
        <v>3</v>
      </c>
      <c r="Q534" s="157">
        <v>66286500</v>
      </c>
      <c r="R534" s="205">
        <v>3</v>
      </c>
      <c r="S534" s="157">
        <v>23080000</v>
      </c>
      <c r="T534" s="206">
        <f t="shared" si="97"/>
        <v>12</v>
      </c>
      <c r="U534" s="164">
        <f t="shared" si="92"/>
        <v>100</v>
      </c>
      <c r="V534" s="143" t="s">
        <v>58</v>
      </c>
      <c r="W534" s="159">
        <f t="shared" si="98"/>
        <v>109281500</v>
      </c>
      <c r="X534" s="164">
        <f t="shared" si="93"/>
        <v>66.803087032933448</v>
      </c>
      <c r="Y534" s="143" t="s">
        <v>58</v>
      </c>
      <c r="Z534" s="206">
        <f t="shared" si="91"/>
        <v>24</v>
      </c>
      <c r="AA534" s="159">
        <f t="shared" si="94"/>
        <v>191801500</v>
      </c>
      <c r="AB534" s="149">
        <f t="shared" si="95"/>
        <v>66.666666666666657</v>
      </c>
      <c r="AC534" s="143" t="s">
        <v>58</v>
      </c>
      <c r="AD534" s="194">
        <f t="shared" si="96"/>
        <v>44.53302220829125</v>
      </c>
      <c r="AE534" s="162"/>
      <c r="AF534" s="1"/>
      <c r="AG534" s="1"/>
      <c r="AH534" s="163"/>
      <c r="AI534" s="1"/>
      <c r="AJ534" s="1"/>
      <c r="AK534" s="1"/>
    </row>
    <row r="535" spans="1:37" customFormat="1" ht="135">
      <c r="A535" s="151"/>
      <c r="B535" s="147"/>
      <c r="C535" s="153" t="s">
        <v>798</v>
      </c>
      <c r="D535" s="154" t="s">
        <v>793</v>
      </c>
      <c r="E535" s="142">
        <v>36</v>
      </c>
      <c r="F535" s="156" t="s">
        <v>55</v>
      </c>
      <c r="G535" s="195">
        <v>411125000</v>
      </c>
      <c r="H535" s="205">
        <v>12</v>
      </c>
      <c r="I535" s="157">
        <v>88315000</v>
      </c>
      <c r="J535" s="143">
        <v>12</v>
      </c>
      <c r="K535" s="157">
        <v>161405000</v>
      </c>
      <c r="L535" s="142">
        <v>3</v>
      </c>
      <c r="M535" s="207" t="s">
        <v>449</v>
      </c>
      <c r="N535" s="158">
        <v>3</v>
      </c>
      <c r="O535" s="157">
        <v>51609000</v>
      </c>
      <c r="P535" s="158">
        <v>3</v>
      </c>
      <c r="Q535" s="157">
        <v>47675000</v>
      </c>
      <c r="R535" s="205">
        <v>3</v>
      </c>
      <c r="S535" s="157">
        <v>59997500</v>
      </c>
      <c r="T535" s="206">
        <f t="shared" si="97"/>
        <v>12</v>
      </c>
      <c r="U535" s="164">
        <f t="shared" si="92"/>
        <v>100</v>
      </c>
      <c r="V535" s="143" t="s">
        <v>58</v>
      </c>
      <c r="W535" s="159">
        <f t="shared" si="98"/>
        <v>159281500</v>
      </c>
      <c r="X535" s="164">
        <f t="shared" si="93"/>
        <v>98.684365416189095</v>
      </c>
      <c r="Y535" s="143" t="s">
        <v>58</v>
      </c>
      <c r="Z535" s="206">
        <f t="shared" si="91"/>
        <v>24</v>
      </c>
      <c r="AA535" s="159">
        <f t="shared" si="94"/>
        <v>247596500</v>
      </c>
      <c r="AB535" s="149">
        <f t="shared" si="95"/>
        <v>66.666666666666657</v>
      </c>
      <c r="AC535" s="143" t="s">
        <v>58</v>
      </c>
      <c r="AD535" s="194">
        <f t="shared" si="96"/>
        <v>60.224141076314986</v>
      </c>
      <c r="AE535" s="162"/>
      <c r="AF535" s="1"/>
      <c r="AG535" s="1"/>
      <c r="AH535" s="163"/>
      <c r="AI535" s="1"/>
      <c r="AJ535" s="1"/>
      <c r="AK535" s="1"/>
    </row>
    <row r="536" spans="1:37" customFormat="1" ht="135">
      <c r="A536" s="151"/>
      <c r="B536" s="147"/>
      <c r="C536" s="153" t="s">
        <v>799</v>
      </c>
      <c r="D536" s="154" t="s">
        <v>793</v>
      </c>
      <c r="E536" s="142">
        <v>36</v>
      </c>
      <c r="F536" s="156" t="s">
        <v>55</v>
      </c>
      <c r="G536" s="195">
        <v>361383100</v>
      </c>
      <c r="H536" s="205">
        <v>12</v>
      </c>
      <c r="I536" s="157">
        <v>47613100</v>
      </c>
      <c r="J536" s="143">
        <v>12</v>
      </c>
      <c r="K536" s="157">
        <v>135895000</v>
      </c>
      <c r="L536" s="142">
        <v>3</v>
      </c>
      <c r="M536" s="207" t="s">
        <v>449</v>
      </c>
      <c r="N536" s="158">
        <v>3</v>
      </c>
      <c r="O536" s="157">
        <v>16415000</v>
      </c>
      <c r="P536" s="158">
        <v>3</v>
      </c>
      <c r="Q536" s="157">
        <v>41820000</v>
      </c>
      <c r="R536" s="205">
        <v>1</v>
      </c>
      <c r="S536" s="157">
        <v>46475000</v>
      </c>
      <c r="T536" s="206">
        <f t="shared" si="97"/>
        <v>10</v>
      </c>
      <c r="U536" s="164">
        <f t="shared" si="92"/>
        <v>83.333333333333343</v>
      </c>
      <c r="V536" s="143" t="s">
        <v>58</v>
      </c>
      <c r="W536" s="159">
        <f t="shared" si="98"/>
        <v>104710000</v>
      </c>
      <c r="X536" s="164">
        <f t="shared" si="93"/>
        <v>77.05213584017072</v>
      </c>
      <c r="Y536" s="143" t="s">
        <v>58</v>
      </c>
      <c r="Z536" s="206">
        <f t="shared" si="91"/>
        <v>22</v>
      </c>
      <c r="AA536" s="159">
        <f t="shared" si="94"/>
        <v>152323100</v>
      </c>
      <c r="AB536" s="149">
        <f t="shared" si="95"/>
        <v>61.111111111111114</v>
      </c>
      <c r="AC536" s="143" t="s">
        <v>58</v>
      </c>
      <c r="AD536" s="194">
        <f t="shared" si="96"/>
        <v>42.150034132752751</v>
      </c>
      <c r="AE536" s="162"/>
      <c r="AF536" s="1"/>
      <c r="AG536" s="1"/>
      <c r="AH536" s="163"/>
      <c r="AI536" s="1"/>
      <c r="AJ536" s="1"/>
      <c r="AK536" s="1"/>
    </row>
    <row r="537" spans="1:37" customFormat="1" ht="135">
      <c r="A537" s="151"/>
      <c r="B537" s="147"/>
      <c r="C537" s="153" t="s">
        <v>800</v>
      </c>
      <c r="D537" s="154" t="s">
        <v>793</v>
      </c>
      <c r="E537" s="142">
        <v>36</v>
      </c>
      <c r="F537" s="156" t="s">
        <v>55</v>
      </c>
      <c r="G537" s="195">
        <v>270449050</v>
      </c>
      <c r="H537" s="205">
        <v>12</v>
      </c>
      <c r="I537" s="157">
        <v>84071150</v>
      </c>
      <c r="J537" s="143">
        <v>12</v>
      </c>
      <c r="K537" s="157">
        <v>96720000</v>
      </c>
      <c r="L537" s="142">
        <v>3</v>
      </c>
      <c r="M537" s="207" t="s">
        <v>449</v>
      </c>
      <c r="N537" s="158">
        <v>3</v>
      </c>
      <c r="O537" s="157">
        <v>22690000</v>
      </c>
      <c r="P537" s="158">
        <v>3</v>
      </c>
      <c r="Q537" s="157">
        <v>30597500</v>
      </c>
      <c r="R537" s="205">
        <v>3</v>
      </c>
      <c r="S537" s="157">
        <v>33902500</v>
      </c>
      <c r="T537" s="206">
        <f t="shared" si="97"/>
        <v>12</v>
      </c>
      <c r="U537" s="164">
        <f t="shared" si="92"/>
        <v>100</v>
      </c>
      <c r="V537" s="143" t="s">
        <v>58</v>
      </c>
      <c r="W537" s="159">
        <f t="shared" si="98"/>
        <v>87190000</v>
      </c>
      <c r="X537" s="164">
        <f t="shared" si="93"/>
        <v>90.146815550041353</v>
      </c>
      <c r="Y537" s="143" t="s">
        <v>58</v>
      </c>
      <c r="Z537" s="206">
        <f t="shared" si="91"/>
        <v>24</v>
      </c>
      <c r="AA537" s="159">
        <f t="shared" si="94"/>
        <v>171261150</v>
      </c>
      <c r="AB537" s="149">
        <f t="shared" si="95"/>
        <v>66.666666666666657</v>
      </c>
      <c r="AC537" s="143" t="s">
        <v>58</v>
      </c>
      <c r="AD537" s="194">
        <f t="shared" si="96"/>
        <v>63.324737136255429</v>
      </c>
      <c r="AE537" s="162"/>
      <c r="AF537" s="1"/>
      <c r="AG537" s="1"/>
      <c r="AH537" s="163"/>
      <c r="AI537" s="1"/>
      <c r="AJ537" s="1"/>
      <c r="AK537" s="1"/>
    </row>
    <row r="538" spans="1:37" customFormat="1" ht="135">
      <c r="A538" s="151"/>
      <c r="B538" s="147"/>
      <c r="C538" s="153" t="s">
        <v>801</v>
      </c>
      <c r="D538" s="154" t="s">
        <v>793</v>
      </c>
      <c r="E538" s="142">
        <v>36</v>
      </c>
      <c r="F538" s="156" t="s">
        <v>55</v>
      </c>
      <c r="G538" s="195">
        <v>440545100</v>
      </c>
      <c r="H538" s="205">
        <v>12</v>
      </c>
      <c r="I538" s="157">
        <v>102359600</v>
      </c>
      <c r="J538" s="143">
        <v>12</v>
      </c>
      <c r="K538" s="157">
        <v>143017500</v>
      </c>
      <c r="L538" s="142">
        <v>3</v>
      </c>
      <c r="M538" s="207" t="s">
        <v>449</v>
      </c>
      <c r="N538" s="158">
        <v>3</v>
      </c>
      <c r="O538" s="157">
        <v>19222500</v>
      </c>
      <c r="P538" s="158">
        <v>3</v>
      </c>
      <c r="Q538" s="157">
        <v>29475000</v>
      </c>
      <c r="R538" s="205">
        <v>3</v>
      </c>
      <c r="S538" s="157">
        <v>53850000</v>
      </c>
      <c r="T538" s="206">
        <f t="shared" si="97"/>
        <v>12</v>
      </c>
      <c r="U538" s="164">
        <f t="shared" si="92"/>
        <v>100</v>
      </c>
      <c r="V538" s="143" t="s">
        <v>58</v>
      </c>
      <c r="W538" s="159">
        <f t="shared" si="98"/>
        <v>102547500</v>
      </c>
      <c r="X538" s="164">
        <f t="shared" si="93"/>
        <v>71.702763647805341</v>
      </c>
      <c r="Y538" s="143" t="s">
        <v>58</v>
      </c>
      <c r="Z538" s="206">
        <f t="shared" si="91"/>
        <v>24</v>
      </c>
      <c r="AA538" s="159">
        <f t="shared" si="94"/>
        <v>204907100</v>
      </c>
      <c r="AB538" s="149">
        <f t="shared" si="95"/>
        <v>66.666666666666657</v>
      </c>
      <c r="AC538" s="143" t="s">
        <v>58</v>
      </c>
      <c r="AD538" s="194">
        <f t="shared" si="96"/>
        <v>46.512173214501765</v>
      </c>
      <c r="AE538" s="162"/>
      <c r="AF538" s="1"/>
      <c r="AG538" s="1"/>
      <c r="AH538" s="163"/>
      <c r="AI538" s="1"/>
      <c r="AJ538" s="1"/>
      <c r="AK538" s="1"/>
    </row>
    <row r="539" spans="1:37" customFormat="1" ht="135">
      <c r="A539" s="151"/>
      <c r="B539" s="147"/>
      <c r="C539" s="153" t="s">
        <v>802</v>
      </c>
      <c r="D539" s="154" t="s">
        <v>793</v>
      </c>
      <c r="E539" s="142">
        <v>36</v>
      </c>
      <c r="F539" s="156" t="s">
        <v>55</v>
      </c>
      <c r="G539" s="195">
        <v>350265800</v>
      </c>
      <c r="H539" s="205">
        <v>12</v>
      </c>
      <c r="I539" s="157">
        <v>46000000</v>
      </c>
      <c r="J539" s="143">
        <v>12</v>
      </c>
      <c r="K539" s="157">
        <v>139427900</v>
      </c>
      <c r="L539" s="142">
        <v>3</v>
      </c>
      <c r="M539" s="207" t="s">
        <v>449</v>
      </c>
      <c r="N539" s="158">
        <v>3</v>
      </c>
      <c r="O539" s="157">
        <v>5360000</v>
      </c>
      <c r="P539" s="158">
        <v>3</v>
      </c>
      <c r="Q539" s="157">
        <v>65354100</v>
      </c>
      <c r="R539" s="205">
        <v>3</v>
      </c>
      <c r="S539" s="157">
        <v>37910000</v>
      </c>
      <c r="T539" s="206">
        <f t="shared" si="97"/>
        <v>12</v>
      </c>
      <c r="U539" s="164">
        <f t="shared" si="92"/>
        <v>100</v>
      </c>
      <c r="V539" s="143" t="s">
        <v>58</v>
      </c>
      <c r="W539" s="159">
        <f t="shared" si="98"/>
        <v>108624100</v>
      </c>
      <c r="X539" s="164">
        <f t="shared" si="93"/>
        <v>77.907004265286943</v>
      </c>
      <c r="Y539" s="143" t="s">
        <v>58</v>
      </c>
      <c r="Z539" s="206">
        <f t="shared" si="91"/>
        <v>24</v>
      </c>
      <c r="AA539" s="159">
        <f t="shared" si="94"/>
        <v>154624100</v>
      </c>
      <c r="AB539" s="149">
        <f t="shared" si="95"/>
        <v>66.666666666666657</v>
      </c>
      <c r="AC539" s="143" t="s">
        <v>58</v>
      </c>
      <c r="AD539" s="194">
        <f t="shared" si="96"/>
        <v>44.144789471310077</v>
      </c>
      <c r="AE539" s="162"/>
      <c r="AF539" s="1"/>
      <c r="AG539" s="1"/>
      <c r="AH539" s="163"/>
      <c r="AI539" s="1"/>
      <c r="AJ539" s="1"/>
      <c r="AK539" s="1"/>
    </row>
    <row r="540" spans="1:37" customFormat="1" ht="135">
      <c r="A540" s="151"/>
      <c r="B540" s="147"/>
      <c r="C540" s="153" t="s">
        <v>803</v>
      </c>
      <c r="D540" s="154" t="s">
        <v>793</v>
      </c>
      <c r="E540" s="142">
        <v>36</v>
      </c>
      <c r="F540" s="156" t="s">
        <v>55</v>
      </c>
      <c r="G540" s="195">
        <v>463698000</v>
      </c>
      <c r="H540" s="205">
        <v>12</v>
      </c>
      <c r="I540" s="157">
        <v>97009000</v>
      </c>
      <c r="J540" s="143">
        <v>12</v>
      </c>
      <c r="K540" s="157">
        <v>183344500</v>
      </c>
      <c r="L540" s="142">
        <v>3</v>
      </c>
      <c r="M540" s="207" t="s">
        <v>449</v>
      </c>
      <c r="N540" s="158">
        <v>3</v>
      </c>
      <c r="O540" s="157">
        <v>33019500</v>
      </c>
      <c r="P540" s="158">
        <v>3</v>
      </c>
      <c r="Q540" s="157">
        <v>61845000</v>
      </c>
      <c r="R540" s="205">
        <v>3</v>
      </c>
      <c r="S540" s="157">
        <v>64420000</v>
      </c>
      <c r="T540" s="206">
        <f t="shared" si="97"/>
        <v>12</v>
      </c>
      <c r="U540" s="164">
        <f t="shared" si="92"/>
        <v>100</v>
      </c>
      <c r="V540" s="143" t="s">
        <v>58</v>
      </c>
      <c r="W540" s="159">
        <f t="shared" si="98"/>
        <v>159284500</v>
      </c>
      <c r="X540" s="164">
        <f t="shared" si="93"/>
        <v>86.877162936439319</v>
      </c>
      <c r="Y540" s="143" t="s">
        <v>58</v>
      </c>
      <c r="Z540" s="206">
        <f t="shared" si="91"/>
        <v>24</v>
      </c>
      <c r="AA540" s="159">
        <f t="shared" si="94"/>
        <v>256293500</v>
      </c>
      <c r="AB540" s="149">
        <f t="shared" si="95"/>
        <v>66.666666666666657</v>
      </c>
      <c r="AC540" s="143" t="s">
        <v>58</v>
      </c>
      <c r="AD540" s="194">
        <f t="shared" si="96"/>
        <v>55.271642318923099</v>
      </c>
      <c r="AE540" s="162"/>
      <c r="AF540" s="1"/>
      <c r="AG540" s="1"/>
      <c r="AH540" s="163"/>
      <c r="AI540" s="1"/>
      <c r="AJ540" s="1"/>
      <c r="AK540" s="1"/>
    </row>
    <row r="541" spans="1:37" customFormat="1" ht="135">
      <c r="A541" s="151"/>
      <c r="B541" s="147"/>
      <c r="C541" s="153" t="s">
        <v>804</v>
      </c>
      <c r="D541" s="154" t="s">
        <v>793</v>
      </c>
      <c r="E541" s="142">
        <v>36</v>
      </c>
      <c r="F541" s="156" t="s">
        <v>55</v>
      </c>
      <c r="G541" s="195">
        <v>475058000</v>
      </c>
      <c r="H541" s="205">
        <v>12</v>
      </c>
      <c r="I541" s="157">
        <v>67130000</v>
      </c>
      <c r="J541" s="143">
        <v>12</v>
      </c>
      <c r="K541" s="157">
        <v>198972500</v>
      </c>
      <c r="L541" s="142">
        <v>3</v>
      </c>
      <c r="M541" s="207" t="s">
        <v>449</v>
      </c>
      <c r="N541" s="158">
        <v>3</v>
      </c>
      <c r="O541" s="157">
        <v>23307500</v>
      </c>
      <c r="P541" s="158">
        <v>3</v>
      </c>
      <c r="Q541" s="157">
        <v>59252500</v>
      </c>
      <c r="R541" s="205">
        <v>3</v>
      </c>
      <c r="S541" s="157">
        <v>76120000</v>
      </c>
      <c r="T541" s="206">
        <f t="shared" si="97"/>
        <v>12</v>
      </c>
      <c r="U541" s="164">
        <f t="shared" si="92"/>
        <v>100</v>
      </c>
      <c r="V541" s="143" t="s">
        <v>58</v>
      </c>
      <c r="W541" s="159">
        <f t="shared" si="98"/>
        <v>158680000</v>
      </c>
      <c r="X541" s="164">
        <f t="shared" si="93"/>
        <v>79.749714156478916</v>
      </c>
      <c r="Y541" s="143" t="s">
        <v>58</v>
      </c>
      <c r="Z541" s="206">
        <f t="shared" si="91"/>
        <v>24</v>
      </c>
      <c r="AA541" s="159">
        <f t="shared" si="94"/>
        <v>225810000</v>
      </c>
      <c r="AB541" s="149">
        <f t="shared" si="95"/>
        <v>66.666666666666657</v>
      </c>
      <c r="AC541" s="143" t="s">
        <v>58</v>
      </c>
      <c r="AD541" s="194">
        <f t="shared" si="96"/>
        <v>47.533143321447064</v>
      </c>
      <c r="AE541" s="162"/>
      <c r="AF541" s="1"/>
      <c r="AG541" s="1"/>
      <c r="AH541" s="163"/>
      <c r="AI541" s="1"/>
      <c r="AJ541" s="1"/>
      <c r="AK541" s="1"/>
    </row>
    <row r="542" spans="1:37" customFormat="1" ht="135">
      <c r="A542" s="151"/>
      <c r="B542" s="147"/>
      <c r="C542" s="153" t="s">
        <v>805</v>
      </c>
      <c r="D542" s="154" t="s">
        <v>793</v>
      </c>
      <c r="E542" s="142">
        <v>36</v>
      </c>
      <c r="F542" s="156" t="s">
        <v>55</v>
      </c>
      <c r="G542" s="195">
        <v>261114400</v>
      </c>
      <c r="H542" s="205">
        <v>12</v>
      </c>
      <c r="I542" s="157">
        <v>25440000</v>
      </c>
      <c r="J542" s="143">
        <v>12</v>
      </c>
      <c r="K542" s="157">
        <v>116837200</v>
      </c>
      <c r="L542" s="142">
        <v>3</v>
      </c>
      <c r="M542" s="207" t="s">
        <v>449</v>
      </c>
      <c r="N542" s="158">
        <v>3</v>
      </c>
      <c r="O542" s="157">
        <v>13457500</v>
      </c>
      <c r="P542" s="158">
        <v>3</v>
      </c>
      <c r="Q542" s="157">
        <v>31942000</v>
      </c>
      <c r="R542" s="205">
        <v>3</v>
      </c>
      <c r="S542" s="183">
        <v>103885000</v>
      </c>
      <c r="T542" s="206">
        <f t="shared" si="97"/>
        <v>12</v>
      </c>
      <c r="U542" s="164">
        <f t="shared" si="92"/>
        <v>100</v>
      </c>
      <c r="V542" s="143" t="s">
        <v>58</v>
      </c>
      <c r="W542" s="159">
        <f t="shared" si="98"/>
        <v>149284500</v>
      </c>
      <c r="X542" s="164">
        <f t="shared" si="93"/>
        <v>127.7713776091861</v>
      </c>
      <c r="Y542" s="143" t="s">
        <v>58</v>
      </c>
      <c r="Z542" s="206">
        <f t="shared" si="91"/>
        <v>24</v>
      </c>
      <c r="AA542" s="159">
        <f t="shared" si="94"/>
        <v>174724500</v>
      </c>
      <c r="AB542" s="149">
        <f t="shared" si="95"/>
        <v>66.666666666666657</v>
      </c>
      <c r="AC542" s="143" t="s">
        <v>58</v>
      </c>
      <c r="AD542" s="194">
        <f t="shared" si="96"/>
        <v>66.914923114159919</v>
      </c>
      <c r="AE542" s="162"/>
      <c r="AF542" s="1"/>
      <c r="AG542" s="1"/>
      <c r="AH542" s="163"/>
      <c r="AI542" s="1"/>
      <c r="AJ542" s="1"/>
      <c r="AK542" s="1"/>
    </row>
    <row r="543" spans="1:37" customFormat="1" ht="135">
      <c r="A543" s="151"/>
      <c r="B543" s="147"/>
      <c r="C543" s="153" t="s">
        <v>806</v>
      </c>
      <c r="D543" s="154" t="s">
        <v>793</v>
      </c>
      <c r="E543" s="142">
        <v>36</v>
      </c>
      <c r="F543" s="156" t="s">
        <v>55</v>
      </c>
      <c r="G543" s="195">
        <v>176986100</v>
      </c>
      <c r="H543" s="205">
        <v>12</v>
      </c>
      <c r="I543" s="157">
        <v>28075000</v>
      </c>
      <c r="J543" s="143">
        <v>12</v>
      </c>
      <c r="K543" s="157">
        <v>66795000</v>
      </c>
      <c r="L543" s="142">
        <v>3</v>
      </c>
      <c r="M543" s="207" t="s">
        <v>449</v>
      </c>
      <c r="N543" s="158">
        <v>3</v>
      </c>
      <c r="O543" s="157">
        <v>5880000</v>
      </c>
      <c r="P543" s="158">
        <v>3</v>
      </c>
      <c r="Q543" s="157">
        <v>23735500</v>
      </c>
      <c r="R543" s="212">
        <v>3</v>
      </c>
      <c r="S543" s="209">
        <v>17765000</v>
      </c>
      <c r="T543" s="206">
        <f t="shared" si="97"/>
        <v>12</v>
      </c>
      <c r="U543" s="164">
        <f t="shared" si="92"/>
        <v>100</v>
      </c>
      <c r="V543" s="143" t="s">
        <v>58</v>
      </c>
      <c r="W543" s="159">
        <f t="shared" si="98"/>
        <v>47380500</v>
      </c>
      <c r="X543" s="164">
        <f t="shared" si="93"/>
        <v>70.934201661801026</v>
      </c>
      <c r="Y543" s="143" t="s">
        <v>58</v>
      </c>
      <c r="Z543" s="206">
        <f t="shared" si="91"/>
        <v>24</v>
      </c>
      <c r="AA543" s="159">
        <f t="shared" si="94"/>
        <v>75455500</v>
      </c>
      <c r="AB543" s="149">
        <f t="shared" si="95"/>
        <v>66.666666666666657</v>
      </c>
      <c r="AC543" s="143" t="s">
        <v>58</v>
      </c>
      <c r="AD543" s="194">
        <f t="shared" si="96"/>
        <v>42.633574049035488</v>
      </c>
      <c r="AE543" s="162"/>
      <c r="AF543" s="1"/>
      <c r="AG543" s="1"/>
      <c r="AH543" s="163"/>
      <c r="AI543" s="1"/>
      <c r="AJ543" s="1"/>
      <c r="AK543" s="1"/>
    </row>
    <row r="544" spans="1:37" customFormat="1" ht="135">
      <c r="A544" s="151"/>
      <c r="B544" s="147"/>
      <c r="C544" s="153" t="s">
        <v>807</v>
      </c>
      <c r="D544" s="154" t="s">
        <v>793</v>
      </c>
      <c r="E544" s="142">
        <v>36</v>
      </c>
      <c r="F544" s="156" t="s">
        <v>55</v>
      </c>
      <c r="G544" s="195">
        <v>472821200</v>
      </c>
      <c r="H544" s="205">
        <v>12</v>
      </c>
      <c r="I544" s="157">
        <v>51432000</v>
      </c>
      <c r="J544" s="143">
        <v>12</v>
      </c>
      <c r="K544" s="157">
        <v>191082600</v>
      </c>
      <c r="L544" s="142">
        <v>3</v>
      </c>
      <c r="M544" s="207" t="s">
        <v>449</v>
      </c>
      <c r="N544" s="158">
        <v>3</v>
      </c>
      <c r="O544" s="157">
        <v>35585500</v>
      </c>
      <c r="P544" s="158">
        <v>3</v>
      </c>
      <c r="Q544" s="157">
        <v>55950000</v>
      </c>
      <c r="R544" s="212">
        <v>3</v>
      </c>
      <c r="S544" s="209">
        <v>48298000</v>
      </c>
      <c r="T544" s="206">
        <f t="shared" si="97"/>
        <v>12</v>
      </c>
      <c r="U544" s="164">
        <f t="shared" si="92"/>
        <v>100</v>
      </c>
      <c r="V544" s="143" t="s">
        <v>58</v>
      </c>
      <c r="W544" s="159">
        <f t="shared" si="98"/>
        <v>139833500</v>
      </c>
      <c r="X544" s="164">
        <f t="shared" si="93"/>
        <v>73.17960923705246</v>
      </c>
      <c r="Y544" s="143" t="s">
        <v>58</v>
      </c>
      <c r="Z544" s="206">
        <f t="shared" si="91"/>
        <v>24</v>
      </c>
      <c r="AA544" s="159">
        <f t="shared" si="94"/>
        <v>191265500</v>
      </c>
      <c r="AB544" s="149">
        <f t="shared" si="95"/>
        <v>66.666666666666657</v>
      </c>
      <c r="AC544" s="143" t="s">
        <v>58</v>
      </c>
      <c r="AD544" s="194">
        <f t="shared" si="96"/>
        <v>40.451972119693444</v>
      </c>
      <c r="AE544" s="162"/>
      <c r="AF544" s="1"/>
      <c r="AG544" s="1"/>
      <c r="AH544" s="163"/>
      <c r="AI544" s="1"/>
      <c r="AJ544" s="1"/>
      <c r="AK544" s="1"/>
    </row>
    <row r="545" spans="1:37" customFormat="1" ht="135">
      <c r="A545" s="151"/>
      <c r="B545" s="147"/>
      <c r="C545" s="153" t="s">
        <v>808</v>
      </c>
      <c r="D545" s="154" t="s">
        <v>793</v>
      </c>
      <c r="E545" s="142">
        <v>36</v>
      </c>
      <c r="F545" s="156" t="s">
        <v>55</v>
      </c>
      <c r="G545" s="195">
        <v>523536500</v>
      </c>
      <c r="H545" s="205">
        <v>12</v>
      </c>
      <c r="I545" s="157">
        <v>120102500</v>
      </c>
      <c r="J545" s="143">
        <v>12</v>
      </c>
      <c r="K545" s="157">
        <v>201717000</v>
      </c>
      <c r="L545" s="142">
        <v>3</v>
      </c>
      <c r="M545" s="207" t="s">
        <v>449</v>
      </c>
      <c r="N545" s="158">
        <v>3</v>
      </c>
      <c r="O545" s="157">
        <v>24035000</v>
      </c>
      <c r="P545" s="158">
        <v>3</v>
      </c>
      <c r="Q545" s="157">
        <v>83282500</v>
      </c>
      <c r="R545" s="212">
        <v>3</v>
      </c>
      <c r="S545" s="209">
        <v>86972500</v>
      </c>
      <c r="T545" s="206">
        <f t="shared" si="97"/>
        <v>12</v>
      </c>
      <c r="U545" s="164">
        <f t="shared" si="92"/>
        <v>100</v>
      </c>
      <c r="V545" s="143" t="s">
        <v>58</v>
      </c>
      <c r="W545" s="159">
        <f t="shared" si="98"/>
        <v>194290000</v>
      </c>
      <c r="X545" s="164">
        <f t="shared" si="93"/>
        <v>96.3181090339436</v>
      </c>
      <c r="Y545" s="143" t="s">
        <v>58</v>
      </c>
      <c r="Z545" s="206">
        <f t="shared" si="91"/>
        <v>24</v>
      </c>
      <c r="AA545" s="159">
        <f t="shared" si="94"/>
        <v>314392500</v>
      </c>
      <c r="AB545" s="149">
        <f t="shared" si="95"/>
        <v>66.666666666666657</v>
      </c>
      <c r="AC545" s="143" t="s">
        <v>58</v>
      </c>
      <c r="AD545" s="194">
        <f t="shared" si="96"/>
        <v>60.051686940643108</v>
      </c>
      <c r="AE545" s="162"/>
      <c r="AF545" s="1"/>
      <c r="AG545" s="1"/>
      <c r="AH545" s="163"/>
      <c r="AI545" s="1"/>
      <c r="AJ545" s="1"/>
      <c r="AK545" s="1"/>
    </row>
    <row r="546" spans="1:37" customFormat="1" ht="135">
      <c r="A546" s="151"/>
      <c r="B546" s="147"/>
      <c r="C546" s="153" t="s">
        <v>809</v>
      </c>
      <c r="D546" s="154" t="s">
        <v>793</v>
      </c>
      <c r="E546" s="142">
        <v>36</v>
      </c>
      <c r="F546" s="156" t="s">
        <v>55</v>
      </c>
      <c r="G546" s="195">
        <v>310299200</v>
      </c>
      <c r="H546" s="205">
        <v>12</v>
      </c>
      <c r="I546" s="157">
        <v>93156400</v>
      </c>
      <c r="J546" s="143">
        <v>12</v>
      </c>
      <c r="K546" s="157">
        <v>103343900</v>
      </c>
      <c r="L546" s="213">
        <v>3</v>
      </c>
      <c r="M546" s="214">
        <v>0</v>
      </c>
      <c r="N546" s="215">
        <v>3</v>
      </c>
      <c r="O546" s="209">
        <v>11390000</v>
      </c>
      <c r="P546" s="215">
        <v>3</v>
      </c>
      <c r="Q546" s="209">
        <v>56845000</v>
      </c>
      <c r="R546" s="216">
        <v>3</v>
      </c>
      <c r="S546" s="209">
        <v>20757200</v>
      </c>
      <c r="T546" s="206">
        <f t="shared" si="97"/>
        <v>12</v>
      </c>
      <c r="U546" s="164">
        <f t="shared" si="92"/>
        <v>100</v>
      </c>
      <c r="V546" s="143" t="s">
        <v>58</v>
      </c>
      <c r="W546" s="159">
        <f t="shared" si="98"/>
        <v>88992200</v>
      </c>
      <c r="X546" s="164">
        <f t="shared" si="93"/>
        <v>86.112678155169291</v>
      </c>
      <c r="Y546" s="143" t="s">
        <v>58</v>
      </c>
      <c r="Z546" s="206">
        <f t="shared" si="91"/>
        <v>24</v>
      </c>
      <c r="AA546" s="159">
        <f t="shared" si="94"/>
        <v>182148600</v>
      </c>
      <c r="AB546" s="149">
        <f t="shared" si="95"/>
        <v>66.666666666666657</v>
      </c>
      <c r="AC546" s="143" t="s">
        <v>58</v>
      </c>
      <c r="AD546" s="194">
        <f t="shared" si="96"/>
        <v>58.700957011813117</v>
      </c>
      <c r="AE546" s="162"/>
      <c r="AF546" s="1"/>
      <c r="AG546" s="1"/>
      <c r="AH546" s="163"/>
      <c r="AI546" s="1"/>
      <c r="AJ546" s="1"/>
      <c r="AK546" s="1"/>
    </row>
    <row r="547" spans="1:37" customFormat="1" ht="135">
      <c r="A547" s="151"/>
      <c r="B547" s="147"/>
      <c r="C547" s="153" t="s">
        <v>810</v>
      </c>
      <c r="D547" s="154" t="s">
        <v>793</v>
      </c>
      <c r="E547" s="142">
        <v>36</v>
      </c>
      <c r="F547" s="156" t="s">
        <v>55</v>
      </c>
      <c r="G547" s="195">
        <v>394625500</v>
      </c>
      <c r="H547" s="205">
        <v>12</v>
      </c>
      <c r="I547" s="157">
        <v>80705000</v>
      </c>
      <c r="J547" s="143">
        <v>12</v>
      </c>
      <c r="K547" s="157">
        <v>143755500</v>
      </c>
      <c r="L547" s="142">
        <v>3</v>
      </c>
      <c r="M547" s="157">
        <v>0</v>
      </c>
      <c r="N547" s="158">
        <v>3</v>
      </c>
      <c r="O547" s="157">
        <v>40515000</v>
      </c>
      <c r="P547" s="158">
        <v>3</v>
      </c>
      <c r="Q547" s="157">
        <v>44875000</v>
      </c>
      <c r="R547" s="212">
        <v>3</v>
      </c>
      <c r="S547" s="209">
        <v>36520000</v>
      </c>
      <c r="T547" s="206">
        <f t="shared" si="97"/>
        <v>12</v>
      </c>
      <c r="U547" s="164">
        <f t="shared" si="92"/>
        <v>100</v>
      </c>
      <c r="V547" s="143" t="s">
        <v>58</v>
      </c>
      <c r="W547" s="159">
        <f t="shared" si="98"/>
        <v>121910000</v>
      </c>
      <c r="X547" s="164">
        <f t="shared" si="93"/>
        <v>84.803711857981085</v>
      </c>
      <c r="Y547" s="143" t="s">
        <v>58</v>
      </c>
      <c r="Z547" s="206">
        <f t="shared" si="91"/>
        <v>24</v>
      </c>
      <c r="AA547" s="159">
        <f t="shared" si="94"/>
        <v>202615000</v>
      </c>
      <c r="AB547" s="149">
        <f t="shared" si="95"/>
        <v>66.666666666666657</v>
      </c>
      <c r="AC547" s="143" t="s">
        <v>58</v>
      </c>
      <c r="AD547" s="194">
        <f t="shared" si="96"/>
        <v>51.343615655855992</v>
      </c>
      <c r="AE547" s="162"/>
      <c r="AF547" s="1"/>
      <c r="AG547" s="1"/>
      <c r="AH547" s="163"/>
      <c r="AI547" s="1"/>
      <c r="AJ547" s="1"/>
      <c r="AK547" s="1"/>
    </row>
    <row r="548" spans="1:37" customFormat="1" ht="135">
      <c r="A548" s="151"/>
      <c r="B548" s="147"/>
      <c r="C548" s="153" t="s">
        <v>811</v>
      </c>
      <c r="D548" s="154" t="s">
        <v>793</v>
      </c>
      <c r="E548" s="142">
        <v>36</v>
      </c>
      <c r="F548" s="156" t="s">
        <v>55</v>
      </c>
      <c r="G548" s="195">
        <v>588300000</v>
      </c>
      <c r="H548" s="205">
        <v>12</v>
      </c>
      <c r="I548" s="157">
        <v>79080000</v>
      </c>
      <c r="J548" s="143">
        <v>12</v>
      </c>
      <c r="K548" s="157">
        <v>202981500</v>
      </c>
      <c r="L548" s="142">
        <v>3</v>
      </c>
      <c r="M548" s="207" t="s">
        <v>449</v>
      </c>
      <c r="N548" s="158">
        <v>3</v>
      </c>
      <c r="O548" s="157">
        <v>39192500</v>
      </c>
      <c r="P548" s="158">
        <v>3</v>
      </c>
      <c r="Q548" s="157">
        <v>67880000</v>
      </c>
      <c r="R548" s="212">
        <v>3</v>
      </c>
      <c r="S548" s="209">
        <v>90222500</v>
      </c>
      <c r="T548" s="206">
        <f t="shared" si="97"/>
        <v>12</v>
      </c>
      <c r="U548" s="164">
        <f t="shared" si="92"/>
        <v>100</v>
      </c>
      <c r="V548" s="143" t="s">
        <v>58</v>
      </c>
      <c r="W548" s="159">
        <f t="shared" si="98"/>
        <v>197295000</v>
      </c>
      <c r="X548" s="164">
        <f t="shared" si="93"/>
        <v>97.198513164992875</v>
      </c>
      <c r="Y548" s="143" t="s">
        <v>58</v>
      </c>
      <c r="Z548" s="206">
        <f t="shared" si="91"/>
        <v>24</v>
      </c>
      <c r="AA548" s="159">
        <f t="shared" si="94"/>
        <v>276375000</v>
      </c>
      <c r="AB548" s="149">
        <f t="shared" si="95"/>
        <v>66.666666666666657</v>
      </c>
      <c r="AC548" s="143" t="s">
        <v>58</v>
      </c>
      <c r="AD548" s="194">
        <f t="shared" si="96"/>
        <v>46.978582355940844</v>
      </c>
      <c r="AE548" s="162"/>
      <c r="AF548" s="1"/>
      <c r="AG548" s="1"/>
      <c r="AH548" s="163"/>
      <c r="AI548" s="1"/>
      <c r="AJ548" s="1"/>
      <c r="AK548" s="1"/>
    </row>
    <row r="549" spans="1:37" customFormat="1" ht="135">
      <c r="A549" s="151"/>
      <c r="B549" s="147"/>
      <c r="C549" s="153" t="s">
        <v>812</v>
      </c>
      <c r="D549" s="154" t="s">
        <v>793</v>
      </c>
      <c r="E549" s="142">
        <v>36</v>
      </c>
      <c r="F549" s="156" t="s">
        <v>55</v>
      </c>
      <c r="G549" s="195">
        <v>423632350</v>
      </c>
      <c r="H549" s="205">
        <v>12</v>
      </c>
      <c r="I549" s="157">
        <v>85070050</v>
      </c>
      <c r="J549" s="143">
        <v>12</v>
      </c>
      <c r="K549" s="157">
        <v>191386150</v>
      </c>
      <c r="L549" s="142">
        <v>3</v>
      </c>
      <c r="M549" s="207" t="s">
        <v>449</v>
      </c>
      <c r="N549" s="158">
        <v>3</v>
      </c>
      <c r="O549" s="157">
        <v>26900000</v>
      </c>
      <c r="P549" s="158">
        <v>3</v>
      </c>
      <c r="Q549" s="157">
        <v>45005500</v>
      </c>
      <c r="R549" s="205">
        <v>3</v>
      </c>
      <c r="S549" s="157">
        <v>64405950</v>
      </c>
      <c r="T549" s="206">
        <f t="shared" si="97"/>
        <v>12</v>
      </c>
      <c r="U549" s="164">
        <f t="shared" si="92"/>
        <v>100</v>
      </c>
      <c r="V549" s="143" t="s">
        <v>58</v>
      </c>
      <c r="W549" s="159">
        <f t="shared" si="98"/>
        <v>136311450</v>
      </c>
      <c r="X549" s="164">
        <f t="shared" si="93"/>
        <v>71.223257273318879</v>
      </c>
      <c r="Y549" s="143" t="s">
        <v>58</v>
      </c>
      <c r="Z549" s="206">
        <f t="shared" si="91"/>
        <v>24</v>
      </c>
      <c r="AA549" s="159">
        <f t="shared" si="94"/>
        <v>221381500</v>
      </c>
      <c r="AB549" s="149">
        <f t="shared" si="95"/>
        <v>66.666666666666657</v>
      </c>
      <c r="AC549" s="143" t="s">
        <v>58</v>
      </c>
      <c r="AD549" s="194">
        <f t="shared" si="96"/>
        <v>52.257930726961717</v>
      </c>
      <c r="AE549" s="162"/>
      <c r="AF549" s="1"/>
      <c r="AG549" s="1"/>
      <c r="AH549" s="163"/>
      <c r="AI549" s="1"/>
      <c r="AJ549" s="1"/>
      <c r="AK549" s="1"/>
    </row>
    <row r="550" spans="1:37" customFormat="1" ht="135">
      <c r="A550" s="151"/>
      <c r="B550" s="147"/>
      <c r="C550" s="153" t="s">
        <v>813</v>
      </c>
      <c r="D550" s="154" t="s">
        <v>793</v>
      </c>
      <c r="E550" s="142">
        <v>36</v>
      </c>
      <c r="F550" s="156" t="s">
        <v>55</v>
      </c>
      <c r="G550" s="195">
        <v>4460000</v>
      </c>
      <c r="H550" s="205">
        <v>12</v>
      </c>
      <c r="I550" s="157">
        <v>1760000</v>
      </c>
      <c r="J550" s="143">
        <v>12</v>
      </c>
      <c r="K550" s="157">
        <v>221485100</v>
      </c>
      <c r="L550" s="142">
        <v>3</v>
      </c>
      <c r="M550" s="207" t="s">
        <v>449</v>
      </c>
      <c r="N550" s="158">
        <v>3</v>
      </c>
      <c r="O550" s="157">
        <v>70665600</v>
      </c>
      <c r="P550" s="158">
        <v>3</v>
      </c>
      <c r="Q550" s="157">
        <v>56104000</v>
      </c>
      <c r="R550" s="205">
        <v>3</v>
      </c>
      <c r="S550" s="157">
        <v>55500000</v>
      </c>
      <c r="T550" s="206">
        <f t="shared" si="97"/>
        <v>12</v>
      </c>
      <c r="U550" s="164">
        <f t="shared" si="92"/>
        <v>100</v>
      </c>
      <c r="V550" s="143" t="s">
        <v>58</v>
      </c>
      <c r="W550" s="159">
        <f t="shared" si="98"/>
        <v>182269600</v>
      </c>
      <c r="X550" s="164">
        <f t="shared" si="93"/>
        <v>82.294294288870901</v>
      </c>
      <c r="Y550" s="143" t="s">
        <v>58</v>
      </c>
      <c r="Z550" s="206">
        <f t="shared" si="91"/>
        <v>24</v>
      </c>
      <c r="AA550" s="159">
        <f t="shared" si="94"/>
        <v>184029600</v>
      </c>
      <c r="AB550" s="149">
        <f t="shared" si="95"/>
        <v>66.666666666666657</v>
      </c>
      <c r="AC550" s="143" t="s">
        <v>58</v>
      </c>
      <c r="AD550" s="194">
        <f t="shared" si="96"/>
        <v>4126.224215246637</v>
      </c>
      <c r="AE550" s="162"/>
      <c r="AF550" s="1"/>
      <c r="AG550" s="1"/>
      <c r="AH550" s="163"/>
      <c r="AI550" s="1"/>
      <c r="AJ550" s="1"/>
      <c r="AK550" s="1"/>
    </row>
    <row r="551" spans="1:37" customFormat="1" ht="135">
      <c r="A551" s="151"/>
      <c r="B551" s="147"/>
      <c r="C551" s="153" t="s">
        <v>814</v>
      </c>
      <c r="D551" s="154" t="s">
        <v>793</v>
      </c>
      <c r="E551" s="142">
        <v>36</v>
      </c>
      <c r="F551" s="156" t="s">
        <v>55</v>
      </c>
      <c r="G551" s="195">
        <v>252495000</v>
      </c>
      <c r="H551" s="205">
        <v>12</v>
      </c>
      <c r="I551" s="157">
        <v>89275000</v>
      </c>
      <c r="J551" s="143">
        <v>12</v>
      </c>
      <c r="K551" s="157">
        <v>80010000</v>
      </c>
      <c r="L551" s="142">
        <v>3</v>
      </c>
      <c r="M551" s="207" t="s">
        <v>449</v>
      </c>
      <c r="N551" s="158">
        <v>3</v>
      </c>
      <c r="O551" s="157">
        <v>6030000</v>
      </c>
      <c r="P551" s="158">
        <v>3</v>
      </c>
      <c r="Q551" s="157">
        <v>29325000</v>
      </c>
      <c r="R551" s="212">
        <v>3</v>
      </c>
      <c r="S551" s="209">
        <v>40975150</v>
      </c>
      <c r="T551" s="206">
        <f t="shared" si="97"/>
        <v>12</v>
      </c>
      <c r="U551" s="164">
        <f t="shared" si="92"/>
        <v>100</v>
      </c>
      <c r="V551" s="143" t="s">
        <v>58</v>
      </c>
      <c r="W551" s="159">
        <f t="shared" si="98"/>
        <v>76330150</v>
      </c>
      <c r="X551" s="164">
        <f t="shared" si="93"/>
        <v>95.400762404699407</v>
      </c>
      <c r="Y551" s="143" t="s">
        <v>58</v>
      </c>
      <c r="Z551" s="206">
        <f t="shared" si="91"/>
        <v>24</v>
      </c>
      <c r="AA551" s="159">
        <f t="shared" si="94"/>
        <v>165605150</v>
      </c>
      <c r="AB551" s="149">
        <f t="shared" si="95"/>
        <v>66.666666666666657</v>
      </c>
      <c r="AC551" s="143" t="s">
        <v>58</v>
      </c>
      <c r="AD551" s="194">
        <f t="shared" si="96"/>
        <v>65.587496782114499</v>
      </c>
      <c r="AE551" s="162"/>
      <c r="AF551" s="1"/>
      <c r="AG551" s="1"/>
      <c r="AH551" s="163"/>
      <c r="AI551" s="1"/>
      <c r="AJ551" s="1"/>
      <c r="AK551" s="1"/>
    </row>
    <row r="552" spans="1:37" customFormat="1" ht="105">
      <c r="A552" s="151"/>
      <c r="B552" s="147"/>
      <c r="C552" s="153" t="s">
        <v>815</v>
      </c>
      <c r="D552" s="154" t="s">
        <v>816</v>
      </c>
      <c r="E552" s="155">
        <v>36</v>
      </c>
      <c r="F552" s="156" t="s">
        <v>55</v>
      </c>
      <c r="G552" s="195">
        <v>97784448131</v>
      </c>
      <c r="H552" s="158">
        <v>12</v>
      </c>
      <c r="I552" s="157">
        <v>57085139100</v>
      </c>
      <c r="J552" s="158">
        <v>12</v>
      </c>
      <c r="K552" s="157">
        <v>55595628200</v>
      </c>
      <c r="L552" s="142">
        <v>3</v>
      </c>
      <c r="M552" s="157">
        <v>18034385200</v>
      </c>
      <c r="N552" s="158">
        <v>3</v>
      </c>
      <c r="O552" s="157">
        <f>36013568500-M552</f>
        <v>17979183300</v>
      </c>
      <c r="P552" s="158">
        <v>3</v>
      </c>
      <c r="Q552" s="157">
        <v>0</v>
      </c>
      <c r="R552" s="158">
        <v>3</v>
      </c>
      <c r="S552" s="157">
        <f>54854951500-M552</f>
        <v>36820566300</v>
      </c>
      <c r="T552" s="142">
        <f t="shared" si="97"/>
        <v>12</v>
      </c>
      <c r="U552" s="143">
        <f t="shared" si="92"/>
        <v>100</v>
      </c>
      <c r="V552" s="143" t="s">
        <v>58</v>
      </c>
      <c r="W552" s="159">
        <f t="shared" si="98"/>
        <v>72834134800</v>
      </c>
      <c r="X552" s="164">
        <f t="shared" si="93"/>
        <v>131.00694633395653</v>
      </c>
      <c r="Y552" s="143" t="s">
        <v>58</v>
      </c>
      <c r="Z552" s="143">
        <f t="shared" si="91"/>
        <v>24</v>
      </c>
      <c r="AA552" s="159">
        <f t="shared" si="94"/>
        <v>129919273900</v>
      </c>
      <c r="AB552" s="149">
        <f t="shared" si="95"/>
        <v>66.666666666666657</v>
      </c>
      <c r="AC552" s="143" t="s">
        <v>58</v>
      </c>
      <c r="AD552" s="194">
        <f t="shared" si="96"/>
        <v>132.86292082555866</v>
      </c>
      <c r="AE552" s="162"/>
      <c r="AF552" s="1"/>
      <c r="AG552" s="1"/>
      <c r="AH552" s="163"/>
      <c r="AI552" s="1"/>
      <c r="AJ552" s="1"/>
      <c r="AK552" s="1"/>
    </row>
    <row r="553" spans="1:37" customFormat="1" ht="105">
      <c r="A553" s="151"/>
      <c r="B553" s="147"/>
      <c r="C553" s="153" t="s">
        <v>817</v>
      </c>
      <c r="D553" s="154" t="s">
        <v>818</v>
      </c>
      <c r="E553" s="155">
        <v>42</v>
      </c>
      <c r="F553" s="156" t="s">
        <v>55</v>
      </c>
      <c r="G553" s="195">
        <f>K553*2</f>
        <v>56840000</v>
      </c>
      <c r="H553" s="158"/>
      <c r="I553" s="157"/>
      <c r="J553" s="158">
        <v>21</v>
      </c>
      <c r="K553" s="157">
        <v>28420000</v>
      </c>
      <c r="L553" s="155">
        <v>21</v>
      </c>
      <c r="M553" s="157">
        <v>0</v>
      </c>
      <c r="N553" s="158">
        <v>0</v>
      </c>
      <c r="O553" s="157">
        <v>0</v>
      </c>
      <c r="P553" s="158">
        <v>0</v>
      </c>
      <c r="Q553" s="157">
        <v>0</v>
      </c>
      <c r="R553" s="158">
        <v>0</v>
      </c>
      <c r="S553" s="157">
        <v>10232500</v>
      </c>
      <c r="T553" s="142">
        <f t="shared" si="97"/>
        <v>21</v>
      </c>
      <c r="U553" s="143">
        <f t="shared" si="92"/>
        <v>100</v>
      </c>
      <c r="V553" s="143" t="s">
        <v>58</v>
      </c>
      <c r="W553" s="159">
        <f t="shared" si="98"/>
        <v>10232500</v>
      </c>
      <c r="X553" s="164">
        <f t="shared" si="93"/>
        <v>36.004574243490502</v>
      </c>
      <c r="Y553" s="143" t="s">
        <v>58</v>
      </c>
      <c r="Z553" s="143">
        <f t="shared" si="91"/>
        <v>21</v>
      </c>
      <c r="AA553" s="159">
        <f t="shared" si="94"/>
        <v>10232500</v>
      </c>
      <c r="AB553" s="149">
        <f t="shared" si="95"/>
        <v>50</v>
      </c>
      <c r="AC553" s="143" t="s">
        <v>58</v>
      </c>
      <c r="AD553" s="194">
        <f t="shared" si="96"/>
        <v>18.002287121745251</v>
      </c>
      <c r="AE553" s="162"/>
      <c r="AF553" s="1"/>
      <c r="AG553" s="1"/>
      <c r="AH553" s="163"/>
      <c r="AI553" s="1"/>
      <c r="AJ553" s="1"/>
      <c r="AK553" s="1"/>
    </row>
    <row r="554" spans="1:37" customFormat="1" ht="75">
      <c r="A554" s="151"/>
      <c r="B554" s="147"/>
      <c r="C554" s="153" t="s">
        <v>819</v>
      </c>
      <c r="D554" s="154" t="s">
        <v>820</v>
      </c>
      <c r="E554" s="155">
        <f>21*3</f>
        <v>63</v>
      </c>
      <c r="F554" s="156" t="s">
        <v>55</v>
      </c>
      <c r="G554" s="195">
        <v>1505802000</v>
      </c>
      <c r="H554" s="158">
        <v>21</v>
      </c>
      <c r="I554" s="157">
        <v>399651825</v>
      </c>
      <c r="J554" s="158">
        <v>21</v>
      </c>
      <c r="K554" s="157">
        <v>583159800</v>
      </c>
      <c r="L554" s="155">
        <v>21</v>
      </c>
      <c r="M554" s="157">
        <v>82800000</v>
      </c>
      <c r="N554" s="158">
        <v>21</v>
      </c>
      <c r="O554" s="157">
        <f>206106520-M554</f>
        <v>123306520</v>
      </c>
      <c r="P554" s="158">
        <v>21</v>
      </c>
      <c r="Q554" s="157">
        <f>305343090-M554-O554</f>
        <v>99236570</v>
      </c>
      <c r="R554" s="158">
        <v>21</v>
      </c>
      <c r="S554" s="157">
        <f>453372452-M554-O554-Q554</f>
        <v>148029362</v>
      </c>
      <c r="T554" s="142">
        <f>AVERAGE(L554,N554,P554,R554)</f>
        <v>21</v>
      </c>
      <c r="U554" s="143">
        <f t="shared" si="92"/>
        <v>100</v>
      </c>
      <c r="V554" s="143" t="s">
        <v>58</v>
      </c>
      <c r="W554" s="159">
        <f t="shared" si="98"/>
        <v>453372452</v>
      </c>
      <c r="X554" s="164">
        <f t="shared" si="93"/>
        <v>77.744119536360358</v>
      </c>
      <c r="Y554" s="143" t="s">
        <v>58</v>
      </c>
      <c r="Z554" s="143">
        <f t="shared" si="91"/>
        <v>42</v>
      </c>
      <c r="AA554" s="159">
        <f t="shared" si="94"/>
        <v>853024277</v>
      </c>
      <c r="AB554" s="149">
        <f t="shared" si="95"/>
        <v>66.666666666666657</v>
      </c>
      <c r="AC554" s="143" t="s">
        <v>58</v>
      </c>
      <c r="AD554" s="194">
        <f t="shared" si="96"/>
        <v>56.649166158631751</v>
      </c>
      <c r="AE554" s="162"/>
      <c r="AF554" s="1"/>
      <c r="AG554" s="1"/>
      <c r="AH554" s="163"/>
      <c r="AI554" s="1"/>
      <c r="AJ554" s="1"/>
      <c r="AK554" s="1"/>
    </row>
    <row r="555" spans="1:37" customFormat="1" ht="75">
      <c r="A555" s="151"/>
      <c r="B555" s="147"/>
      <c r="C555" s="153" t="s">
        <v>821</v>
      </c>
      <c r="D555" s="154" t="s">
        <v>820</v>
      </c>
      <c r="E555" s="155">
        <v>36</v>
      </c>
      <c r="F555" s="156" t="s">
        <v>55</v>
      </c>
      <c r="G555" s="195">
        <v>2083177643</v>
      </c>
      <c r="H555" s="205">
        <v>12</v>
      </c>
      <c r="I555" s="157">
        <v>638363470</v>
      </c>
      <c r="J555" s="143">
        <v>12</v>
      </c>
      <c r="K555" s="157">
        <v>765927958</v>
      </c>
      <c r="L555" s="142">
        <v>3</v>
      </c>
      <c r="M555" s="157">
        <v>0</v>
      </c>
      <c r="N555" s="158">
        <v>3</v>
      </c>
      <c r="O555" s="157">
        <v>222946233</v>
      </c>
      <c r="P555" s="158">
        <v>3</v>
      </c>
      <c r="Q555" s="157">
        <v>210250800</v>
      </c>
      <c r="R555" s="205">
        <v>3</v>
      </c>
      <c r="S555" s="157">
        <v>252285732</v>
      </c>
      <c r="T555" s="206">
        <f t="shared" ref="T555:T577" si="99">SUM(L555,N555,P555,R555)</f>
        <v>12</v>
      </c>
      <c r="U555" s="164">
        <f t="shared" si="92"/>
        <v>100</v>
      </c>
      <c r="V555" s="143" t="s">
        <v>58</v>
      </c>
      <c r="W555" s="159">
        <f t="shared" si="98"/>
        <v>685482765</v>
      </c>
      <c r="X555" s="164">
        <f t="shared" si="93"/>
        <v>89.497028779304586</v>
      </c>
      <c r="Y555" s="143" t="s">
        <v>58</v>
      </c>
      <c r="Z555" s="206">
        <f t="shared" si="91"/>
        <v>24</v>
      </c>
      <c r="AA555" s="159">
        <f t="shared" si="94"/>
        <v>1323846235</v>
      </c>
      <c r="AB555" s="149">
        <f t="shared" si="95"/>
        <v>66.666666666666657</v>
      </c>
      <c r="AC555" s="143" t="s">
        <v>58</v>
      </c>
      <c r="AD555" s="194">
        <f t="shared" si="96"/>
        <v>63.549368410728476</v>
      </c>
      <c r="AE555" s="162"/>
      <c r="AF555" s="1"/>
      <c r="AG555" s="1"/>
      <c r="AH555" s="163"/>
      <c r="AI555" s="1"/>
      <c r="AJ555" s="1"/>
      <c r="AK555" s="1"/>
    </row>
    <row r="556" spans="1:37" customFormat="1" ht="75">
      <c r="A556" s="151"/>
      <c r="B556" s="147"/>
      <c r="C556" s="153" t="s">
        <v>822</v>
      </c>
      <c r="D556" s="154" t="s">
        <v>820</v>
      </c>
      <c r="E556" s="155">
        <v>36</v>
      </c>
      <c r="F556" s="156" t="s">
        <v>55</v>
      </c>
      <c r="G556" s="195">
        <v>1039830000</v>
      </c>
      <c r="H556" s="205">
        <v>12</v>
      </c>
      <c r="I556" s="157">
        <v>793765075</v>
      </c>
      <c r="J556" s="143">
        <v>12</v>
      </c>
      <c r="K556" s="157">
        <v>449913238</v>
      </c>
      <c r="L556" s="142">
        <v>3</v>
      </c>
      <c r="M556" s="157">
        <v>38600795</v>
      </c>
      <c r="N556" s="158">
        <v>3</v>
      </c>
      <c r="O556" s="157">
        <v>18225000</v>
      </c>
      <c r="P556" s="158">
        <v>3</v>
      </c>
      <c r="Q556" s="157">
        <v>213669180</v>
      </c>
      <c r="R556" s="205">
        <v>3</v>
      </c>
      <c r="S556" s="157">
        <v>188950672</v>
      </c>
      <c r="T556" s="206">
        <f t="shared" si="99"/>
        <v>12</v>
      </c>
      <c r="U556" s="164">
        <f t="shared" si="92"/>
        <v>100</v>
      </c>
      <c r="V556" s="143"/>
      <c r="W556" s="159">
        <f t="shared" si="98"/>
        <v>459445647</v>
      </c>
      <c r="X556" s="164"/>
      <c r="Y556" s="143"/>
      <c r="Z556" s="206">
        <f t="shared" si="91"/>
        <v>24</v>
      </c>
      <c r="AA556" s="159"/>
      <c r="AB556" s="149">
        <f t="shared" si="95"/>
        <v>66.666666666666657</v>
      </c>
      <c r="AC556" s="143" t="s">
        <v>58</v>
      </c>
      <c r="AD556" s="194">
        <f t="shared" si="96"/>
        <v>0</v>
      </c>
      <c r="AE556" s="162"/>
      <c r="AF556" s="1"/>
      <c r="AG556" s="1"/>
      <c r="AH556" s="163"/>
      <c r="AI556" s="1"/>
      <c r="AJ556" s="1"/>
      <c r="AK556" s="1"/>
    </row>
    <row r="557" spans="1:37" customFormat="1" ht="75">
      <c r="A557" s="151"/>
      <c r="B557" s="147"/>
      <c r="C557" s="153" t="s">
        <v>823</v>
      </c>
      <c r="D557" s="154" t="s">
        <v>820</v>
      </c>
      <c r="E557" s="155">
        <v>36</v>
      </c>
      <c r="F557" s="156" t="s">
        <v>55</v>
      </c>
      <c r="G557" s="195">
        <v>1028924585</v>
      </c>
      <c r="H557" s="205">
        <v>12</v>
      </c>
      <c r="I557" s="157">
        <v>341725225</v>
      </c>
      <c r="J557" s="143">
        <v>12</v>
      </c>
      <c r="K557" s="157">
        <v>359645335</v>
      </c>
      <c r="L557" s="142">
        <v>3</v>
      </c>
      <c r="M557" s="157">
        <v>8700</v>
      </c>
      <c r="N557" s="158">
        <v>3</v>
      </c>
      <c r="O557" s="157">
        <v>118403939</v>
      </c>
      <c r="P557" s="158">
        <v>3</v>
      </c>
      <c r="Q557" s="157">
        <v>150302906</v>
      </c>
      <c r="R557" s="205">
        <v>3</v>
      </c>
      <c r="S557" s="157">
        <v>51788228</v>
      </c>
      <c r="T557" s="206">
        <f t="shared" si="99"/>
        <v>12</v>
      </c>
      <c r="U557" s="164">
        <f t="shared" si="92"/>
        <v>100</v>
      </c>
      <c r="V557" s="143" t="s">
        <v>58</v>
      </c>
      <c r="W557" s="159">
        <f t="shared" si="98"/>
        <v>320503773</v>
      </c>
      <c r="X557" s="164">
        <f t="shared" ref="X557:X577" si="100">W557/K557*100</f>
        <v>89.116621796303846</v>
      </c>
      <c r="Y557" s="143" t="s">
        <v>58</v>
      </c>
      <c r="Z557" s="206">
        <f t="shared" si="91"/>
        <v>24</v>
      </c>
      <c r="AA557" s="159">
        <f t="shared" ref="AA557:AA647" si="101">SUM(I557,W557)</f>
        <v>662228998</v>
      </c>
      <c r="AB557" s="149">
        <f t="shared" si="95"/>
        <v>66.666666666666657</v>
      </c>
      <c r="AC557" s="143" t="s">
        <v>58</v>
      </c>
      <c r="AD557" s="194">
        <f t="shared" si="96"/>
        <v>64.361276584716848</v>
      </c>
      <c r="AE557" s="162"/>
      <c r="AF557" s="1"/>
      <c r="AG557" s="1"/>
      <c r="AH557" s="163"/>
      <c r="AI557" s="1"/>
      <c r="AJ557" s="1"/>
      <c r="AK557" s="1"/>
    </row>
    <row r="558" spans="1:37" customFormat="1" ht="75">
      <c r="A558" s="151"/>
      <c r="B558" s="147"/>
      <c r="C558" s="153" t="s">
        <v>824</v>
      </c>
      <c r="D558" s="154" t="s">
        <v>820</v>
      </c>
      <c r="E558" s="155">
        <v>36</v>
      </c>
      <c r="F558" s="156" t="s">
        <v>55</v>
      </c>
      <c r="G558" s="195">
        <v>2280688500</v>
      </c>
      <c r="H558" s="205">
        <v>12</v>
      </c>
      <c r="I558" s="157">
        <v>712351738</v>
      </c>
      <c r="J558" s="143">
        <v>12</v>
      </c>
      <c r="K558" s="157">
        <v>838678063</v>
      </c>
      <c r="L558" s="142">
        <v>3</v>
      </c>
      <c r="M558" s="157">
        <v>140092611</v>
      </c>
      <c r="N558" s="158">
        <v>3</v>
      </c>
      <c r="O558" s="157">
        <v>7532400</v>
      </c>
      <c r="P558" s="158">
        <v>3</v>
      </c>
      <c r="Q558" s="157">
        <v>217102750</v>
      </c>
      <c r="R558" s="205">
        <v>3</v>
      </c>
      <c r="S558" s="157">
        <v>257723127.5</v>
      </c>
      <c r="T558" s="206">
        <f t="shared" si="99"/>
        <v>12</v>
      </c>
      <c r="U558" s="164">
        <f t="shared" si="92"/>
        <v>100</v>
      </c>
      <c r="V558" s="143" t="s">
        <v>58</v>
      </c>
      <c r="W558" s="159">
        <f t="shared" si="98"/>
        <v>622450888.5</v>
      </c>
      <c r="X558" s="164">
        <f t="shared" si="100"/>
        <v>74.218095829698598</v>
      </c>
      <c r="Y558" s="143" t="s">
        <v>58</v>
      </c>
      <c r="Z558" s="206">
        <f t="shared" si="91"/>
        <v>24</v>
      </c>
      <c r="AA558" s="159">
        <f t="shared" si="101"/>
        <v>1334802626.5</v>
      </c>
      <c r="AB558" s="149">
        <f t="shared" si="95"/>
        <v>66.666666666666657</v>
      </c>
      <c r="AC558" s="143" t="s">
        <v>58</v>
      </c>
      <c r="AD558" s="194">
        <f t="shared" si="96"/>
        <v>58.526301443621087</v>
      </c>
      <c r="AE558" s="162"/>
      <c r="AF558" s="1"/>
      <c r="AG558" s="1"/>
      <c r="AH558" s="163"/>
      <c r="AI558" s="1"/>
      <c r="AJ558" s="1"/>
      <c r="AK558" s="1"/>
    </row>
    <row r="559" spans="1:37" customFormat="1" ht="75">
      <c r="A559" s="151"/>
      <c r="B559" s="147"/>
      <c r="C559" s="153" t="s">
        <v>825</v>
      </c>
      <c r="D559" s="154" t="s">
        <v>820</v>
      </c>
      <c r="E559" s="155">
        <v>36</v>
      </c>
      <c r="F559" s="156" t="s">
        <v>55</v>
      </c>
      <c r="G559" s="195">
        <v>857845564</v>
      </c>
      <c r="H559" s="205">
        <v>12</v>
      </c>
      <c r="I559" s="157">
        <v>301725564</v>
      </c>
      <c r="J559" s="143">
        <v>12</v>
      </c>
      <c r="K559" s="157">
        <v>339192450</v>
      </c>
      <c r="L559" s="142">
        <v>3</v>
      </c>
      <c r="M559" s="157">
        <v>31716880</v>
      </c>
      <c r="N559" s="158">
        <v>3</v>
      </c>
      <c r="O559" s="157">
        <v>86692753</v>
      </c>
      <c r="P559" s="158">
        <v>3</v>
      </c>
      <c r="Q559" s="157">
        <v>66867368</v>
      </c>
      <c r="R559" s="205">
        <v>3</v>
      </c>
      <c r="S559" s="157">
        <v>130996472</v>
      </c>
      <c r="T559" s="206">
        <f t="shared" si="99"/>
        <v>12</v>
      </c>
      <c r="U559" s="164">
        <f t="shared" si="92"/>
        <v>100</v>
      </c>
      <c r="V559" s="143" t="s">
        <v>58</v>
      </c>
      <c r="W559" s="159">
        <f t="shared" si="98"/>
        <v>316273473</v>
      </c>
      <c r="X559" s="164">
        <f t="shared" si="100"/>
        <v>93.243075722941356</v>
      </c>
      <c r="Y559" s="143" t="s">
        <v>58</v>
      </c>
      <c r="Z559" s="206">
        <f t="shared" si="91"/>
        <v>24</v>
      </c>
      <c r="AA559" s="159">
        <f t="shared" si="101"/>
        <v>617999037</v>
      </c>
      <c r="AB559" s="149">
        <f t="shared" si="95"/>
        <v>66.666666666666657</v>
      </c>
      <c r="AC559" s="143" t="s">
        <v>58</v>
      </c>
      <c r="AD559" s="194">
        <f t="shared" si="96"/>
        <v>72.040826803179698</v>
      </c>
      <c r="AE559" s="162"/>
      <c r="AF559" s="1"/>
      <c r="AG559" s="1"/>
      <c r="AH559" s="163"/>
      <c r="AI559" s="1"/>
      <c r="AJ559" s="1"/>
      <c r="AK559" s="1"/>
    </row>
    <row r="560" spans="1:37" customFormat="1" ht="75">
      <c r="A560" s="151"/>
      <c r="B560" s="147"/>
      <c r="C560" s="153" t="s">
        <v>826</v>
      </c>
      <c r="D560" s="154" t="s">
        <v>820</v>
      </c>
      <c r="E560" s="155">
        <v>36</v>
      </c>
      <c r="F560" s="156" t="s">
        <v>55</v>
      </c>
      <c r="G560" s="195">
        <v>1950104988</v>
      </c>
      <c r="H560" s="205">
        <v>12</v>
      </c>
      <c r="I560" s="157">
        <v>625939355</v>
      </c>
      <c r="J560" s="143">
        <v>12</v>
      </c>
      <c r="K560" s="157">
        <v>834489200</v>
      </c>
      <c r="L560" s="142">
        <v>3</v>
      </c>
      <c r="M560" s="157">
        <v>67785637</v>
      </c>
      <c r="N560" s="158">
        <v>3</v>
      </c>
      <c r="O560" s="157">
        <v>12680000</v>
      </c>
      <c r="P560" s="158">
        <v>3</v>
      </c>
      <c r="Q560" s="157">
        <v>179546261</v>
      </c>
      <c r="R560" s="205">
        <v>3</v>
      </c>
      <c r="S560" s="157">
        <v>447222024</v>
      </c>
      <c r="T560" s="206">
        <f t="shared" si="99"/>
        <v>12</v>
      </c>
      <c r="U560" s="164">
        <f t="shared" si="92"/>
        <v>100</v>
      </c>
      <c r="V560" s="143" t="s">
        <v>58</v>
      </c>
      <c r="W560" s="159">
        <f t="shared" si="98"/>
        <v>707233922</v>
      </c>
      <c r="X560" s="164">
        <f t="shared" si="100"/>
        <v>84.750518281123348</v>
      </c>
      <c r="Y560" s="143" t="s">
        <v>58</v>
      </c>
      <c r="Z560" s="206">
        <f t="shared" si="91"/>
        <v>24</v>
      </c>
      <c r="AA560" s="159">
        <f t="shared" si="101"/>
        <v>1333173277</v>
      </c>
      <c r="AB560" s="149">
        <f t="shared" si="95"/>
        <v>66.666666666666657</v>
      </c>
      <c r="AC560" s="143" t="s">
        <v>58</v>
      </c>
      <c r="AD560" s="194">
        <f t="shared" si="96"/>
        <v>68.364179631542996</v>
      </c>
      <c r="AE560" s="162"/>
      <c r="AF560" s="1"/>
      <c r="AG560" s="1"/>
      <c r="AH560" s="163"/>
      <c r="AI560" s="1"/>
      <c r="AJ560" s="1"/>
      <c r="AK560" s="1"/>
    </row>
    <row r="561" spans="1:37" customFormat="1" ht="75">
      <c r="A561" s="151"/>
      <c r="B561" s="147"/>
      <c r="C561" s="153" t="s">
        <v>827</v>
      </c>
      <c r="D561" s="154" t="s">
        <v>820</v>
      </c>
      <c r="E561" s="155">
        <v>36</v>
      </c>
      <c r="F561" s="156" t="s">
        <v>55</v>
      </c>
      <c r="G561" s="195">
        <v>1093562125</v>
      </c>
      <c r="H561" s="205">
        <v>12</v>
      </c>
      <c r="I561" s="157">
        <v>354687403</v>
      </c>
      <c r="J561" s="143">
        <v>12</v>
      </c>
      <c r="K561" s="157">
        <v>446192275</v>
      </c>
      <c r="L561" s="142">
        <v>3</v>
      </c>
      <c r="M561" s="157">
        <v>8700</v>
      </c>
      <c r="N561" s="158">
        <v>3</v>
      </c>
      <c r="O561" s="157">
        <v>114537255</v>
      </c>
      <c r="P561" s="158">
        <v>3</v>
      </c>
      <c r="Q561" s="157">
        <v>53042960</v>
      </c>
      <c r="R561" s="205">
        <v>3</v>
      </c>
      <c r="S561" s="157">
        <v>207082230</v>
      </c>
      <c r="T561" s="206">
        <f t="shared" si="99"/>
        <v>12</v>
      </c>
      <c r="U561" s="164">
        <f t="shared" si="92"/>
        <v>100</v>
      </c>
      <c r="V561" s="143" t="s">
        <v>58</v>
      </c>
      <c r="W561" s="159">
        <f t="shared" si="98"/>
        <v>374671145</v>
      </c>
      <c r="X561" s="164">
        <f t="shared" si="100"/>
        <v>83.970782551087424</v>
      </c>
      <c r="Y561" s="143" t="s">
        <v>58</v>
      </c>
      <c r="Z561" s="206">
        <f t="shared" si="91"/>
        <v>24</v>
      </c>
      <c r="AA561" s="159">
        <f t="shared" si="101"/>
        <v>729358548</v>
      </c>
      <c r="AB561" s="149">
        <f t="shared" si="95"/>
        <v>66.666666666666657</v>
      </c>
      <c r="AC561" s="143" t="s">
        <v>58</v>
      </c>
      <c r="AD561" s="194">
        <f t="shared" si="96"/>
        <v>66.69566651277357</v>
      </c>
      <c r="AE561" s="162"/>
      <c r="AF561" s="1"/>
      <c r="AG561" s="1"/>
      <c r="AH561" s="163"/>
      <c r="AI561" s="1"/>
      <c r="AJ561" s="1"/>
      <c r="AK561" s="1"/>
    </row>
    <row r="562" spans="1:37" customFormat="1" ht="75">
      <c r="A562" s="151"/>
      <c r="B562" s="147"/>
      <c r="C562" s="153" t="s">
        <v>828</v>
      </c>
      <c r="D562" s="154" t="s">
        <v>820</v>
      </c>
      <c r="E562" s="155">
        <v>36</v>
      </c>
      <c r="F562" s="156" t="s">
        <v>55</v>
      </c>
      <c r="G562" s="195">
        <v>3066491400</v>
      </c>
      <c r="H562" s="205">
        <v>12</v>
      </c>
      <c r="I562" s="157">
        <v>910739245</v>
      </c>
      <c r="J562" s="143">
        <v>12</v>
      </c>
      <c r="K562" s="157">
        <v>1194674505</v>
      </c>
      <c r="L562" s="142">
        <v>3</v>
      </c>
      <c r="M562" s="157">
        <v>104185965</v>
      </c>
      <c r="N562" s="158">
        <v>3</v>
      </c>
      <c r="O562" s="157">
        <v>205017510</v>
      </c>
      <c r="P562" s="158">
        <v>3</v>
      </c>
      <c r="Q562" s="157">
        <v>264796507</v>
      </c>
      <c r="R562" s="205">
        <v>3</v>
      </c>
      <c r="S562" s="157">
        <v>367723260</v>
      </c>
      <c r="T562" s="206">
        <f t="shared" si="99"/>
        <v>12</v>
      </c>
      <c r="U562" s="164">
        <f t="shared" si="92"/>
        <v>100</v>
      </c>
      <c r="V562" s="143" t="s">
        <v>58</v>
      </c>
      <c r="W562" s="159">
        <f t="shared" si="98"/>
        <v>941723242</v>
      </c>
      <c r="X562" s="164">
        <f t="shared" si="100"/>
        <v>78.826763110676751</v>
      </c>
      <c r="Y562" s="143" t="s">
        <v>58</v>
      </c>
      <c r="Z562" s="206">
        <f t="shared" si="91"/>
        <v>24</v>
      </c>
      <c r="AA562" s="159">
        <f t="shared" si="101"/>
        <v>1852462487</v>
      </c>
      <c r="AB562" s="149">
        <f t="shared" si="95"/>
        <v>66.666666666666657</v>
      </c>
      <c r="AC562" s="143" t="s">
        <v>58</v>
      </c>
      <c r="AD562" s="194">
        <f t="shared" si="96"/>
        <v>60.409837999219562</v>
      </c>
      <c r="AE562" s="162"/>
      <c r="AF562" s="1"/>
      <c r="AG562" s="1"/>
      <c r="AH562" s="163"/>
      <c r="AI562" s="1"/>
      <c r="AJ562" s="1"/>
      <c r="AK562" s="1"/>
    </row>
    <row r="563" spans="1:37" customFormat="1" ht="75">
      <c r="A563" s="151"/>
      <c r="B563" s="147"/>
      <c r="C563" s="153" t="s">
        <v>829</v>
      </c>
      <c r="D563" s="154" t="s">
        <v>820</v>
      </c>
      <c r="E563" s="155">
        <v>36</v>
      </c>
      <c r="F563" s="156" t="s">
        <v>55</v>
      </c>
      <c r="G563" s="195">
        <v>254695500</v>
      </c>
      <c r="H563" s="205">
        <v>12</v>
      </c>
      <c r="I563" s="157">
        <v>542665101</v>
      </c>
      <c r="J563" s="143">
        <v>12</v>
      </c>
      <c r="K563" s="157">
        <v>732790713</v>
      </c>
      <c r="L563" s="142">
        <v>3</v>
      </c>
      <c r="M563" s="207" t="s">
        <v>449</v>
      </c>
      <c r="N563" s="158">
        <v>3</v>
      </c>
      <c r="O563" s="157">
        <v>219879360</v>
      </c>
      <c r="P563" s="158">
        <v>3</v>
      </c>
      <c r="Q563" s="157">
        <v>136854290</v>
      </c>
      <c r="R563" s="205">
        <v>3</v>
      </c>
      <c r="S563" s="157">
        <v>289185812</v>
      </c>
      <c r="T563" s="206">
        <f t="shared" si="99"/>
        <v>12</v>
      </c>
      <c r="U563" s="164">
        <f t="shared" si="92"/>
        <v>100</v>
      </c>
      <c r="V563" s="143" t="s">
        <v>58</v>
      </c>
      <c r="W563" s="159">
        <f t="shared" si="98"/>
        <v>645919462</v>
      </c>
      <c r="X563" s="164">
        <f t="shared" si="100"/>
        <v>88.145148477065916</v>
      </c>
      <c r="Y563" s="143" t="s">
        <v>58</v>
      </c>
      <c r="Z563" s="206">
        <f t="shared" si="91"/>
        <v>24</v>
      </c>
      <c r="AA563" s="159">
        <f t="shared" si="101"/>
        <v>1188584563</v>
      </c>
      <c r="AB563" s="149">
        <f t="shared" si="95"/>
        <v>66.666666666666657</v>
      </c>
      <c r="AC563" s="143" t="s">
        <v>58</v>
      </c>
      <c r="AD563" s="194">
        <f t="shared" si="96"/>
        <v>466.66885084345813</v>
      </c>
      <c r="AE563" s="162"/>
      <c r="AF563" s="1"/>
      <c r="AG563" s="1"/>
      <c r="AH563" s="163"/>
      <c r="AI563" s="1"/>
      <c r="AJ563" s="1"/>
      <c r="AK563" s="1"/>
    </row>
    <row r="564" spans="1:37" customFormat="1" ht="75">
      <c r="A564" s="151"/>
      <c r="B564" s="147"/>
      <c r="C564" s="153" t="s">
        <v>830</v>
      </c>
      <c r="D564" s="154" t="s">
        <v>820</v>
      </c>
      <c r="E564" s="155">
        <v>36</v>
      </c>
      <c r="F564" s="156" t="s">
        <v>55</v>
      </c>
      <c r="G564" s="195">
        <v>926552062</v>
      </c>
      <c r="H564" s="205">
        <v>12</v>
      </c>
      <c r="I564" s="157">
        <v>310502880</v>
      </c>
      <c r="J564" s="143">
        <v>12</v>
      </c>
      <c r="K564" s="157">
        <v>463211382</v>
      </c>
      <c r="L564" s="142">
        <v>3</v>
      </c>
      <c r="M564" s="157">
        <v>19846120</v>
      </c>
      <c r="N564" s="158">
        <v>3</v>
      </c>
      <c r="O564" s="157">
        <v>141247653</v>
      </c>
      <c r="P564" s="158">
        <v>3</v>
      </c>
      <c r="Q564" s="157">
        <v>122719360</v>
      </c>
      <c r="R564" s="205">
        <v>3</v>
      </c>
      <c r="S564" s="157">
        <v>95538627</v>
      </c>
      <c r="T564" s="206">
        <f t="shared" si="99"/>
        <v>12</v>
      </c>
      <c r="U564" s="164">
        <f t="shared" si="92"/>
        <v>100</v>
      </c>
      <c r="V564" s="143" t="s">
        <v>58</v>
      </c>
      <c r="W564" s="159">
        <f t="shared" si="98"/>
        <v>379351760</v>
      </c>
      <c r="X564" s="164">
        <f t="shared" si="100"/>
        <v>81.896035965713807</v>
      </c>
      <c r="Y564" s="143" t="s">
        <v>58</v>
      </c>
      <c r="Z564" s="206">
        <f t="shared" si="91"/>
        <v>24</v>
      </c>
      <c r="AA564" s="159">
        <f t="shared" si="101"/>
        <v>689854640</v>
      </c>
      <c r="AB564" s="149">
        <f t="shared" si="95"/>
        <v>66.666666666666657</v>
      </c>
      <c r="AC564" s="143" t="s">
        <v>58</v>
      </c>
      <c r="AD564" s="194">
        <f t="shared" si="96"/>
        <v>74.453953349466502</v>
      </c>
      <c r="AE564" s="162"/>
      <c r="AF564" s="1"/>
      <c r="AG564" s="1"/>
      <c r="AH564" s="163"/>
      <c r="AI564" s="1"/>
      <c r="AJ564" s="1"/>
      <c r="AK564" s="1"/>
    </row>
    <row r="565" spans="1:37" customFormat="1" ht="75">
      <c r="A565" s="151"/>
      <c r="B565" s="147"/>
      <c r="C565" s="153" t="s">
        <v>831</v>
      </c>
      <c r="D565" s="154" t="s">
        <v>820</v>
      </c>
      <c r="E565" s="155">
        <v>36</v>
      </c>
      <c r="F565" s="156" t="s">
        <v>55</v>
      </c>
      <c r="G565" s="195">
        <v>182410000</v>
      </c>
      <c r="H565" s="205">
        <v>12</v>
      </c>
      <c r="I565" s="157">
        <v>26490000</v>
      </c>
      <c r="J565" s="143">
        <v>12</v>
      </c>
      <c r="K565" s="157">
        <v>75560000</v>
      </c>
      <c r="L565" s="142">
        <v>3</v>
      </c>
      <c r="M565" s="207" t="s">
        <v>449</v>
      </c>
      <c r="N565" s="158">
        <v>3</v>
      </c>
      <c r="O565" s="157">
        <v>12840000</v>
      </c>
      <c r="P565" s="158">
        <v>3</v>
      </c>
      <c r="Q565" s="157">
        <v>26072500</v>
      </c>
      <c r="R565" s="205">
        <v>3</v>
      </c>
      <c r="S565" s="157">
        <v>23427500</v>
      </c>
      <c r="T565" s="206">
        <f t="shared" si="99"/>
        <v>12</v>
      </c>
      <c r="U565" s="164">
        <f t="shared" si="92"/>
        <v>100</v>
      </c>
      <c r="V565" s="143" t="s">
        <v>58</v>
      </c>
      <c r="W565" s="159">
        <f t="shared" si="98"/>
        <v>62340000</v>
      </c>
      <c r="X565" s="164">
        <f t="shared" si="100"/>
        <v>82.503970354685023</v>
      </c>
      <c r="Y565" s="143" t="s">
        <v>58</v>
      </c>
      <c r="Z565" s="206">
        <f t="shared" si="91"/>
        <v>24</v>
      </c>
      <c r="AA565" s="159">
        <f t="shared" si="101"/>
        <v>88830000</v>
      </c>
      <c r="AB565" s="149">
        <f t="shared" si="95"/>
        <v>66.666666666666657</v>
      </c>
      <c r="AC565" s="143" t="s">
        <v>58</v>
      </c>
      <c r="AD565" s="194">
        <f t="shared" si="96"/>
        <v>48.697988048900825</v>
      </c>
      <c r="AE565" s="162"/>
      <c r="AF565" s="1"/>
      <c r="AG565" s="1"/>
      <c r="AH565" s="163"/>
      <c r="AI565" s="1"/>
      <c r="AJ565" s="1"/>
      <c r="AK565" s="1"/>
    </row>
    <row r="566" spans="1:37" customFormat="1" ht="75">
      <c r="A566" s="151"/>
      <c r="B566" s="147"/>
      <c r="C566" s="153" t="s">
        <v>832</v>
      </c>
      <c r="D566" s="154" t="s">
        <v>820</v>
      </c>
      <c r="E566" s="155">
        <v>36</v>
      </c>
      <c r="F566" s="156" t="s">
        <v>55</v>
      </c>
      <c r="G566" s="195">
        <v>1019629325</v>
      </c>
      <c r="H566" s="205">
        <v>12</v>
      </c>
      <c r="I566" s="157">
        <v>273060914</v>
      </c>
      <c r="J566" s="143">
        <v>12</v>
      </c>
      <c r="K566" s="157">
        <v>354641400</v>
      </c>
      <c r="L566" s="142">
        <v>3</v>
      </c>
      <c r="M566" s="157">
        <v>8700</v>
      </c>
      <c r="N566" s="158">
        <v>3</v>
      </c>
      <c r="O566" s="157">
        <v>72245445</v>
      </c>
      <c r="P566" s="158">
        <v>3</v>
      </c>
      <c r="Q566" s="157">
        <v>173737225</v>
      </c>
      <c r="R566" s="205">
        <v>3</v>
      </c>
      <c r="S566" s="183">
        <v>81287500</v>
      </c>
      <c r="T566" s="206">
        <f t="shared" si="99"/>
        <v>12</v>
      </c>
      <c r="U566" s="164">
        <f t="shared" si="92"/>
        <v>100</v>
      </c>
      <c r="V566" s="143" t="s">
        <v>58</v>
      </c>
      <c r="W566" s="159">
        <f t="shared" si="98"/>
        <v>327278870</v>
      </c>
      <c r="X566" s="164">
        <f t="shared" si="100"/>
        <v>92.284451279517839</v>
      </c>
      <c r="Y566" s="143" t="s">
        <v>58</v>
      </c>
      <c r="Z566" s="206">
        <f t="shared" si="91"/>
        <v>24</v>
      </c>
      <c r="AA566" s="159">
        <f t="shared" si="101"/>
        <v>600339784</v>
      </c>
      <c r="AB566" s="149">
        <f t="shared" si="95"/>
        <v>66.666666666666657</v>
      </c>
      <c r="AC566" s="143" t="s">
        <v>58</v>
      </c>
      <c r="AD566" s="194">
        <f t="shared" si="96"/>
        <v>58.87823832450092</v>
      </c>
      <c r="AE566" s="162"/>
      <c r="AF566" s="1"/>
      <c r="AG566" s="1"/>
      <c r="AH566" s="163"/>
      <c r="AI566" s="1"/>
      <c r="AJ566" s="1"/>
      <c r="AK566" s="1"/>
    </row>
    <row r="567" spans="1:37" customFormat="1" ht="75">
      <c r="A567" s="151"/>
      <c r="B567" s="147"/>
      <c r="C567" s="153" t="s">
        <v>833</v>
      </c>
      <c r="D567" s="154" t="s">
        <v>820</v>
      </c>
      <c r="E567" s="155">
        <v>36</v>
      </c>
      <c r="F567" s="156" t="s">
        <v>55</v>
      </c>
      <c r="G567" s="195">
        <v>755728900</v>
      </c>
      <c r="H567" s="205">
        <v>12</v>
      </c>
      <c r="I567" s="157">
        <v>213671820</v>
      </c>
      <c r="J567" s="143">
        <v>12</v>
      </c>
      <c r="K567" s="157">
        <v>267943400</v>
      </c>
      <c r="L567" s="142">
        <v>3</v>
      </c>
      <c r="M567" s="157">
        <v>8700</v>
      </c>
      <c r="N567" s="158">
        <v>3</v>
      </c>
      <c r="O567" s="157">
        <v>21630000</v>
      </c>
      <c r="P567" s="158">
        <v>3</v>
      </c>
      <c r="Q567" s="157">
        <v>26127500</v>
      </c>
      <c r="R567" s="212">
        <v>3</v>
      </c>
      <c r="S567" s="209">
        <v>18020000</v>
      </c>
      <c r="T567" s="206">
        <f t="shared" si="99"/>
        <v>12</v>
      </c>
      <c r="U567" s="164">
        <f t="shared" si="92"/>
        <v>100</v>
      </c>
      <c r="V567" s="143" t="s">
        <v>58</v>
      </c>
      <c r="W567" s="159">
        <f t="shared" si="98"/>
        <v>65786200</v>
      </c>
      <c r="X567" s="164">
        <f t="shared" si="100"/>
        <v>24.552274846105558</v>
      </c>
      <c r="Y567" s="143" t="s">
        <v>58</v>
      </c>
      <c r="Z567" s="206">
        <f t="shared" si="91"/>
        <v>24</v>
      </c>
      <c r="AA567" s="159">
        <f t="shared" si="101"/>
        <v>279458020</v>
      </c>
      <c r="AB567" s="149">
        <f t="shared" si="95"/>
        <v>66.666666666666657</v>
      </c>
      <c r="AC567" s="143" t="s">
        <v>58</v>
      </c>
      <c r="AD567" s="194">
        <f t="shared" si="96"/>
        <v>36.978607011059125</v>
      </c>
      <c r="AE567" s="162"/>
      <c r="AF567" s="1"/>
      <c r="AG567" s="1"/>
      <c r="AH567" s="163"/>
      <c r="AI567" s="1"/>
      <c r="AJ567" s="1"/>
      <c r="AK567" s="1"/>
    </row>
    <row r="568" spans="1:37" customFormat="1" ht="75">
      <c r="A568" s="151"/>
      <c r="B568" s="147"/>
      <c r="C568" s="153" t="s">
        <v>834</v>
      </c>
      <c r="D568" s="154" t="s">
        <v>820</v>
      </c>
      <c r="E568" s="155">
        <v>48</v>
      </c>
      <c r="F568" s="156" t="s">
        <v>55</v>
      </c>
      <c r="G568" s="195">
        <v>176920000</v>
      </c>
      <c r="H568" s="205">
        <v>14</v>
      </c>
      <c r="I568" s="157">
        <v>20274000</v>
      </c>
      <c r="J568" s="143">
        <v>12</v>
      </c>
      <c r="K568" s="157">
        <v>65960000</v>
      </c>
      <c r="L568" s="142">
        <v>3</v>
      </c>
      <c r="M568" s="207" t="s">
        <v>449</v>
      </c>
      <c r="N568" s="158">
        <v>3</v>
      </c>
      <c r="O568" s="157">
        <v>14980000</v>
      </c>
      <c r="P568" s="158">
        <v>3</v>
      </c>
      <c r="Q568" s="157">
        <v>26700000</v>
      </c>
      <c r="R568" s="212">
        <v>3</v>
      </c>
      <c r="S568" s="209">
        <v>12725000</v>
      </c>
      <c r="T568" s="206">
        <f t="shared" si="99"/>
        <v>12</v>
      </c>
      <c r="U568" s="164">
        <f t="shared" si="92"/>
        <v>100</v>
      </c>
      <c r="V568" s="143" t="s">
        <v>58</v>
      </c>
      <c r="W568" s="159">
        <f t="shared" si="98"/>
        <v>54405000</v>
      </c>
      <c r="X568" s="164">
        <f t="shared" si="100"/>
        <v>82.481807155852024</v>
      </c>
      <c r="Y568" s="143" t="s">
        <v>58</v>
      </c>
      <c r="Z568" s="206">
        <f t="shared" si="91"/>
        <v>26</v>
      </c>
      <c r="AA568" s="159">
        <f t="shared" si="101"/>
        <v>74679000</v>
      </c>
      <c r="AB568" s="149">
        <f t="shared" si="95"/>
        <v>54.166666666666664</v>
      </c>
      <c r="AC568" s="143" t="s">
        <v>58</v>
      </c>
      <c r="AD568" s="194">
        <f t="shared" si="96"/>
        <v>42.210603662672398</v>
      </c>
      <c r="AE568" s="162"/>
      <c r="AF568" s="1"/>
      <c r="AG568" s="1"/>
      <c r="AH568" s="163"/>
      <c r="AI568" s="1"/>
      <c r="AJ568" s="1"/>
      <c r="AK568" s="1"/>
    </row>
    <row r="569" spans="1:37" customFormat="1" ht="90">
      <c r="A569" s="151"/>
      <c r="B569" s="147"/>
      <c r="C569" s="153" t="s">
        <v>835</v>
      </c>
      <c r="D569" s="154" t="s">
        <v>820</v>
      </c>
      <c r="E569" s="155">
        <v>36</v>
      </c>
      <c r="F569" s="156" t="s">
        <v>55</v>
      </c>
      <c r="G569" s="195">
        <v>1371385558</v>
      </c>
      <c r="H569" s="205">
        <v>12</v>
      </c>
      <c r="I569" s="157">
        <v>534088638</v>
      </c>
      <c r="J569" s="143">
        <v>12</v>
      </c>
      <c r="K569" s="157">
        <v>672506475</v>
      </c>
      <c r="L569" s="142">
        <v>3</v>
      </c>
      <c r="M569" s="207" t="s">
        <v>449</v>
      </c>
      <c r="N569" s="158">
        <v>3</v>
      </c>
      <c r="O569" s="157"/>
      <c r="P569" s="158">
        <v>3</v>
      </c>
      <c r="Q569" s="157">
        <v>378034850</v>
      </c>
      <c r="R569" s="212">
        <v>3</v>
      </c>
      <c r="S569" s="209">
        <v>151565255</v>
      </c>
      <c r="T569" s="206">
        <f t="shared" si="99"/>
        <v>12</v>
      </c>
      <c r="U569" s="164">
        <f t="shared" si="92"/>
        <v>100</v>
      </c>
      <c r="V569" s="143" t="s">
        <v>58</v>
      </c>
      <c r="W569" s="159">
        <f t="shared" si="98"/>
        <v>529600105</v>
      </c>
      <c r="X569" s="164">
        <f t="shared" si="100"/>
        <v>78.750186754707457</v>
      </c>
      <c r="Y569" s="143" t="s">
        <v>58</v>
      </c>
      <c r="Z569" s="206">
        <f t="shared" si="91"/>
        <v>24</v>
      </c>
      <c r="AA569" s="159">
        <f t="shared" si="101"/>
        <v>1063688743</v>
      </c>
      <c r="AB569" s="149">
        <f t="shared" si="95"/>
        <v>66.666666666666657</v>
      </c>
      <c r="AC569" s="143" t="s">
        <v>58</v>
      </c>
      <c r="AD569" s="194">
        <f t="shared" si="96"/>
        <v>77.563070195318474</v>
      </c>
      <c r="AE569" s="162"/>
      <c r="AF569" s="1"/>
      <c r="AG569" s="1"/>
      <c r="AH569" s="163"/>
      <c r="AI569" s="1"/>
      <c r="AJ569" s="1"/>
      <c r="AK569" s="1"/>
    </row>
    <row r="570" spans="1:37" customFormat="1" ht="75">
      <c r="A570" s="151"/>
      <c r="B570" s="147"/>
      <c r="C570" s="153" t="s">
        <v>836</v>
      </c>
      <c r="D570" s="154" t="s">
        <v>820</v>
      </c>
      <c r="E570" s="155">
        <v>36</v>
      </c>
      <c r="F570" s="156" t="s">
        <v>55</v>
      </c>
      <c r="G570" s="195">
        <v>1199680000</v>
      </c>
      <c r="H570" s="205">
        <v>12</v>
      </c>
      <c r="I570" s="157">
        <v>19968000</v>
      </c>
      <c r="J570" s="143">
        <v>12</v>
      </c>
      <c r="K570" s="157">
        <v>688822394</v>
      </c>
      <c r="L570" s="219">
        <v>3</v>
      </c>
      <c r="M570" s="183">
        <v>67502210</v>
      </c>
      <c r="N570" s="210">
        <v>3</v>
      </c>
      <c r="O570" s="183">
        <v>124075338</v>
      </c>
      <c r="P570" s="210">
        <v>3</v>
      </c>
      <c r="Q570" s="183">
        <v>170842115</v>
      </c>
      <c r="R570" s="216">
        <v>3</v>
      </c>
      <c r="S570" s="209">
        <v>279654441</v>
      </c>
      <c r="T570" s="206">
        <f t="shared" si="99"/>
        <v>12</v>
      </c>
      <c r="U570" s="164">
        <f t="shared" si="92"/>
        <v>100</v>
      </c>
      <c r="V570" s="143" t="s">
        <v>58</v>
      </c>
      <c r="W570" s="159">
        <f t="shared" si="98"/>
        <v>642074104</v>
      </c>
      <c r="X570" s="164">
        <f t="shared" si="100"/>
        <v>93.21330281837497</v>
      </c>
      <c r="Y570" s="143" t="s">
        <v>58</v>
      </c>
      <c r="Z570" s="206">
        <f t="shared" si="91"/>
        <v>24</v>
      </c>
      <c r="AA570" s="159">
        <f t="shared" si="101"/>
        <v>662042104</v>
      </c>
      <c r="AB570" s="149">
        <f t="shared" si="95"/>
        <v>66.666666666666657</v>
      </c>
      <c r="AC570" s="143" t="s">
        <v>58</v>
      </c>
      <c r="AD570" s="194">
        <f t="shared" si="96"/>
        <v>55.184891304347829</v>
      </c>
      <c r="AE570" s="162"/>
      <c r="AF570" s="1"/>
      <c r="AG570" s="1"/>
      <c r="AH570" s="163"/>
      <c r="AI570" s="1"/>
      <c r="AJ570" s="1"/>
      <c r="AK570" s="1"/>
    </row>
    <row r="571" spans="1:37" customFormat="1" ht="75">
      <c r="A571" s="151"/>
      <c r="B571" s="147"/>
      <c r="C571" s="153" t="s">
        <v>837</v>
      </c>
      <c r="D571" s="154" t="s">
        <v>820</v>
      </c>
      <c r="E571" s="155">
        <v>36</v>
      </c>
      <c r="F571" s="156" t="s">
        <v>55</v>
      </c>
      <c r="G571" s="195">
        <v>1904008613</v>
      </c>
      <c r="H571" s="205">
        <v>12</v>
      </c>
      <c r="I571" s="157">
        <v>660677639</v>
      </c>
      <c r="J571" s="143">
        <v>12</v>
      </c>
      <c r="K571" s="157">
        <v>712523575</v>
      </c>
      <c r="L571" s="142">
        <v>3</v>
      </c>
      <c r="M571" s="157">
        <v>73146500</v>
      </c>
      <c r="N571" s="158">
        <v>3</v>
      </c>
      <c r="O571" s="157">
        <v>91032894</v>
      </c>
      <c r="P571" s="158">
        <v>3</v>
      </c>
      <c r="Q571" s="157">
        <v>178178138</v>
      </c>
      <c r="R571" s="212">
        <v>3</v>
      </c>
      <c r="S571" s="209">
        <v>309241178</v>
      </c>
      <c r="T571" s="206">
        <f t="shared" si="99"/>
        <v>12</v>
      </c>
      <c r="U571" s="164">
        <f t="shared" si="92"/>
        <v>100</v>
      </c>
      <c r="V571" s="143" t="s">
        <v>58</v>
      </c>
      <c r="W571" s="159">
        <f t="shared" si="98"/>
        <v>651598710</v>
      </c>
      <c r="X571" s="164">
        <f t="shared" si="100"/>
        <v>91.449424673422214</v>
      </c>
      <c r="Y571" s="143" t="s">
        <v>58</v>
      </c>
      <c r="Z571" s="206">
        <f t="shared" si="91"/>
        <v>24</v>
      </c>
      <c r="AA571" s="159">
        <f t="shared" si="101"/>
        <v>1312276349</v>
      </c>
      <c r="AB571" s="149">
        <f t="shared" si="95"/>
        <v>66.666666666666657</v>
      </c>
      <c r="AC571" s="143" t="s">
        <v>58</v>
      </c>
      <c r="AD571" s="194">
        <f t="shared" si="96"/>
        <v>68.921765376488878</v>
      </c>
      <c r="AE571" s="162"/>
      <c r="AF571" s="1"/>
      <c r="AG571" s="1"/>
      <c r="AH571" s="163"/>
      <c r="AI571" s="1"/>
      <c r="AJ571" s="1"/>
      <c r="AK571" s="1"/>
    </row>
    <row r="572" spans="1:37" customFormat="1" ht="90">
      <c r="A572" s="151"/>
      <c r="B572" s="147"/>
      <c r="C572" s="153" t="s">
        <v>838</v>
      </c>
      <c r="D572" s="154" t="s">
        <v>820</v>
      </c>
      <c r="E572" s="155">
        <v>36</v>
      </c>
      <c r="F572" s="156" t="s">
        <v>55</v>
      </c>
      <c r="G572" s="195">
        <v>2277291643</v>
      </c>
      <c r="H572" s="205">
        <v>12</v>
      </c>
      <c r="I572" s="157">
        <v>754090515</v>
      </c>
      <c r="J572" s="143">
        <v>12</v>
      </c>
      <c r="K572" s="157">
        <v>772704500</v>
      </c>
      <c r="L572" s="142">
        <v>3</v>
      </c>
      <c r="M572" s="157">
        <v>83681670</v>
      </c>
      <c r="N572" s="158">
        <v>3</v>
      </c>
      <c r="O572" s="157">
        <v>125846680</v>
      </c>
      <c r="P572" s="158">
        <v>3</v>
      </c>
      <c r="Q572" s="157">
        <v>232103530</v>
      </c>
      <c r="R572" s="212">
        <v>3</v>
      </c>
      <c r="S572" s="209">
        <v>265569353</v>
      </c>
      <c r="T572" s="206">
        <f t="shared" si="99"/>
        <v>12</v>
      </c>
      <c r="U572" s="164">
        <f t="shared" si="92"/>
        <v>100</v>
      </c>
      <c r="V572" s="143" t="s">
        <v>58</v>
      </c>
      <c r="W572" s="159">
        <f t="shared" si="98"/>
        <v>707201233</v>
      </c>
      <c r="X572" s="164">
        <f t="shared" si="100"/>
        <v>91.522856797132661</v>
      </c>
      <c r="Y572" s="143" t="s">
        <v>58</v>
      </c>
      <c r="Z572" s="206">
        <f t="shared" si="91"/>
        <v>24</v>
      </c>
      <c r="AA572" s="159">
        <f t="shared" si="101"/>
        <v>1461291748</v>
      </c>
      <c r="AB572" s="149">
        <f t="shared" si="95"/>
        <v>66.666666666666657</v>
      </c>
      <c r="AC572" s="143" t="s">
        <v>58</v>
      </c>
      <c r="AD572" s="194">
        <f t="shared" si="96"/>
        <v>64.167966913318182</v>
      </c>
      <c r="AE572" s="162"/>
      <c r="AF572" s="1"/>
      <c r="AG572" s="1"/>
      <c r="AH572" s="163"/>
      <c r="AI572" s="1"/>
      <c r="AJ572" s="1"/>
      <c r="AK572" s="1"/>
    </row>
    <row r="573" spans="1:37" customFormat="1" ht="75">
      <c r="A573" s="151"/>
      <c r="B573" s="147"/>
      <c r="C573" s="153" t="s">
        <v>839</v>
      </c>
      <c r="D573" s="154" t="s">
        <v>820</v>
      </c>
      <c r="E573" s="155">
        <v>36</v>
      </c>
      <c r="F573" s="156" t="s">
        <v>55</v>
      </c>
      <c r="G573" s="195">
        <v>1797181030</v>
      </c>
      <c r="H573" s="205">
        <v>12</v>
      </c>
      <c r="I573" s="157">
        <v>624397350</v>
      </c>
      <c r="J573" s="143">
        <v>12</v>
      </c>
      <c r="K573" s="157">
        <v>719217955</v>
      </c>
      <c r="L573" s="142">
        <v>3</v>
      </c>
      <c r="M573" s="207" t="s">
        <v>449</v>
      </c>
      <c r="N573" s="158">
        <v>3</v>
      </c>
      <c r="O573" s="157">
        <v>118409633</v>
      </c>
      <c r="P573" s="158">
        <v>3</v>
      </c>
      <c r="Q573" s="157">
        <v>108418260</v>
      </c>
      <c r="R573" s="205">
        <v>3</v>
      </c>
      <c r="S573" s="157">
        <v>340878997</v>
      </c>
      <c r="T573" s="206">
        <f t="shared" si="99"/>
        <v>12</v>
      </c>
      <c r="U573" s="164">
        <f t="shared" si="92"/>
        <v>100</v>
      </c>
      <c r="V573" s="143" t="s">
        <v>58</v>
      </c>
      <c r="W573" s="159">
        <f t="shared" si="98"/>
        <v>567706890</v>
      </c>
      <c r="X573" s="164">
        <f t="shared" si="100"/>
        <v>78.933915102272451</v>
      </c>
      <c r="Y573" s="143" t="s">
        <v>58</v>
      </c>
      <c r="Z573" s="206">
        <f t="shared" si="91"/>
        <v>24</v>
      </c>
      <c r="AA573" s="159">
        <f t="shared" si="101"/>
        <v>1192104240</v>
      </c>
      <c r="AB573" s="149">
        <f t="shared" si="95"/>
        <v>66.666666666666657</v>
      </c>
      <c r="AC573" s="143" t="s">
        <v>58</v>
      </c>
      <c r="AD573" s="194">
        <f t="shared" si="96"/>
        <v>66.331895346124369</v>
      </c>
      <c r="AE573" s="162"/>
      <c r="AF573" s="1"/>
      <c r="AG573" s="1"/>
      <c r="AH573" s="163"/>
      <c r="AI573" s="1"/>
      <c r="AJ573" s="1"/>
      <c r="AK573" s="1"/>
    </row>
    <row r="574" spans="1:37" customFormat="1" ht="90">
      <c r="A574" s="151"/>
      <c r="B574" s="147"/>
      <c r="C574" s="153" t="s">
        <v>840</v>
      </c>
      <c r="D574" s="154" t="s">
        <v>820</v>
      </c>
      <c r="E574" s="155">
        <v>36</v>
      </c>
      <c r="F574" s="156" t="s">
        <v>55</v>
      </c>
      <c r="G574" s="195">
        <v>1864747538</v>
      </c>
      <c r="H574" s="205">
        <v>12</v>
      </c>
      <c r="I574" s="157">
        <v>555435625</v>
      </c>
      <c r="J574" s="143">
        <v>12</v>
      </c>
      <c r="K574" s="157">
        <v>663498275</v>
      </c>
      <c r="L574" s="142">
        <v>3</v>
      </c>
      <c r="M574" s="157">
        <v>78830058</v>
      </c>
      <c r="N574" s="158">
        <v>3</v>
      </c>
      <c r="O574" s="157">
        <v>223894960</v>
      </c>
      <c r="P574" s="158">
        <v>3</v>
      </c>
      <c r="Q574" s="157">
        <v>117497795</v>
      </c>
      <c r="R574" s="205">
        <v>3</v>
      </c>
      <c r="S574" s="157">
        <v>161267445</v>
      </c>
      <c r="T574" s="206">
        <f t="shared" si="99"/>
        <v>12</v>
      </c>
      <c r="U574" s="164">
        <f t="shared" si="92"/>
        <v>100</v>
      </c>
      <c r="V574" s="143" t="s">
        <v>58</v>
      </c>
      <c r="W574" s="159">
        <f t="shared" si="98"/>
        <v>581490258</v>
      </c>
      <c r="X574" s="164">
        <f t="shared" si="100"/>
        <v>87.64005573337775</v>
      </c>
      <c r="Y574" s="143" t="s">
        <v>58</v>
      </c>
      <c r="Z574" s="206">
        <f t="shared" si="91"/>
        <v>24</v>
      </c>
      <c r="AA574" s="159">
        <f t="shared" si="101"/>
        <v>1136925883</v>
      </c>
      <c r="AB574" s="149">
        <f t="shared" si="95"/>
        <v>66.666666666666657</v>
      </c>
      <c r="AC574" s="143" t="s">
        <v>58</v>
      </c>
      <c r="AD574" s="194">
        <f t="shared" si="96"/>
        <v>60.969426682787763</v>
      </c>
      <c r="AE574" s="162"/>
      <c r="AF574" s="1"/>
      <c r="AG574" s="1"/>
      <c r="AH574" s="163"/>
      <c r="AI574" s="1"/>
      <c r="AJ574" s="1"/>
      <c r="AK574" s="1"/>
    </row>
    <row r="575" spans="1:37" customFormat="1" ht="75">
      <c r="A575" s="151"/>
      <c r="B575" s="147"/>
      <c r="C575" s="153" t="s">
        <v>841</v>
      </c>
      <c r="D575" s="154" t="s">
        <v>820</v>
      </c>
      <c r="E575" s="155">
        <v>36</v>
      </c>
      <c r="F575" s="156" t="s">
        <v>55</v>
      </c>
      <c r="G575" s="195">
        <v>1077211023</v>
      </c>
      <c r="H575" s="205">
        <v>12</v>
      </c>
      <c r="I575" s="157">
        <v>295293967</v>
      </c>
      <c r="J575" s="143">
        <v>12</v>
      </c>
      <c r="K575" s="157">
        <v>395425544</v>
      </c>
      <c r="L575" s="142">
        <v>3</v>
      </c>
      <c r="M575" s="207" t="s">
        <v>842</v>
      </c>
      <c r="N575" s="158">
        <v>3</v>
      </c>
      <c r="O575" s="157">
        <v>81072750</v>
      </c>
      <c r="P575" s="158">
        <v>3</v>
      </c>
      <c r="Q575" s="157">
        <v>78256810</v>
      </c>
      <c r="R575" s="212">
        <v>3</v>
      </c>
      <c r="S575" s="209">
        <v>207247596</v>
      </c>
      <c r="T575" s="206">
        <f t="shared" si="99"/>
        <v>12</v>
      </c>
      <c r="U575" s="164">
        <f t="shared" si="92"/>
        <v>100</v>
      </c>
      <c r="V575" s="143" t="s">
        <v>58</v>
      </c>
      <c r="W575" s="159">
        <f t="shared" si="98"/>
        <v>366577156</v>
      </c>
      <c r="X575" s="164">
        <f t="shared" si="100"/>
        <v>92.704470300987936</v>
      </c>
      <c r="Y575" s="143" t="s">
        <v>58</v>
      </c>
      <c r="Z575" s="206">
        <f t="shared" si="91"/>
        <v>24</v>
      </c>
      <c r="AA575" s="159">
        <f t="shared" si="101"/>
        <v>661871123</v>
      </c>
      <c r="AB575" s="149">
        <f t="shared" si="95"/>
        <v>66.666666666666657</v>
      </c>
      <c r="AC575" s="143" t="s">
        <v>58</v>
      </c>
      <c r="AD575" s="194">
        <f t="shared" si="96"/>
        <v>61.443032875462876</v>
      </c>
      <c r="AE575" s="162"/>
      <c r="AF575" s="1"/>
      <c r="AG575" s="1"/>
      <c r="AH575" s="163"/>
      <c r="AI575" s="1"/>
      <c r="AJ575" s="1"/>
      <c r="AK575" s="1"/>
    </row>
    <row r="576" spans="1:37" customFormat="1" ht="105">
      <c r="A576" s="151"/>
      <c r="B576" s="147"/>
      <c r="C576" s="220" t="s">
        <v>843</v>
      </c>
      <c r="D576" s="154" t="s">
        <v>844</v>
      </c>
      <c r="E576" s="221">
        <v>36</v>
      </c>
      <c r="F576" s="156" t="s">
        <v>55</v>
      </c>
      <c r="G576" s="198">
        <v>3411376000</v>
      </c>
      <c r="H576" s="221">
        <v>12</v>
      </c>
      <c r="I576" s="198">
        <v>1444297706</v>
      </c>
      <c r="J576" s="222">
        <v>12</v>
      </c>
      <c r="K576" s="198">
        <v>574700000</v>
      </c>
      <c r="L576" s="223">
        <v>3</v>
      </c>
      <c r="M576" s="198">
        <v>0</v>
      </c>
      <c r="N576" s="221">
        <v>3</v>
      </c>
      <c r="O576" s="198">
        <v>500000000</v>
      </c>
      <c r="P576" s="221">
        <v>3</v>
      </c>
      <c r="Q576" s="157">
        <f>503624116-O576</f>
        <v>3624116</v>
      </c>
      <c r="R576" s="221">
        <v>3</v>
      </c>
      <c r="S576" s="198">
        <f>525285216-O576-Q576</f>
        <v>21661100</v>
      </c>
      <c r="T576" s="223">
        <f t="shared" si="99"/>
        <v>12</v>
      </c>
      <c r="U576" s="180">
        <f t="shared" si="92"/>
        <v>100</v>
      </c>
      <c r="V576" s="180" t="s">
        <v>58</v>
      </c>
      <c r="W576" s="178">
        <f t="shared" si="98"/>
        <v>525285216</v>
      </c>
      <c r="X576" s="179">
        <f t="shared" si="100"/>
        <v>91.401638420045245</v>
      </c>
      <c r="Y576" s="180" t="s">
        <v>58</v>
      </c>
      <c r="Z576" s="223">
        <f t="shared" si="91"/>
        <v>24</v>
      </c>
      <c r="AA576" s="178">
        <f t="shared" si="101"/>
        <v>1969582922</v>
      </c>
      <c r="AB576" s="149">
        <f t="shared" si="95"/>
        <v>66.666666666666657</v>
      </c>
      <c r="AC576" s="143" t="s">
        <v>58</v>
      </c>
      <c r="AD576" s="194">
        <f t="shared" si="96"/>
        <v>57.735732502075408</v>
      </c>
      <c r="AE576" s="162"/>
      <c r="AF576" s="1"/>
      <c r="AG576" s="1"/>
      <c r="AH576" s="163"/>
      <c r="AI576" s="1"/>
      <c r="AJ576" s="1"/>
      <c r="AK576" s="1"/>
    </row>
    <row r="577" spans="1:37" customFormat="1" ht="120">
      <c r="A577" s="151"/>
      <c r="B577" s="147"/>
      <c r="C577" s="154" t="s">
        <v>845</v>
      </c>
      <c r="D577" s="220" t="s">
        <v>846</v>
      </c>
      <c r="E577" s="221">
        <v>12</v>
      </c>
      <c r="F577" s="224" t="s">
        <v>138</v>
      </c>
      <c r="G577" s="198">
        <v>1379400000</v>
      </c>
      <c r="H577" s="221">
        <v>0</v>
      </c>
      <c r="I577" s="198">
        <v>0</v>
      </c>
      <c r="J577" s="222">
        <v>12</v>
      </c>
      <c r="K577" s="198">
        <v>715050000</v>
      </c>
      <c r="L577" s="223">
        <v>0</v>
      </c>
      <c r="M577" s="198">
        <v>0</v>
      </c>
      <c r="N577" s="221">
        <v>0</v>
      </c>
      <c r="O577" s="198"/>
      <c r="P577" s="221">
        <v>0</v>
      </c>
      <c r="Q577" s="157">
        <v>0</v>
      </c>
      <c r="R577" s="221">
        <v>0</v>
      </c>
      <c r="S577" s="198">
        <v>0</v>
      </c>
      <c r="T577" s="223">
        <f t="shared" si="99"/>
        <v>0</v>
      </c>
      <c r="U577" s="180">
        <f t="shared" si="92"/>
        <v>0</v>
      </c>
      <c r="V577" s="180" t="s">
        <v>58</v>
      </c>
      <c r="W577" s="178">
        <f t="shared" si="98"/>
        <v>0</v>
      </c>
      <c r="X577" s="180">
        <f t="shared" si="100"/>
        <v>0</v>
      </c>
      <c r="Y577" s="180" t="s">
        <v>58</v>
      </c>
      <c r="Z577" s="223">
        <f t="shared" si="91"/>
        <v>0</v>
      </c>
      <c r="AA577" s="178">
        <f t="shared" si="101"/>
        <v>0</v>
      </c>
      <c r="AB577" s="149">
        <f t="shared" si="95"/>
        <v>0</v>
      </c>
      <c r="AC577" s="143" t="s">
        <v>58</v>
      </c>
      <c r="AD577" s="194">
        <f t="shared" si="96"/>
        <v>0</v>
      </c>
      <c r="AE577" s="162"/>
      <c r="AF577" s="1"/>
      <c r="AG577" s="1"/>
      <c r="AH577" s="163"/>
      <c r="AI577" s="1"/>
      <c r="AJ577" s="1"/>
      <c r="AK577" s="1"/>
    </row>
    <row r="578" spans="1:37" customFormat="1" ht="270">
      <c r="A578" s="151"/>
      <c r="B578" s="147"/>
      <c r="C578" s="153" t="s">
        <v>847</v>
      </c>
      <c r="D578" s="154" t="s">
        <v>848</v>
      </c>
      <c r="E578" s="155">
        <v>100</v>
      </c>
      <c r="F578" s="156" t="s">
        <v>55</v>
      </c>
      <c r="G578" s="157">
        <v>6113740919</v>
      </c>
      <c r="H578" s="158">
        <v>100</v>
      </c>
      <c r="I578" s="157">
        <v>1903944100</v>
      </c>
      <c r="J578" s="158"/>
      <c r="K578" s="157"/>
      <c r="L578" s="142"/>
      <c r="M578" s="157"/>
      <c r="N578" s="158"/>
      <c r="O578" s="157"/>
      <c r="P578" s="158"/>
      <c r="Q578" s="157">
        <v>0</v>
      </c>
      <c r="R578" s="158"/>
      <c r="S578" s="157"/>
      <c r="T578" s="143"/>
      <c r="U578" s="143"/>
      <c r="V578" s="143"/>
      <c r="W578" s="159"/>
      <c r="X578" s="164"/>
      <c r="Y578" s="143"/>
      <c r="Z578" s="143">
        <f t="shared" si="91"/>
        <v>100</v>
      </c>
      <c r="AA578" s="159">
        <f t="shared" si="101"/>
        <v>1903944100</v>
      </c>
      <c r="AB578" s="149">
        <f t="shared" si="95"/>
        <v>100</v>
      </c>
      <c r="AC578" s="143" t="s">
        <v>58</v>
      </c>
      <c r="AD578" s="194">
        <f t="shared" si="96"/>
        <v>31.142047483284923</v>
      </c>
      <c r="AE578" s="162"/>
      <c r="AF578" s="1"/>
      <c r="AG578" s="1"/>
      <c r="AH578" s="163"/>
      <c r="AI578" s="1"/>
      <c r="AJ578" s="1"/>
      <c r="AK578" s="1"/>
    </row>
    <row r="579" spans="1:37" customFormat="1" ht="148.5" customHeight="1">
      <c r="A579" s="151"/>
      <c r="B579" s="147" t="s">
        <v>389</v>
      </c>
      <c r="C579" s="132" t="s">
        <v>849</v>
      </c>
      <c r="D579" s="132" t="s">
        <v>391</v>
      </c>
      <c r="E579" s="146">
        <v>4</v>
      </c>
      <c r="F579" s="199" t="s">
        <v>58</v>
      </c>
      <c r="G579" s="171">
        <f>SUM(G580:G581)</f>
        <v>46738249</v>
      </c>
      <c r="H579" s="137">
        <v>0</v>
      </c>
      <c r="I579" s="171">
        <f>SUM(I580:I581)</f>
        <v>3935900</v>
      </c>
      <c r="J579" s="137">
        <v>4</v>
      </c>
      <c r="K579" s="171">
        <f>SUM(K580:K581)</f>
        <v>115749374</v>
      </c>
      <c r="L579" s="146">
        <v>0</v>
      </c>
      <c r="M579" s="171">
        <f>SUM(M580)</f>
        <v>0</v>
      </c>
      <c r="N579" s="146">
        <v>0</v>
      </c>
      <c r="O579" s="171">
        <f>SUM(O580)</f>
        <v>0</v>
      </c>
      <c r="P579" s="146">
        <v>0</v>
      </c>
      <c r="Q579" s="171">
        <f>Q580+Q581</f>
        <v>6107500</v>
      </c>
      <c r="R579" s="137">
        <v>0</v>
      </c>
      <c r="S579" s="171">
        <v>6107500</v>
      </c>
      <c r="T579" s="169">
        <f t="shared" ref="T579:T581" si="102">SUM(L579,N579,P579,R579)</f>
        <v>0</v>
      </c>
      <c r="U579" s="139">
        <f t="shared" ref="U579:U613" si="103">T579/J579*100</f>
        <v>0</v>
      </c>
      <c r="V579" s="139" t="s">
        <v>58</v>
      </c>
      <c r="W579" s="181">
        <f t="shared" ref="W579:W647" si="104">SUM(M579,O579,Q579,S579)</f>
        <v>12215000</v>
      </c>
      <c r="X579" s="139">
        <f t="shared" ref="X579:X647" si="105">W579/K579*100</f>
        <v>10.552972839403866</v>
      </c>
      <c r="Y579" s="139" t="s">
        <v>58</v>
      </c>
      <c r="Z579" s="139">
        <f t="shared" si="91"/>
        <v>0</v>
      </c>
      <c r="AA579" s="181">
        <f t="shared" si="101"/>
        <v>16150900</v>
      </c>
      <c r="AB579" s="149">
        <f t="shared" si="95"/>
        <v>0</v>
      </c>
      <c r="AC579" s="143" t="s">
        <v>58</v>
      </c>
      <c r="AD579" s="194">
        <f t="shared" si="96"/>
        <v>34.556065632668435</v>
      </c>
      <c r="AE579" s="150"/>
      <c r="AF579" s="78"/>
      <c r="AG579" s="78"/>
      <c r="AH579" s="145"/>
      <c r="AI579" s="78"/>
      <c r="AJ579" s="78"/>
      <c r="AK579" s="78"/>
    </row>
    <row r="580" spans="1:37" customFormat="1" ht="105">
      <c r="A580" s="151"/>
      <c r="B580" s="147" t="s">
        <v>850</v>
      </c>
      <c r="C580" s="154" t="s">
        <v>851</v>
      </c>
      <c r="D580" s="154" t="s">
        <v>852</v>
      </c>
      <c r="E580" s="155">
        <f>21*3</f>
        <v>63</v>
      </c>
      <c r="F580" s="156" t="s">
        <v>55</v>
      </c>
      <c r="G580" s="195">
        <v>12630500</v>
      </c>
      <c r="H580" s="158">
        <v>21</v>
      </c>
      <c r="I580" s="157">
        <v>3935900</v>
      </c>
      <c r="J580" s="158">
        <v>21</v>
      </c>
      <c r="K580" s="157">
        <v>4512500</v>
      </c>
      <c r="L580" s="142">
        <v>21</v>
      </c>
      <c r="M580" s="157">
        <v>0</v>
      </c>
      <c r="N580" s="158">
        <v>21</v>
      </c>
      <c r="O580" s="157">
        <v>0</v>
      </c>
      <c r="P580" s="158">
        <v>21</v>
      </c>
      <c r="Q580" s="157">
        <v>3282500</v>
      </c>
      <c r="R580" s="158">
        <v>21</v>
      </c>
      <c r="S580" s="157">
        <v>800000</v>
      </c>
      <c r="T580" s="142">
        <f>AVERAGE(L580,N580,P580,R580)</f>
        <v>21</v>
      </c>
      <c r="U580" s="143">
        <f t="shared" si="103"/>
        <v>100</v>
      </c>
      <c r="V580" s="143" t="s">
        <v>58</v>
      </c>
      <c r="W580" s="159">
        <f t="shared" si="104"/>
        <v>4082500</v>
      </c>
      <c r="X580" s="143">
        <f t="shared" si="105"/>
        <v>90.470914127423825</v>
      </c>
      <c r="Y580" s="143" t="s">
        <v>58</v>
      </c>
      <c r="Z580" s="143">
        <f t="shared" si="91"/>
        <v>42</v>
      </c>
      <c r="AA580" s="159">
        <f t="shared" si="101"/>
        <v>8018400</v>
      </c>
      <c r="AB580" s="149">
        <f t="shared" si="95"/>
        <v>66.666666666666657</v>
      </c>
      <c r="AC580" s="143" t="s">
        <v>58</v>
      </c>
      <c r="AD580" s="194">
        <f t="shared" si="96"/>
        <v>63.484422627766122</v>
      </c>
      <c r="AE580" s="162"/>
      <c r="AF580" s="1"/>
      <c r="AG580" s="1"/>
      <c r="AH580" s="163"/>
      <c r="AI580" s="1"/>
      <c r="AJ580" s="1"/>
      <c r="AK580" s="1"/>
    </row>
    <row r="581" spans="1:37" customFormat="1" ht="120">
      <c r="A581" s="151"/>
      <c r="B581" s="147" t="s">
        <v>853</v>
      </c>
      <c r="C581" s="154" t="s">
        <v>854</v>
      </c>
      <c r="D581" s="154" t="s">
        <v>855</v>
      </c>
      <c r="E581" s="155">
        <v>5</v>
      </c>
      <c r="F581" s="156" t="s">
        <v>138</v>
      </c>
      <c r="G581" s="195">
        <f>20343749+13764000</f>
        <v>34107749</v>
      </c>
      <c r="H581" s="158"/>
      <c r="I581" s="157"/>
      <c r="J581" s="158">
        <v>13</v>
      </c>
      <c r="K581" s="157">
        <v>111236874</v>
      </c>
      <c r="L581" s="142">
        <v>0</v>
      </c>
      <c r="M581" s="157">
        <v>0</v>
      </c>
      <c r="N581" s="158">
        <v>0</v>
      </c>
      <c r="O581" s="157">
        <v>0</v>
      </c>
      <c r="P581" s="158">
        <v>1</v>
      </c>
      <c r="Q581" s="157">
        <v>2825000</v>
      </c>
      <c r="R581" s="158">
        <v>12</v>
      </c>
      <c r="S581" s="157">
        <f>94025000-Q581</f>
        <v>91200000</v>
      </c>
      <c r="T581" s="142">
        <f t="shared" si="102"/>
        <v>13</v>
      </c>
      <c r="U581" s="143">
        <f t="shared" si="103"/>
        <v>100</v>
      </c>
      <c r="V581" s="143" t="s">
        <v>58</v>
      </c>
      <c r="W581" s="159">
        <f t="shared" si="104"/>
        <v>94025000</v>
      </c>
      <c r="X581" s="143">
        <f t="shared" si="105"/>
        <v>84.526826958477812</v>
      </c>
      <c r="Y581" s="143" t="s">
        <v>58</v>
      </c>
      <c r="Z581" s="143">
        <f t="shared" si="91"/>
        <v>13</v>
      </c>
      <c r="AA581" s="159">
        <f t="shared" si="101"/>
        <v>94025000</v>
      </c>
      <c r="AB581" s="149">
        <f t="shared" si="95"/>
        <v>260</v>
      </c>
      <c r="AC581" s="143" t="s">
        <v>58</v>
      </c>
      <c r="AD581" s="194">
        <f t="shared" si="96"/>
        <v>275.6704935291977</v>
      </c>
      <c r="AE581" s="162"/>
      <c r="AF581" s="1"/>
      <c r="AG581" s="1"/>
      <c r="AH581" s="163"/>
      <c r="AI581" s="1"/>
      <c r="AJ581" s="1"/>
      <c r="AK581" s="1"/>
    </row>
    <row r="582" spans="1:37" customFormat="1" ht="198.75" customHeight="1">
      <c r="A582" s="151"/>
      <c r="B582" s="147" t="s">
        <v>389</v>
      </c>
      <c r="C582" s="132" t="s">
        <v>856</v>
      </c>
      <c r="D582" s="132" t="s">
        <v>391</v>
      </c>
      <c r="E582" s="146">
        <v>4</v>
      </c>
      <c r="F582" s="199" t="s">
        <v>857</v>
      </c>
      <c r="G582" s="171">
        <f>SUM(G583:G584)</f>
        <v>1890415300</v>
      </c>
      <c r="H582" s="137">
        <v>0</v>
      </c>
      <c r="I582" s="171">
        <f>SUM(I583:I584)</f>
        <v>902414050</v>
      </c>
      <c r="J582" s="137">
        <v>4</v>
      </c>
      <c r="K582" s="171">
        <f>SUM(K583:K584)</f>
        <v>533863400</v>
      </c>
      <c r="L582" s="137">
        <v>0</v>
      </c>
      <c r="M582" s="171">
        <f>SUM(M583:M584)</f>
        <v>0</v>
      </c>
      <c r="N582" s="137">
        <v>0</v>
      </c>
      <c r="O582" s="171">
        <f>O583+O584</f>
        <v>53740000</v>
      </c>
      <c r="P582" s="137">
        <v>0</v>
      </c>
      <c r="Q582" s="171">
        <f>Q583+Q584</f>
        <v>179601060</v>
      </c>
      <c r="R582" s="137">
        <v>0</v>
      </c>
      <c r="S582" s="171">
        <v>233341060</v>
      </c>
      <c r="T582" s="139">
        <f t="shared" ref="T582:T604" si="106">AVERAGE(L582,N582,P582,R582)</f>
        <v>0</v>
      </c>
      <c r="U582" s="139">
        <f t="shared" si="103"/>
        <v>0</v>
      </c>
      <c r="V582" s="139" t="s">
        <v>58</v>
      </c>
      <c r="W582" s="181">
        <f t="shared" si="104"/>
        <v>466682120</v>
      </c>
      <c r="X582" s="148">
        <f t="shared" si="105"/>
        <v>87.416016906197356</v>
      </c>
      <c r="Y582" s="139" t="s">
        <v>58</v>
      </c>
      <c r="Z582" s="139">
        <f t="shared" si="91"/>
        <v>0</v>
      </c>
      <c r="AA582" s="181">
        <f t="shared" si="101"/>
        <v>1369096170</v>
      </c>
      <c r="AB582" s="149">
        <f t="shared" si="95"/>
        <v>0</v>
      </c>
      <c r="AC582" s="143" t="s">
        <v>58</v>
      </c>
      <c r="AD582" s="194">
        <f t="shared" si="96"/>
        <v>72.423036885069649</v>
      </c>
      <c r="AE582" s="150"/>
      <c r="AF582" s="78"/>
      <c r="AG582" s="78"/>
      <c r="AH582" s="145"/>
      <c r="AI582" s="78"/>
      <c r="AJ582" s="78"/>
      <c r="AK582" s="78"/>
    </row>
    <row r="583" spans="1:37" customFormat="1" ht="225">
      <c r="A583" s="151"/>
      <c r="B583" s="147"/>
      <c r="C583" s="154" t="s">
        <v>858</v>
      </c>
      <c r="D583" s="154" t="s">
        <v>859</v>
      </c>
      <c r="E583" s="155">
        <v>26</v>
      </c>
      <c r="F583" s="182" t="s">
        <v>138</v>
      </c>
      <c r="G583" s="195">
        <v>1163540400</v>
      </c>
      <c r="H583" s="158">
        <v>26</v>
      </c>
      <c r="I583" s="157">
        <v>487941800</v>
      </c>
      <c r="J583" s="158">
        <v>26</v>
      </c>
      <c r="K583" s="157">
        <v>392767400</v>
      </c>
      <c r="L583" s="142">
        <v>26</v>
      </c>
      <c r="M583" s="157">
        <v>0</v>
      </c>
      <c r="N583" s="158">
        <v>26</v>
      </c>
      <c r="O583" s="157">
        <v>0</v>
      </c>
      <c r="P583" s="158">
        <v>26</v>
      </c>
      <c r="Q583" s="157">
        <v>162691060</v>
      </c>
      <c r="R583" s="158">
        <v>26</v>
      </c>
      <c r="S583" s="157">
        <f>332615060-Q583</f>
        <v>169924000</v>
      </c>
      <c r="T583" s="142">
        <f t="shared" si="106"/>
        <v>26</v>
      </c>
      <c r="U583" s="143">
        <f t="shared" si="103"/>
        <v>100</v>
      </c>
      <c r="V583" s="143" t="s">
        <v>58</v>
      </c>
      <c r="W583" s="159">
        <f t="shared" si="104"/>
        <v>332615060</v>
      </c>
      <c r="X583" s="164">
        <f t="shared" si="105"/>
        <v>84.684996769080129</v>
      </c>
      <c r="Y583" s="143" t="s">
        <v>58</v>
      </c>
      <c r="Z583" s="143">
        <f t="shared" si="91"/>
        <v>52</v>
      </c>
      <c r="AA583" s="159">
        <f t="shared" si="101"/>
        <v>820556860</v>
      </c>
      <c r="AB583" s="149">
        <f t="shared" si="95"/>
        <v>200</v>
      </c>
      <c r="AC583" s="143" t="s">
        <v>58</v>
      </c>
      <c r="AD583" s="194">
        <f t="shared" si="96"/>
        <v>70.52242105216115</v>
      </c>
      <c r="AE583" s="162"/>
      <c r="AF583" s="1"/>
      <c r="AG583" s="1"/>
      <c r="AH583" s="163"/>
      <c r="AI583" s="1"/>
      <c r="AJ583" s="1"/>
      <c r="AK583" s="1"/>
    </row>
    <row r="584" spans="1:37" customFormat="1" ht="165">
      <c r="A584" s="151"/>
      <c r="B584" s="147"/>
      <c r="C584" s="225" t="s">
        <v>860</v>
      </c>
      <c r="D584" s="225" t="s">
        <v>861</v>
      </c>
      <c r="E584" s="226">
        <v>26</v>
      </c>
      <c r="F584" s="182" t="s">
        <v>138</v>
      </c>
      <c r="G584" s="227">
        <v>726874900</v>
      </c>
      <c r="H584" s="228">
        <v>24</v>
      </c>
      <c r="I584" s="229">
        <v>414472250</v>
      </c>
      <c r="J584" s="228">
        <v>24</v>
      </c>
      <c r="K584" s="229">
        <v>141096000</v>
      </c>
      <c r="L584" s="230">
        <v>24</v>
      </c>
      <c r="M584" s="229">
        <v>0</v>
      </c>
      <c r="N584" s="228">
        <v>24</v>
      </c>
      <c r="O584" s="229">
        <v>53740000</v>
      </c>
      <c r="P584" s="228">
        <v>24</v>
      </c>
      <c r="Q584" s="157">
        <f>70650000-O584</f>
        <v>16910000</v>
      </c>
      <c r="R584" s="228">
        <v>24</v>
      </c>
      <c r="S584" s="229">
        <f>100560000-O584-Q584</f>
        <v>29910000</v>
      </c>
      <c r="T584" s="230">
        <f t="shared" si="106"/>
        <v>24</v>
      </c>
      <c r="U584" s="231">
        <f t="shared" si="103"/>
        <v>100</v>
      </c>
      <c r="V584" s="231" t="s">
        <v>58</v>
      </c>
      <c r="W584" s="232">
        <f t="shared" si="104"/>
        <v>100560000</v>
      </c>
      <c r="X584" s="233">
        <f t="shared" si="105"/>
        <v>71.270624255825823</v>
      </c>
      <c r="Y584" s="231" t="s">
        <v>58</v>
      </c>
      <c r="Z584" s="231">
        <f t="shared" si="91"/>
        <v>48</v>
      </c>
      <c r="AA584" s="232">
        <f t="shared" si="101"/>
        <v>515032250</v>
      </c>
      <c r="AB584" s="149">
        <f t="shared" si="95"/>
        <v>184.61538461538461</v>
      </c>
      <c r="AC584" s="143" t="s">
        <v>58</v>
      </c>
      <c r="AD584" s="194">
        <f t="shared" si="96"/>
        <v>70.855693324944909</v>
      </c>
      <c r="AE584" s="162"/>
      <c r="AF584" s="1"/>
      <c r="AG584" s="1"/>
      <c r="AH584" s="163"/>
      <c r="AI584" s="1"/>
      <c r="AJ584" s="1"/>
      <c r="AK584" s="1"/>
    </row>
    <row r="585" spans="1:37" customFormat="1" ht="102.75" customHeight="1">
      <c r="A585" s="151"/>
      <c r="B585" s="147" t="s">
        <v>387</v>
      </c>
      <c r="C585" s="132" t="s">
        <v>862</v>
      </c>
      <c r="D585" s="132" t="s">
        <v>388</v>
      </c>
      <c r="E585" s="146">
        <v>100</v>
      </c>
      <c r="F585" s="135" t="s">
        <v>58</v>
      </c>
      <c r="G585" s="171">
        <f>G586+G609</f>
        <v>32412752478</v>
      </c>
      <c r="H585" s="184">
        <v>100</v>
      </c>
      <c r="I585" s="171">
        <f>I586+I609</f>
        <v>15894069585</v>
      </c>
      <c r="J585" s="139">
        <v>100</v>
      </c>
      <c r="K585" s="171">
        <f>K586+K609</f>
        <v>11460626375</v>
      </c>
      <c r="L585" s="169">
        <v>100</v>
      </c>
      <c r="M585" s="171">
        <f>M586+M609</f>
        <v>816018388</v>
      </c>
      <c r="N585" s="171">
        <v>100</v>
      </c>
      <c r="O585" s="171">
        <f>O586+O609</f>
        <v>2175774065</v>
      </c>
      <c r="P585" s="171">
        <v>100</v>
      </c>
      <c r="Q585" s="171">
        <f t="shared" ref="Q585:S585" si="107">Q586+Q609</f>
        <v>1240749250</v>
      </c>
      <c r="R585" s="171">
        <v>100</v>
      </c>
      <c r="S585" s="171">
        <f t="shared" si="107"/>
        <v>4621841565</v>
      </c>
      <c r="T585" s="169">
        <f t="shared" si="106"/>
        <v>100</v>
      </c>
      <c r="U585" s="139">
        <f t="shared" si="103"/>
        <v>100</v>
      </c>
      <c r="V585" s="139" t="s">
        <v>58</v>
      </c>
      <c r="W585" s="181">
        <f t="shared" si="104"/>
        <v>8854383268</v>
      </c>
      <c r="X585" s="148">
        <f t="shared" si="105"/>
        <v>77.259156509235737</v>
      </c>
      <c r="Y585" s="139" t="s">
        <v>58</v>
      </c>
      <c r="Z585" s="148">
        <f t="shared" si="91"/>
        <v>200</v>
      </c>
      <c r="AA585" s="181">
        <f t="shared" si="101"/>
        <v>24748452853</v>
      </c>
      <c r="AB585" s="149">
        <f t="shared" si="95"/>
        <v>200</v>
      </c>
      <c r="AC585" s="143" t="s">
        <v>58</v>
      </c>
      <c r="AD585" s="194">
        <f t="shared" si="96"/>
        <v>76.354061167122083</v>
      </c>
      <c r="AE585" s="150"/>
      <c r="AF585" s="78"/>
      <c r="AG585" s="78"/>
      <c r="AH585" s="145"/>
      <c r="AI585" s="78"/>
      <c r="AJ585" s="78"/>
      <c r="AK585" s="78"/>
    </row>
    <row r="586" spans="1:37" customFormat="1" ht="266.25" customHeight="1">
      <c r="A586" s="151"/>
      <c r="B586" s="147" t="s">
        <v>863</v>
      </c>
      <c r="C586" s="132" t="s">
        <v>864</v>
      </c>
      <c r="D586" s="132" t="s">
        <v>865</v>
      </c>
      <c r="E586" s="146" t="s">
        <v>866</v>
      </c>
      <c r="F586" s="135"/>
      <c r="G586" s="171">
        <f>SUM(G587:G608)</f>
        <v>31802052478</v>
      </c>
      <c r="H586" s="137" t="s">
        <v>867</v>
      </c>
      <c r="I586" s="171">
        <f>SUM(I587:I608)</f>
        <v>15742779585</v>
      </c>
      <c r="J586" s="137" t="s">
        <v>868</v>
      </c>
      <c r="K586" s="171">
        <f>SUM(K587:K608)</f>
        <v>11046266375</v>
      </c>
      <c r="L586" s="169"/>
      <c r="M586" s="171">
        <f>SUM(M587:M608)</f>
        <v>816018388</v>
      </c>
      <c r="N586" s="137"/>
      <c r="O586" s="171">
        <f>SUM(O587:O608)</f>
        <v>2175774065</v>
      </c>
      <c r="P586" s="137"/>
      <c r="Q586" s="171">
        <f>SUM(Q587:Q608)</f>
        <v>1140099250</v>
      </c>
      <c r="R586" s="137" t="s">
        <v>869</v>
      </c>
      <c r="S586" s="171">
        <f>SUM(S587:S608)</f>
        <v>4420995565</v>
      </c>
      <c r="T586" s="169" t="e">
        <f t="shared" si="106"/>
        <v>#DIV/0!</v>
      </c>
      <c r="U586" s="139"/>
      <c r="V586" s="139" t="s">
        <v>58</v>
      </c>
      <c r="W586" s="181">
        <f t="shared" si="104"/>
        <v>8552887268</v>
      </c>
      <c r="X586" s="148">
        <f t="shared" si="105"/>
        <v>77.427856414516356</v>
      </c>
      <c r="Y586" s="139" t="s">
        <v>58</v>
      </c>
      <c r="Z586" s="139" t="e">
        <f t="shared" si="91"/>
        <v>#DIV/0!</v>
      </c>
      <c r="AA586" s="181">
        <f t="shared" si="101"/>
        <v>24295666853</v>
      </c>
      <c r="AB586" s="149" t="e">
        <f t="shared" si="95"/>
        <v>#DIV/0!</v>
      </c>
      <c r="AC586" s="143" t="s">
        <v>58</v>
      </c>
      <c r="AD586" s="194">
        <f t="shared" si="96"/>
        <v>76.396537204028689</v>
      </c>
      <c r="AE586" s="150"/>
      <c r="AF586" s="78"/>
      <c r="AG586" s="78"/>
      <c r="AH586" s="145"/>
      <c r="AI586" s="78"/>
      <c r="AJ586" s="78"/>
      <c r="AK586" s="78"/>
    </row>
    <row r="587" spans="1:37" customFormat="1" ht="180">
      <c r="A587" s="151"/>
      <c r="B587" s="147"/>
      <c r="C587" s="154" t="s">
        <v>870</v>
      </c>
      <c r="D587" s="154" t="s">
        <v>871</v>
      </c>
      <c r="E587" s="155">
        <v>413</v>
      </c>
      <c r="F587" s="156" t="s">
        <v>57</v>
      </c>
      <c r="G587" s="195">
        <v>29182216883</v>
      </c>
      <c r="H587" s="158">
        <v>261</v>
      </c>
      <c r="I587" s="157">
        <v>15199356250</v>
      </c>
      <c r="J587" s="158">
        <v>150</v>
      </c>
      <c r="K587" s="157">
        <v>8916901875</v>
      </c>
      <c r="L587" s="142">
        <v>150</v>
      </c>
      <c r="M587" s="157">
        <f>798875000+500000</f>
        <v>799375000</v>
      </c>
      <c r="N587" s="158">
        <v>150</v>
      </c>
      <c r="O587" s="157">
        <f>2551888330-M587</f>
        <v>1752513330</v>
      </c>
      <c r="P587" s="158">
        <v>150</v>
      </c>
      <c r="Q587" s="157">
        <f>3422956511-M587-O587</f>
        <v>871068181</v>
      </c>
      <c r="R587" s="158">
        <v>150</v>
      </c>
      <c r="S587" s="157">
        <f>6616615738-M587-O587-Q587</f>
        <v>3193659227</v>
      </c>
      <c r="T587" s="142">
        <f t="shared" si="106"/>
        <v>150</v>
      </c>
      <c r="U587" s="143">
        <f t="shared" si="103"/>
        <v>100</v>
      </c>
      <c r="V587" s="143" t="s">
        <v>58</v>
      </c>
      <c r="W587" s="159">
        <f t="shared" si="104"/>
        <v>6616615738</v>
      </c>
      <c r="X587" s="164">
        <f t="shared" si="105"/>
        <v>74.203078947753923</v>
      </c>
      <c r="Y587" s="143" t="s">
        <v>58</v>
      </c>
      <c r="Z587" s="143">
        <f t="shared" si="91"/>
        <v>411</v>
      </c>
      <c r="AA587" s="159">
        <f t="shared" si="101"/>
        <v>21815971988</v>
      </c>
      <c r="AB587" s="149">
        <f t="shared" si="95"/>
        <v>99.515738498789347</v>
      </c>
      <c r="AC587" s="143" t="s">
        <v>58</v>
      </c>
      <c r="AD587" s="194">
        <f t="shared" si="96"/>
        <v>74.757761123723327</v>
      </c>
      <c r="AE587" s="162"/>
      <c r="AF587" s="1"/>
      <c r="AG587" s="1"/>
      <c r="AH587" s="163"/>
      <c r="AI587" s="1"/>
      <c r="AJ587" s="1"/>
      <c r="AK587" s="1"/>
    </row>
    <row r="588" spans="1:37" customFormat="1" ht="180">
      <c r="A588" s="151"/>
      <c r="B588" s="147"/>
      <c r="C588" s="153" t="s">
        <v>872</v>
      </c>
      <c r="D588" s="154" t="s">
        <v>871</v>
      </c>
      <c r="E588" s="142">
        <v>2</v>
      </c>
      <c r="F588" s="156" t="s">
        <v>57</v>
      </c>
      <c r="G588" s="195">
        <v>61336000</v>
      </c>
      <c r="H588" s="205">
        <v>0</v>
      </c>
      <c r="I588" s="157">
        <v>0</v>
      </c>
      <c r="J588" s="143">
        <v>1</v>
      </c>
      <c r="K588" s="157">
        <v>81218000</v>
      </c>
      <c r="L588" s="142">
        <v>1</v>
      </c>
      <c r="M588" s="207" t="s">
        <v>449</v>
      </c>
      <c r="N588" s="158">
        <v>1</v>
      </c>
      <c r="O588" s="157">
        <v>13888990</v>
      </c>
      <c r="P588" s="158">
        <v>1</v>
      </c>
      <c r="Q588" s="157">
        <v>8342682</v>
      </c>
      <c r="R588" s="205">
        <v>1</v>
      </c>
      <c r="S588" s="157">
        <v>51607969</v>
      </c>
      <c r="T588" s="206">
        <f t="shared" si="106"/>
        <v>1</v>
      </c>
      <c r="U588" s="164">
        <f t="shared" si="103"/>
        <v>100</v>
      </c>
      <c r="V588" s="143" t="s">
        <v>58</v>
      </c>
      <c r="W588" s="159">
        <f t="shared" si="104"/>
        <v>73839641</v>
      </c>
      <c r="X588" s="164">
        <f t="shared" si="105"/>
        <v>90.915364820606271</v>
      </c>
      <c r="Y588" s="143" t="s">
        <v>58</v>
      </c>
      <c r="Z588" s="206">
        <f t="shared" si="91"/>
        <v>1</v>
      </c>
      <c r="AA588" s="159">
        <f t="shared" si="101"/>
        <v>73839641</v>
      </c>
      <c r="AB588" s="149">
        <f t="shared" si="95"/>
        <v>50</v>
      </c>
      <c r="AC588" s="143" t="s">
        <v>58</v>
      </c>
      <c r="AD588" s="194">
        <f t="shared" si="96"/>
        <v>120.38548487022302</v>
      </c>
      <c r="AE588" s="162"/>
      <c r="AF588" s="1"/>
      <c r="AG588" s="1"/>
      <c r="AH588" s="163"/>
      <c r="AI588" s="1"/>
      <c r="AJ588" s="1"/>
      <c r="AK588" s="1"/>
    </row>
    <row r="589" spans="1:37" customFormat="1" ht="180">
      <c r="A589" s="151"/>
      <c r="B589" s="147"/>
      <c r="C589" s="153" t="s">
        <v>873</v>
      </c>
      <c r="D589" s="154" t="s">
        <v>871</v>
      </c>
      <c r="E589" s="142">
        <v>1</v>
      </c>
      <c r="F589" s="156" t="s">
        <v>57</v>
      </c>
      <c r="G589" s="195">
        <v>0</v>
      </c>
      <c r="H589" s="205">
        <v>1</v>
      </c>
      <c r="I589" s="157">
        <v>30036886</v>
      </c>
      <c r="J589" s="143">
        <v>1</v>
      </c>
      <c r="K589" s="157">
        <v>81268200</v>
      </c>
      <c r="L589" s="142">
        <v>1</v>
      </c>
      <c r="M589" s="207" t="s">
        <v>449</v>
      </c>
      <c r="N589" s="158">
        <v>1</v>
      </c>
      <c r="O589" s="157">
        <v>13877290</v>
      </c>
      <c r="P589" s="158">
        <v>1</v>
      </c>
      <c r="Q589" s="157">
        <v>8342682</v>
      </c>
      <c r="R589" s="205">
        <v>1</v>
      </c>
      <c r="S589" s="157">
        <v>45310263</v>
      </c>
      <c r="T589" s="206">
        <f t="shared" si="106"/>
        <v>1</v>
      </c>
      <c r="U589" s="164">
        <f t="shared" si="103"/>
        <v>100</v>
      </c>
      <c r="V589" s="143" t="s">
        <v>58</v>
      </c>
      <c r="W589" s="159">
        <f t="shared" si="104"/>
        <v>67530235</v>
      </c>
      <c r="X589" s="164">
        <f t="shared" si="105"/>
        <v>83.095521987690148</v>
      </c>
      <c r="Y589" s="143" t="s">
        <v>58</v>
      </c>
      <c r="Z589" s="206">
        <f t="shared" si="91"/>
        <v>2</v>
      </c>
      <c r="AA589" s="159">
        <f t="shared" si="101"/>
        <v>97567121</v>
      </c>
      <c r="AB589" s="149">
        <f t="shared" si="95"/>
        <v>200</v>
      </c>
      <c r="AC589" s="143" t="s">
        <v>58</v>
      </c>
      <c r="AD589" s="194" t="e">
        <f t="shared" si="96"/>
        <v>#DIV/0!</v>
      </c>
      <c r="AE589" s="162"/>
      <c r="AF589" s="1"/>
      <c r="AG589" s="1"/>
      <c r="AH589" s="163"/>
      <c r="AI589" s="1"/>
      <c r="AJ589" s="1"/>
      <c r="AK589" s="1"/>
    </row>
    <row r="590" spans="1:37" customFormat="1" ht="180">
      <c r="A590" s="151"/>
      <c r="B590" s="147"/>
      <c r="C590" s="153" t="s">
        <v>874</v>
      </c>
      <c r="D590" s="154" t="s">
        <v>871</v>
      </c>
      <c r="E590" s="142">
        <v>5</v>
      </c>
      <c r="F590" s="156" t="s">
        <v>57</v>
      </c>
      <c r="G590" s="195">
        <v>214676000</v>
      </c>
      <c r="H590" s="205">
        <v>1</v>
      </c>
      <c r="I590" s="157">
        <v>30668000</v>
      </c>
      <c r="J590" s="143">
        <v>3</v>
      </c>
      <c r="K590" s="157">
        <v>145123050</v>
      </c>
      <c r="L590" s="142">
        <v>3</v>
      </c>
      <c r="M590" s="207" t="s">
        <v>449</v>
      </c>
      <c r="N590" s="158">
        <v>3</v>
      </c>
      <c r="O590" s="157">
        <v>41631870</v>
      </c>
      <c r="P590" s="158">
        <v>3</v>
      </c>
      <c r="Q590" s="157">
        <v>16691168</v>
      </c>
      <c r="R590" s="205">
        <v>3</v>
      </c>
      <c r="S590" s="157">
        <v>80513043</v>
      </c>
      <c r="T590" s="206">
        <f t="shared" si="106"/>
        <v>3</v>
      </c>
      <c r="U590" s="164">
        <f t="shared" si="103"/>
        <v>100</v>
      </c>
      <c r="V590" s="143" t="s">
        <v>58</v>
      </c>
      <c r="W590" s="159">
        <f t="shared" si="104"/>
        <v>138836081</v>
      </c>
      <c r="X590" s="164">
        <f t="shared" si="105"/>
        <v>95.667835674622324</v>
      </c>
      <c r="Y590" s="143" t="s">
        <v>58</v>
      </c>
      <c r="Z590" s="206">
        <f t="shared" si="91"/>
        <v>4</v>
      </c>
      <c r="AA590" s="159">
        <f t="shared" si="101"/>
        <v>169504081</v>
      </c>
      <c r="AB590" s="149">
        <f t="shared" si="95"/>
        <v>80</v>
      </c>
      <c r="AC590" s="143" t="s">
        <v>58</v>
      </c>
      <c r="AD590" s="194">
        <f t="shared" si="96"/>
        <v>78.958095455477093</v>
      </c>
      <c r="AE590" s="162"/>
      <c r="AF590" s="1"/>
      <c r="AG590" s="1"/>
      <c r="AH590" s="163"/>
      <c r="AI590" s="1"/>
      <c r="AJ590" s="1"/>
      <c r="AK590" s="1"/>
    </row>
    <row r="591" spans="1:37" customFormat="1" ht="180">
      <c r="A591" s="151"/>
      <c r="B591" s="147"/>
      <c r="C591" s="153" t="s">
        <v>875</v>
      </c>
      <c r="D591" s="154" t="s">
        <v>871</v>
      </c>
      <c r="E591" s="142">
        <v>4</v>
      </c>
      <c r="F591" s="156" t="s">
        <v>57</v>
      </c>
      <c r="G591" s="195">
        <v>214676000</v>
      </c>
      <c r="H591" s="205">
        <v>1</v>
      </c>
      <c r="I591" s="157">
        <v>30036886</v>
      </c>
      <c r="J591" s="143">
        <v>3</v>
      </c>
      <c r="K591" s="157">
        <v>152525400</v>
      </c>
      <c r="L591" s="142">
        <v>3</v>
      </c>
      <c r="M591" s="207" t="s">
        <v>449</v>
      </c>
      <c r="N591" s="158">
        <v>3</v>
      </c>
      <c r="O591" s="157">
        <v>41631870</v>
      </c>
      <c r="P591" s="158">
        <v>3</v>
      </c>
      <c r="Q591" s="157">
        <v>25028045</v>
      </c>
      <c r="R591" s="205">
        <v>3</v>
      </c>
      <c r="S591" s="157">
        <v>71087685</v>
      </c>
      <c r="T591" s="206">
        <f t="shared" si="106"/>
        <v>3</v>
      </c>
      <c r="U591" s="164">
        <f t="shared" si="103"/>
        <v>100</v>
      </c>
      <c r="V591" s="143" t="s">
        <v>58</v>
      </c>
      <c r="W591" s="159">
        <f t="shared" si="104"/>
        <v>137747600</v>
      </c>
      <c r="X591" s="164">
        <f t="shared" si="105"/>
        <v>90.311253076536758</v>
      </c>
      <c r="Y591" s="143" t="s">
        <v>58</v>
      </c>
      <c r="Z591" s="206">
        <f t="shared" si="91"/>
        <v>4</v>
      </c>
      <c r="AA591" s="159">
        <f t="shared" si="101"/>
        <v>167784486</v>
      </c>
      <c r="AB591" s="149">
        <f t="shared" si="95"/>
        <v>100</v>
      </c>
      <c r="AC591" s="143" t="s">
        <v>58</v>
      </c>
      <c r="AD591" s="194">
        <f t="shared" si="96"/>
        <v>78.157076710950463</v>
      </c>
      <c r="AE591" s="162"/>
      <c r="AF591" s="1"/>
      <c r="AG591" s="1"/>
      <c r="AH591" s="163"/>
      <c r="AI591" s="1"/>
      <c r="AJ591" s="1"/>
      <c r="AK591" s="1"/>
    </row>
    <row r="592" spans="1:37" customFormat="1" ht="180">
      <c r="A592" s="151"/>
      <c r="B592" s="147"/>
      <c r="C592" s="153" t="s">
        <v>876</v>
      </c>
      <c r="D592" s="154" t="s">
        <v>871</v>
      </c>
      <c r="E592" s="142">
        <v>0</v>
      </c>
      <c r="F592" s="156" t="s">
        <v>57</v>
      </c>
      <c r="G592" s="195">
        <v>46450000</v>
      </c>
      <c r="H592" s="205">
        <v>0</v>
      </c>
      <c r="I592" s="157">
        <v>0</v>
      </c>
      <c r="J592" s="143">
        <v>46</v>
      </c>
      <c r="K592" s="157">
        <v>46450000</v>
      </c>
      <c r="L592" s="142">
        <v>0</v>
      </c>
      <c r="M592" s="207" t="s">
        <v>449</v>
      </c>
      <c r="N592" s="158">
        <v>0</v>
      </c>
      <c r="O592" s="157">
        <v>0</v>
      </c>
      <c r="P592" s="158">
        <v>0</v>
      </c>
      <c r="Q592" s="157">
        <v>0</v>
      </c>
      <c r="R592" s="205">
        <v>46</v>
      </c>
      <c r="S592" s="157">
        <v>42368880</v>
      </c>
      <c r="T592" s="206">
        <f>SUM(L592,N592,P592,R592)</f>
        <v>46</v>
      </c>
      <c r="U592" s="164">
        <f t="shared" si="103"/>
        <v>100</v>
      </c>
      <c r="V592" s="143" t="s">
        <v>58</v>
      </c>
      <c r="W592" s="159">
        <f t="shared" si="104"/>
        <v>42368880</v>
      </c>
      <c r="X592" s="164">
        <f t="shared" si="105"/>
        <v>91.213950484391816</v>
      </c>
      <c r="Y592" s="143" t="s">
        <v>58</v>
      </c>
      <c r="Z592" s="206">
        <f t="shared" si="91"/>
        <v>46</v>
      </c>
      <c r="AA592" s="159">
        <f t="shared" si="101"/>
        <v>42368880</v>
      </c>
      <c r="AB592" s="149" t="e">
        <f t="shared" si="95"/>
        <v>#DIV/0!</v>
      </c>
      <c r="AC592" s="143" t="s">
        <v>58</v>
      </c>
      <c r="AD592" s="194">
        <f t="shared" si="96"/>
        <v>91.213950484391816</v>
      </c>
      <c r="AE592" s="162"/>
      <c r="AF592" s="1"/>
      <c r="AG592" s="1"/>
      <c r="AH592" s="163"/>
      <c r="AI592" s="1"/>
      <c r="AJ592" s="1"/>
      <c r="AK592" s="1"/>
    </row>
    <row r="593" spans="1:37" customFormat="1" ht="180">
      <c r="A593" s="151"/>
      <c r="B593" s="147"/>
      <c r="C593" s="153" t="s">
        <v>877</v>
      </c>
      <c r="D593" s="154" t="s">
        <v>871</v>
      </c>
      <c r="E593" s="142">
        <v>3</v>
      </c>
      <c r="F593" s="156" t="s">
        <v>57</v>
      </c>
      <c r="G593" s="195">
        <v>92004000</v>
      </c>
      <c r="H593" s="205">
        <v>0</v>
      </c>
      <c r="I593" s="157">
        <v>0</v>
      </c>
      <c r="J593" s="143">
        <v>1</v>
      </c>
      <c r="K593" s="157">
        <v>90234250</v>
      </c>
      <c r="L593" s="142">
        <v>1</v>
      </c>
      <c r="M593" s="207" t="s">
        <v>449</v>
      </c>
      <c r="N593" s="158">
        <v>1</v>
      </c>
      <c r="O593" s="157">
        <v>13877290</v>
      </c>
      <c r="P593" s="158">
        <v>1</v>
      </c>
      <c r="Q593" s="157">
        <v>8342682</v>
      </c>
      <c r="R593" s="205">
        <v>1</v>
      </c>
      <c r="S593" s="157">
        <v>53955746</v>
      </c>
      <c r="T593" s="206">
        <f t="shared" si="106"/>
        <v>1</v>
      </c>
      <c r="U593" s="164">
        <f t="shared" si="103"/>
        <v>100</v>
      </c>
      <c r="V593" s="143" t="s">
        <v>58</v>
      </c>
      <c r="W593" s="159">
        <f t="shared" si="104"/>
        <v>76175718</v>
      </c>
      <c r="X593" s="164">
        <f t="shared" si="105"/>
        <v>84.419960270074839</v>
      </c>
      <c r="Y593" s="143" t="s">
        <v>58</v>
      </c>
      <c r="Z593" s="206">
        <f t="shared" si="91"/>
        <v>1</v>
      </c>
      <c r="AA593" s="159">
        <f t="shared" si="101"/>
        <v>76175718</v>
      </c>
      <c r="AB593" s="149">
        <f t="shared" si="95"/>
        <v>33.333333333333329</v>
      </c>
      <c r="AC593" s="143" t="s">
        <v>58</v>
      </c>
      <c r="AD593" s="194">
        <f t="shared" si="96"/>
        <v>82.796093648102257</v>
      </c>
      <c r="AE593" s="162"/>
      <c r="AF593" s="1"/>
      <c r="AG593" s="1"/>
      <c r="AH593" s="163"/>
      <c r="AI593" s="1"/>
      <c r="AJ593" s="1"/>
      <c r="AK593" s="1"/>
    </row>
    <row r="594" spans="1:37" customFormat="1" ht="180">
      <c r="A594" s="151"/>
      <c r="B594" s="147"/>
      <c r="C594" s="153" t="s">
        <v>878</v>
      </c>
      <c r="D594" s="154" t="s">
        <v>871</v>
      </c>
      <c r="E594" s="142">
        <v>0</v>
      </c>
      <c r="F594" s="156" t="s">
        <v>57</v>
      </c>
      <c r="G594" s="157">
        <v>52931595</v>
      </c>
      <c r="H594" s="205">
        <v>0</v>
      </c>
      <c r="I594" s="157">
        <v>0</v>
      </c>
      <c r="J594" s="143">
        <v>1</v>
      </c>
      <c r="K594" s="157">
        <v>52931595</v>
      </c>
      <c r="L594" s="142">
        <v>1</v>
      </c>
      <c r="M594" s="207" t="s">
        <v>449</v>
      </c>
      <c r="N594" s="158">
        <v>1</v>
      </c>
      <c r="O594" s="157">
        <v>0</v>
      </c>
      <c r="P594" s="158">
        <v>1</v>
      </c>
      <c r="Q594" s="157">
        <v>0</v>
      </c>
      <c r="R594" s="205">
        <v>1</v>
      </c>
      <c r="S594" s="157">
        <v>47520304</v>
      </c>
      <c r="T594" s="206">
        <f t="shared" si="106"/>
        <v>1</v>
      </c>
      <c r="U594" s="164">
        <f t="shared" si="103"/>
        <v>100</v>
      </c>
      <c r="V594" s="143" t="s">
        <v>58</v>
      </c>
      <c r="W594" s="159">
        <f t="shared" si="104"/>
        <v>47520304</v>
      </c>
      <c r="X594" s="164">
        <f t="shared" si="105"/>
        <v>89.776822330783716</v>
      </c>
      <c r="Y594" s="143" t="s">
        <v>58</v>
      </c>
      <c r="Z594" s="206">
        <f t="shared" si="91"/>
        <v>1</v>
      </c>
      <c r="AA594" s="159">
        <f t="shared" si="101"/>
        <v>47520304</v>
      </c>
      <c r="AB594" s="149" t="e">
        <f t="shared" si="95"/>
        <v>#DIV/0!</v>
      </c>
      <c r="AC594" s="143" t="s">
        <v>58</v>
      </c>
      <c r="AD594" s="194">
        <f t="shared" si="96"/>
        <v>89.776822330783716</v>
      </c>
      <c r="AE594" s="162"/>
      <c r="AF594" s="1"/>
      <c r="AG594" s="1"/>
      <c r="AH594" s="163"/>
      <c r="AI594" s="1"/>
      <c r="AJ594" s="1"/>
      <c r="AK594" s="1"/>
    </row>
    <row r="595" spans="1:37" customFormat="1" ht="180">
      <c r="A595" s="151"/>
      <c r="B595" s="147"/>
      <c r="C595" s="153" t="s">
        <v>879</v>
      </c>
      <c r="D595" s="154" t="s">
        <v>871</v>
      </c>
      <c r="E595" s="142">
        <v>7</v>
      </c>
      <c r="F595" s="156" t="s">
        <v>57</v>
      </c>
      <c r="G595" s="195">
        <v>239316000</v>
      </c>
      <c r="H595" s="205">
        <v>2</v>
      </c>
      <c r="I595" s="157">
        <v>60073772</v>
      </c>
      <c r="J595" s="143">
        <v>2</v>
      </c>
      <c r="K595" s="157">
        <v>124031000</v>
      </c>
      <c r="L595" s="142">
        <v>2</v>
      </c>
      <c r="M595" s="207" t="s">
        <v>449</v>
      </c>
      <c r="N595" s="158">
        <v>2</v>
      </c>
      <c r="O595" s="157">
        <v>27432686</v>
      </c>
      <c r="P595" s="158">
        <v>2</v>
      </c>
      <c r="Q595" s="157">
        <v>17007258</v>
      </c>
      <c r="R595" s="205">
        <v>2</v>
      </c>
      <c r="S595" s="157">
        <v>69941422</v>
      </c>
      <c r="T595" s="206">
        <f t="shared" si="106"/>
        <v>2</v>
      </c>
      <c r="U595" s="164">
        <f t="shared" si="103"/>
        <v>100</v>
      </c>
      <c r="V595" s="143" t="s">
        <v>58</v>
      </c>
      <c r="W595" s="159">
        <f t="shared" si="104"/>
        <v>114381366</v>
      </c>
      <c r="X595" s="164">
        <f t="shared" si="105"/>
        <v>92.219982101248874</v>
      </c>
      <c r="Y595" s="143" t="s">
        <v>58</v>
      </c>
      <c r="Z595" s="206">
        <f t="shared" si="91"/>
        <v>4</v>
      </c>
      <c r="AA595" s="159">
        <f t="shared" si="101"/>
        <v>174455138</v>
      </c>
      <c r="AB595" s="149">
        <f t="shared" si="95"/>
        <v>57.142857142857139</v>
      </c>
      <c r="AC595" s="143" t="s">
        <v>58</v>
      </c>
      <c r="AD595" s="194">
        <f t="shared" si="96"/>
        <v>72.897398418826981</v>
      </c>
      <c r="AE595" s="162"/>
      <c r="AF595" s="1"/>
      <c r="AG595" s="1"/>
      <c r="AH595" s="163"/>
      <c r="AI595" s="1"/>
      <c r="AJ595" s="1"/>
      <c r="AK595" s="1"/>
    </row>
    <row r="596" spans="1:37" customFormat="1" ht="180">
      <c r="A596" s="151"/>
      <c r="B596" s="147"/>
      <c r="C596" s="153" t="s">
        <v>880</v>
      </c>
      <c r="D596" s="154" t="s">
        <v>871</v>
      </c>
      <c r="E596" s="142">
        <v>3</v>
      </c>
      <c r="F596" s="156" t="s">
        <v>57</v>
      </c>
      <c r="G596" s="195">
        <v>92004000</v>
      </c>
      <c r="H596" s="205">
        <v>1</v>
      </c>
      <c r="I596" s="157">
        <v>30036836</v>
      </c>
      <c r="J596" s="143">
        <v>1</v>
      </c>
      <c r="K596" s="157">
        <v>86496950</v>
      </c>
      <c r="L596" s="142">
        <v>1</v>
      </c>
      <c r="M596" s="207" t="s">
        <v>449</v>
      </c>
      <c r="N596" s="158">
        <v>1</v>
      </c>
      <c r="O596" s="157">
        <v>13877290</v>
      </c>
      <c r="P596" s="158">
        <v>1</v>
      </c>
      <c r="Q596" s="157">
        <v>8342682</v>
      </c>
      <c r="R596" s="205">
        <v>1</v>
      </c>
      <c r="S596" s="157">
        <v>64131812</v>
      </c>
      <c r="T596" s="206">
        <f t="shared" si="106"/>
        <v>1</v>
      </c>
      <c r="U596" s="164">
        <f t="shared" si="103"/>
        <v>100</v>
      </c>
      <c r="V596" s="143" t="s">
        <v>58</v>
      </c>
      <c r="W596" s="159">
        <f t="shared" si="104"/>
        <v>86351784</v>
      </c>
      <c r="X596" s="164">
        <f t="shared" si="105"/>
        <v>99.832172117051527</v>
      </c>
      <c r="Y596" s="143" t="s">
        <v>58</v>
      </c>
      <c r="Z596" s="206">
        <f t="shared" si="91"/>
        <v>2</v>
      </c>
      <c r="AA596" s="159">
        <f t="shared" si="101"/>
        <v>116388620</v>
      </c>
      <c r="AB596" s="149">
        <f t="shared" si="95"/>
        <v>66.666666666666657</v>
      </c>
      <c r="AC596" s="143" t="s">
        <v>58</v>
      </c>
      <c r="AD596" s="194">
        <f t="shared" si="96"/>
        <v>126.50386939698275</v>
      </c>
      <c r="AE596" s="162"/>
      <c r="AF596" s="1"/>
      <c r="AG596" s="1"/>
      <c r="AH596" s="163"/>
      <c r="AI596" s="1"/>
      <c r="AJ596" s="1"/>
      <c r="AK596" s="1"/>
    </row>
    <row r="597" spans="1:37" customFormat="1" ht="180">
      <c r="A597" s="151"/>
      <c r="B597" s="147"/>
      <c r="C597" s="153" t="s">
        <v>881</v>
      </c>
      <c r="D597" s="154" t="s">
        <v>871</v>
      </c>
      <c r="E597" s="142">
        <v>0</v>
      </c>
      <c r="F597" s="156" t="s">
        <v>57</v>
      </c>
      <c r="G597" s="195">
        <v>43568000</v>
      </c>
      <c r="H597" s="205">
        <v>0</v>
      </c>
      <c r="I597" s="157">
        <v>0</v>
      </c>
      <c r="J597" s="143">
        <v>1</v>
      </c>
      <c r="K597" s="157">
        <v>43568000</v>
      </c>
      <c r="L597" s="142">
        <v>1</v>
      </c>
      <c r="M597" s="207" t="s">
        <v>449</v>
      </c>
      <c r="N597" s="158">
        <v>1</v>
      </c>
      <c r="O597" s="157">
        <v>0</v>
      </c>
      <c r="P597" s="158">
        <v>1</v>
      </c>
      <c r="Q597" s="157">
        <v>0</v>
      </c>
      <c r="R597" s="205">
        <v>1</v>
      </c>
      <c r="S597" s="157">
        <v>43568000</v>
      </c>
      <c r="T597" s="206">
        <f t="shared" si="106"/>
        <v>1</v>
      </c>
      <c r="U597" s="164">
        <f t="shared" si="103"/>
        <v>100</v>
      </c>
      <c r="V597" s="143" t="s">
        <v>58</v>
      </c>
      <c r="W597" s="159">
        <f t="shared" si="104"/>
        <v>43568000</v>
      </c>
      <c r="X597" s="164">
        <f t="shared" si="105"/>
        <v>100</v>
      </c>
      <c r="Y597" s="143" t="s">
        <v>58</v>
      </c>
      <c r="Z597" s="206">
        <f t="shared" si="91"/>
        <v>1</v>
      </c>
      <c r="AA597" s="159">
        <f t="shared" si="101"/>
        <v>43568000</v>
      </c>
      <c r="AB597" s="149" t="e">
        <f t="shared" si="95"/>
        <v>#DIV/0!</v>
      </c>
      <c r="AC597" s="143" t="s">
        <v>58</v>
      </c>
      <c r="AD597" s="194">
        <f t="shared" si="96"/>
        <v>100</v>
      </c>
      <c r="AE597" s="162"/>
      <c r="AF597" s="1"/>
      <c r="AG597" s="1"/>
      <c r="AH597" s="163"/>
      <c r="AI597" s="1"/>
      <c r="AJ597" s="1"/>
      <c r="AK597" s="1"/>
    </row>
    <row r="598" spans="1:37" customFormat="1" ht="180">
      <c r="A598" s="151"/>
      <c r="B598" s="147"/>
      <c r="C598" s="153" t="s">
        <v>882</v>
      </c>
      <c r="D598" s="154" t="s">
        <v>871</v>
      </c>
      <c r="E598" s="142">
        <v>7</v>
      </c>
      <c r="F598" s="156" t="s">
        <v>57</v>
      </c>
      <c r="G598" s="195">
        <v>214676000</v>
      </c>
      <c r="H598" s="205">
        <v>3</v>
      </c>
      <c r="I598" s="157">
        <v>90110639</v>
      </c>
      <c r="J598" s="143">
        <v>2</v>
      </c>
      <c r="K598" s="157">
        <v>128134000</v>
      </c>
      <c r="L598" s="142">
        <v>2</v>
      </c>
      <c r="M598" s="207" t="s">
        <v>449</v>
      </c>
      <c r="N598" s="158">
        <v>2</v>
      </c>
      <c r="O598" s="157">
        <v>27754573</v>
      </c>
      <c r="P598" s="158">
        <v>2</v>
      </c>
      <c r="Q598" s="157">
        <v>15906000</v>
      </c>
      <c r="R598" s="205">
        <v>2</v>
      </c>
      <c r="S598" s="157">
        <v>70299133</v>
      </c>
      <c r="T598" s="206">
        <f t="shared" si="106"/>
        <v>2</v>
      </c>
      <c r="U598" s="164">
        <f t="shared" si="103"/>
        <v>100</v>
      </c>
      <c r="V598" s="143" t="s">
        <v>58</v>
      </c>
      <c r="W598" s="159">
        <f t="shared" si="104"/>
        <v>113959706</v>
      </c>
      <c r="X598" s="164">
        <f t="shared" si="105"/>
        <v>88.937913434373399</v>
      </c>
      <c r="Y598" s="143" t="s">
        <v>58</v>
      </c>
      <c r="Z598" s="206">
        <f t="shared" si="91"/>
        <v>5</v>
      </c>
      <c r="AA598" s="159">
        <f t="shared" si="101"/>
        <v>204070345</v>
      </c>
      <c r="AB598" s="149">
        <f t="shared" si="95"/>
        <v>71.428571428571431</v>
      </c>
      <c r="AC598" s="143" t="s">
        <v>58</v>
      </c>
      <c r="AD598" s="194">
        <f t="shared" si="96"/>
        <v>95.059692280459856</v>
      </c>
      <c r="AE598" s="162"/>
      <c r="AF598" s="1"/>
      <c r="AG598" s="1"/>
      <c r="AH598" s="163"/>
      <c r="AI598" s="1"/>
      <c r="AJ598" s="1"/>
      <c r="AK598" s="1"/>
    </row>
    <row r="599" spans="1:37" customFormat="1" ht="180">
      <c r="A599" s="151"/>
      <c r="B599" s="147"/>
      <c r="C599" s="153" t="s">
        <v>883</v>
      </c>
      <c r="D599" s="154" t="s">
        <v>871</v>
      </c>
      <c r="E599" s="142">
        <v>0</v>
      </c>
      <c r="F599" s="156" t="s">
        <v>57</v>
      </c>
      <c r="G599" s="195">
        <v>59320000</v>
      </c>
      <c r="H599" s="205">
        <v>0</v>
      </c>
      <c r="I599" s="157">
        <v>0</v>
      </c>
      <c r="J599" s="143">
        <v>1</v>
      </c>
      <c r="K599" s="157">
        <v>59320000</v>
      </c>
      <c r="L599" s="142">
        <v>1</v>
      </c>
      <c r="M599" s="207" t="s">
        <v>449</v>
      </c>
      <c r="N599" s="158">
        <v>1</v>
      </c>
      <c r="O599" s="157">
        <v>0</v>
      </c>
      <c r="P599" s="158">
        <v>1</v>
      </c>
      <c r="Q599" s="157">
        <v>0</v>
      </c>
      <c r="R599" s="205">
        <v>1</v>
      </c>
      <c r="S599" s="183">
        <v>25399138</v>
      </c>
      <c r="T599" s="206">
        <f t="shared" si="106"/>
        <v>1</v>
      </c>
      <c r="U599" s="164">
        <f>T599/J599*100</f>
        <v>100</v>
      </c>
      <c r="V599" s="143" t="s">
        <v>58</v>
      </c>
      <c r="W599" s="159">
        <f t="shared" si="104"/>
        <v>25399138</v>
      </c>
      <c r="X599" s="164">
        <f t="shared" si="105"/>
        <v>42.817157788267025</v>
      </c>
      <c r="Y599" s="143" t="s">
        <v>58</v>
      </c>
      <c r="Z599" s="206">
        <f t="shared" si="91"/>
        <v>1</v>
      </c>
      <c r="AA599" s="159">
        <f t="shared" si="101"/>
        <v>25399138</v>
      </c>
      <c r="AB599" s="149" t="e">
        <f t="shared" si="95"/>
        <v>#DIV/0!</v>
      </c>
      <c r="AC599" s="143" t="s">
        <v>58</v>
      </c>
      <c r="AD599" s="194">
        <f t="shared" si="96"/>
        <v>42.817157788267025</v>
      </c>
      <c r="AE599" s="162"/>
      <c r="AF599" s="1"/>
      <c r="AG599" s="1"/>
      <c r="AH599" s="163"/>
      <c r="AI599" s="1"/>
      <c r="AJ599" s="1"/>
      <c r="AK599" s="1"/>
    </row>
    <row r="600" spans="1:37" customFormat="1" ht="180">
      <c r="A600" s="151"/>
      <c r="B600" s="147"/>
      <c r="C600" s="153" t="s">
        <v>884</v>
      </c>
      <c r="D600" s="154" t="s">
        <v>871</v>
      </c>
      <c r="E600" s="142">
        <v>5</v>
      </c>
      <c r="F600" s="156" t="s">
        <v>57</v>
      </c>
      <c r="G600" s="195">
        <v>153340000</v>
      </c>
      <c r="H600" s="205">
        <v>1</v>
      </c>
      <c r="I600" s="157">
        <v>30036886</v>
      </c>
      <c r="J600" s="143">
        <v>2</v>
      </c>
      <c r="K600" s="157">
        <v>109445855</v>
      </c>
      <c r="L600" s="142">
        <v>2</v>
      </c>
      <c r="M600" s="207" t="s">
        <v>449</v>
      </c>
      <c r="N600" s="158">
        <v>2</v>
      </c>
      <c r="O600" s="157">
        <v>22222384</v>
      </c>
      <c r="P600" s="158">
        <v>2</v>
      </c>
      <c r="Q600" s="157">
        <v>16685364</v>
      </c>
      <c r="R600" s="212">
        <v>2</v>
      </c>
      <c r="S600" s="209">
        <v>61029980</v>
      </c>
      <c r="T600" s="206">
        <f t="shared" si="106"/>
        <v>2</v>
      </c>
      <c r="U600" s="164">
        <f t="shared" si="103"/>
        <v>100</v>
      </c>
      <c r="V600" s="143" t="s">
        <v>58</v>
      </c>
      <c r="W600" s="159">
        <f t="shared" si="104"/>
        <v>99937728</v>
      </c>
      <c r="X600" s="164">
        <f t="shared" si="105"/>
        <v>91.312483236573911</v>
      </c>
      <c r="Y600" s="143" t="s">
        <v>58</v>
      </c>
      <c r="Z600" s="206">
        <f t="shared" si="91"/>
        <v>3</v>
      </c>
      <c r="AA600" s="159">
        <f t="shared" si="101"/>
        <v>129974614</v>
      </c>
      <c r="AB600" s="149">
        <f t="shared" si="95"/>
        <v>60</v>
      </c>
      <c r="AC600" s="143" t="s">
        <v>58</v>
      </c>
      <c r="AD600" s="194">
        <f t="shared" si="96"/>
        <v>84.762367288378769</v>
      </c>
      <c r="AE600" s="162"/>
      <c r="AF600" s="1"/>
      <c r="AG600" s="1"/>
      <c r="AH600" s="163"/>
      <c r="AI600" s="1"/>
      <c r="AJ600" s="1"/>
      <c r="AK600" s="1"/>
    </row>
    <row r="601" spans="1:37" customFormat="1" ht="180">
      <c r="A601" s="151"/>
      <c r="B601" s="147"/>
      <c r="C601" s="153" t="s">
        <v>885</v>
      </c>
      <c r="D601" s="154" t="s">
        <v>871</v>
      </c>
      <c r="E601" s="142">
        <v>2</v>
      </c>
      <c r="F601" s="156" t="s">
        <v>57</v>
      </c>
      <c r="G601" s="195">
        <v>61336000</v>
      </c>
      <c r="H601" s="205">
        <v>0</v>
      </c>
      <c r="I601" s="157">
        <v>0</v>
      </c>
      <c r="J601" s="143">
        <v>1</v>
      </c>
      <c r="K601" s="157">
        <v>74115000</v>
      </c>
      <c r="L601" s="142">
        <v>1</v>
      </c>
      <c r="M601" s="207" t="s">
        <v>449</v>
      </c>
      <c r="N601" s="158">
        <v>1</v>
      </c>
      <c r="O601" s="157">
        <v>13877290</v>
      </c>
      <c r="P601" s="158">
        <v>1</v>
      </c>
      <c r="Q601" s="157">
        <v>5555596</v>
      </c>
      <c r="R601" s="212">
        <v>1</v>
      </c>
      <c r="S601" s="209">
        <v>54401242</v>
      </c>
      <c r="T601" s="206">
        <f t="shared" si="106"/>
        <v>1</v>
      </c>
      <c r="U601" s="164">
        <f t="shared" si="103"/>
        <v>100</v>
      </c>
      <c r="V601" s="143" t="s">
        <v>58</v>
      </c>
      <c r="W601" s="159">
        <f t="shared" si="104"/>
        <v>73834128</v>
      </c>
      <c r="X601" s="164">
        <f t="shared" si="105"/>
        <v>99.6210321797207</v>
      </c>
      <c r="Y601" s="143" t="s">
        <v>58</v>
      </c>
      <c r="Z601" s="206">
        <f t="shared" si="91"/>
        <v>1</v>
      </c>
      <c r="AA601" s="159">
        <f t="shared" si="101"/>
        <v>73834128</v>
      </c>
      <c r="AB601" s="149">
        <f t="shared" si="95"/>
        <v>50</v>
      </c>
      <c r="AC601" s="143" t="s">
        <v>58</v>
      </c>
      <c r="AD601" s="194">
        <f t="shared" si="96"/>
        <v>120.37649667405765</v>
      </c>
      <c r="AE601" s="162"/>
      <c r="AF601" s="1"/>
      <c r="AG601" s="1"/>
      <c r="AH601" s="163"/>
      <c r="AI601" s="1"/>
      <c r="AJ601" s="1"/>
      <c r="AK601" s="1"/>
    </row>
    <row r="602" spans="1:37" customFormat="1" ht="180">
      <c r="A602" s="151"/>
      <c r="B602" s="147"/>
      <c r="C602" s="153" t="s">
        <v>886</v>
      </c>
      <c r="D602" s="154" t="s">
        <v>871</v>
      </c>
      <c r="E602" s="142">
        <v>7</v>
      </c>
      <c r="F602" s="156" t="s">
        <v>57</v>
      </c>
      <c r="G602" s="195">
        <v>214676000</v>
      </c>
      <c r="H602" s="205">
        <v>1</v>
      </c>
      <c r="I602" s="157">
        <v>30668000</v>
      </c>
      <c r="J602" s="143">
        <v>3</v>
      </c>
      <c r="K602" s="157">
        <v>137726250</v>
      </c>
      <c r="L602" s="142">
        <v>3</v>
      </c>
      <c r="M602" s="207" t="s">
        <v>449</v>
      </c>
      <c r="N602" s="158">
        <v>3</v>
      </c>
      <c r="O602" s="157">
        <v>41253000</v>
      </c>
      <c r="P602" s="158">
        <v>3</v>
      </c>
      <c r="Q602" s="157">
        <v>24812439</v>
      </c>
      <c r="R602" s="212">
        <v>3</v>
      </c>
      <c r="S602" s="209">
        <v>54563785</v>
      </c>
      <c r="T602" s="206">
        <f t="shared" si="106"/>
        <v>3</v>
      </c>
      <c r="U602" s="164">
        <f t="shared" si="103"/>
        <v>100</v>
      </c>
      <c r="V602" s="143" t="s">
        <v>58</v>
      </c>
      <c r="W602" s="159">
        <f t="shared" si="104"/>
        <v>120629224</v>
      </c>
      <c r="X602" s="164">
        <f t="shared" si="105"/>
        <v>87.586225574282324</v>
      </c>
      <c r="Y602" s="143" t="s">
        <v>58</v>
      </c>
      <c r="Z602" s="206">
        <f t="shared" si="91"/>
        <v>4</v>
      </c>
      <c r="AA602" s="159">
        <f t="shared" si="101"/>
        <v>151297224</v>
      </c>
      <c r="AB602" s="149">
        <f t="shared" si="95"/>
        <v>57.142857142857139</v>
      </c>
      <c r="AC602" s="143" t="s">
        <v>58</v>
      </c>
      <c r="AD602" s="194">
        <f t="shared" si="96"/>
        <v>70.47700907413963</v>
      </c>
      <c r="AE602" s="162"/>
      <c r="AF602" s="1"/>
      <c r="AG602" s="1"/>
      <c r="AH602" s="163"/>
      <c r="AI602" s="1"/>
      <c r="AJ602" s="1"/>
      <c r="AK602" s="1"/>
    </row>
    <row r="603" spans="1:37" customFormat="1" ht="180">
      <c r="A603" s="151"/>
      <c r="B603" s="147"/>
      <c r="C603" s="153" t="s">
        <v>887</v>
      </c>
      <c r="D603" s="154" t="s">
        <v>871</v>
      </c>
      <c r="E603" s="142">
        <v>5</v>
      </c>
      <c r="F603" s="156" t="s">
        <v>57</v>
      </c>
      <c r="G603" s="195">
        <v>153340000</v>
      </c>
      <c r="H603" s="205">
        <v>1</v>
      </c>
      <c r="I603" s="157">
        <v>30036886</v>
      </c>
      <c r="J603" s="143">
        <v>2</v>
      </c>
      <c r="K603" s="157">
        <v>109331700</v>
      </c>
      <c r="L603" s="213">
        <v>2</v>
      </c>
      <c r="M603" s="214">
        <v>0</v>
      </c>
      <c r="N603" s="215">
        <v>2</v>
      </c>
      <c r="O603" s="209">
        <v>27754580</v>
      </c>
      <c r="P603" s="215">
        <v>2</v>
      </c>
      <c r="Q603" s="209">
        <v>16685364</v>
      </c>
      <c r="R603" s="216">
        <v>2</v>
      </c>
      <c r="S603" s="209">
        <v>57787680</v>
      </c>
      <c r="T603" s="206">
        <f t="shared" si="106"/>
        <v>2</v>
      </c>
      <c r="U603" s="164">
        <f t="shared" si="103"/>
        <v>100</v>
      </c>
      <c r="V603" s="143" t="s">
        <v>58</v>
      </c>
      <c r="W603" s="159">
        <f t="shared" si="104"/>
        <v>102227624</v>
      </c>
      <c r="X603" s="164">
        <f t="shared" si="105"/>
        <v>93.502272442484653</v>
      </c>
      <c r="Y603" s="143" t="s">
        <v>58</v>
      </c>
      <c r="Z603" s="206">
        <f t="shared" si="91"/>
        <v>3</v>
      </c>
      <c r="AA603" s="159">
        <f t="shared" si="101"/>
        <v>132264510</v>
      </c>
      <c r="AB603" s="149">
        <f t="shared" si="95"/>
        <v>60</v>
      </c>
      <c r="AC603" s="143" t="s">
        <v>58</v>
      </c>
      <c r="AD603" s="194">
        <f t="shared" si="96"/>
        <v>86.25571279509586</v>
      </c>
      <c r="AE603" s="162"/>
      <c r="AF603" s="1"/>
      <c r="AG603" s="1"/>
      <c r="AH603" s="163"/>
      <c r="AI603" s="1"/>
      <c r="AJ603" s="1"/>
      <c r="AK603" s="1"/>
    </row>
    <row r="604" spans="1:37" customFormat="1" ht="180">
      <c r="A604" s="151"/>
      <c r="B604" s="147"/>
      <c r="C604" s="153" t="s">
        <v>888</v>
      </c>
      <c r="D604" s="154" t="s">
        <v>871</v>
      </c>
      <c r="E604" s="142">
        <v>4</v>
      </c>
      <c r="F604" s="156" t="s">
        <v>57</v>
      </c>
      <c r="G604" s="195">
        <v>122672000</v>
      </c>
      <c r="H604" s="205">
        <v>1</v>
      </c>
      <c r="I604" s="157">
        <v>29997886</v>
      </c>
      <c r="J604" s="143">
        <v>2</v>
      </c>
      <c r="K604" s="157">
        <v>119467450</v>
      </c>
      <c r="L604" s="142">
        <v>2</v>
      </c>
      <c r="M604" s="157">
        <v>16643388</v>
      </c>
      <c r="N604" s="158">
        <v>2</v>
      </c>
      <c r="O604" s="157">
        <v>5555596</v>
      </c>
      <c r="P604" s="158">
        <v>2</v>
      </c>
      <c r="Q604" s="157">
        <v>22240960</v>
      </c>
      <c r="R604" s="212">
        <v>2</v>
      </c>
      <c r="S604" s="209">
        <v>62931629</v>
      </c>
      <c r="T604" s="206">
        <f t="shared" si="106"/>
        <v>2</v>
      </c>
      <c r="U604" s="164">
        <f t="shared" si="103"/>
        <v>100</v>
      </c>
      <c r="V604" s="143" t="s">
        <v>58</v>
      </c>
      <c r="W604" s="159">
        <f t="shared" si="104"/>
        <v>107371573</v>
      </c>
      <c r="X604" s="164">
        <f t="shared" si="105"/>
        <v>89.875169345290288</v>
      </c>
      <c r="Y604" s="143" t="s">
        <v>58</v>
      </c>
      <c r="Z604" s="206">
        <f t="shared" si="91"/>
        <v>3</v>
      </c>
      <c r="AA604" s="159">
        <f t="shared" si="101"/>
        <v>137369459</v>
      </c>
      <c r="AB604" s="149">
        <f t="shared" si="95"/>
        <v>75</v>
      </c>
      <c r="AC604" s="143" t="s">
        <v>58</v>
      </c>
      <c r="AD604" s="194">
        <f t="shared" si="96"/>
        <v>111.98110326724927</v>
      </c>
      <c r="AE604" s="162"/>
      <c r="AF604" s="1"/>
      <c r="AG604" s="1"/>
      <c r="AH604" s="163"/>
      <c r="AI604" s="1"/>
      <c r="AJ604" s="1"/>
      <c r="AK604" s="1"/>
    </row>
    <row r="605" spans="1:37" customFormat="1" ht="180">
      <c r="A605" s="151"/>
      <c r="B605" s="147"/>
      <c r="C605" s="153" t="s">
        <v>889</v>
      </c>
      <c r="D605" s="154" t="s">
        <v>871</v>
      </c>
      <c r="E605" s="142">
        <v>8</v>
      </c>
      <c r="F605" s="156" t="s">
        <v>57</v>
      </c>
      <c r="G605" s="195">
        <v>245344000</v>
      </c>
      <c r="H605" s="205">
        <v>2</v>
      </c>
      <c r="I605" s="157">
        <v>60073772</v>
      </c>
      <c r="J605" s="143">
        <v>3</v>
      </c>
      <c r="K605" s="157">
        <v>137067500</v>
      </c>
      <c r="L605" s="142">
        <v>0</v>
      </c>
      <c r="M605" s="207" t="s">
        <v>449</v>
      </c>
      <c r="N605" s="158">
        <v>1</v>
      </c>
      <c r="O605" s="157">
        <v>41631870</v>
      </c>
      <c r="P605" s="158">
        <v>1</v>
      </c>
      <c r="Q605" s="157">
        <v>25010631</v>
      </c>
      <c r="R605" s="212">
        <v>1</v>
      </c>
      <c r="S605" s="209">
        <v>69846253</v>
      </c>
      <c r="T605" s="206">
        <v>3</v>
      </c>
      <c r="U605" s="164">
        <f t="shared" si="103"/>
        <v>100</v>
      </c>
      <c r="V605" s="143" t="s">
        <v>58</v>
      </c>
      <c r="W605" s="159">
        <f t="shared" si="104"/>
        <v>136488754</v>
      </c>
      <c r="X605" s="164">
        <f t="shared" si="105"/>
        <v>99.577765699381686</v>
      </c>
      <c r="Y605" s="143" t="s">
        <v>58</v>
      </c>
      <c r="Z605" s="206">
        <f t="shared" si="91"/>
        <v>5</v>
      </c>
      <c r="AA605" s="159">
        <f t="shared" si="101"/>
        <v>196562526</v>
      </c>
      <c r="AB605" s="149">
        <f t="shared" si="95"/>
        <v>62.5</v>
      </c>
      <c r="AC605" s="143" t="s">
        <v>58</v>
      </c>
      <c r="AD605" s="194">
        <f t="shared" si="96"/>
        <v>80.117111484283285</v>
      </c>
      <c r="AE605" s="162"/>
      <c r="AF605" s="1"/>
      <c r="AG605" s="1"/>
      <c r="AH605" s="163"/>
      <c r="AI605" s="1"/>
      <c r="AJ605" s="1"/>
      <c r="AK605" s="1"/>
    </row>
    <row r="606" spans="1:37" customFormat="1" ht="180">
      <c r="A606" s="151"/>
      <c r="B606" s="147"/>
      <c r="C606" s="153" t="s">
        <v>890</v>
      </c>
      <c r="D606" s="154" t="s">
        <v>871</v>
      </c>
      <c r="E606" s="142">
        <v>6</v>
      </c>
      <c r="F606" s="156" t="s">
        <v>57</v>
      </c>
      <c r="G606" s="195">
        <v>184830000</v>
      </c>
      <c r="H606" s="205">
        <v>2</v>
      </c>
      <c r="I606" s="157">
        <v>61610000</v>
      </c>
      <c r="J606" s="143">
        <v>2</v>
      </c>
      <c r="K606" s="157">
        <v>125299300</v>
      </c>
      <c r="L606" s="142">
        <v>2</v>
      </c>
      <c r="M606" s="207" t="s">
        <v>449</v>
      </c>
      <c r="N606" s="158">
        <v>2</v>
      </c>
      <c r="O606" s="157">
        <v>27017192</v>
      </c>
      <c r="P606" s="158">
        <v>2</v>
      </c>
      <c r="Q606" s="157">
        <v>16685364</v>
      </c>
      <c r="R606" s="205">
        <v>2</v>
      </c>
      <c r="S606" s="157">
        <v>64123436</v>
      </c>
      <c r="T606" s="206">
        <f>AVERAGE(L606,N606,P606,R606)</f>
        <v>2</v>
      </c>
      <c r="U606" s="164">
        <f t="shared" si="103"/>
        <v>100</v>
      </c>
      <c r="V606" s="143" t="s">
        <v>58</v>
      </c>
      <c r="W606" s="159">
        <f t="shared" si="104"/>
        <v>107825992</v>
      </c>
      <c r="X606" s="164">
        <f t="shared" si="105"/>
        <v>86.054744120677455</v>
      </c>
      <c r="Y606" s="143" t="s">
        <v>58</v>
      </c>
      <c r="Z606" s="206">
        <f t="shared" si="91"/>
        <v>4</v>
      </c>
      <c r="AA606" s="159">
        <f t="shared" si="101"/>
        <v>169435992</v>
      </c>
      <c r="AB606" s="149">
        <f t="shared" si="95"/>
        <v>66.666666666666657</v>
      </c>
      <c r="AC606" s="143" t="s">
        <v>58</v>
      </c>
      <c r="AD606" s="194">
        <f t="shared" si="96"/>
        <v>91.671261158902766</v>
      </c>
      <c r="AE606" s="162"/>
      <c r="AF606" s="1"/>
      <c r="AG606" s="1"/>
      <c r="AH606" s="163"/>
      <c r="AI606" s="1"/>
      <c r="AJ606" s="1"/>
      <c r="AK606" s="1"/>
    </row>
    <row r="607" spans="1:37" customFormat="1" ht="180">
      <c r="A607" s="151"/>
      <c r="B607" s="147"/>
      <c r="C607" s="153" t="s">
        <v>891</v>
      </c>
      <c r="D607" s="154" t="s">
        <v>871</v>
      </c>
      <c r="E607" s="142">
        <v>3</v>
      </c>
      <c r="F607" s="156" t="s">
        <v>57</v>
      </c>
      <c r="G607" s="195">
        <v>153340000</v>
      </c>
      <c r="H607" s="205">
        <v>1</v>
      </c>
      <c r="I607" s="157">
        <v>30036886</v>
      </c>
      <c r="J607" s="143">
        <v>2</v>
      </c>
      <c r="K607" s="157">
        <v>111736000</v>
      </c>
      <c r="L607" s="142">
        <v>2</v>
      </c>
      <c r="M607" s="207" t="s">
        <v>449</v>
      </c>
      <c r="N607" s="158"/>
      <c r="O607" s="157">
        <v>22222384</v>
      </c>
      <c r="P607" s="158"/>
      <c r="Q607" s="157">
        <v>16666788</v>
      </c>
      <c r="R607" s="205">
        <v>3</v>
      </c>
      <c r="S607" s="157">
        <v>72366008</v>
      </c>
      <c r="T607" s="206">
        <f>SUM(L607,N607,P607,R607)</f>
        <v>5</v>
      </c>
      <c r="U607" s="164">
        <f>T607/J607*100</f>
        <v>250</v>
      </c>
      <c r="V607" s="143" t="s">
        <v>58</v>
      </c>
      <c r="W607" s="159">
        <f t="shared" si="104"/>
        <v>111255180</v>
      </c>
      <c r="X607" s="164">
        <f t="shared" si="105"/>
        <v>99.569682107825585</v>
      </c>
      <c r="Y607" s="143" t="s">
        <v>58</v>
      </c>
      <c r="Z607" s="206">
        <f t="shared" si="91"/>
        <v>6</v>
      </c>
      <c r="AA607" s="159">
        <f t="shared" si="101"/>
        <v>141292066</v>
      </c>
      <c r="AB607" s="149">
        <f t="shared" si="95"/>
        <v>200</v>
      </c>
      <c r="AC607" s="143" t="s">
        <v>58</v>
      </c>
      <c r="AD607" s="194">
        <f t="shared" si="96"/>
        <v>92.142993348115297</v>
      </c>
      <c r="AE607" s="162"/>
      <c r="AF607" s="1"/>
      <c r="AG607" s="1"/>
      <c r="AH607" s="163"/>
      <c r="AI607" s="1"/>
      <c r="AJ607" s="1"/>
      <c r="AK607" s="1"/>
    </row>
    <row r="608" spans="1:37" customFormat="1" ht="180">
      <c r="A608" s="151"/>
      <c r="B608" s="147"/>
      <c r="C608" s="153" t="s">
        <v>892</v>
      </c>
      <c r="D608" s="154" t="s">
        <v>871</v>
      </c>
      <c r="E608" s="142">
        <v>5</v>
      </c>
      <c r="F608" s="156" t="s">
        <v>57</v>
      </c>
      <c r="G608" s="195"/>
      <c r="H608" s="205">
        <v>1</v>
      </c>
      <c r="I608" s="157"/>
      <c r="J608" s="143">
        <v>2</v>
      </c>
      <c r="K608" s="157">
        <v>113875000</v>
      </c>
      <c r="L608" s="142">
        <v>2</v>
      </c>
      <c r="M608" s="207" t="s">
        <v>449</v>
      </c>
      <c r="N608" s="158">
        <v>2</v>
      </c>
      <c r="O608" s="157">
        <v>27754580</v>
      </c>
      <c r="P608" s="158">
        <v>2</v>
      </c>
      <c r="Q608" s="157">
        <v>16685364</v>
      </c>
      <c r="R608" s="212">
        <v>2</v>
      </c>
      <c r="S608" s="209">
        <v>64582930</v>
      </c>
      <c r="T608" s="206">
        <f>AVERAGE(L608,N608,P608,R608)</f>
        <v>2</v>
      </c>
      <c r="U608" s="164">
        <f t="shared" si="103"/>
        <v>100</v>
      </c>
      <c r="V608" s="143" t="s">
        <v>58</v>
      </c>
      <c r="W608" s="159">
        <f t="shared" si="104"/>
        <v>109022874</v>
      </c>
      <c r="X608" s="164">
        <f t="shared" si="105"/>
        <v>95.739077058177827</v>
      </c>
      <c r="Y608" s="143" t="s">
        <v>58</v>
      </c>
      <c r="Z608" s="206">
        <f t="shared" si="91"/>
        <v>3</v>
      </c>
      <c r="AA608" s="159">
        <f t="shared" si="101"/>
        <v>109022874</v>
      </c>
      <c r="AB608" s="149">
        <f t="shared" si="95"/>
        <v>60</v>
      </c>
      <c r="AC608" s="143" t="s">
        <v>58</v>
      </c>
      <c r="AD608" s="194" t="e">
        <f t="shared" si="96"/>
        <v>#DIV/0!</v>
      </c>
      <c r="AE608" s="162"/>
      <c r="AF608" s="1"/>
      <c r="AG608" s="1"/>
      <c r="AH608" s="163"/>
      <c r="AI608" s="1"/>
      <c r="AJ608" s="1"/>
      <c r="AK608" s="1"/>
    </row>
    <row r="609" spans="1:37" customFormat="1" ht="267.75" customHeight="1">
      <c r="A609" s="151"/>
      <c r="B609" s="147" t="s">
        <v>863</v>
      </c>
      <c r="C609" s="132" t="s">
        <v>893</v>
      </c>
      <c r="D609" s="132" t="s">
        <v>865</v>
      </c>
      <c r="E609" s="146" t="s">
        <v>866</v>
      </c>
      <c r="F609" s="135"/>
      <c r="G609" s="171">
        <f>SUM(G610)</f>
        <v>610700000</v>
      </c>
      <c r="H609" s="137" t="s">
        <v>867</v>
      </c>
      <c r="I609" s="171">
        <f>SUM(I610)</f>
        <v>151290000</v>
      </c>
      <c r="J609" s="137" t="s">
        <v>868</v>
      </c>
      <c r="K609" s="171">
        <f>SUM(K610)</f>
        <v>414360000</v>
      </c>
      <c r="L609" s="169"/>
      <c r="M609" s="171">
        <f>SUM(M610)</f>
        <v>0</v>
      </c>
      <c r="N609" s="137"/>
      <c r="O609" s="171">
        <f>SUM(O610)</f>
        <v>0</v>
      </c>
      <c r="P609" s="137"/>
      <c r="Q609" s="171">
        <f>SUM(Q610)</f>
        <v>100650000</v>
      </c>
      <c r="R609" s="137" t="s">
        <v>869</v>
      </c>
      <c r="S609" s="171">
        <f>SUM(S610)</f>
        <v>200846000</v>
      </c>
      <c r="T609" s="169">
        <f t="shared" ref="T609:T610" si="108">SUM(L609,N609,P609,R609)</f>
        <v>0</v>
      </c>
      <c r="U609" s="139"/>
      <c r="V609" s="139" t="s">
        <v>58</v>
      </c>
      <c r="W609" s="181">
        <f t="shared" si="104"/>
        <v>301496000</v>
      </c>
      <c r="X609" s="148">
        <f t="shared" si="105"/>
        <v>72.761849599382174</v>
      </c>
      <c r="Y609" s="139" t="s">
        <v>58</v>
      </c>
      <c r="Z609" s="139">
        <f t="shared" si="91"/>
        <v>0</v>
      </c>
      <c r="AA609" s="181">
        <f t="shared" si="101"/>
        <v>452786000</v>
      </c>
      <c r="AB609" s="149" t="e">
        <f t="shared" si="95"/>
        <v>#VALUE!</v>
      </c>
      <c r="AC609" s="143" t="s">
        <v>58</v>
      </c>
      <c r="AD609" s="194">
        <f t="shared" si="96"/>
        <v>74.142131979695435</v>
      </c>
      <c r="AE609" s="150"/>
      <c r="AF609" s="78"/>
      <c r="AG609" s="78"/>
      <c r="AH609" s="145"/>
      <c r="AI609" s="78"/>
      <c r="AJ609" s="78"/>
      <c r="AK609" s="78"/>
    </row>
    <row r="610" spans="1:37" customFormat="1" ht="195">
      <c r="A610" s="151"/>
      <c r="B610" s="147"/>
      <c r="C610" s="154" t="s">
        <v>893</v>
      </c>
      <c r="D610" s="154" t="s">
        <v>894</v>
      </c>
      <c r="E610" s="155">
        <f>H610+J610+90</f>
        <v>310</v>
      </c>
      <c r="F610" s="156" t="s">
        <v>57</v>
      </c>
      <c r="G610" s="195">
        <v>610700000</v>
      </c>
      <c r="H610" s="158">
        <v>130</v>
      </c>
      <c r="I610" s="157">
        <v>151290000</v>
      </c>
      <c r="J610" s="158">
        <v>90</v>
      </c>
      <c r="K610" s="157">
        <v>414360000</v>
      </c>
      <c r="L610" s="142">
        <v>25</v>
      </c>
      <c r="M610" s="157">
        <v>0</v>
      </c>
      <c r="N610" s="158">
        <v>25</v>
      </c>
      <c r="O610" s="157">
        <v>0</v>
      </c>
      <c r="P610" s="158">
        <v>25</v>
      </c>
      <c r="Q610" s="157">
        <v>100650000</v>
      </c>
      <c r="R610" s="158">
        <v>88</v>
      </c>
      <c r="S610" s="157">
        <f>301496000-Q610</f>
        <v>200846000</v>
      </c>
      <c r="T610" s="142">
        <f t="shared" si="108"/>
        <v>163</v>
      </c>
      <c r="U610" s="164">
        <f t="shared" si="103"/>
        <v>181.11111111111111</v>
      </c>
      <c r="V610" s="143" t="s">
        <v>58</v>
      </c>
      <c r="W610" s="159">
        <f t="shared" si="104"/>
        <v>301496000</v>
      </c>
      <c r="X610" s="164">
        <f t="shared" si="105"/>
        <v>72.761849599382174</v>
      </c>
      <c r="Y610" s="143" t="s">
        <v>58</v>
      </c>
      <c r="Z610" s="143">
        <f t="shared" si="91"/>
        <v>293</v>
      </c>
      <c r="AA610" s="159">
        <f t="shared" si="101"/>
        <v>452786000</v>
      </c>
      <c r="AB610" s="149">
        <f t="shared" si="95"/>
        <v>94.516129032258064</v>
      </c>
      <c r="AC610" s="143" t="s">
        <v>58</v>
      </c>
      <c r="AD610" s="194">
        <f t="shared" si="96"/>
        <v>74.142131979695435</v>
      </c>
      <c r="AE610" s="162"/>
      <c r="AF610" s="1"/>
      <c r="AG610" s="1"/>
      <c r="AH610" s="163"/>
      <c r="AI610" s="1"/>
      <c r="AJ610" s="1"/>
      <c r="AK610" s="1"/>
    </row>
    <row r="611" spans="1:37" customFormat="1" ht="108" customHeight="1">
      <c r="A611" s="151"/>
      <c r="B611" s="147" t="s">
        <v>387</v>
      </c>
      <c r="C611" s="132" t="s">
        <v>895</v>
      </c>
      <c r="D611" s="132" t="s">
        <v>388</v>
      </c>
      <c r="E611" s="146">
        <v>100</v>
      </c>
      <c r="F611" s="135" t="s">
        <v>58</v>
      </c>
      <c r="G611" s="171">
        <f>G612+G616+G614+G618+G620</f>
        <v>111351000</v>
      </c>
      <c r="H611" s="137">
        <v>100</v>
      </c>
      <c r="I611" s="171">
        <f>I612+I616+I614+I618+I620</f>
        <v>113451600</v>
      </c>
      <c r="J611" s="137">
        <v>100</v>
      </c>
      <c r="K611" s="171">
        <f>K612+K616+K614+K618+K620</f>
        <v>15824900</v>
      </c>
      <c r="L611" s="169">
        <v>100</v>
      </c>
      <c r="M611" s="171">
        <f>M612+M616+M614+M618+M620</f>
        <v>199750</v>
      </c>
      <c r="N611" s="169">
        <v>100</v>
      </c>
      <c r="O611" s="171">
        <f>O612+O616+O614+O618+O620</f>
        <v>1050000</v>
      </c>
      <c r="P611" s="169">
        <v>100</v>
      </c>
      <c r="Q611" s="171">
        <f>Q612+Q616+Q614+Q618+Q620</f>
        <v>4020000</v>
      </c>
      <c r="R611" s="169">
        <v>100</v>
      </c>
      <c r="S611" s="234">
        <f>S612+S614+S618+S620</f>
        <v>6480750</v>
      </c>
      <c r="T611" s="169">
        <f>AVERAGE(L611,N611,P611,R611)</f>
        <v>100</v>
      </c>
      <c r="U611" s="139">
        <f t="shared" si="103"/>
        <v>100</v>
      </c>
      <c r="V611" s="139" t="s">
        <v>58</v>
      </c>
      <c r="W611" s="181">
        <f t="shared" si="104"/>
        <v>11750500</v>
      </c>
      <c r="X611" s="148">
        <f t="shared" si="105"/>
        <v>74.253233827701919</v>
      </c>
      <c r="Y611" s="139" t="s">
        <v>58</v>
      </c>
      <c r="Z611" s="139">
        <f t="shared" si="91"/>
        <v>200</v>
      </c>
      <c r="AA611" s="181">
        <f t="shared" si="101"/>
        <v>125202100</v>
      </c>
      <c r="AB611" s="149">
        <f t="shared" si="95"/>
        <v>200</v>
      </c>
      <c r="AC611" s="143" t="s">
        <v>58</v>
      </c>
      <c r="AD611" s="194">
        <f t="shared" si="96"/>
        <v>112.43913390988855</v>
      </c>
      <c r="AE611" s="162"/>
      <c r="AF611" s="1"/>
      <c r="AG611" s="1"/>
      <c r="AH611" s="163"/>
      <c r="AI611" s="1"/>
      <c r="AJ611" s="1"/>
      <c r="AK611" s="1"/>
    </row>
    <row r="612" spans="1:37" customFormat="1" ht="162" customHeight="1">
      <c r="A612" s="151"/>
      <c r="B612" s="147" t="s">
        <v>444</v>
      </c>
      <c r="C612" s="132" t="s">
        <v>896</v>
      </c>
      <c r="D612" s="132" t="s">
        <v>445</v>
      </c>
      <c r="E612" s="146">
        <v>65</v>
      </c>
      <c r="F612" s="135" t="s">
        <v>58</v>
      </c>
      <c r="G612" s="171">
        <f>SUM(G613)</f>
        <v>8240000</v>
      </c>
      <c r="H612" s="137">
        <v>59</v>
      </c>
      <c r="I612" s="171">
        <f>SUM(I613)</f>
        <v>0</v>
      </c>
      <c r="J612" s="137">
        <v>63</v>
      </c>
      <c r="K612" s="171">
        <f>SUM(K613)</f>
        <v>4120000</v>
      </c>
      <c r="L612" s="169">
        <v>0</v>
      </c>
      <c r="M612" s="171">
        <f>SUM(M613)</f>
        <v>0</v>
      </c>
      <c r="N612" s="137">
        <f t="shared" ref="N612:S612" si="109">N613</f>
        <v>0</v>
      </c>
      <c r="O612" s="235">
        <f t="shared" si="109"/>
        <v>0</v>
      </c>
      <c r="P612" s="137">
        <f t="shared" si="109"/>
        <v>0</v>
      </c>
      <c r="Q612" s="235">
        <f t="shared" si="109"/>
        <v>0</v>
      </c>
      <c r="R612" s="137">
        <v>61</v>
      </c>
      <c r="S612" s="235">
        <f t="shared" si="109"/>
        <v>3760000</v>
      </c>
      <c r="T612" s="169">
        <f t="shared" ref="T612:T621" si="110">SUM(L612,N612,P612,R612)</f>
        <v>61</v>
      </c>
      <c r="U612" s="148">
        <f t="shared" si="103"/>
        <v>96.825396825396822</v>
      </c>
      <c r="V612" s="139" t="s">
        <v>58</v>
      </c>
      <c r="W612" s="181">
        <f t="shared" si="104"/>
        <v>3760000</v>
      </c>
      <c r="X612" s="169">
        <f t="shared" si="105"/>
        <v>91.262135922330103</v>
      </c>
      <c r="Y612" s="139" t="s">
        <v>58</v>
      </c>
      <c r="Z612" s="139">
        <f t="shared" si="91"/>
        <v>120</v>
      </c>
      <c r="AA612" s="181">
        <f t="shared" si="101"/>
        <v>3760000</v>
      </c>
      <c r="AB612" s="149">
        <f t="shared" si="95"/>
        <v>184.61538461538461</v>
      </c>
      <c r="AC612" s="143" t="s">
        <v>58</v>
      </c>
      <c r="AD612" s="194">
        <f t="shared" si="96"/>
        <v>45.631067961165051</v>
      </c>
      <c r="AE612" s="150"/>
      <c r="AF612" s="78"/>
      <c r="AG612" s="78"/>
      <c r="AH612" s="145"/>
      <c r="AI612" s="78"/>
      <c r="AJ612" s="78"/>
      <c r="AK612" s="78"/>
    </row>
    <row r="613" spans="1:37" customFormat="1" ht="285">
      <c r="A613" s="151"/>
      <c r="B613" s="147"/>
      <c r="C613" s="154" t="s">
        <v>897</v>
      </c>
      <c r="D613" s="154" t="s">
        <v>898</v>
      </c>
      <c r="E613" s="155">
        <v>4</v>
      </c>
      <c r="F613" s="156" t="s">
        <v>55</v>
      </c>
      <c r="G613" s="195">
        <v>8240000</v>
      </c>
      <c r="H613" s="158"/>
      <c r="I613" s="157"/>
      <c r="J613" s="158">
        <v>4</v>
      </c>
      <c r="K613" s="157">
        <v>4120000</v>
      </c>
      <c r="L613" s="142">
        <v>1</v>
      </c>
      <c r="M613" s="157">
        <v>0</v>
      </c>
      <c r="N613" s="158">
        <v>0</v>
      </c>
      <c r="O613" s="157">
        <v>0</v>
      </c>
      <c r="P613" s="158">
        <v>0</v>
      </c>
      <c r="Q613" s="157">
        <v>0</v>
      </c>
      <c r="R613" s="158">
        <v>3</v>
      </c>
      <c r="S613" s="157">
        <v>3760000</v>
      </c>
      <c r="T613" s="142">
        <f t="shared" si="110"/>
        <v>4</v>
      </c>
      <c r="U613" s="143">
        <f t="shared" si="103"/>
        <v>100</v>
      </c>
      <c r="V613" s="143" t="s">
        <v>58</v>
      </c>
      <c r="W613" s="159">
        <f t="shared" si="104"/>
        <v>3760000</v>
      </c>
      <c r="X613" s="142">
        <f t="shared" si="105"/>
        <v>91.262135922330103</v>
      </c>
      <c r="Y613" s="143" t="s">
        <v>58</v>
      </c>
      <c r="Z613" s="143">
        <f t="shared" si="91"/>
        <v>4</v>
      </c>
      <c r="AA613" s="159">
        <f t="shared" si="101"/>
        <v>3760000</v>
      </c>
      <c r="AB613" s="149">
        <f t="shared" si="95"/>
        <v>100</v>
      </c>
      <c r="AC613" s="143" t="s">
        <v>58</v>
      </c>
      <c r="AD613" s="194">
        <f t="shared" si="96"/>
        <v>45.631067961165051</v>
      </c>
      <c r="AE613" s="162"/>
      <c r="AF613" s="1"/>
      <c r="AG613" s="1"/>
      <c r="AH613" s="163"/>
      <c r="AI613" s="1"/>
      <c r="AJ613" s="1"/>
      <c r="AK613" s="1"/>
    </row>
    <row r="614" spans="1:37" customFormat="1" ht="270.75" customHeight="1">
      <c r="A614" s="151"/>
      <c r="B614" s="147" t="s">
        <v>444</v>
      </c>
      <c r="C614" s="132" t="s">
        <v>899</v>
      </c>
      <c r="D614" s="132" t="s">
        <v>445</v>
      </c>
      <c r="E614" s="146">
        <v>65</v>
      </c>
      <c r="F614" s="135" t="s">
        <v>58</v>
      </c>
      <c r="G614" s="171">
        <f>SUM(G615)</f>
        <v>95991000</v>
      </c>
      <c r="H614" s="137">
        <v>59</v>
      </c>
      <c r="I614" s="171">
        <f>SUM(I615)</f>
        <v>69179100</v>
      </c>
      <c r="J614" s="137">
        <v>63</v>
      </c>
      <c r="K614" s="171">
        <f>SUM(K615)</f>
        <v>2840000</v>
      </c>
      <c r="L614" s="169"/>
      <c r="M614" s="171">
        <f>SUM(M615)</f>
        <v>99750</v>
      </c>
      <c r="N614" s="137">
        <f>N615</f>
        <v>0</v>
      </c>
      <c r="O614" s="171">
        <f>SUM(O615)</f>
        <v>0</v>
      </c>
      <c r="P614" s="137"/>
      <c r="Q614" s="171">
        <f>SUM(Q615)</f>
        <v>1440000</v>
      </c>
      <c r="R614" s="137">
        <v>61</v>
      </c>
      <c r="S614" s="171">
        <f>SUM(S615)</f>
        <v>1190000</v>
      </c>
      <c r="T614" s="148">
        <f t="shared" si="110"/>
        <v>61</v>
      </c>
      <c r="U614" s="169">
        <f>Z614/J614*100</f>
        <v>190.47619047619045</v>
      </c>
      <c r="V614" s="139" t="s">
        <v>58</v>
      </c>
      <c r="W614" s="181">
        <f t="shared" si="104"/>
        <v>2729750</v>
      </c>
      <c r="X614" s="148">
        <f t="shared" si="105"/>
        <v>96.117957746478879</v>
      </c>
      <c r="Y614" s="139" t="s">
        <v>58</v>
      </c>
      <c r="Z614" s="148">
        <f t="shared" si="91"/>
        <v>120</v>
      </c>
      <c r="AA614" s="181">
        <f t="shared" si="101"/>
        <v>71908850</v>
      </c>
      <c r="AB614" s="149">
        <f t="shared" si="95"/>
        <v>184.61538461538461</v>
      </c>
      <c r="AC614" s="143" t="s">
        <v>58</v>
      </c>
      <c r="AD614" s="194">
        <f t="shared" si="96"/>
        <v>74.912075090373051</v>
      </c>
      <c r="AE614" s="150"/>
      <c r="AF614" s="78"/>
      <c r="AG614" s="78"/>
      <c r="AH614" s="145"/>
      <c r="AI614" s="78"/>
      <c r="AJ614" s="78"/>
      <c r="AK614" s="78"/>
    </row>
    <row r="615" spans="1:37" customFormat="1" ht="405">
      <c r="A615" s="151"/>
      <c r="B615" s="147"/>
      <c r="C615" s="154" t="s">
        <v>900</v>
      </c>
      <c r="D615" s="154" t="s">
        <v>901</v>
      </c>
      <c r="E615" s="155">
        <f>J615*3</f>
        <v>51</v>
      </c>
      <c r="F615" s="182" t="s">
        <v>55</v>
      </c>
      <c r="G615" s="195">
        <v>95991000</v>
      </c>
      <c r="H615" s="158">
        <v>17</v>
      </c>
      <c r="I615" s="157">
        <v>69179100</v>
      </c>
      <c r="J615" s="158">
        <v>17</v>
      </c>
      <c r="K615" s="157">
        <v>2840000</v>
      </c>
      <c r="L615" s="142">
        <v>4</v>
      </c>
      <c r="M615" s="157">
        <v>99750</v>
      </c>
      <c r="N615" s="158">
        <v>0</v>
      </c>
      <c r="O615" s="157">
        <v>0</v>
      </c>
      <c r="P615" s="158">
        <v>12</v>
      </c>
      <c r="Q615" s="157">
        <f>1539750-M615</f>
        <v>1440000</v>
      </c>
      <c r="R615" s="158">
        <v>1</v>
      </c>
      <c r="S615" s="157">
        <f>2729750-M615-Q615</f>
        <v>1190000</v>
      </c>
      <c r="T615" s="142">
        <f t="shared" si="110"/>
        <v>17</v>
      </c>
      <c r="U615" s="142">
        <f t="shared" ref="U615:U617" si="111">T615/J615*100</f>
        <v>100</v>
      </c>
      <c r="V615" s="143" t="s">
        <v>58</v>
      </c>
      <c r="W615" s="159">
        <f t="shared" si="104"/>
        <v>2729750</v>
      </c>
      <c r="X615" s="164">
        <f t="shared" si="105"/>
        <v>96.117957746478879</v>
      </c>
      <c r="Y615" s="143" t="s">
        <v>58</v>
      </c>
      <c r="Z615" s="143">
        <f t="shared" si="91"/>
        <v>34</v>
      </c>
      <c r="AA615" s="159">
        <f t="shared" si="101"/>
        <v>71908850</v>
      </c>
      <c r="AB615" s="149">
        <f t="shared" si="95"/>
        <v>66.666666666666657</v>
      </c>
      <c r="AC615" s="143" t="s">
        <v>58</v>
      </c>
      <c r="AD615" s="194">
        <f t="shared" si="96"/>
        <v>74.912075090373051</v>
      </c>
      <c r="AE615" s="162"/>
      <c r="AF615" s="1"/>
      <c r="AG615" s="1"/>
      <c r="AH615" s="163"/>
      <c r="AI615" s="1"/>
      <c r="AJ615" s="1"/>
      <c r="AK615" s="1"/>
    </row>
    <row r="616" spans="1:37" customFormat="1" ht="261.75" customHeight="1">
      <c r="A616" s="151"/>
      <c r="B616" s="147"/>
      <c r="C616" s="132" t="s">
        <v>902</v>
      </c>
      <c r="D616" s="132" t="s">
        <v>445</v>
      </c>
      <c r="E616" s="146">
        <v>65</v>
      </c>
      <c r="F616" s="135" t="s">
        <v>58</v>
      </c>
      <c r="G616" s="171">
        <f>SUM(G617)</f>
        <v>7120000</v>
      </c>
      <c r="H616" s="137">
        <v>59</v>
      </c>
      <c r="I616" s="171">
        <f>SUM(I617)</f>
        <v>1120000</v>
      </c>
      <c r="J616" s="137">
        <v>63</v>
      </c>
      <c r="K616" s="171">
        <f>SUM(K617)</f>
        <v>4120000</v>
      </c>
      <c r="L616" s="169">
        <v>0</v>
      </c>
      <c r="M616" s="171">
        <f>SUM(M617)</f>
        <v>100000</v>
      </c>
      <c r="N616" s="137"/>
      <c r="O616" s="171">
        <f>SUM(O617)</f>
        <v>900000</v>
      </c>
      <c r="P616" s="137"/>
      <c r="Q616" s="171">
        <f>SUM(Q617)</f>
        <v>0</v>
      </c>
      <c r="R616" s="137">
        <v>61</v>
      </c>
      <c r="S616" s="171">
        <f>SUM(S617)</f>
        <v>2070000</v>
      </c>
      <c r="T616" s="169">
        <f t="shared" si="110"/>
        <v>61</v>
      </c>
      <c r="U616" s="148">
        <f t="shared" si="111"/>
        <v>96.825396825396822</v>
      </c>
      <c r="V616" s="139" t="s">
        <v>58</v>
      </c>
      <c r="W616" s="181">
        <f t="shared" si="104"/>
        <v>3070000</v>
      </c>
      <c r="X616" s="169">
        <f t="shared" si="105"/>
        <v>74.514563106796118</v>
      </c>
      <c r="Y616" s="139" t="s">
        <v>58</v>
      </c>
      <c r="Z616" s="139">
        <f t="shared" si="91"/>
        <v>120</v>
      </c>
      <c r="AA616" s="181">
        <f t="shared" si="101"/>
        <v>4190000</v>
      </c>
      <c r="AB616" s="149">
        <f t="shared" si="95"/>
        <v>184.61538461538461</v>
      </c>
      <c r="AC616" s="143" t="s">
        <v>58</v>
      </c>
      <c r="AD616" s="194">
        <f t="shared" si="96"/>
        <v>58.848314606741567</v>
      </c>
      <c r="AE616" s="150"/>
      <c r="AF616" s="78"/>
      <c r="AG616" s="78"/>
      <c r="AH616" s="145"/>
      <c r="AI616" s="78"/>
      <c r="AJ616" s="78"/>
      <c r="AK616" s="78"/>
    </row>
    <row r="617" spans="1:37" customFormat="1" ht="360">
      <c r="A617" s="151"/>
      <c r="B617" s="147"/>
      <c r="C617" s="154" t="s">
        <v>903</v>
      </c>
      <c r="D617" s="154" t="s">
        <v>904</v>
      </c>
      <c r="E617" s="155">
        <v>6</v>
      </c>
      <c r="F617" s="156" t="s">
        <v>55</v>
      </c>
      <c r="G617" s="195">
        <v>7120000</v>
      </c>
      <c r="H617" s="158">
        <v>3</v>
      </c>
      <c r="I617" s="157">
        <v>1120000</v>
      </c>
      <c r="J617" s="158">
        <v>3</v>
      </c>
      <c r="K617" s="157">
        <v>4120000</v>
      </c>
      <c r="L617" s="142">
        <v>1</v>
      </c>
      <c r="M617" s="157">
        <v>100000</v>
      </c>
      <c r="N617" s="158">
        <v>1</v>
      </c>
      <c r="O617" s="157">
        <v>900000</v>
      </c>
      <c r="P617" s="158">
        <v>1</v>
      </c>
      <c r="Q617" s="157">
        <v>0</v>
      </c>
      <c r="R617" s="158">
        <v>0</v>
      </c>
      <c r="S617" s="157">
        <f>3070000-M617-O617</f>
        <v>2070000</v>
      </c>
      <c r="T617" s="142">
        <f t="shared" si="110"/>
        <v>3</v>
      </c>
      <c r="U617" s="143">
        <f t="shared" si="111"/>
        <v>100</v>
      </c>
      <c r="V617" s="143" t="s">
        <v>58</v>
      </c>
      <c r="W617" s="159">
        <f t="shared" si="104"/>
        <v>3070000</v>
      </c>
      <c r="X617" s="142">
        <f t="shared" si="105"/>
        <v>74.514563106796118</v>
      </c>
      <c r="Y617" s="143" t="s">
        <v>58</v>
      </c>
      <c r="Z617" s="143">
        <f t="shared" si="91"/>
        <v>6</v>
      </c>
      <c r="AA617" s="159">
        <f t="shared" si="101"/>
        <v>4190000</v>
      </c>
      <c r="AB617" s="149">
        <f t="shared" si="95"/>
        <v>100</v>
      </c>
      <c r="AC617" s="143" t="s">
        <v>58</v>
      </c>
      <c r="AD617" s="194">
        <f t="shared" si="96"/>
        <v>58.848314606741567</v>
      </c>
      <c r="AE617" s="162"/>
      <c r="AF617" s="1"/>
      <c r="AG617" s="1"/>
      <c r="AH617" s="163"/>
      <c r="AI617" s="1"/>
      <c r="AJ617" s="1"/>
      <c r="AK617" s="1"/>
    </row>
    <row r="618" spans="1:37" customFormat="1" ht="150" customHeight="1">
      <c r="A618" s="151"/>
      <c r="B618" s="147" t="s">
        <v>444</v>
      </c>
      <c r="C618" s="132" t="s">
        <v>905</v>
      </c>
      <c r="D618" s="132" t="s">
        <v>445</v>
      </c>
      <c r="E618" s="146">
        <f>(475+51)/837*100</f>
        <v>62.843488649940262</v>
      </c>
      <c r="F618" s="135" t="s">
        <v>58</v>
      </c>
      <c r="G618" s="236"/>
      <c r="H618" s="137"/>
      <c r="I618" s="171"/>
      <c r="J618" s="137">
        <v>63</v>
      </c>
      <c r="K618" s="171">
        <f>SUM(K619)</f>
        <v>1880000</v>
      </c>
      <c r="L618" s="169"/>
      <c r="M618" s="171">
        <f>SUM(M619)</f>
        <v>0</v>
      </c>
      <c r="N618" s="137"/>
      <c r="O618" s="171">
        <f>SUM(O619)</f>
        <v>150000</v>
      </c>
      <c r="P618" s="137"/>
      <c r="Q618" s="171">
        <f>SUM(Q619)</f>
        <v>0</v>
      </c>
      <c r="R618" s="137">
        <v>61</v>
      </c>
      <c r="S618" s="171">
        <f>SUM(S619)</f>
        <v>1410000</v>
      </c>
      <c r="T618" s="148">
        <f t="shared" si="110"/>
        <v>61</v>
      </c>
      <c r="U618" s="169">
        <f>Z618/J618*100</f>
        <v>96.825396825396822</v>
      </c>
      <c r="V618" s="139" t="s">
        <v>58</v>
      </c>
      <c r="W618" s="181">
        <f t="shared" si="104"/>
        <v>1560000</v>
      </c>
      <c r="X618" s="148">
        <f t="shared" si="105"/>
        <v>82.978723404255319</v>
      </c>
      <c r="Y618" s="139" t="s">
        <v>58</v>
      </c>
      <c r="Z618" s="148">
        <f t="shared" si="91"/>
        <v>61</v>
      </c>
      <c r="AA618" s="181">
        <f t="shared" si="101"/>
        <v>1560000</v>
      </c>
      <c r="AB618" s="149">
        <f t="shared" si="95"/>
        <v>97.06653992395438</v>
      </c>
      <c r="AC618" s="143" t="s">
        <v>58</v>
      </c>
      <c r="AD618" s="194" t="e">
        <f t="shared" si="96"/>
        <v>#DIV/0!</v>
      </c>
      <c r="AE618" s="150"/>
      <c r="AF618" s="78"/>
      <c r="AG618" s="78"/>
      <c r="AH618" s="145"/>
      <c r="AI618" s="78"/>
      <c r="AJ618" s="78"/>
      <c r="AK618" s="78"/>
    </row>
    <row r="619" spans="1:37" customFormat="1" ht="255">
      <c r="A619" s="151"/>
      <c r="B619" s="147"/>
      <c r="C619" s="154" t="s">
        <v>906</v>
      </c>
      <c r="D619" s="154" t="s">
        <v>907</v>
      </c>
      <c r="E619" s="155">
        <f>J619*3</f>
        <v>51</v>
      </c>
      <c r="F619" s="182" t="s">
        <v>55</v>
      </c>
      <c r="G619" s="195">
        <v>95991000</v>
      </c>
      <c r="H619" s="158"/>
      <c r="I619" s="157"/>
      <c r="J619" s="158">
        <v>17</v>
      </c>
      <c r="K619" s="157">
        <v>1880000</v>
      </c>
      <c r="L619" s="142">
        <v>0</v>
      </c>
      <c r="M619" s="157">
        <v>0</v>
      </c>
      <c r="N619" s="158">
        <v>3</v>
      </c>
      <c r="O619" s="157">
        <v>150000</v>
      </c>
      <c r="P619" s="158">
        <v>13</v>
      </c>
      <c r="Q619" s="157">
        <v>0</v>
      </c>
      <c r="R619" s="158">
        <v>1</v>
      </c>
      <c r="S619" s="157">
        <f>1560000-O619</f>
        <v>1410000</v>
      </c>
      <c r="T619" s="142">
        <f t="shared" si="110"/>
        <v>17</v>
      </c>
      <c r="U619" s="142">
        <f t="shared" ref="U619:U682" si="112">T619/J619*100</f>
        <v>100</v>
      </c>
      <c r="V619" s="143" t="s">
        <v>58</v>
      </c>
      <c r="W619" s="159">
        <f t="shared" si="104"/>
        <v>1560000</v>
      </c>
      <c r="X619" s="164">
        <f t="shared" si="105"/>
        <v>82.978723404255319</v>
      </c>
      <c r="Y619" s="143" t="s">
        <v>58</v>
      </c>
      <c r="Z619" s="143">
        <f t="shared" si="91"/>
        <v>17</v>
      </c>
      <c r="AA619" s="159">
        <f t="shared" si="101"/>
        <v>1560000</v>
      </c>
      <c r="AB619" s="149">
        <f t="shared" si="95"/>
        <v>33.333333333333329</v>
      </c>
      <c r="AC619" s="143" t="s">
        <v>58</v>
      </c>
      <c r="AD619" s="194">
        <f t="shared" si="96"/>
        <v>1.6251523580335654</v>
      </c>
      <c r="AE619" s="162"/>
      <c r="AF619" s="1"/>
      <c r="AG619" s="1"/>
      <c r="AH619" s="163"/>
      <c r="AI619" s="1"/>
      <c r="AJ619" s="1"/>
      <c r="AK619" s="1"/>
    </row>
    <row r="620" spans="1:37" customFormat="1" ht="233.25" customHeight="1">
      <c r="A620" s="151"/>
      <c r="B620" s="147" t="s">
        <v>444</v>
      </c>
      <c r="C620" s="132" t="s">
        <v>908</v>
      </c>
      <c r="D620" s="132" t="s">
        <v>445</v>
      </c>
      <c r="E620" s="146">
        <v>65</v>
      </c>
      <c r="F620" s="135" t="s">
        <v>58</v>
      </c>
      <c r="G620" s="236"/>
      <c r="H620" s="137">
        <v>59</v>
      </c>
      <c r="I620" s="171">
        <v>43152500</v>
      </c>
      <c r="J620" s="137">
        <v>63</v>
      </c>
      <c r="K620" s="171">
        <f>SUM(K621)</f>
        <v>2864900</v>
      </c>
      <c r="L620" s="169">
        <v>0</v>
      </c>
      <c r="M620" s="171">
        <f>SUM(M621)</f>
        <v>0</v>
      </c>
      <c r="N620" s="137">
        <f t="shared" ref="N620:O620" si="113">N621</f>
        <v>0</v>
      </c>
      <c r="O620" s="235">
        <f t="shared" si="113"/>
        <v>0</v>
      </c>
      <c r="P620" s="137"/>
      <c r="Q620" s="235">
        <f t="shared" ref="Q620:S620" si="114">Q621</f>
        <v>2580000</v>
      </c>
      <c r="R620" s="137">
        <v>61</v>
      </c>
      <c r="S620" s="235">
        <f t="shared" si="114"/>
        <v>120750</v>
      </c>
      <c r="T620" s="169">
        <f t="shared" si="110"/>
        <v>61</v>
      </c>
      <c r="U620" s="139">
        <f t="shared" si="112"/>
        <v>96.825396825396822</v>
      </c>
      <c r="V620" s="139" t="s">
        <v>58</v>
      </c>
      <c r="W620" s="181">
        <f t="shared" si="104"/>
        <v>2700750</v>
      </c>
      <c r="X620" s="139">
        <f t="shared" si="105"/>
        <v>94.27030611888722</v>
      </c>
      <c r="Y620" s="139" t="s">
        <v>58</v>
      </c>
      <c r="Z620" s="139">
        <f t="shared" si="91"/>
        <v>120</v>
      </c>
      <c r="AA620" s="181">
        <f t="shared" si="101"/>
        <v>45853250</v>
      </c>
      <c r="AB620" s="149">
        <f t="shared" si="95"/>
        <v>184.61538461538461</v>
      </c>
      <c r="AC620" s="143" t="s">
        <v>58</v>
      </c>
      <c r="AD620" s="194" t="e">
        <f t="shared" si="96"/>
        <v>#DIV/0!</v>
      </c>
      <c r="AE620" s="150"/>
      <c r="AF620" s="78"/>
      <c r="AG620" s="78"/>
      <c r="AH620" s="145"/>
      <c r="AI620" s="78"/>
      <c r="AJ620" s="78"/>
      <c r="AK620" s="78"/>
    </row>
    <row r="621" spans="1:37" customFormat="1" ht="240">
      <c r="A621" s="151"/>
      <c r="B621" s="147"/>
      <c r="C621" s="154" t="s">
        <v>909</v>
      </c>
      <c r="D621" s="154" t="s">
        <v>910</v>
      </c>
      <c r="E621" s="155">
        <v>70</v>
      </c>
      <c r="F621" s="182" t="s">
        <v>138</v>
      </c>
      <c r="G621" s="195">
        <v>97557400</v>
      </c>
      <c r="H621" s="158">
        <v>70</v>
      </c>
      <c r="I621" s="157">
        <v>43152500</v>
      </c>
      <c r="J621" s="158">
        <v>70</v>
      </c>
      <c r="K621" s="157">
        <v>2864900</v>
      </c>
      <c r="L621" s="142"/>
      <c r="M621" s="157">
        <v>0</v>
      </c>
      <c r="N621" s="158"/>
      <c r="O621" s="157">
        <v>0</v>
      </c>
      <c r="P621" s="158">
        <v>64</v>
      </c>
      <c r="Q621" s="157">
        <v>2580000</v>
      </c>
      <c r="R621" s="158">
        <v>6</v>
      </c>
      <c r="S621" s="157">
        <f>2700750-Q621</f>
        <v>120750</v>
      </c>
      <c r="T621" s="142">
        <f t="shared" si="110"/>
        <v>70</v>
      </c>
      <c r="U621" s="143">
        <f t="shared" si="112"/>
        <v>100</v>
      </c>
      <c r="V621" s="143" t="s">
        <v>58</v>
      </c>
      <c r="W621" s="159">
        <f t="shared" si="104"/>
        <v>2700750</v>
      </c>
      <c r="X621" s="164">
        <f t="shared" si="105"/>
        <v>94.27030611888722</v>
      </c>
      <c r="Y621" s="143" t="s">
        <v>58</v>
      </c>
      <c r="Z621" s="143">
        <f t="shared" si="91"/>
        <v>140</v>
      </c>
      <c r="AA621" s="159">
        <f t="shared" si="101"/>
        <v>45853250</v>
      </c>
      <c r="AB621" s="149">
        <f t="shared" si="95"/>
        <v>200</v>
      </c>
      <c r="AC621" s="143" t="s">
        <v>58</v>
      </c>
      <c r="AD621" s="194">
        <f t="shared" si="96"/>
        <v>47.001303847786019</v>
      </c>
      <c r="AE621" s="162"/>
      <c r="AF621" s="1"/>
      <c r="AG621" s="1"/>
      <c r="AH621" s="163"/>
      <c r="AI621" s="1"/>
      <c r="AJ621" s="1"/>
      <c r="AK621" s="1"/>
    </row>
    <row r="622" spans="1:37" customFormat="1" ht="162" customHeight="1">
      <c r="A622" s="151"/>
      <c r="B622" s="147" t="s">
        <v>387</v>
      </c>
      <c r="C622" s="132" t="s">
        <v>911</v>
      </c>
      <c r="D622" s="132" t="s">
        <v>388</v>
      </c>
      <c r="E622" s="146">
        <v>100</v>
      </c>
      <c r="F622" s="135" t="s">
        <v>58</v>
      </c>
      <c r="G622" s="171">
        <f>G623+G625+G627</f>
        <v>2301793383</v>
      </c>
      <c r="H622" s="137">
        <v>100</v>
      </c>
      <c r="I622" s="171">
        <f>I623+I625+I627</f>
        <v>871803600</v>
      </c>
      <c r="J622" s="137">
        <v>100</v>
      </c>
      <c r="K622" s="171">
        <f>K623+K625+K627</f>
        <v>793826255</v>
      </c>
      <c r="L622" s="169">
        <v>100</v>
      </c>
      <c r="M622" s="171">
        <f>M623+M627</f>
        <v>462500</v>
      </c>
      <c r="N622" s="137">
        <v>100</v>
      </c>
      <c r="O622" s="171">
        <f>O623+O625+O627</f>
        <v>101082000</v>
      </c>
      <c r="P622" s="137">
        <v>100</v>
      </c>
      <c r="Q622" s="171">
        <f>Q623+Q625+Q627</f>
        <v>197616648</v>
      </c>
      <c r="R622" s="184">
        <v>100</v>
      </c>
      <c r="S622" s="171">
        <f>S623+S625+S627</f>
        <v>322166577</v>
      </c>
      <c r="T622" s="148">
        <f>AVERAGE(L622,N622,P622,R622)</f>
        <v>100</v>
      </c>
      <c r="U622" s="148">
        <f t="shared" si="112"/>
        <v>100</v>
      </c>
      <c r="V622" s="139" t="s">
        <v>58</v>
      </c>
      <c r="W622" s="181">
        <f t="shared" si="104"/>
        <v>621327725</v>
      </c>
      <c r="X622" s="148">
        <f t="shared" si="105"/>
        <v>78.269989319010364</v>
      </c>
      <c r="Y622" s="139" t="s">
        <v>58</v>
      </c>
      <c r="Z622" s="139">
        <f t="shared" si="91"/>
        <v>200</v>
      </c>
      <c r="AA622" s="181">
        <f t="shared" si="101"/>
        <v>1493131325</v>
      </c>
      <c r="AB622" s="149">
        <f t="shared" si="95"/>
        <v>200</v>
      </c>
      <c r="AC622" s="143" t="s">
        <v>58</v>
      </c>
      <c r="AD622" s="194">
        <f t="shared" si="96"/>
        <v>64.868173487142229</v>
      </c>
      <c r="AE622" s="150"/>
      <c r="AF622" s="78"/>
      <c r="AG622" s="78"/>
      <c r="AH622" s="145"/>
      <c r="AI622" s="78"/>
      <c r="AJ622" s="78"/>
      <c r="AK622" s="78"/>
    </row>
    <row r="623" spans="1:37" customFormat="1" ht="214.5" customHeight="1">
      <c r="A623" s="151"/>
      <c r="B623" s="147" t="s">
        <v>444</v>
      </c>
      <c r="C623" s="132" t="s">
        <v>912</v>
      </c>
      <c r="D623" s="132" t="s">
        <v>445</v>
      </c>
      <c r="E623" s="146">
        <v>65</v>
      </c>
      <c r="F623" s="135" t="s">
        <v>58</v>
      </c>
      <c r="G623" s="171">
        <f>SUM(G624)</f>
        <v>394321500</v>
      </c>
      <c r="H623" s="137">
        <v>59</v>
      </c>
      <c r="I623" s="171">
        <f>SUM(I624)</f>
        <v>229044500</v>
      </c>
      <c r="J623" s="137">
        <v>63</v>
      </c>
      <c r="K623" s="171">
        <f>SUM(K624)</f>
        <v>35085000</v>
      </c>
      <c r="L623" s="169">
        <v>0</v>
      </c>
      <c r="M623" s="171">
        <f>SUM(M624)</f>
        <v>0</v>
      </c>
      <c r="N623" s="137"/>
      <c r="O623" s="171">
        <f>O624</f>
        <v>0</v>
      </c>
      <c r="P623" s="137"/>
      <c r="Q623" s="171">
        <f>Q624</f>
        <v>3672500</v>
      </c>
      <c r="R623" s="137">
        <v>61</v>
      </c>
      <c r="S623" s="171">
        <v>3672500</v>
      </c>
      <c r="T623" s="169">
        <f t="shared" ref="T623:T683" si="115">SUM(L623,N623,P623,R623)</f>
        <v>61</v>
      </c>
      <c r="U623" s="148">
        <f t="shared" si="112"/>
        <v>96.825396825396822</v>
      </c>
      <c r="V623" s="139" t="s">
        <v>58</v>
      </c>
      <c r="W623" s="181">
        <f t="shared" si="104"/>
        <v>7345000</v>
      </c>
      <c r="X623" s="148">
        <f t="shared" si="105"/>
        <v>20.934872452615078</v>
      </c>
      <c r="Y623" s="139" t="s">
        <v>58</v>
      </c>
      <c r="Z623" s="139">
        <f t="shared" si="91"/>
        <v>120</v>
      </c>
      <c r="AA623" s="181">
        <f t="shared" si="101"/>
        <v>236389500</v>
      </c>
      <c r="AB623" s="149">
        <f t="shared" si="95"/>
        <v>184.61538461538461</v>
      </c>
      <c r="AC623" s="143" t="s">
        <v>58</v>
      </c>
      <c r="AD623" s="194">
        <f t="shared" si="96"/>
        <v>59.94841772513039</v>
      </c>
      <c r="AE623" s="150"/>
      <c r="AF623" s="78"/>
      <c r="AG623" s="78"/>
      <c r="AH623" s="145"/>
      <c r="AI623" s="78"/>
      <c r="AJ623" s="78"/>
      <c r="AK623" s="78"/>
    </row>
    <row r="624" spans="1:37" customFormat="1" ht="140.25" customHeight="1">
      <c r="A624" s="151"/>
      <c r="B624" s="147"/>
      <c r="C624" s="220" t="s">
        <v>913</v>
      </c>
      <c r="D624" s="154" t="s">
        <v>914</v>
      </c>
      <c r="E624" s="155">
        <v>21</v>
      </c>
      <c r="F624" s="156" t="s">
        <v>55</v>
      </c>
      <c r="G624" s="195">
        <v>394321500</v>
      </c>
      <c r="H624" s="158">
        <v>14</v>
      </c>
      <c r="I624" s="157">
        <v>229044500</v>
      </c>
      <c r="J624" s="158">
        <v>7</v>
      </c>
      <c r="K624" s="157">
        <v>35085000</v>
      </c>
      <c r="L624" s="142">
        <v>0</v>
      </c>
      <c r="M624" s="157">
        <v>0</v>
      </c>
      <c r="N624" s="158">
        <v>2</v>
      </c>
      <c r="O624" s="157">
        <v>0</v>
      </c>
      <c r="P624" s="158">
        <v>3</v>
      </c>
      <c r="Q624" s="157">
        <v>3672500</v>
      </c>
      <c r="R624" s="158">
        <v>2</v>
      </c>
      <c r="S624" s="157">
        <f>29445000-Q624</f>
        <v>25772500</v>
      </c>
      <c r="T624" s="142">
        <f t="shared" si="115"/>
        <v>7</v>
      </c>
      <c r="U624" s="164">
        <f t="shared" si="112"/>
        <v>100</v>
      </c>
      <c r="V624" s="143" t="s">
        <v>58</v>
      </c>
      <c r="W624" s="159">
        <f t="shared" si="104"/>
        <v>29445000</v>
      </c>
      <c r="X624" s="164">
        <f t="shared" si="105"/>
        <v>83.924754168448061</v>
      </c>
      <c r="Y624" s="143" t="s">
        <v>58</v>
      </c>
      <c r="Z624" s="143">
        <f t="shared" si="91"/>
        <v>21</v>
      </c>
      <c r="AA624" s="159">
        <f t="shared" si="101"/>
        <v>258489500</v>
      </c>
      <c r="AB624" s="149">
        <f t="shared" si="95"/>
        <v>100</v>
      </c>
      <c r="AC624" s="143" t="s">
        <v>58</v>
      </c>
      <c r="AD624" s="194">
        <f t="shared" si="96"/>
        <v>65.552981513815496</v>
      </c>
      <c r="AE624" s="162"/>
      <c r="AF624" s="1"/>
      <c r="AG624" s="1"/>
      <c r="AH624" s="163"/>
      <c r="AI624" s="1"/>
      <c r="AJ624" s="1"/>
      <c r="AK624" s="1"/>
    </row>
    <row r="625" spans="1:37" customFormat="1" ht="157.5">
      <c r="A625" s="151"/>
      <c r="B625" s="147" t="s">
        <v>444</v>
      </c>
      <c r="C625" s="132" t="s">
        <v>915</v>
      </c>
      <c r="D625" s="132" t="s">
        <v>445</v>
      </c>
      <c r="E625" s="146">
        <v>65</v>
      </c>
      <c r="F625" s="135" t="s">
        <v>58</v>
      </c>
      <c r="G625" s="171">
        <f>SUM(G626)</f>
        <v>870961300</v>
      </c>
      <c r="H625" s="137">
        <v>59</v>
      </c>
      <c r="I625" s="171">
        <f>SUM(I626)</f>
        <v>319076500</v>
      </c>
      <c r="J625" s="137">
        <v>63</v>
      </c>
      <c r="K625" s="171">
        <f>SUM(K626)</f>
        <v>275942400</v>
      </c>
      <c r="L625" s="169">
        <v>0</v>
      </c>
      <c r="M625" s="171">
        <f>SUM(M626)</f>
        <v>0</v>
      </c>
      <c r="N625" s="137"/>
      <c r="O625" s="171">
        <f>O626</f>
        <v>16598250</v>
      </c>
      <c r="P625" s="137"/>
      <c r="Q625" s="171">
        <f>Q626</f>
        <v>83722500</v>
      </c>
      <c r="R625" s="137">
        <v>61</v>
      </c>
      <c r="S625" s="171">
        <v>83722500</v>
      </c>
      <c r="T625" s="169">
        <f t="shared" si="115"/>
        <v>61</v>
      </c>
      <c r="U625" s="148">
        <f t="shared" si="112"/>
        <v>96.825396825396822</v>
      </c>
      <c r="V625" s="139" t="s">
        <v>58</v>
      </c>
      <c r="W625" s="181">
        <f t="shared" si="104"/>
        <v>184043250</v>
      </c>
      <c r="X625" s="148">
        <f t="shared" si="105"/>
        <v>66.696256175201782</v>
      </c>
      <c r="Y625" s="139" t="s">
        <v>58</v>
      </c>
      <c r="Z625" s="139">
        <f t="shared" si="91"/>
        <v>120</v>
      </c>
      <c r="AA625" s="181">
        <f t="shared" si="101"/>
        <v>503119750</v>
      </c>
      <c r="AB625" s="149">
        <f t="shared" si="95"/>
        <v>184.61538461538461</v>
      </c>
      <c r="AC625" s="143" t="s">
        <v>58</v>
      </c>
      <c r="AD625" s="194">
        <f t="shared" si="96"/>
        <v>57.766028180586218</v>
      </c>
      <c r="AE625" s="150"/>
      <c r="AF625" s="78"/>
      <c r="AG625" s="78"/>
      <c r="AH625" s="145"/>
      <c r="AI625" s="78"/>
      <c r="AJ625" s="78"/>
      <c r="AK625" s="78"/>
    </row>
    <row r="626" spans="1:37" customFormat="1" ht="135">
      <c r="A626" s="151"/>
      <c r="B626" s="147"/>
      <c r="C626" s="220" t="s">
        <v>916</v>
      </c>
      <c r="D626" s="154" t="s">
        <v>917</v>
      </c>
      <c r="E626" s="155">
        <v>21</v>
      </c>
      <c r="F626" s="156" t="s">
        <v>55</v>
      </c>
      <c r="G626" s="195">
        <f>I626+K626+K626</f>
        <v>870961300</v>
      </c>
      <c r="H626" s="158">
        <v>7</v>
      </c>
      <c r="I626" s="157">
        <v>319076500</v>
      </c>
      <c r="J626" s="158">
        <v>7</v>
      </c>
      <c r="K626" s="157">
        <v>275942400</v>
      </c>
      <c r="L626" s="142">
        <v>0</v>
      </c>
      <c r="M626" s="157">
        <v>0</v>
      </c>
      <c r="N626" s="158">
        <v>2</v>
      </c>
      <c r="O626" s="157">
        <v>16598250</v>
      </c>
      <c r="P626" s="158">
        <v>2</v>
      </c>
      <c r="Q626" s="157">
        <f>100320750-O626</f>
        <v>83722500</v>
      </c>
      <c r="R626" s="158">
        <v>3</v>
      </c>
      <c r="S626" s="157">
        <f>262199900-O626-Q626</f>
        <v>161879150</v>
      </c>
      <c r="T626" s="142">
        <f t="shared" si="115"/>
        <v>7</v>
      </c>
      <c r="U626" s="164">
        <f t="shared" si="112"/>
        <v>100</v>
      </c>
      <c r="V626" s="143" t="s">
        <v>58</v>
      </c>
      <c r="W626" s="159">
        <f t="shared" si="104"/>
        <v>262199900</v>
      </c>
      <c r="X626" s="164">
        <f t="shared" si="105"/>
        <v>95.019793985991271</v>
      </c>
      <c r="Y626" s="143" t="s">
        <v>58</v>
      </c>
      <c r="Z626" s="143">
        <f t="shared" si="91"/>
        <v>14</v>
      </c>
      <c r="AA626" s="159">
        <f t="shared" si="101"/>
        <v>581276400</v>
      </c>
      <c r="AB626" s="149">
        <f t="shared" si="95"/>
        <v>66.666666666666657</v>
      </c>
      <c r="AC626" s="143" t="s">
        <v>58</v>
      </c>
      <c r="AD626" s="194">
        <f t="shared" si="96"/>
        <v>66.739635848343653</v>
      </c>
      <c r="AE626" s="162"/>
      <c r="AF626" s="1"/>
      <c r="AG626" s="1"/>
      <c r="AH626" s="163"/>
      <c r="AI626" s="1"/>
      <c r="AJ626" s="1"/>
      <c r="AK626" s="1"/>
    </row>
    <row r="627" spans="1:37" customFormat="1" ht="214.5" customHeight="1">
      <c r="A627" s="151"/>
      <c r="B627" s="147" t="s">
        <v>444</v>
      </c>
      <c r="C627" s="132" t="s">
        <v>918</v>
      </c>
      <c r="D627" s="132" t="s">
        <v>445</v>
      </c>
      <c r="E627" s="146">
        <v>65</v>
      </c>
      <c r="F627" s="135" t="s">
        <v>58</v>
      </c>
      <c r="G627" s="171">
        <f>SUM(G628:G647)</f>
        <v>1036510583</v>
      </c>
      <c r="H627" s="184">
        <v>59</v>
      </c>
      <c r="I627" s="171">
        <f>SUM(I628:I647)</f>
        <v>323682600</v>
      </c>
      <c r="J627" s="137">
        <v>63</v>
      </c>
      <c r="K627" s="171">
        <f>SUM(K628:K647)</f>
        <v>482798855</v>
      </c>
      <c r="L627" s="169"/>
      <c r="M627" s="171">
        <f>SUM(M628)</f>
        <v>462500</v>
      </c>
      <c r="N627" s="137"/>
      <c r="O627" s="171">
        <f>SUM(O628:O647)</f>
        <v>84483750</v>
      </c>
      <c r="P627" s="137"/>
      <c r="Q627" s="171">
        <f>SUM(Q628:Q647)</f>
        <v>110221648</v>
      </c>
      <c r="R627" s="137">
        <v>61</v>
      </c>
      <c r="S627" s="171">
        <f>SUM(S628:S647)</f>
        <v>234771577</v>
      </c>
      <c r="T627" s="169">
        <f t="shared" si="115"/>
        <v>61</v>
      </c>
      <c r="U627" s="148">
        <f t="shared" si="112"/>
        <v>96.825396825396822</v>
      </c>
      <c r="V627" s="139" t="s">
        <v>58</v>
      </c>
      <c r="W627" s="181">
        <f t="shared" si="104"/>
        <v>429939475</v>
      </c>
      <c r="X627" s="148">
        <f t="shared" si="105"/>
        <v>89.051469477905044</v>
      </c>
      <c r="Y627" s="139" t="s">
        <v>58</v>
      </c>
      <c r="Z627" s="148">
        <f t="shared" si="91"/>
        <v>120</v>
      </c>
      <c r="AA627" s="181">
        <f t="shared" si="101"/>
        <v>753622075</v>
      </c>
      <c r="AB627" s="149">
        <f t="shared" si="95"/>
        <v>184.61538461538461</v>
      </c>
      <c r="AC627" s="143" t="s">
        <v>58</v>
      </c>
      <c r="AD627" s="194">
        <f t="shared" si="96"/>
        <v>72.707610260839957</v>
      </c>
      <c r="AE627" s="150"/>
      <c r="AF627" s="78"/>
      <c r="AG627" s="78"/>
      <c r="AH627" s="145"/>
      <c r="AI627" s="78"/>
      <c r="AJ627" s="78"/>
      <c r="AK627" s="78"/>
    </row>
    <row r="628" spans="1:37" customFormat="1" ht="180">
      <c r="A628" s="151"/>
      <c r="B628" s="147"/>
      <c r="C628" s="154" t="s">
        <v>919</v>
      </c>
      <c r="D628" s="154" t="s">
        <v>920</v>
      </c>
      <c r="E628" s="155">
        <v>36</v>
      </c>
      <c r="F628" s="156" t="s">
        <v>55</v>
      </c>
      <c r="G628" s="195">
        <v>82257500</v>
      </c>
      <c r="H628" s="158">
        <v>10</v>
      </c>
      <c r="I628" s="157">
        <v>27850000</v>
      </c>
      <c r="J628" s="158">
        <v>12</v>
      </c>
      <c r="K628" s="157">
        <v>49000000</v>
      </c>
      <c r="L628" s="142">
        <v>3</v>
      </c>
      <c r="M628" s="157">
        <v>462500</v>
      </c>
      <c r="N628" s="158">
        <v>3</v>
      </c>
      <c r="O628" s="157">
        <v>22941750</v>
      </c>
      <c r="P628" s="158">
        <v>3</v>
      </c>
      <c r="Q628" s="157">
        <f>30224250-M628-O628</f>
        <v>6820000</v>
      </c>
      <c r="R628" s="158">
        <v>3</v>
      </c>
      <c r="S628" s="157">
        <f>30224250-M628-O628-Q628</f>
        <v>0</v>
      </c>
      <c r="T628" s="142">
        <f t="shared" si="115"/>
        <v>12</v>
      </c>
      <c r="U628" s="164">
        <f t="shared" si="112"/>
        <v>100</v>
      </c>
      <c r="V628" s="143" t="s">
        <v>58</v>
      </c>
      <c r="W628" s="159">
        <f t="shared" si="104"/>
        <v>30224250</v>
      </c>
      <c r="X628" s="164">
        <f t="shared" si="105"/>
        <v>61.68214285714285</v>
      </c>
      <c r="Y628" s="143" t="s">
        <v>58</v>
      </c>
      <c r="Z628" s="143">
        <f t="shared" si="91"/>
        <v>22</v>
      </c>
      <c r="AA628" s="159">
        <f t="shared" si="101"/>
        <v>58074250</v>
      </c>
      <c r="AB628" s="149">
        <f t="shared" si="95"/>
        <v>61.111111111111114</v>
      </c>
      <c r="AC628" s="143" t="s">
        <v>58</v>
      </c>
      <c r="AD628" s="194">
        <f t="shared" si="96"/>
        <v>70.600553141050966</v>
      </c>
      <c r="AE628" s="162"/>
      <c r="AF628" s="1"/>
      <c r="AG628" s="1"/>
      <c r="AH628" s="163"/>
      <c r="AI628" s="1"/>
      <c r="AJ628" s="1"/>
      <c r="AK628" s="1"/>
    </row>
    <row r="629" spans="1:37" customFormat="1" ht="210">
      <c r="A629" s="151"/>
      <c r="B629" s="147"/>
      <c r="C629" s="153" t="s">
        <v>921</v>
      </c>
      <c r="D629" s="154" t="s">
        <v>920</v>
      </c>
      <c r="E629" s="155">
        <v>36</v>
      </c>
      <c r="F629" s="182" t="s">
        <v>55</v>
      </c>
      <c r="G629" s="195">
        <v>53310000</v>
      </c>
      <c r="H629" s="205">
        <v>12</v>
      </c>
      <c r="I629" s="157">
        <v>41372500</v>
      </c>
      <c r="J629" s="158">
        <v>12</v>
      </c>
      <c r="K629" s="157">
        <v>10650000</v>
      </c>
      <c r="L629" s="142">
        <v>3</v>
      </c>
      <c r="M629" s="207" t="s">
        <v>449</v>
      </c>
      <c r="N629" s="158">
        <v>3</v>
      </c>
      <c r="O629" s="157">
        <v>1960000</v>
      </c>
      <c r="P629" s="158">
        <v>3</v>
      </c>
      <c r="Q629" s="157">
        <v>3310000</v>
      </c>
      <c r="R629" s="205">
        <v>3</v>
      </c>
      <c r="S629" s="157">
        <v>5100000</v>
      </c>
      <c r="T629" s="206">
        <f t="shared" si="115"/>
        <v>12</v>
      </c>
      <c r="U629" s="164">
        <f t="shared" si="112"/>
        <v>100</v>
      </c>
      <c r="V629" s="143" t="s">
        <v>58</v>
      </c>
      <c r="W629" s="159">
        <f t="shared" si="104"/>
        <v>10370000</v>
      </c>
      <c r="X629" s="164">
        <f t="shared" si="105"/>
        <v>97.370892018779344</v>
      </c>
      <c r="Y629" s="143" t="s">
        <v>58</v>
      </c>
      <c r="Z629" s="206">
        <f t="shared" si="91"/>
        <v>24</v>
      </c>
      <c r="AA629" s="159">
        <f t="shared" si="101"/>
        <v>51742500</v>
      </c>
      <c r="AB629" s="149">
        <f t="shared" si="95"/>
        <v>66.666666666666657</v>
      </c>
      <c r="AC629" s="143" t="s">
        <v>58</v>
      </c>
      <c r="AD629" s="194">
        <f t="shared" si="96"/>
        <v>97.059651097355086</v>
      </c>
      <c r="AE629" s="162"/>
      <c r="AF629" s="1"/>
      <c r="AG629" s="1"/>
      <c r="AH629" s="163"/>
      <c r="AI629" s="1"/>
      <c r="AJ629" s="1"/>
      <c r="AK629" s="1"/>
    </row>
    <row r="630" spans="1:37" customFormat="1" ht="210">
      <c r="A630" s="151"/>
      <c r="B630" s="147"/>
      <c r="C630" s="153" t="s">
        <v>922</v>
      </c>
      <c r="D630" s="154" t="s">
        <v>920</v>
      </c>
      <c r="E630" s="155">
        <v>36</v>
      </c>
      <c r="F630" s="182" t="s">
        <v>55</v>
      </c>
      <c r="G630" s="195">
        <v>74223</v>
      </c>
      <c r="H630" s="205">
        <v>12</v>
      </c>
      <c r="I630" s="157">
        <v>21646600</v>
      </c>
      <c r="J630" s="158">
        <v>12</v>
      </c>
      <c r="K630" s="157">
        <v>26238200</v>
      </c>
      <c r="L630" s="142">
        <v>3</v>
      </c>
      <c r="M630" s="157">
        <v>0</v>
      </c>
      <c r="N630" s="158">
        <v>3</v>
      </c>
      <c r="O630" s="157">
        <v>5515000</v>
      </c>
      <c r="P630" s="158">
        <v>3</v>
      </c>
      <c r="Q630" s="157">
        <v>7782500</v>
      </c>
      <c r="R630" s="205">
        <v>3</v>
      </c>
      <c r="S630" s="157">
        <v>12200700</v>
      </c>
      <c r="T630" s="206">
        <f t="shared" si="115"/>
        <v>12</v>
      </c>
      <c r="U630" s="164">
        <f t="shared" si="112"/>
        <v>100</v>
      </c>
      <c r="V630" s="143" t="s">
        <v>58</v>
      </c>
      <c r="W630" s="159">
        <f t="shared" si="104"/>
        <v>25498200</v>
      </c>
      <c r="X630" s="164">
        <f t="shared" si="105"/>
        <v>97.179684582021636</v>
      </c>
      <c r="Y630" s="143" t="s">
        <v>58</v>
      </c>
      <c r="Z630" s="206">
        <f t="shared" si="91"/>
        <v>24</v>
      </c>
      <c r="AA630" s="159">
        <f t="shared" si="101"/>
        <v>47144800</v>
      </c>
      <c r="AB630" s="149">
        <f t="shared" si="95"/>
        <v>66.666666666666657</v>
      </c>
      <c r="AC630" s="143" t="s">
        <v>58</v>
      </c>
      <c r="AD630" s="194">
        <f t="shared" si="96"/>
        <v>63517.777508319523</v>
      </c>
      <c r="AE630" s="162"/>
      <c r="AF630" s="1"/>
      <c r="AG630" s="1"/>
      <c r="AH630" s="163"/>
      <c r="AI630" s="1"/>
      <c r="AJ630" s="1"/>
      <c r="AK630" s="1"/>
    </row>
    <row r="631" spans="1:37" customFormat="1" ht="210">
      <c r="A631" s="151"/>
      <c r="B631" s="147"/>
      <c r="C631" s="153" t="s">
        <v>923</v>
      </c>
      <c r="D631" s="154" t="s">
        <v>920</v>
      </c>
      <c r="E631" s="155">
        <v>36</v>
      </c>
      <c r="F631" s="182" t="s">
        <v>55</v>
      </c>
      <c r="G631" s="195">
        <v>32990500</v>
      </c>
      <c r="H631" s="205">
        <v>12</v>
      </c>
      <c r="I631" s="157">
        <v>20502500</v>
      </c>
      <c r="J631" s="158">
        <v>12</v>
      </c>
      <c r="K631" s="157">
        <v>6244000</v>
      </c>
      <c r="L631" s="142">
        <v>3</v>
      </c>
      <c r="M631" s="207" t="s">
        <v>449</v>
      </c>
      <c r="N631" s="158">
        <v>3</v>
      </c>
      <c r="O631" s="157">
        <v>2060000</v>
      </c>
      <c r="P631" s="158">
        <v>3</v>
      </c>
      <c r="Q631" s="157">
        <v>0</v>
      </c>
      <c r="R631" s="205">
        <v>3</v>
      </c>
      <c r="S631" s="157">
        <v>4180000</v>
      </c>
      <c r="T631" s="206">
        <f t="shared" si="115"/>
        <v>12</v>
      </c>
      <c r="U631" s="164">
        <f t="shared" si="112"/>
        <v>100</v>
      </c>
      <c r="V631" s="143" t="s">
        <v>58</v>
      </c>
      <c r="W631" s="159">
        <f t="shared" si="104"/>
        <v>6240000</v>
      </c>
      <c r="X631" s="164">
        <f t="shared" si="105"/>
        <v>99.935938500960916</v>
      </c>
      <c r="Y631" s="143" t="s">
        <v>58</v>
      </c>
      <c r="Z631" s="206">
        <f t="shared" si="91"/>
        <v>24</v>
      </c>
      <c r="AA631" s="159">
        <f t="shared" si="101"/>
        <v>26742500</v>
      </c>
      <c r="AB631" s="149">
        <f t="shared" si="95"/>
        <v>66.666666666666657</v>
      </c>
      <c r="AC631" s="143" t="s">
        <v>58</v>
      </c>
      <c r="AD631" s="194">
        <f t="shared" si="96"/>
        <v>81.061214592079537</v>
      </c>
      <c r="AE631" s="162"/>
      <c r="AF631" s="1"/>
      <c r="AG631" s="1"/>
      <c r="AH631" s="163"/>
      <c r="AI631" s="1"/>
      <c r="AJ631" s="1"/>
      <c r="AK631" s="1"/>
    </row>
    <row r="632" spans="1:37" customFormat="1" ht="210">
      <c r="A632" s="151"/>
      <c r="B632" s="147"/>
      <c r="C632" s="153" t="s">
        <v>924</v>
      </c>
      <c r="D632" s="154" t="s">
        <v>920</v>
      </c>
      <c r="E632" s="155">
        <v>36</v>
      </c>
      <c r="F632" s="182" t="s">
        <v>925</v>
      </c>
      <c r="G632" s="195">
        <v>34826000</v>
      </c>
      <c r="H632" s="205">
        <v>12</v>
      </c>
      <c r="I632" s="157">
        <v>8730000</v>
      </c>
      <c r="J632" s="158">
        <v>12</v>
      </c>
      <c r="K632" s="157">
        <v>12292500</v>
      </c>
      <c r="L632" s="142">
        <v>3</v>
      </c>
      <c r="M632" s="207" t="s">
        <v>449</v>
      </c>
      <c r="N632" s="158">
        <v>3</v>
      </c>
      <c r="O632" s="157">
        <v>2780000</v>
      </c>
      <c r="P632" s="158">
        <v>3</v>
      </c>
      <c r="Q632" s="157">
        <v>1515000</v>
      </c>
      <c r="R632" s="205">
        <v>3</v>
      </c>
      <c r="S632" s="157">
        <v>5912500</v>
      </c>
      <c r="T632" s="206">
        <f t="shared" si="115"/>
        <v>12</v>
      </c>
      <c r="U632" s="164">
        <f t="shared" si="112"/>
        <v>100</v>
      </c>
      <c r="V632" s="143" t="s">
        <v>58</v>
      </c>
      <c r="W632" s="159">
        <f t="shared" si="104"/>
        <v>10207500</v>
      </c>
      <c r="X632" s="164">
        <f t="shared" si="105"/>
        <v>83.038438071995131</v>
      </c>
      <c r="Y632" s="143" t="s">
        <v>58</v>
      </c>
      <c r="Z632" s="206">
        <f t="shared" si="91"/>
        <v>24</v>
      </c>
      <c r="AA632" s="159">
        <f t="shared" si="101"/>
        <v>18937500</v>
      </c>
      <c r="AB632" s="149">
        <f t="shared" si="95"/>
        <v>66.666666666666657</v>
      </c>
      <c r="AC632" s="143" t="s">
        <v>58</v>
      </c>
      <c r="AD632" s="194">
        <f t="shared" si="96"/>
        <v>54.37747659794406</v>
      </c>
      <c r="AE632" s="162"/>
      <c r="AF632" s="1"/>
      <c r="AG632" s="1"/>
      <c r="AH632" s="163"/>
      <c r="AI632" s="1"/>
      <c r="AJ632" s="1"/>
      <c r="AK632" s="1"/>
    </row>
    <row r="633" spans="1:37" customFormat="1" ht="210">
      <c r="A633" s="151"/>
      <c r="B633" s="147"/>
      <c r="C633" s="153" t="s">
        <v>926</v>
      </c>
      <c r="D633" s="154" t="s">
        <v>920</v>
      </c>
      <c r="E633" s="155">
        <v>36</v>
      </c>
      <c r="F633" s="182" t="s">
        <v>55</v>
      </c>
      <c r="G633" s="195">
        <v>108148000</v>
      </c>
      <c r="H633" s="205">
        <v>12</v>
      </c>
      <c r="I633" s="157">
        <v>16323000</v>
      </c>
      <c r="J633" s="158">
        <v>12</v>
      </c>
      <c r="K633" s="157">
        <v>45912500</v>
      </c>
      <c r="L633" s="142">
        <v>0</v>
      </c>
      <c r="M633" s="207" t="s">
        <v>449</v>
      </c>
      <c r="N633" s="158">
        <v>6</v>
      </c>
      <c r="O633" s="157">
        <v>14367000</v>
      </c>
      <c r="P633" s="158">
        <v>3</v>
      </c>
      <c r="Q633" s="157">
        <v>23312500</v>
      </c>
      <c r="R633" s="205">
        <v>3</v>
      </c>
      <c r="S633" s="157">
        <v>8107500</v>
      </c>
      <c r="T633" s="206">
        <f t="shared" si="115"/>
        <v>12</v>
      </c>
      <c r="U633" s="164">
        <f t="shared" si="112"/>
        <v>100</v>
      </c>
      <c r="V633" s="143" t="s">
        <v>58</v>
      </c>
      <c r="W633" s="159">
        <f t="shared" si="104"/>
        <v>45787000</v>
      </c>
      <c r="X633" s="164">
        <f t="shared" si="105"/>
        <v>99.726653961339508</v>
      </c>
      <c r="Y633" s="143" t="s">
        <v>58</v>
      </c>
      <c r="Z633" s="206">
        <f t="shared" si="91"/>
        <v>24</v>
      </c>
      <c r="AA633" s="159">
        <f t="shared" si="101"/>
        <v>62110000</v>
      </c>
      <c r="AB633" s="149">
        <f t="shared" si="95"/>
        <v>66.666666666666657</v>
      </c>
      <c r="AC633" s="143" t="s">
        <v>58</v>
      </c>
      <c r="AD633" s="194">
        <f t="shared" si="96"/>
        <v>57.430558124052226</v>
      </c>
      <c r="AE633" s="162"/>
      <c r="AF633" s="1"/>
      <c r="AG633" s="1"/>
      <c r="AH633" s="163"/>
      <c r="AI633" s="1"/>
      <c r="AJ633" s="1"/>
      <c r="AK633" s="1"/>
    </row>
    <row r="634" spans="1:37" customFormat="1" ht="210">
      <c r="A634" s="151"/>
      <c r="B634" s="147"/>
      <c r="C634" s="153" t="s">
        <v>927</v>
      </c>
      <c r="D634" s="154" t="s">
        <v>920</v>
      </c>
      <c r="E634" s="155">
        <v>36</v>
      </c>
      <c r="F634" s="182" t="s">
        <v>55</v>
      </c>
      <c r="G634" s="195">
        <v>41707000</v>
      </c>
      <c r="H634" s="205">
        <v>12</v>
      </c>
      <c r="I634" s="157">
        <v>5047000</v>
      </c>
      <c r="J634" s="158">
        <v>12</v>
      </c>
      <c r="K634" s="157">
        <v>18330000</v>
      </c>
      <c r="L634" s="142">
        <v>3</v>
      </c>
      <c r="M634" s="207" t="s">
        <v>449</v>
      </c>
      <c r="N634" s="158">
        <v>3</v>
      </c>
      <c r="O634" s="157">
        <v>1610000</v>
      </c>
      <c r="P634" s="158">
        <v>3</v>
      </c>
      <c r="Q634" s="157">
        <v>7135000</v>
      </c>
      <c r="R634" s="205">
        <v>3</v>
      </c>
      <c r="S634" s="157">
        <v>8815000</v>
      </c>
      <c r="T634" s="206">
        <f t="shared" si="115"/>
        <v>12</v>
      </c>
      <c r="U634" s="164">
        <f t="shared" si="112"/>
        <v>100</v>
      </c>
      <c r="V634" s="143" t="s">
        <v>58</v>
      </c>
      <c r="W634" s="159">
        <f t="shared" si="104"/>
        <v>17560000</v>
      </c>
      <c r="X634" s="164">
        <f t="shared" si="105"/>
        <v>95.799236224768137</v>
      </c>
      <c r="Y634" s="143" t="s">
        <v>58</v>
      </c>
      <c r="Z634" s="206">
        <f t="shared" si="91"/>
        <v>24</v>
      </c>
      <c r="AA634" s="159">
        <f t="shared" si="101"/>
        <v>22607000</v>
      </c>
      <c r="AB634" s="149">
        <f t="shared" si="95"/>
        <v>66.666666666666657</v>
      </c>
      <c r="AC634" s="143" t="s">
        <v>58</v>
      </c>
      <c r="AD634" s="194">
        <f t="shared" si="96"/>
        <v>54.204330208358307</v>
      </c>
      <c r="AE634" s="162"/>
      <c r="AF634" s="1"/>
      <c r="AG634" s="1"/>
      <c r="AH634" s="163"/>
      <c r="AI634" s="1"/>
      <c r="AJ634" s="1"/>
      <c r="AK634" s="1"/>
    </row>
    <row r="635" spans="1:37" customFormat="1" ht="210">
      <c r="A635" s="151"/>
      <c r="B635" s="147"/>
      <c r="C635" s="153" t="s">
        <v>928</v>
      </c>
      <c r="D635" s="154" t="s">
        <v>920</v>
      </c>
      <c r="E635" s="155">
        <v>36</v>
      </c>
      <c r="F635" s="182" t="s">
        <v>55</v>
      </c>
      <c r="G635" s="195">
        <v>48070000</v>
      </c>
      <c r="H635" s="205">
        <v>12</v>
      </c>
      <c r="I635" s="157">
        <v>5900000</v>
      </c>
      <c r="J635" s="158">
        <v>12</v>
      </c>
      <c r="K635" s="157">
        <v>33891575</v>
      </c>
      <c r="L635" s="142">
        <v>3</v>
      </c>
      <c r="M635" s="207" t="s">
        <v>449</v>
      </c>
      <c r="N635" s="158">
        <v>3</v>
      </c>
      <c r="O635" s="157">
        <v>9505000</v>
      </c>
      <c r="P635" s="158">
        <v>3</v>
      </c>
      <c r="Q635" s="157">
        <v>9505000</v>
      </c>
      <c r="R635" s="205">
        <v>3</v>
      </c>
      <c r="S635" s="157">
        <v>16352500</v>
      </c>
      <c r="T635" s="206">
        <f t="shared" si="115"/>
        <v>12</v>
      </c>
      <c r="U635" s="164">
        <f t="shared" si="112"/>
        <v>100</v>
      </c>
      <c r="V635" s="143" t="s">
        <v>58</v>
      </c>
      <c r="W635" s="159">
        <f t="shared" si="104"/>
        <v>35362500</v>
      </c>
      <c r="X635" s="164">
        <f t="shared" si="105"/>
        <v>104.3400904207019</v>
      </c>
      <c r="Y635" s="143" t="s">
        <v>58</v>
      </c>
      <c r="Z635" s="206">
        <f t="shared" si="91"/>
        <v>24</v>
      </c>
      <c r="AA635" s="159">
        <f t="shared" si="101"/>
        <v>41262500</v>
      </c>
      <c r="AB635" s="149">
        <f t="shared" si="95"/>
        <v>66.666666666666657</v>
      </c>
      <c r="AC635" s="143" t="s">
        <v>58</v>
      </c>
      <c r="AD635" s="194">
        <f t="shared" si="96"/>
        <v>85.838360723944248</v>
      </c>
      <c r="AE635" s="162"/>
      <c r="AF635" s="1"/>
      <c r="AG635" s="1"/>
      <c r="AH635" s="163"/>
      <c r="AI635" s="1"/>
      <c r="AJ635" s="1"/>
      <c r="AK635" s="1"/>
    </row>
    <row r="636" spans="1:37" customFormat="1" ht="210">
      <c r="A636" s="151"/>
      <c r="B636" s="147"/>
      <c r="C636" s="153" t="s">
        <v>929</v>
      </c>
      <c r="D636" s="154" t="s">
        <v>920</v>
      </c>
      <c r="E636" s="155">
        <v>36</v>
      </c>
      <c r="F636" s="182" t="s">
        <v>55</v>
      </c>
      <c r="G636" s="195">
        <v>48334700</v>
      </c>
      <c r="H636" s="205">
        <v>12</v>
      </c>
      <c r="I636" s="157">
        <v>7017500</v>
      </c>
      <c r="J636" s="158">
        <v>12</v>
      </c>
      <c r="K636" s="157">
        <v>20658600</v>
      </c>
      <c r="L636" s="142">
        <v>3</v>
      </c>
      <c r="M636" s="207" t="s">
        <v>449</v>
      </c>
      <c r="N636" s="158">
        <v>3</v>
      </c>
      <c r="O636" s="157"/>
      <c r="P636" s="158">
        <v>3</v>
      </c>
      <c r="Q636" s="157">
        <v>2932000</v>
      </c>
      <c r="R636" s="205">
        <v>3</v>
      </c>
      <c r="S636" s="157">
        <v>16731925</v>
      </c>
      <c r="T636" s="206">
        <f t="shared" si="115"/>
        <v>12</v>
      </c>
      <c r="U636" s="164">
        <f t="shared" si="112"/>
        <v>100</v>
      </c>
      <c r="V636" s="143" t="s">
        <v>58</v>
      </c>
      <c r="W636" s="159">
        <f t="shared" si="104"/>
        <v>19663925</v>
      </c>
      <c r="X636" s="164">
        <f t="shared" si="105"/>
        <v>95.185177117520055</v>
      </c>
      <c r="Y636" s="143" t="s">
        <v>58</v>
      </c>
      <c r="Z636" s="206">
        <f t="shared" si="91"/>
        <v>24</v>
      </c>
      <c r="AA636" s="159">
        <f t="shared" si="101"/>
        <v>26681425</v>
      </c>
      <c r="AB636" s="149">
        <f t="shared" si="95"/>
        <v>66.666666666666657</v>
      </c>
      <c r="AC636" s="143" t="s">
        <v>58</v>
      </c>
      <c r="AD636" s="194">
        <f t="shared" si="96"/>
        <v>55.20138740904568</v>
      </c>
      <c r="AE636" s="162"/>
      <c r="AF636" s="1"/>
      <c r="AG636" s="1"/>
      <c r="AH636" s="163"/>
      <c r="AI636" s="1"/>
      <c r="AJ636" s="1"/>
      <c r="AK636" s="1"/>
    </row>
    <row r="637" spans="1:37" customFormat="1" ht="210">
      <c r="A637" s="151"/>
      <c r="B637" s="147"/>
      <c r="C637" s="153" t="s">
        <v>930</v>
      </c>
      <c r="D637" s="154" t="s">
        <v>920</v>
      </c>
      <c r="E637" s="155">
        <v>36</v>
      </c>
      <c r="F637" s="182" t="s">
        <v>55</v>
      </c>
      <c r="G637" s="195">
        <v>42997600</v>
      </c>
      <c r="H637" s="205">
        <v>12</v>
      </c>
      <c r="I637" s="157">
        <v>21107600</v>
      </c>
      <c r="J637" s="158">
        <v>12</v>
      </c>
      <c r="K637" s="157">
        <v>10945000</v>
      </c>
      <c r="L637" s="142">
        <v>3</v>
      </c>
      <c r="M637" s="207" t="s">
        <v>449</v>
      </c>
      <c r="N637" s="158">
        <v>3</v>
      </c>
      <c r="O637" s="157"/>
      <c r="P637" s="158">
        <v>3</v>
      </c>
      <c r="Q637" s="157">
        <v>4140000</v>
      </c>
      <c r="R637" s="205">
        <v>3</v>
      </c>
      <c r="S637" s="157">
        <v>6465000</v>
      </c>
      <c r="T637" s="206">
        <f t="shared" si="115"/>
        <v>12</v>
      </c>
      <c r="U637" s="164">
        <f t="shared" si="112"/>
        <v>100</v>
      </c>
      <c r="V637" s="143" t="s">
        <v>58</v>
      </c>
      <c r="W637" s="159">
        <f t="shared" si="104"/>
        <v>10605000</v>
      </c>
      <c r="X637" s="164">
        <f t="shared" si="105"/>
        <v>96.893558702603926</v>
      </c>
      <c r="Y637" s="143" t="s">
        <v>58</v>
      </c>
      <c r="Z637" s="206">
        <f t="shared" si="91"/>
        <v>24</v>
      </c>
      <c r="AA637" s="159">
        <f t="shared" si="101"/>
        <v>31712600</v>
      </c>
      <c r="AB637" s="149">
        <f t="shared" si="95"/>
        <v>66.666666666666657</v>
      </c>
      <c r="AC637" s="143" t="s">
        <v>58</v>
      </c>
      <c r="AD637" s="194">
        <f t="shared" si="96"/>
        <v>73.754349079948639</v>
      </c>
      <c r="AE637" s="162"/>
      <c r="AF637" s="1"/>
      <c r="AG637" s="1"/>
      <c r="AH637" s="163"/>
      <c r="AI637" s="1"/>
      <c r="AJ637" s="1"/>
      <c r="AK637" s="1"/>
    </row>
    <row r="638" spans="1:37" customFormat="1" ht="210">
      <c r="A638" s="151"/>
      <c r="B638" s="147"/>
      <c r="C638" s="153" t="s">
        <v>931</v>
      </c>
      <c r="D638" s="154" t="s">
        <v>920</v>
      </c>
      <c r="E638" s="155">
        <v>36</v>
      </c>
      <c r="F638" s="182" t="s">
        <v>55</v>
      </c>
      <c r="G638" s="195">
        <v>20096000</v>
      </c>
      <c r="H638" s="205">
        <v>12</v>
      </c>
      <c r="I638" s="157">
        <v>4870000</v>
      </c>
      <c r="J638" s="158">
        <v>12</v>
      </c>
      <c r="K638" s="157">
        <v>20127500</v>
      </c>
      <c r="L638" s="142">
        <v>3</v>
      </c>
      <c r="M638" s="207" t="s">
        <v>449</v>
      </c>
      <c r="N638" s="158">
        <v>3</v>
      </c>
      <c r="O638" s="157">
        <v>0</v>
      </c>
      <c r="P638" s="158">
        <v>3</v>
      </c>
      <c r="Q638" s="157">
        <v>3220000</v>
      </c>
      <c r="R638" s="205">
        <v>3</v>
      </c>
      <c r="S638" s="157">
        <v>14947500</v>
      </c>
      <c r="T638" s="206">
        <f t="shared" si="115"/>
        <v>12</v>
      </c>
      <c r="U638" s="164">
        <f t="shared" si="112"/>
        <v>100</v>
      </c>
      <c r="V638" s="143" t="s">
        <v>58</v>
      </c>
      <c r="W638" s="159">
        <f t="shared" si="104"/>
        <v>18167500</v>
      </c>
      <c r="X638" s="164">
        <f t="shared" si="105"/>
        <v>90.262079244814302</v>
      </c>
      <c r="Y638" s="143" t="s">
        <v>58</v>
      </c>
      <c r="Z638" s="206">
        <f t="shared" si="91"/>
        <v>24</v>
      </c>
      <c r="AA638" s="159">
        <f t="shared" si="101"/>
        <v>23037500</v>
      </c>
      <c r="AB638" s="149">
        <f t="shared" si="95"/>
        <v>66.666666666666657</v>
      </c>
      <c r="AC638" s="143" t="s">
        <v>58</v>
      </c>
      <c r="AD638" s="194">
        <f t="shared" si="96"/>
        <v>114.63724124203823</v>
      </c>
      <c r="AE638" s="162"/>
      <c r="AF638" s="1"/>
      <c r="AG638" s="1"/>
      <c r="AH638" s="163"/>
      <c r="AI638" s="1"/>
      <c r="AJ638" s="1"/>
      <c r="AK638" s="1"/>
    </row>
    <row r="639" spans="1:37" customFormat="1" ht="210">
      <c r="A639" s="151"/>
      <c r="B639" s="147"/>
      <c r="C639" s="153" t="s">
        <v>932</v>
      </c>
      <c r="D639" s="154" t="s">
        <v>920</v>
      </c>
      <c r="E639" s="155">
        <v>36</v>
      </c>
      <c r="F639" s="182" t="s">
        <v>55</v>
      </c>
      <c r="G639" s="195">
        <v>95631150</v>
      </c>
      <c r="H639" s="205">
        <v>12</v>
      </c>
      <c r="I639" s="157">
        <v>47866000</v>
      </c>
      <c r="J639" s="158">
        <v>12</v>
      </c>
      <c r="K639" s="157">
        <v>22123000</v>
      </c>
      <c r="L639" s="142">
        <v>3</v>
      </c>
      <c r="M639" s="207" t="s">
        <v>449</v>
      </c>
      <c r="N639" s="158">
        <v>3</v>
      </c>
      <c r="O639" s="157">
        <v>4760000</v>
      </c>
      <c r="P639" s="158">
        <v>3</v>
      </c>
      <c r="Q639" s="157">
        <v>9290000</v>
      </c>
      <c r="R639" s="205">
        <v>3</v>
      </c>
      <c r="S639" s="183">
        <v>21675000</v>
      </c>
      <c r="T639" s="206">
        <f t="shared" si="115"/>
        <v>12</v>
      </c>
      <c r="U639" s="164">
        <f t="shared" si="112"/>
        <v>100</v>
      </c>
      <c r="V639" s="143" t="s">
        <v>58</v>
      </c>
      <c r="W639" s="159">
        <f t="shared" si="104"/>
        <v>35725000</v>
      </c>
      <c r="X639" s="164">
        <f t="shared" si="105"/>
        <v>161.48352393436696</v>
      </c>
      <c r="Y639" s="143" t="s">
        <v>58</v>
      </c>
      <c r="Z639" s="206">
        <f t="shared" si="91"/>
        <v>24</v>
      </c>
      <c r="AA639" s="159">
        <f t="shared" si="101"/>
        <v>83591000</v>
      </c>
      <c r="AB639" s="149">
        <f t="shared" si="95"/>
        <v>66.666666666666657</v>
      </c>
      <c r="AC639" s="143" t="s">
        <v>58</v>
      </c>
      <c r="AD639" s="194">
        <f t="shared" si="96"/>
        <v>87.409803186514011</v>
      </c>
      <c r="AE639" s="162"/>
      <c r="AF639" s="1"/>
      <c r="AG639" s="1"/>
      <c r="AH639" s="163"/>
      <c r="AI639" s="1"/>
      <c r="AJ639" s="1"/>
      <c r="AK639" s="1"/>
    </row>
    <row r="640" spans="1:37" customFormat="1" ht="210">
      <c r="A640" s="151"/>
      <c r="B640" s="147"/>
      <c r="C640" s="153" t="s">
        <v>933</v>
      </c>
      <c r="D640" s="154" t="s">
        <v>920</v>
      </c>
      <c r="E640" s="155">
        <v>36</v>
      </c>
      <c r="F640" s="182" t="s">
        <v>55</v>
      </c>
      <c r="G640" s="195">
        <v>44567160</v>
      </c>
      <c r="H640" s="205">
        <v>12</v>
      </c>
      <c r="I640" s="157">
        <v>22550000</v>
      </c>
      <c r="J640" s="158">
        <v>12</v>
      </c>
      <c r="K640" s="157">
        <v>8845580</v>
      </c>
      <c r="L640" s="142">
        <v>3</v>
      </c>
      <c r="M640" s="207" t="s">
        <v>449</v>
      </c>
      <c r="N640" s="158">
        <v>3</v>
      </c>
      <c r="O640" s="157">
        <v>0</v>
      </c>
      <c r="P640" s="158">
        <v>3</v>
      </c>
      <c r="Q640" s="157">
        <v>4275000</v>
      </c>
      <c r="R640" s="212">
        <v>3</v>
      </c>
      <c r="S640" s="209">
        <v>4087500</v>
      </c>
      <c r="T640" s="206">
        <f t="shared" si="115"/>
        <v>12</v>
      </c>
      <c r="U640" s="164">
        <f t="shared" si="112"/>
        <v>100</v>
      </c>
      <c r="V640" s="143" t="s">
        <v>58</v>
      </c>
      <c r="W640" s="159">
        <f t="shared" si="104"/>
        <v>8362500</v>
      </c>
      <c r="X640" s="164">
        <f t="shared" si="105"/>
        <v>94.538741382701872</v>
      </c>
      <c r="Y640" s="143" t="s">
        <v>58</v>
      </c>
      <c r="Z640" s="206">
        <f t="shared" si="91"/>
        <v>24</v>
      </c>
      <c r="AA640" s="159">
        <f t="shared" si="101"/>
        <v>30912500</v>
      </c>
      <c r="AB640" s="149">
        <f t="shared" si="95"/>
        <v>66.666666666666657</v>
      </c>
      <c r="AC640" s="143" t="s">
        <v>58</v>
      </c>
      <c r="AD640" s="194">
        <f t="shared" si="96"/>
        <v>69.361610656815458</v>
      </c>
      <c r="AE640" s="162"/>
      <c r="AF640" s="1"/>
      <c r="AG640" s="1"/>
      <c r="AH640" s="163"/>
      <c r="AI640" s="1"/>
      <c r="AJ640" s="1"/>
      <c r="AK640" s="1"/>
    </row>
    <row r="641" spans="1:37" customFormat="1" ht="210">
      <c r="A641" s="151"/>
      <c r="B641" s="147"/>
      <c r="C641" s="153" t="s">
        <v>934</v>
      </c>
      <c r="D641" s="154" t="s">
        <v>920</v>
      </c>
      <c r="E641" s="155">
        <v>36</v>
      </c>
      <c r="F641" s="182" t="s">
        <v>55</v>
      </c>
      <c r="G641" s="195">
        <v>50827000</v>
      </c>
      <c r="H641" s="205">
        <v>12</v>
      </c>
      <c r="I641" s="157">
        <v>8764000</v>
      </c>
      <c r="J641" s="158">
        <v>12</v>
      </c>
      <c r="K641" s="157">
        <v>19419000</v>
      </c>
      <c r="L641" s="142">
        <v>2</v>
      </c>
      <c r="M641" s="207" t="s">
        <v>449</v>
      </c>
      <c r="N641" s="158">
        <v>4</v>
      </c>
      <c r="O641" s="157">
        <v>7980000</v>
      </c>
      <c r="P641" s="158">
        <v>3</v>
      </c>
      <c r="Q641" s="157">
        <v>6137798</v>
      </c>
      <c r="R641" s="212">
        <v>3</v>
      </c>
      <c r="S641" s="209">
        <v>3422202</v>
      </c>
      <c r="T641" s="206">
        <f t="shared" si="115"/>
        <v>12</v>
      </c>
      <c r="U641" s="164">
        <f t="shared" si="112"/>
        <v>100</v>
      </c>
      <c r="V641" s="143" t="s">
        <v>58</v>
      </c>
      <c r="W641" s="159">
        <f t="shared" si="104"/>
        <v>17540000</v>
      </c>
      <c r="X641" s="164">
        <f t="shared" si="105"/>
        <v>90.323909573098518</v>
      </c>
      <c r="Y641" s="143" t="s">
        <v>58</v>
      </c>
      <c r="Z641" s="206">
        <f t="shared" si="91"/>
        <v>24</v>
      </c>
      <c r="AA641" s="159">
        <f t="shared" si="101"/>
        <v>26304000</v>
      </c>
      <c r="AB641" s="149">
        <f t="shared" si="95"/>
        <v>66.666666666666657</v>
      </c>
      <c r="AC641" s="143" t="s">
        <v>58</v>
      </c>
      <c r="AD641" s="194">
        <f t="shared" si="96"/>
        <v>51.752021563342318</v>
      </c>
      <c r="AE641" s="162"/>
      <c r="AF641" s="1"/>
      <c r="AG641" s="1"/>
      <c r="AH641" s="163"/>
      <c r="AI641" s="1"/>
      <c r="AJ641" s="1"/>
      <c r="AK641" s="1"/>
    </row>
    <row r="642" spans="1:37" customFormat="1" ht="225">
      <c r="A642" s="151"/>
      <c r="B642" s="147"/>
      <c r="C642" s="153" t="s">
        <v>935</v>
      </c>
      <c r="D642" s="154" t="s">
        <v>920</v>
      </c>
      <c r="E642" s="155">
        <v>36</v>
      </c>
      <c r="F642" s="182" t="s">
        <v>55</v>
      </c>
      <c r="G642" s="195">
        <v>30148000</v>
      </c>
      <c r="H642" s="205">
        <v>12</v>
      </c>
      <c r="I642" s="157">
        <v>8480000</v>
      </c>
      <c r="J642" s="158">
        <v>12</v>
      </c>
      <c r="K642" s="157">
        <v>10834000</v>
      </c>
      <c r="L642" s="142">
        <v>3</v>
      </c>
      <c r="M642" s="207" t="s">
        <v>449</v>
      </c>
      <c r="N642" s="158">
        <v>3</v>
      </c>
      <c r="O642" s="157"/>
      <c r="P642" s="158">
        <v>3</v>
      </c>
      <c r="Q642" s="157">
        <v>2950000</v>
      </c>
      <c r="R642" s="212">
        <v>3</v>
      </c>
      <c r="S642" s="209">
        <v>7260000</v>
      </c>
      <c r="T642" s="206">
        <f t="shared" si="115"/>
        <v>12</v>
      </c>
      <c r="U642" s="164">
        <f t="shared" si="112"/>
        <v>100</v>
      </c>
      <c r="V642" s="143" t="s">
        <v>58</v>
      </c>
      <c r="W642" s="159">
        <f t="shared" si="104"/>
        <v>10210000</v>
      </c>
      <c r="X642" s="164">
        <f t="shared" si="105"/>
        <v>94.240354439726786</v>
      </c>
      <c r="Y642" s="143" t="s">
        <v>58</v>
      </c>
      <c r="Z642" s="206">
        <f t="shared" si="91"/>
        <v>24</v>
      </c>
      <c r="AA642" s="159">
        <f t="shared" si="101"/>
        <v>18690000</v>
      </c>
      <c r="AB642" s="149">
        <f t="shared" si="95"/>
        <v>66.666666666666657</v>
      </c>
      <c r="AC642" s="143" t="s">
        <v>58</v>
      </c>
      <c r="AD642" s="194">
        <f t="shared" si="96"/>
        <v>61.994162133474859</v>
      </c>
      <c r="AE642" s="162"/>
      <c r="AF642" s="1"/>
      <c r="AG642" s="1"/>
      <c r="AH642" s="163"/>
      <c r="AI642" s="1"/>
      <c r="AJ642" s="1"/>
      <c r="AK642" s="1"/>
    </row>
    <row r="643" spans="1:37" customFormat="1" ht="210">
      <c r="A643" s="151"/>
      <c r="B643" s="147"/>
      <c r="C643" s="153" t="s">
        <v>936</v>
      </c>
      <c r="D643" s="154" t="s">
        <v>937</v>
      </c>
      <c r="E643" s="155">
        <v>36</v>
      </c>
      <c r="F643" s="182" t="s">
        <v>55</v>
      </c>
      <c r="G643" s="195">
        <v>45540800</v>
      </c>
      <c r="H643" s="205">
        <v>12</v>
      </c>
      <c r="I643" s="157">
        <v>14283400</v>
      </c>
      <c r="J643" s="158">
        <v>12</v>
      </c>
      <c r="K643" s="157">
        <v>11861200</v>
      </c>
      <c r="L643" s="213">
        <v>1</v>
      </c>
      <c r="M643" s="214">
        <v>0</v>
      </c>
      <c r="N643" s="215">
        <v>1</v>
      </c>
      <c r="O643" s="209">
        <v>1760000</v>
      </c>
      <c r="P643" s="215">
        <v>2</v>
      </c>
      <c r="Q643" s="209">
        <v>2040000</v>
      </c>
      <c r="R643" s="216">
        <v>1</v>
      </c>
      <c r="S643" s="209">
        <v>7214900</v>
      </c>
      <c r="T643" s="206">
        <f t="shared" si="115"/>
        <v>5</v>
      </c>
      <c r="U643" s="164">
        <f t="shared" si="112"/>
        <v>41.666666666666671</v>
      </c>
      <c r="V643" s="143" t="s">
        <v>58</v>
      </c>
      <c r="W643" s="159">
        <f t="shared" si="104"/>
        <v>11014900</v>
      </c>
      <c r="X643" s="164">
        <f t="shared" si="105"/>
        <v>92.864971503726437</v>
      </c>
      <c r="Y643" s="143" t="s">
        <v>58</v>
      </c>
      <c r="Z643" s="206">
        <f t="shared" si="91"/>
        <v>17</v>
      </c>
      <c r="AA643" s="159">
        <f t="shared" si="101"/>
        <v>25298300</v>
      </c>
      <c r="AB643" s="149">
        <f t="shared" si="95"/>
        <v>47.222222222222221</v>
      </c>
      <c r="AC643" s="143" t="s">
        <v>58</v>
      </c>
      <c r="AD643" s="194">
        <f t="shared" si="96"/>
        <v>55.55084671327689</v>
      </c>
      <c r="AE643" s="162"/>
      <c r="AF643" s="1"/>
      <c r="AG643" s="1"/>
      <c r="AH643" s="163"/>
      <c r="AI643" s="1"/>
      <c r="AJ643" s="1"/>
      <c r="AK643" s="1"/>
    </row>
    <row r="644" spans="1:37" customFormat="1" ht="210">
      <c r="A644" s="151"/>
      <c r="B644" s="147"/>
      <c r="C644" s="153" t="s">
        <v>938</v>
      </c>
      <c r="D644" s="154" t="s">
        <v>920</v>
      </c>
      <c r="E644" s="155">
        <v>36</v>
      </c>
      <c r="F644" s="182" t="s">
        <v>55</v>
      </c>
      <c r="G644" s="195">
        <v>43840000</v>
      </c>
      <c r="H644" s="205">
        <v>12</v>
      </c>
      <c r="I644" s="157">
        <v>4740000</v>
      </c>
      <c r="J644" s="158">
        <v>12</v>
      </c>
      <c r="K644" s="157">
        <v>20541750</v>
      </c>
      <c r="L644" s="142">
        <v>3</v>
      </c>
      <c r="M644" s="207" t="s">
        <v>449</v>
      </c>
      <c r="N644" s="158">
        <v>3</v>
      </c>
      <c r="O644" s="157">
        <v>0</v>
      </c>
      <c r="P644" s="158">
        <v>3</v>
      </c>
      <c r="Q644" s="157">
        <v>1530000</v>
      </c>
      <c r="R644" s="212">
        <v>3</v>
      </c>
      <c r="S644" s="209">
        <v>18960000</v>
      </c>
      <c r="T644" s="206">
        <f t="shared" si="115"/>
        <v>12</v>
      </c>
      <c r="U644" s="164">
        <f t="shared" si="112"/>
        <v>100</v>
      </c>
      <c r="V644" s="143" t="s">
        <v>58</v>
      </c>
      <c r="W644" s="159">
        <f t="shared" si="104"/>
        <v>20490000</v>
      </c>
      <c r="X644" s="164">
        <f t="shared" si="105"/>
        <v>99.748074044324369</v>
      </c>
      <c r="Y644" s="143" t="s">
        <v>58</v>
      </c>
      <c r="Z644" s="206">
        <f t="shared" si="91"/>
        <v>24</v>
      </c>
      <c r="AA644" s="159">
        <f t="shared" si="101"/>
        <v>25230000</v>
      </c>
      <c r="AB644" s="149">
        <f t="shared" si="95"/>
        <v>66.666666666666657</v>
      </c>
      <c r="AC644" s="143" t="s">
        <v>58</v>
      </c>
      <c r="AD644" s="194">
        <f t="shared" si="96"/>
        <v>57.550182481751818</v>
      </c>
      <c r="AE644" s="162"/>
      <c r="AF644" s="1"/>
      <c r="AG644" s="1"/>
      <c r="AH644" s="163"/>
      <c r="AI644" s="1"/>
      <c r="AJ644" s="1"/>
      <c r="AK644" s="1"/>
    </row>
    <row r="645" spans="1:37" customFormat="1" ht="210">
      <c r="A645" s="151"/>
      <c r="B645" s="147"/>
      <c r="C645" s="153" t="s">
        <v>939</v>
      </c>
      <c r="D645" s="154" t="s">
        <v>920</v>
      </c>
      <c r="E645" s="155">
        <v>36</v>
      </c>
      <c r="F645" s="182" t="s">
        <v>55</v>
      </c>
      <c r="G645" s="195">
        <v>142292200</v>
      </c>
      <c r="H645" s="205">
        <v>12</v>
      </c>
      <c r="I645" s="157">
        <v>11008500</v>
      </c>
      <c r="J645" s="158">
        <v>12</v>
      </c>
      <c r="K645" s="157">
        <v>73985950</v>
      </c>
      <c r="L645" s="142">
        <v>3</v>
      </c>
      <c r="M645" s="207" t="s">
        <v>449</v>
      </c>
      <c r="N645" s="158">
        <v>3</v>
      </c>
      <c r="O645" s="157">
        <v>0</v>
      </c>
      <c r="P645" s="158">
        <v>3</v>
      </c>
      <c r="Q645" s="157">
        <v>14326850</v>
      </c>
      <c r="R645" s="205">
        <v>3</v>
      </c>
      <c r="S645" s="157">
        <v>32469350</v>
      </c>
      <c r="T645" s="206">
        <f t="shared" si="115"/>
        <v>12</v>
      </c>
      <c r="U645" s="164">
        <f t="shared" si="112"/>
        <v>100</v>
      </c>
      <c r="V645" s="143" t="s">
        <v>58</v>
      </c>
      <c r="W645" s="159">
        <f t="shared" si="104"/>
        <v>46796200</v>
      </c>
      <c r="X645" s="164">
        <f t="shared" si="105"/>
        <v>63.25011708304077</v>
      </c>
      <c r="Y645" s="143" t="s">
        <v>58</v>
      </c>
      <c r="Z645" s="206">
        <f t="shared" si="91"/>
        <v>24</v>
      </c>
      <c r="AA645" s="159">
        <f t="shared" si="101"/>
        <v>57804700</v>
      </c>
      <c r="AB645" s="149">
        <f t="shared" si="95"/>
        <v>66.666666666666657</v>
      </c>
      <c r="AC645" s="143" t="s">
        <v>58</v>
      </c>
      <c r="AD645" s="194">
        <f t="shared" si="96"/>
        <v>40.623941438813929</v>
      </c>
      <c r="AE645" s="162"/>
      <c r="AF645" s="1"/>
      <c r="AG645" s="1"/>
      <c r="AH645" s="163"/>
      <c r="AI645" s="1"/>
      <c r="AJ645" s="1"/>
      <c r="AK645" s="1"/>
    </row>
    <row r="646" spans="1:37" customFormat="1" ht="225">
      <c r="A646" s="151"/>
      <c r="B646" s="147"/>
      <c r="C646" s="153" t="s">
        <v>940</v>
      </c>
      <c r="D646" s="154" t="s">
        <v>920</v>
      </c>
      <c r="E646" s="155">
        <v>36</v>
      </c>
      <c r="F646" s="182" t="s">
        <v>55</v>
      </c>
      <c r="G646" s="195">
        <v>65205250</v>
      </c>
      <c r="H646" s="205">
        <v>12</v>
      </c>
      <c r="I646" s="157">
        <v>25624000</v>
      </c>
      <c r="J646" s="158">
        <v>12</v>
      </c>
      <c r="K646" s="157">
        <v>15250000</v>
      </c>
      <c r="L646" s="142">
        <v>3</v>
      </c>
      <c r="M646" s="207" t="s">
        <v>449</v>
      </c>
      <c r="N646" s="158">
        <v>3</v>
      </c>
      <c r="O646" s="157">
        <v>9245000</v>
      </c>
      <c r="P646" s="158">
        <v>3</v>
      </c>
      <c r="Q646" s="157"/>
      <c r="R646" s="205">
        <v>3</v>
      </c>
      <c r="S646" s="157">
        <v>4280000</v>
      </c>
      <c r="T646" s="206">
        <f t="shared" si="115"/>
        <v>12</v>
      </c>
      <c r="U646" s="164">
        <f t="shared" si="112"/>
        <v>100</v>
      </c>
      <c r="V646" s="143" t="s">
        <v>58</v>
      </c>
      <c r="W646" s="159">
        <f t="shared" si="104"/>
        <v>13525000</v>
      </c>
      <c r="X646" s="164">
        <f t="shared" si="105"/>
        <v>88.688524590163937</v>
      </c>
      <c r="Y646" s="143" t="s">
        <v>58</v>
      </c>
      <c r="Z646" s="206">
        <f t="shared" si="91"/>
        <v>24</v>
      </c>
      <c r="AA646" s="159">
        <f t="shared" si="101"/>
        <v>39149000</v>
      </c>
      <c r="AB646" s="149">
        <f t="shared" si="95"/>
        <v>66.666666666666657</v>
      </c>
      <c r="AC646" s="143" t="s">
        <v>58</v>
      </c>
      <c r="AD646" s="194">
        <f t="shared" si="96"/>
        <v>60.039644047066766</v>
      </c>
      <c r="AE646" s="162"/>
      <c r="AF646" s="1"/>
      <c r="AG646" s="1"/>
      <c r="AH646" s="163"/>
      <c r="AI646" s="1"/>
      <c r="AJ646" s="1"/>
      <c r="AK646" s="1"/>
    </row>
    <row r="647" spans="1:37" customFormat="1" ht="210">
      <c r="A647" s="151"/>
      <c r="B647" s="147"/>
      <c r="C647" s="153" t="s">
        <v>941</v>
      </c>
      <c r="D647" s="154" t="s">
        <v>920</v>
      </c>
      <c r="E647" s="155">
        <v>36</v>
      </c>
      <c r="F647" s="182" t="s">
        <v>55</v>
      </c>
      <c r="G647" s="157">
        <v>5647500</v>
      </c>
      <c r="H647" s="205"/>
      <c r="I647" s="157"/>
      <c r="J647" s="158">
        <v>12</v>
      </c>
      <c r="K647" s="157">
        <v>45648500</v>
      </c>
      <c r="L647" s="142">
        <v>3</v>
      </c>
      <c r="M647" s="207" t="s">
        <v>449</v>
      </c>
      <c r="N647" s="158">
        <v>3</v>
      </c>
      <c r="O647" s="157"/>
      <c r="P647" s="158">
        <v>3</v>
      </c>
      <c r="Q647" s="157"/>
      <c r="R647" s="212">
        <v>3</v>
      </c>
      <c r="S647" s="209">
        <v>36590000</v>
      </c>
      <c r="T647" s="206">
        <f t="shared" si="115"/>
        <v>12</v>
      </c>
      <c r="U647" s="164">
        <f t="shared" si="112"/>
        <v>100</v>
      </c>
      <c r="V647" s="143" t="s">
        <v>58</v>
      </c>
      <c r="W647" s="159">
        <f t="shared" si="104"/>
        <v>36590000</v>
      </c>
      <c r="X647" s="164">
        <f t="shared" si="105"/>
        <v>80.155974456992013</v>
      </c>
      <c r="Y647" s="143" t="s">
        <v>58</v>
      </c>
      <c r="Z647" s="206">
        <f t="shared" si="91"/>
        <v>12</v>
      </c>
      <c r="AA647" s="159">
        <f t="shared" si="101"/>
        <v>36590000</v>
      </c>
      <c r="AB647" s="149">
        <f t="shared" si="95"/>
        <v>33.333333333333329</v>
      </c>
      <c r="AC647" s="143" t="s">
        <v>58</v>
      </c>
      <c r="AD647" s="194">
        <f t="shared" si="96"/>
        <v>647.89729969012842</v>
      </c>
      <c r="AE647" s="162"/>
      <c r="AF647" s="1"/>
      <c r="AG647" s="1"/>
      <c r="AH647" s="163"/>
      <c r="AI647" s="1"/>
      <c r="AJ647" s="1"/>
      <c r="AK647" s="1"/>
    </row>
    <row r="648" spans="1:37" ht="127.5" customHeight="1">
      <c r="A648" s="48">
        <v>1</v>
      </c>
      <c r="B648" s="17" t="s">
        <v>29</v>
      </c>
      <c r="C648" s="19" t="s">
        <v>68</v>
      </c>
      <c r="D648" s="19" t="s">
        <v>143</v>
      </c>
      <c r="E648" s="45">
        <v>100</v>
      </c>
      <c r="F648" s="46" t="s">
        <v>58</v>
      </c>
      <c r="G648" s="42">
        <f>G649+G652+G657+G664+G667</f>
        <v>9087385525</v>
      </c>
      <c r="H648" s="45">
        <v>200</v>
      </c>
      <c r="I648" s="42">
        <v>5755678581</v>
      </c>
      <c r="J648" s="45">
        <v>100</v>
      </c>
      <c r="K648" s="42">
        <f>K649+K652+K657+K664+K667</f>
        <v>7907397014</v>
      </c>
      <c r="L648" s="45">
        <v>25</v>
      </c>
      <c r="M648" s="42">
        <f>M649+M652+M657+M664+M667</f>
        <v>903856204</v>
      </c>
      <c r="N648" s="45">
        <v>25</v>
      </c>
      <c r="O648" s="42">
        <f>O649+O652+O657+O664+O667</f>
        <v>1526757923</v>
      </c>
      <c r="P648" s="45">
        <v>25</v>
      </c>
      <c r="Q648" s="42">
        <f>Q649+Q652+Q657+Q664+Q667</f>
        <v>2005119264</v>
      </c>
      <c r="R648" s="45">
        <v>25</v>
      </c>
      <c r="S648" s="42">
        <f>S649+S652+S657+S664+S667</f>
        <v>1818995884</v>
      </c>
      <c r="T648" s="55">
        <f t="shared" si="115"/>
        <v>100</v>
      </c>
      <c r="U648" s="57">
        <f t="shared" si="112"/>
        <v>100</v>
      </c>
      <c r="V648" s="58" t="s">
        <v>58</v>
      </c>
      <c r="W648" s="59">
        <f t="shared" ref="W648:W683" si="116">SUM(M648,O648,Q648,S648)</f>
        <v>6254729275</v>
      </c>
      <c r="X648" s="57">
        <f t="shared" ref="X648:X683" si="117">W648/K648*100</f>
        <v>79.099724775751596</v>
      </c>
      <c r="Y648" s="58" t="s">
        <v>58</v>
      </c>
      <c r="Z648" s="57">
        <f t="shared" ref="Z648:Z711" si="118">H648+T648</f>
        <v>300</v>
      </c>
      <c r="AA648" s="59">
        <f t="shared" ref="AA648:AA711" si="119">I648+W648</f>
        <v>12010407856</v>
      </c>
      <c r="AB648" s="57"/>
      <c r="AC648" s="58"/>
      <c r="AD648" s="57"/>
      <c r="AE648" s="24" t="s">
        <v>2790</v>
      </c>
      <c r="AH648" s="25">
        <f>M648+O648+Q648+S648</f>
        <v>6254729275</v>
      </c>
    </row>
    <row r="649" spans="1:37" ht="146.25" customHeight="1">
      <c r="A649" s="16"/>
      <c r="B649" s="17"/>
      <c r="C649" s="19" t="s">
        <v>172</v>
      </c>
      <c r="D649" s="19" t="s">
        <v>2791</v>
      </c>
      <c r="E649" s="45">
        <v>15</v>
      </c>
      <c r="F649" s="46" t="s">
        <v>55</v>
      </c>
      <c r="G649" s="42">
        <f>SUM(G650:G651)</f>
        <v>4920000</v>
      </c>
      <c r="H649" s="386">
        <v>30</v>
      </c>
      <c r="I649" s="42">
        <f t="shared" ref="I649:P649" si="120">SUM(I650:I651)</f>
        <v>4526500</v>
      </c>
      <c r="J649" s="386">
        <f t="shared" si="120"/>
        <v>15</v>
      </c>
      <c r="K649" s="42">
        <f t="shared" si="120"/>
        <v>6974800</v>
      </c>
      <c r="L649" s="386">
        <f t="shared" si="120"/>
        <v>4</v>
      </c>
      <c r="M649" s="42">
        <f t="shared" si="120"/>
        <v>2910000</v>
      </c>
      <c r="N649" s="386">
        <f t="shared" si="120"/>
        <v>2</v>
      </c>
      <c r="O649" s="42">
        <f t="shared" si="120"/>
        <v>1124900</v>
      </c>
      <c r="P649" s="386">
        <f t="shared" si="120"/>
        <v>5</v>
      </c>
      <c r="Q649" s="42">
        <f>SUM(Q650:Q651)</f>
        <v>0</v>
      </c>
      <c r="R649" s="386">
        <v>4</v>
      </c>
      <c r="S649" s="42">
        <f>SUM(S650:S651)</f>
        <v>2934750</v>
      </c>
      <c r="T649" s="55">
        <f t="shared" si="115"/>
        <v>15</v>
      </c>
      <c r="U649" s="57">
        <f t="shared" si="112"/>
        <v>100</v>
      </c>
      <c r="V649" s="58" t="s">
        <v>58</v>
      </c>
      <c r="W649" s="59">
        <f t="shared" si="116"/>
        <v>6969650</v>
      </c>
      <c r="X649" s="57">
        <f t="shared" si="117"/>
        <v>99.926162757355058</v>
      </c>
      <c r="Y649" s="58" t="s">
        <v>58</v>
      </c>
      <c r="Z649" s="55">
        <f t="shared" si="118"/>
        <v>45</v>
      </c>
      <c r="AA649" s="59">
        <f t="shared" si="119"/>
        <v>11496150</v>
      </c>
      <c r="AB649" s="57"/>
      <c r="AC649" s="58"/>
      <c r="AD649" s="57"/>
      <c r="AE649" s="24"/>
      <c r="AH649" s="25"/>
    </row>
    <row r="650" spans="1:37" ht="75">
      <c r="A650" s="16"/>
      <c r="B650" s="17"/>
      <c r="C650" s="29" t="s">
        <v>69</v>
      </c>
      <c r="D650" s="29" t="s">
        <v>211</v>
      </c>
      <c r="E650" s="20">
        <f>J650*3</f>
        <v>30</v>
      </c>
      <c r="F650" s="21" t="s">
        <v>55</v>
      </c>
      <c r="G650" s="50">
        <v>2460000</v>
      </c>
      <c r="H650" s="20">
        <v>10</v>
      </c>
      <c r="I650" s="40">
        <v>3964000</v>
      </c>
      <c r="J650" s="20">
        <v>10</v>
      </c>
      <c r="K650" s="22">
        <v>5849900</v>
      </c>
      <c r="L650" s="20">
        <v>3</v>
      </c>
      <c r="M650" s="22">
        <v>2910000</v>
      </c>
      <c r="N650" s="20">
        <v>1</v>
      </c>
      <c r="O650" s="22">
        <v>0</v>
      </c>
      <c r="P650" s="20">
        <v>4</v>
      </c>
      <c r="Q650" s="22">
        <v>0</v>
      </c>
      <c r="R650" s="20">
        <v>2</v>
      </c>
      <c r="S650" s="22">
        <v>2934750</v>
      </c>
      <c r="T650" s="54">
        <f t="shared" si="115"/>
        <v>10</v>
      </c>
      <c r="U650" s="53">
        <f t="shared" si="112"/>
        <v>100</v>
      </c>
      <c r="V650" s="35" t="s">
        <v>58</v>
      </c>
      <c r="W650" s="40">
        <f t="shared" si="116"/>
        <v>5844750</v>
      </c>
      <c r="X650" s="53">
        <f t="shared" si="117"/>
        <v>99.911964307082172</v>
      </c>
      <c r="Y650" s="35" t="s">
        <v>58</v>
      </c>
      <c r="Z650" s="54">
        <f t="shared" si="118"/>
        <v>20</v>
      </c>
      <c r="AA650" s="40">
        <f t="shared" si="119"/>
        <v>9808750</v>
      </c>
      <c r="AB650" s="53"/>
      <c r="AC650" s="35"/>
      <c r="AD650" s="53"/>
      <c r="AE650" s="11"/>
      <c r="AH650" s="25"/>
    </row>
    <row r="651" spans="1:37" ht="78" customHeight="1">
      <c r="A651" s="16"/>
      <c r="B651" s="17"/>
      <c r="C651" s="29" t="s">
        <v>70</v>
      </c>
      <c r="D651" s="29" t="s">
        <v>212</v>
      </c>
      <c r="E651" s="20">
        <f>J651*3</f>
        <v>15</v>
      </c>
      <c r="F651" s="21" t="s">
        <v>173</v>
      </c>
      <c r="G651" s="50">
        <v>2460000</v>
      </c>
      <c r="H651" s="20">
        <v>20</v>
      </c>
      <c r="I651" s="40">
        <v>562500</v>
      </c>
      <c r="J651" s="20">
        <v>5</v>
      </c>
      <c r="K651" s="22">
        <v>1124900</v>
      </c>
      <c r="L651" s="20">
        <v>1</v>
      </c>
      <c r="M651" s="22">
        <v>0</v>
      </c>
      <c r="N651" s="20">
        <v>1</v>
      </c>
      <c r="O651" s="22">
        <v>1124900</v>
      </c>
      <c r="P651" s="20">
        <v>1</v>
      </c>
      <c r="Q651" s="22">
        <v>0</v>
      </c>
      <c r="R651" s="20">
        <v>2</v>
      </c>
      <c r="S651" s="22"/>
      <c r="T651" s="54">
        <f t="shared" si="115"/>
        <v>5</v>
      </c>
      <c r="U651" s="53">
        <f t="shared" si="112"/>
        <v>100</v>
      </c>
      <c r="V651" s="35" t="s">
        <v>58</v>
      </c>
      <c r="W651" s="40">
        <f t="shared" si="116"/>
        <v>1124900</v>
      </c>
      <c r="X651" s="53">
        <f t="shared" si="117"/>
        <v>100</v>
      </c>
      <c r="Y651" s="35" t="s">
        <v>58</v>
      </c>
      <c r="Z651" s="54">
        <f t="shared" si="118"/>
        <v>25</v>
      </c>
      <c r="AA651" s="40">
        <f t="shared" si="119"/>
        <v>1687400</v>
      </c>
      <c r="AB651" s="53"/>
      <c r="AC651" s="35"/>
      <c r="AD651" s="53"/>
      <c r="AE651" s="11"/>
      <c r="AH651" s="25"/>
    </row>
    <row r="652" spans="1:37" ht="110.25">
      <c r="A652" s="48">
        <v>2</v>
      </c>
      <c r="B652" s="49" t="s">
        <v>30</v>
      </c>
      <c r="C652" s="19" t="s">
        <v>71</v>
      </c>
      <c r="D652" s="19" t="s">
        <v>2406</v>
      </c>
      <c r="E652" s="74">
        <f>SUM(E654:E656)</f>
        <v>42</v>
      </c>
      <c r="F652" s="46" t="s">
        <v>55</v>
      </c>
      <c r="G652" s="42">
        <f>SUM(G653:G656)</f>
        <v>6520633000</v>
      </c>
      <c r="H652" s="74">
        <v>28</v>
      </c>
      <c r="I652" s="42">
        <f>SUM(I653:I656)</f>
        <v>4045939993</v>
      </c>
      <c r="J652" s="74">
        <f>SUM(J654:J656)</f>
        <v>14</v>
      </c>
      <c r="K652" s="42">
        <f>SUM(K653:K656)</f>
        <v>5945030714</v>
      </c>
      <c r="L652" s="74">
        <f>SUM(L654:L656)</f>
        <v>3</v>
      </c>
      <c r="M652" s="42">
        <f>SUM(M653:M656)</f>
        <v>725929675</v>
      </c>
      <c r="N652" s="74">
        <f>SUM(N654:N656)</f>
        <v>4</v>
      </c>
      <c r="O652" s="42">
        <f>SUM(O653:O656)</f>
        <v>1308963847</v>
      </c>
      <c r="P652" s="74">
        <f>SUM(P654:P656)</f>
        <v>3</v>
      </c>
      <c r="Q652" s="42">
        <f>SUM(Q653:Q656)</f>
        <v>1528720391</v>
      </c>
      <c r="R652" s="74"/>
      <c r="S652" s="42">
        <f>SUM(S653:S656)</f>
        <v>908410968</v>
      </c>
      <c r="T652" s="55">
        <f t="shared" si="115"/>
        <v>10</v>
      </c>
      <c r="U652" s="57">
        <f t="shared" si="112"/>
        <v>71.428571428571431</v>
      </c>
      <c r="V652" s="58" t="s">
        <v>58</v>
      </c>
      <c r="W652" s="59">
        <f t="shared" si="116"/>
        <v>4472024881</v>
      </c>
      <c r="X652" s="57">
        <f t="shared" si="117"/>
        <v>75.222906257974302</v>
      </c>
      <c r="Y652" s="58" t="s">
        <v>58</v>
      </c>
      <c r="Z652" s="55">
        <f t="shared" si="118"/>
        <v>38</v>
      </c>
      <c r="AA652" s="59">
        <f t="shared" si="119"/>
        <v>8517964874</v>
      </c>
      <c r="AB652" s="57"/>
      <c r="AC652" s="58"/>
      <c r="AD652" s="57"/>
      <c r="AE652" s="11"/>
      <c r="AH652" s="25"/>
    </row>
    <row r="653" spans="1:37" ht="90">
      <c r="A653" s="16"/>
      <c r="B653" s="17"/>
      <c r="C653" s="29" t="s">
        <v>1173</v>
      </c>
      <c r="D653" s="26" t="s">
        <v>213</v>
      </c>
      <c r="E653" s="20">
        <v>40</v>
      </c>
      <c r="F653" s="27" t="s">
        <v>57</v>
      </c>
      <c r="G653" s="1008">
        <v>6515713000</v>
      </c>
      <c r="H653" s="44">
        <v>24</v>
      </c>
      <c r="I653" s="22">
        <v>4042939993</v>
      </c>
      <c r="J653" s="44">
        <v>48</v>
      </c>
      <c r="K653" s="23">
        <v>5941281164</v>
      </c>
      <c r="L653" s="44">
        <v>48</v>
      </c>
      <c r="M653" s="23">
        <v>725929675</v>
      </c>
      <c r="N653" s="44">
        <v>48</v>
      </c>
      <c r="O653" s="23">
        <v>1306717147</v>
      </c>
      <c r="P653" s="44">
        <v>48</v>
      </c>
      <c r="Q653" s="23">
        <v>1528720391</v>
      </c>
      <c r="R653" s="44">
        <v>48</v>
      </c>
      <c r="S653" s="23">
        <v>906911218</v>
      </c>
      <c r="T653" s="54">
        <f t="shared" si="115"/>
        <v>192</v>
      </c>
      <c r="U653" s="54">
        <f t="shared" si="112"/>
        <v>400</v>
      </c>
      <c r="V653" s="35" t="s">
        <v>58</v>
      </c>
      <c r="W653" s="40">
        <f>SUM(M653,O653,Q653,S653)</f>
        <v>4468278431</v>
      </c>
      <c r="X653" s="53">
        <f t="shared" si="117"/>
        <v>75.207321580312268</v>
      </c>
      <c r="Y653" s="35" t="s">
        <v>58</v>
      </c>
      <c r="Z653" s="54">
        <f t="shared" si="118"/>
        <v>216</v>
      </c>
      <c r="AA653" s="40">
        <f t="shared" si="119"/>
        <v>8511218424</v>
      </c>
      <c r="AB653" s="53"/>
      <c r="AC653" s="35"/>
      <c r="AD653" s="53"/>
      <c r="AE653" s="30"/>
      <c r="AH653" s="25">
        <f>M653+O653+Q653+S653</f>
        <v>4468278431</v>
      </c>
    </row>
    <row r="654" spans="1:37" ht="195">
      <c r="A654" s="16"/>
      <c r="B654" s="17"/>
      <c r="C654" s="29" t="s">
        <v>73</v>
      </c>
      <c r="D654" s="29" t="s">
        <v>214</v>
      </c>
      <c r="E654" s="20">
        <f>J654*3</f>
        <v>3</v>
      </c>
      <c r="F654" s="27" t="s">
        <v>173</v>
      </c>
      <c r="G654" s="1008">
        <f>G649/3</f>
        <v>1640000</v>
      </c>
      <c r="H654" s="44">
        <v>2</v>
      </c>
      <c r="I654" s="22">
        <v>750000</v>
      </c>
      <c r="J654" s="44">
        <v>1</v>
      </c>
      <c r="K654" s="23">
        <v>1499750</v>
      </c>
      <c r="L654" s="44">
        <v>0</v>
      </c>
      <c r="M654" s="23">
        <v>0</v>
      </c>
      <c r="N654" s="44">
        <v>0</v>
      </c>
      <c r="O654" s="23">
        <v>0</v>
      </c>
      <c r="P654" s="44">
        <v>0</v>
      </c>
      <c r="Q654" s="23">
        <v>0</v>
      </c>
      <c r="R654" s="44">
        <v>1</v>
      </c>
      <c r="S654" s="23">
        <v>1499750</v>
      </c>
      <c r="T654" s="54">
        <f t="shared" si="115"/>
        <v>1</v>
      </c>
      <c r="U654" s="54">
        <f t="shared" si="112"/>
        <v>100</v>
      </c>
      <c r="V654" s="35" t="s">
        <v>58</v>
      </c>
      <c r="W654" s="40">
        <f t="shared" si="116"/>
        <v>1499750</v>
      </c>
      <c r="X654" s="53">
        <f t="shared" si="117"/>
        <v>100</v>
      </c>
      <c r="Y654" s="35" t="s">
        <v>58</v>
      </c>
      <c r="Z654" s="54">
        <f t="shared" si="118"/>
        <v>3</v>
      </c>
      <c r="AA654" s="40">
        <f t="shared" si="119"/>
        <v>2249750</v>
      </c>
      <c r="AB654" s="53"/>
      <c r="AC654" s="35"/>
      <c r="AD654" s="53"/>
      <c r="AE654" s="11"/>
      <c r="AH654" s="25">
        <f>M654+O654+Q654+S654</f>
        <v>1499750</v>
      </c>
    </row>
    <row r="655" spans="1:37" ht="211.5" customHeight="1">
      <c r="A655" s="16"/>
      <c r="B655" s="17"/>
      <c r="C655" s="440" t="s">
        <v>74</v>
      </c>
      <c r="D655" s="29" t="s">
        <v>215</v>
      </c>
      <c r="E655" s="20">
        <f>J655*3</f>
        <v>36</v>
      </c>
      <c r="F655" s="27" t="s">
        <v>173</v>
      </c>
      <c r="G655" s="1008">
        <v>1640000</v>
      </c>
      <c r="H655" s="44">
        <v>24</v>
      </c>
      <c r="I655" s="22">
        <v>1125000</v>
      </c>
      <c r="J655" s="44">
        <v>12</v>
      </c>
      <c r="K655" s="23">
        <v>1124900</v>
      </c>
      <c r="L655" s="44">
        <v>3</v>
      </c>
      <c r="M655" s="23">
        <v>0</v>
      </c>
      <c r="N655" s="44">
        <v>3</v>
      </c>
      <c r="O655" s="23">
        <v>1124700</v>
      </c>
      <c r="P655" s="44">
        <v>3</v>
      </c>
      <c r="Q655" s="23">
        <v>0</v>
      </c>
      <c r="R655" s="44">
        <v>3</v>
      </c>
      <c r="S655" s="23">
        <v>0</v>
      </c>
      <c r="T655" s="54">
        <f t="shared" si="115"/>
        <v>12</v>
      </c>
      <c r="U655" s="54">
        <f t="shared" si="112"/>
        <v>100</v>
      </c>
      <c r="V655" s="35" t="s">
        <v>58</v>
      </c>
      <c r="W655" s="40">
        <f t="shared" si="116"/>
        <v>1124700</v>
      </c>
      <c r="X655" s="53">
        <f t="shared" si="117"/>
        <v>99.982220641834829</v>
      </c>
      <c r="Y655" s="35" t="s">
        <v>58</v>
      </c>
      <c r="Z655" s="54">
        <f t="shared" si="118"/>
        <v>36</v>
      </c>
      <c r="AA655" s="40">
        <f t="shared" si="119"/>
        <v>2249700</v>
      </c>
      <c r="AB655" s="53"/>
      <c r="AC655" s="35"/>
      <c r="AD655" s="53"/>
      <c r="AE655" s="11"/>
      <c r="AH655" s="25">
        <f>M655+O655+Q655+S655</f>
        <v>1124700</v>
      </c>
    </row>
    <row r="656" spans="1:37" ht="105">
      <c r="A656" s="16"/>
      <c r="B656" s="17"/>
      <c r="C656" s="29" t="s">
        <v>75</v>
      </c>
      <c r="D656" s="29" t="s">
        <v>216</v>
      </c>
      <c r="E656" s="20">
        <f>J656*3</f>
        <v>3</v>
      </c>
      <c r="F656" s="27" t="s">
        <v>55</v>
      </c>
      <c r="G656" s="1008">
        <v>1640000</v>
      </c>
      <c r="H656" s="44">
        <v>2</v>
      </c>
      <c r="I656" s="22">
        <v>1125000</v>
      </c>
      <c r="J656" s="44">
        <v>1</v>
      </c>
      <c r="K656" s="23">
        <v>1124900</v>
      </c>
      <c r="L656" s="44">
        <v>0</v>
      </c>
      <c r="M656" s="23">
        <v>0</v>
      </c>
      <c r="N656" s="44">
        <v>1</v>
      </c>
      <c r="O656" s="23">
        <v>1122000</v>
      </c>
      <c r="P656" s="44">
        <v>0</v>
      </c>
      <c r="Q656" s="23">
        <v>0</v>
      </c>
      <c r="R656" s="44">
        <v>0</v>
      </c>
      <c r="S656" s="23">
        <v>0</v>
      </c>
      <c r="T656" s="54">
        <f t="shared" si="115"/>
        <v>1</v>
      </c>
      <c r="U656" s="54">
        <f t="shared" si="112"/>
        <v>100</v>
      </c>
      <c r="V656" s="35" t="s">
        <v>58</v>
      </c>
      <c r="W656" s="40">
        <f t="shared" si="116"/>
        <v>1122000</v>
      </c>
      <c r="X656" s="53">
        <f t="shared" si="117"/>
        <v>99.742199306605031</v>
      </c>
      <c r="Y656" s="35" t="s">
        <v>58</v>
      </c>
      <c r="Z656" s="54">
        <f t="shared" si="118"/>
        <v>3</v>
      </c>
      <c r="AA656" s="40">
        <f t="shared" si="119"/>
        <v>2247000</v>
      </c>
      <c r="AB656" s="53"/>
      <c r="AC656" s="35"/>
      <c r="AD656" s="53"/>
      <c r="AE656" s="11"/>
      <c r="AH656" s="25">
        <f>M656+O656+Q656+S656</f>
        <v>1122000</v>
      </c>
    </row>
    <row r="657" spans="1:34" ht="94.5">
      <c r="A657" s="16"/>
      <c r="B657" s="17"/>
      <c r="C657" s="19" t="s">
        <v>76</v>
      </c>
      <c r="D657" s="19" t="s">
        <v>2412</v>
      </c>
      <c r="E657" s="45">
        <v>100</v>
      </c>
      <c r="F657" s="46" t="s">
        <v>58</v>
      </c>
      <c r="G657" s="42">
        <f>SUM(G658:G663)</f>
        <v>925272525</v>
      </c>
      <c r="H657" s="74">
        <v>2</v>
      </c>
      <c r="I657" s="42">
        <f>SUM(I658:I663)</f>
        <v>823679073</v>
      </c>
      <c r="J657" s="74">
        <v>1</v>
      </c>
      <c r="K657" s="42">
        <f>SUM(K658:K663)</f>
        <v>919085150</v>
      </c>
      <c r="L657" s="74">
        <v>0</v>
      </c>
      <c r="M657" s="42">
        <f>SUM(M658:M663)</f>
        <v>43501800</v>
      </c>
      <c r="N657" s="74">
        <v>0</v>
      </c>
      <c r="O657" s="42">
        <f>SUM(O658:O663)</f>
        <v>65622676</v>
      </c>
      <c r="P657" s="74">
        <v>0</v>
      </c>
      <c r="Q657" s="42">
        <f>SUM(Q658:Q663)</f>
        <v>102106678</v>
      </c>
      <c r="R657" s="74">
        <v>1</v>
      </c>
      <c r="S657" s="42">
        <f>SUM(S658:S663)</f>
        <v>668750633</v>
      </c>
      <c r="T657" s="55">
        <f t="shared" si="115"/>
        <v>1</v>
      </c>
      <c r="U657" s="57">
        <f t="shared" si="112"/>
        <v>100</v>
      </c>
      <c r="V657" s="58" t="s">
        <v>58</v>
      </c>
      <c r="W657" s="59">
        <f t="shared" si="116"/>
        <v>879981787</v>
      </c>
      <c r="X657" s="57">
        <f t="shared" si="117"/>
        <v>95.74540367668871</v>
      </c>
      <c r="Y657" s="58" t="s">
        <v>58</v>
      </c>
      <c r="Z657" s="55">
        <f t="shared" si="118"/>
        <v>3</v>
      </c>
      <c r="AA657" s="59">
        <f t="shared" si="119"/>
        <v>1703660860</v>
      </c>
      <c r="AB657" s="57"/>
      <c r="AC657" s="58"/>
      <c r="AD657" s="57"/>
      <c r="AE657" s="11"/>
      <c r="AH657" s="25"/>
    </row>
    <row r="658" spans="1:34" ht="120">
      <c r="A658" s="16"/>
      <c r="B658" s="17"/>
      <c r="C658" s="29" t="s">
        <v>2792</v>
      </c>
      <c r="D658" s="29" t="s">
        <v>343</v>
      </c>
      <c r="E658" s="20">
        <f>J658*3</f>
        <v>36</v>
      </c>
      <c r="F658" s="21" t="s">
        <v>59</v>
      </c>
      <c r="G658" s="1008">
        <v>9038409</v>
      </c>
      <c r="H658" s="44">
        <v>24</v>
      </c>
      <c r="I658" s="22">
        <v>584000</v>
      </c>
      <c r="J658" s="44">
        <v>12</v>
      </c>
      <c r="K658" s="23">
        <v>5068000</v>
      </c>
      <c r="L658" s="44">
        <v>3</v>
      </c>
      <c r="M658" s="23">
        <v>0</v>
      </c>
      <c r="N658" s="44">
        <v>3</v>
      </c>
      <c r="O658" s="23">
        <v>4696000</v>
      </c>
      <c r="P658" s="44">
        <v>3</v>
      </c>
      <c r="Q658" s="23">
        <v>0</v>
      </c>
      <c r="R658" s="44">
        <v>3</v>
      </c>
      <c r="S658" s="23">
        <v>0</v>
      </c>
      <c r="T658" s="54">
        <f t="shared" si="115"/>
        <v>12</v>
      </c>
      <c r="U658" s="54">
        <f t="shared" si="112"/>
        <v>100</v>
      </c>
      <c r="V658" s="35" t="s">
        <v>58</v>
      </c>
      <c r="W658" s="40">
        <f t="shared" si="116"/>
        <v>4696000</v>
      </c>
      <c r="X658" s="53">
        <f t="shared" si="117"/>
        <v>92.659826361483823</v>
      </c>
      <c r="Y658" s="35" t="s">
        <v>58</v>
      </c>
      <c r="Z658" s="54">
        <f t="shared" si="118"/>
        <v>36</v>
      </c>
      <c r="AA658" s="40">
        <f t="shared" si="119"/>
        <v>5280000</v>
      </c>
      <c r="AB658" s="53"/>
      <c r="AC658" s="35"/>
      <c r="AD658" s="53"/>
      <c r="AE658" s="11"/>
      <c r="AH658" s="25"/>
    </row>
    <row r="659" spans="1:34" ht="90">
      <c r="A659" s="16"/>
      <c r="B659" s="17"/>
      <c r="C659" s="29" t="s">
        <v>285</v>
      </c>
      <c r="D659" s="29" t="s">
        <v>217</v>
      </c>
      <c r="E659" s="20">
        <f>J659*3</f>
        <v>36</v>
      </c>
      <c r="F659" s="21" t="s">
        <v>59</v>
      </c>
      <c r="G659" s="1008">
        <v>124296616</v>
      </c>
      <c r="H659" s="44">
        <v>24</v>
      </c>
      <c r="I659" s="23">
        <v>465620740</v>
      </c>
      <c r="J659" s="44">
        <v>12</v>
      </c>
      <c r="K659" s="23">
        <v>398445600</v>
      </c>
      <c r="L659" s="44">
        <v>3</v>
      </c>
      <c r="M659" s="23">
        <v>21882200</v>
      </c>
      <c r="N659" s="44">
        <v>3</v>
      </c>
      <c r="O659" s="23">
        <v>7508700</v>
      </c>
      <c r="P659" s="44">
        <v>3</v>
      </c>
      <c r="Q659" s="23">
        <v>29354100</v>
      </c>
      <c r="R659" s="44">
        <v>3</v>
      </c>
      <c r="S659" s="23">
        <v>320689239</v>
      </c>
      <c r="T659" s="54">
        <f t="shared" si="115"/>
        <v>12</v>
      </c>
      <c r="U659" s="54">
        <f t="shared" si="112"/>
        <v>100</v>
      </c>
      <c r="V659" s="35" t="s">
        <v>58</v>
      </c>
      <c r="W659" s="40">
        <f>SUM(M659,O659,Q659,S659)</f>
        <v>379434239</v>
      </c>
      <c r="X659" s="53">
        <f t="shared" si="117"/>
        <v>95.228618160170413</v>
      </c>
      <c r="Y659" s="35" t="s">
        <v>58</v>
      </c>
      <c r="Z659" s="54">
        <f t="shared" si="118"/>
        <v>36</v>
      </c>
      <c r="AA659" s="40">
        <f t="shared" si="119"/>
        <v>845054979</v>
      </c>
      <c r="AB659" s="53"/>
      <c r="AC659" s="35"/>
      <c r="AD659" s="53"/>
      <c r="AE659" s="11"/>
      <c r="AH659" s="25"/>
    </row>
    <row r="660" spans="1:34" ht="83.1" customHeight="1">
      <c r="A660" s="16"/>
      <c r="B660" s="17"/>
      <c r="C660" s="29" t="s">
        <v>287</v>
      </c>
      <c r="D660" s="26" t="s">
        <v>218</v>
      </c>
      <c r="E660" s="20">
        <f>J660*3</f>
        <v>36</v>
      </c>
      <c r="F660" s="21" t="s">
        <v>59</v>
      </c>
      <c r="G660" s="1008">
        <v>40987500</v>
      </c>
      <c r="H660" s="44">
        <v>24</v>
      </c>
      <c r="I660" s="22">
        <v>14775000</v>
      </c>
      <c r="J660" s="44">
        <v>12</v>
      </c>
      <c r="K660" s="23">
        <v>41887500</v>
      </c>
      <c r="L660" s="44">
        <v>3</v>
      </c>
      <c r="M660" s="23">
        <v>0</v>
      </c>
      <c r="N660" s="44">
        <v>3</v>
      </c>
      <c r="O660" s="23">
        <v>7450000</v>
      </c>
      <c r="P660" s="44">
        <v>3</v>
      </c>
      <c r="Q660" s="23">
        <v>11500000</v>
      </c>
      <c r="R660" s="44">
        <v>3</v>
      </c>
      <c r="S660" s="23">
        <v>16450000</v>
      </c>
      <c r="T660" s="54">
        <f t="shared" si="115"/>
        <v>12</v>
      </c>
      <c r="U660" s="54">
        <f t="shared" si="112"/>
        <v>100</v>
      </c>
      <c r="V660" s="35" t="s">
        <v>58</v>
      </c>
      <c r="W660" s="40">
        <f t="shared" si="116"/>
        <v>35400000</v>
      </c>
      <c r="X660" s="53">
        <f t="shared" si="117"/>
        <v>84.512085944494189</v>
      </c>
      <c r="Y660" s="35" t="s">
        <v>58</v>
      </c>
      <c r="Z660" s="54">
        <f t="shared" si="118"/>
        <v>36</v>
      </c>
      <c r="AA660" s="40">
        <f t="shared" si="119"/>
        <v>50175000</v>
      </c>
      <c r="AB660" s="53"/>
      <c r="AC660" s="35"/>
      <c r="AD660" s="53"/>
      <c r="AE660" s="11"/>
      <c r="AH660" s="25"/>
    </row>
    <row r="661" spans="1:34" ht="95.25" customHeight="1">
      <c r="A661" s="16"/>
      <c r="B661" s="17"/>
      <c r="C661" s="29" t="s">
        <v>286</v>
      </c>
      <c r="D661" s="26" t="s">
        <v>219</v>
      </c>
      <c r="E661" s="20">
        <f t="shared" ref="E661:E663" si="121">J661*3</f>
        <v>36</v>
      </c>
      <c r="F661" s="21" t="s">
        <v>59</v>
      </c>
      <c r="G661" s="1008">
        <v>72850000</v>
      </c>
      <c r="H661" s="44">
        <v>24</v>
      </c>
      <c r="I661" s="22">
        <v>64551800</v>
      </c>
      <c r="J661" s="44">
        <v>12</v>
      </c>
      <c r="K661" s="23">
        <v>70384050</v>
      </c>
      <c r="L661" s="44">
        <v>3</v>
      </c>
      <c r="M661" s="23">
        <v>1100000</v>
      </c>
      <c r="N661" s="44">
        <v>3</v>
      </c>
      <c r="O661" s="23">
        <v>5275500</v>
      </c>
      <c r="P661" s="44">
        <v>3</v>
      </c>
      <c r="Q661" s="23">
        <v>10757500</v>
      </c>
      <c r="R661" s="44">
        <v>3</v>
      </c>
      <c r="S661" s="23">
        <v>40524500</v>
      </c>
      <c r="T661" s="54">
        <f t="shared" si="115"/>
        <v>12</v>
      </c>
      <c r="U661" s="54">
        <f t="shared" si="112"/>
        <v>100</v>
      </c>
      <c r="V661" s="35" t="s">
        <v>58</v>
      </c>
      <c r="W661" s="40">
        <f t="shared" si="116"/>
        <v>57657500</v>
      </c>
      <c r="X661" s="53">
        <f t="shared" si="117"/>
        <v>81.918417596032057</v>
      </c>
      <c r="Y661" s="35" t="s">
        <v>58</v>
      </c>
      <c r="Z661" s="54">
        <f t="shared" si="118"/>
        <v>36</v>
      </c>
      <c r="AA661" s="40">
        <f t="shared" si="119"/>
        <v>122209300</v>
      </c>
      <c r="AB661" s="53"/>
      <c r="AC661" s="35"/>
      <c r="AD661" s="53"/>
      <c r="AE661" s="11"/>
      <c r="AH661" s="25"/>
    </row>
    <row r="662" spans="1:34" ht="130.5" customHeight="1">
      <c r="A662" s="16"/>
      <c r="B662" s="17"/>
      <c r="C662" s="29" t="s">
        <v>963</v>
      </c>
      <c r="D662" s="360" t="s">
        <v>1179</v>
      </c>
      <c r="E662" s="20">
        <f t="shared" si="121"/>
        <v>36</v>
      </c>
      <c r="F662" s="21" t="s">
        <v>55</v>
      </c>
      <c r="G662" s="1008">
        <v>3600000</v>
      </c>
      <c r="H662" s="44">
        <v>24</v>
      </c>
      <c r="I662" s="22">
        <v>3300000</v>
      </c>
      <c r="J662" s="44">
        <v>12</v>
      </c>
      <c r="K662" s="23">
        <v>3300000</v>
      </c>
      <c r="L662" s="44">
        <v>3</v>
      </c>
      <c r="M662" s="23">
        <v>550000</v>
      </c>
      <c r="N662" s="44">
        <v>3</v>
      </c>
      <c r="O662" s="23">
        <v>845000</v>
      </c>
      <c r="P662" s="44">
        <v>3</v>
      </c>
      <c r="Q662" s="23">
        <v>855000</v>
      </c>
      <c r="R662" s="44">
        <v>3</v>
      </c>
      <c r="S662" s="23">
        <v>1050000</v>
      </c>
      <c r="T662" s="54">
        <f t="shared" si="115"/>
        <v>12</v>
      </c>
      <c r="U662" s="54">
        <f t="shared" si="112"/>
        <v>100</v>
      </c>
      <c r="V662" s="35" t="s">
        <v>58</v>
      </c>
      <c r="W662" s="40">
        <f t="shared" si="116"/>
        <v>3300000</v>
      </c>
      <c r="X662" s="53">
        <f t="shared" si="117"/>
        <v>100</v>
      </c>
      <c r="Y662" s="35" t="s">
        <v>58</v>
      </c>
      <c r="Z662" s="54">
        <f t="shared" si="118"/>
        <v>36</v>
      </c>
      <c r="AA662" s="40">
        <f t="shared" si="119"/>
        <v>6600000</v>
      </c>
      <c r="AB662" s="53"/>
      <c r="AC662" s="35"/>
      <c r="AD662" s="53"/>
      <c r="AE662" s="11"/>
      <c r="AH662" s="25"/>
    </row>
    <row r="663" spans="1:34" ht="121.5" customHeight="1">
      <c r="A663" s="16"/>
      <c r="B663" s="17"/>
      <c r="C663" s="29" t="s">
        <v>77</v>
      </c>
      <c r="D663" s="360" t="s">
        <v>220</v>
      </c>
      <c r="E663" s="20">
        <f t="shared" si="121"/>
        <v>36</v>
      </c>
      <c r="F663" s="21" t="s">
        <v>173</v>
      </c>
      <c r="G663" s="1008">
        <v>674500000</v>
      </c>
      <c r="H663" s="44">
        <v>24</v>
      </c>
      <c r="I663" s="22">
        <v>274847533</v>
      </c>
      <c r="J663" s="44">
        <v>12</v>
      </c>
      <c r="K663" s="23">
        <v>400000000</v>
      </c>
      <c r="L663" s="44">
        <v>3</v>
      </c>
      <c r="M663" s="23">
        <v>19969600</v>
      </c>
      <c r="N663" s="44">
        <v>3</v>
      </c>
      <c r="O663" s="23">
        <v>39847476</v>
      </c>
      <c r="P663" s="44">
        <v>3</v>
      </c>
      <c r="Q663" s="23">
        <v>49640078</v>
      </c>
      <c r="R663" s="44">
        <v>3</v>
      </c>
      <c r="S663" s="23">
        <v>290036894</v>
      </c>
      <c r="T663" s="54">
        <f t="shared" si="115"/>
        <v>12</v>
      </c>
      <c r="U663" s="54">
        <f t="shared" si="112"/>
        <v>100</v>
      </c>
      <c r="V663" s="35" t="s">
        <v>58</v>
      </c>
      <c r="W663" s="40">
        <f t="shared" si="116"/>
        <v>399494048</v>
      </c>
      <c r="X663" s="53">
        <f t="shared" si="117"/>
        <v>99.873511999999991</v>
      </c>
      <c r="Y663" s="35" t="s">
        <v>58</v>
      </c>
      <c r="Z663" s="54">
        <f t="shared" si="118"/>
        <v>36</v>
      </c>
      <c r="AA663" s="40">
        <f t="shared" si="119"/>
        <v>674341581</v>
      </c>
      <c r="AB663" s="53"/>
      <c r="AC663" s="35"/>
      <c r="AD663" s="53"/>
      <c r="AE663" s="11"/>
      <c r="AH663" s="25"/>
    </row>
    <row r="664" spans="1:34" ht="140.1" customHeight="1">
      <c r="A664" s="16"/>
      <c r="B664" s="17"/>
      <c r="C664" s="19" t="s">
        <v>79</v>
      </c>
      <c r="D664" s="19" t="s">
        <v>1180</v>
      </c>
      <c r="E664" s="45">
        <f>J664*3</f>
        <v>36</v>
      </c>
      <c r="F664" s="46" t="s">
        <v>2119</v>
      </c>
      <c r="G664" s="42">
        <f>SUM(G665:G666)</f>
        <v>1007800000</v>
      </c>
      <c r="H664" s="74">
        <v>24</v>
      </c>
      <c r="I664" s="42">
        <f>SUM(I665:I666)</f>
        <v>139450115</v>
      </c>
      <c r="J664" s="74">
        <v>12</v>
      </c>
      <c r="K664" s="42">
        <f>SUM(K665:K666)</f>
        <v>208450000</v>
      </c>
      <c r="L664" s="74">
        <v>3</v>
      </c>
      <c r="M664" s="42">
        <f>SUM(M665:M666)</f>
        <v>25047329</v>
      </c>
      <c r="N664" s="74">
        <v>3</v>
      </c>
      <c r="O664" s="42">
        <f>SUM(O665:O666)</f>
        <v>34305750</v>
      </c>
      <c r="P664" s="74">
        <v>3</v>
      </c>
      <c r="Q664" s="42">
        <f>SUM(Q665:Q666)</f>
        <v>35911445</v>
      </c>
      <c r="R664" s="74">
        <v>3</v>
      </c>
      <c r="S664" s="42">
        <f>SUM(S665:S666)</f>
        <v>36169073</v>
      </c>
      <c r="T664" s="55">
        <f t="shared" si="115"/>
        <v>12</v>
      </c>
      <c r="U664" s="55">
        <f t="shared" si="112"/>
        <v>100</v>
      </c>
      <c r="V664" s="58" t="s">
        <v>58</v>
      </c>
      <c r="W664" s="59">
        <f t="shared" si="116"/>
        <v>131433597</v>
      </c>
      <c r="X664" s="57">
        <f t="shared" si="117"/>
        <v>63.052816982489801</v>
      </c>
      <c r="Y664" s="58" t="s">
        <v>58</v>
      </c>
      <c r="Z664" s="55">
        <f t="shared" si="118"/>
        <v>36</v>
      </c>
      <c r="AA664" s="59">
        <f t="shared" si="119"/>
        <v>270883712</v>
      </c>
      <c r="AB664" s="57"/>
      <c r="AC664" s="58"/>
      <c r="AD664" s="57"/>
      <c r="AE664" s="11"/>
      <c r="AH664" s="25"/>
    </row>
    <row r="665" spans="1:34" ht="111" customHeight="1">
      <c r="A665" s="16"/>
      <c r="B665" s="17"/>
      <c r="C665" s="29" t="s">
        <v>357</v>
      </c>
      <c r="D665" s="29" t="s">
        <v>223</v>
      </c>
      <c r="E665" s="20">
        <f>J665*3</f>
        <v>36</v>
      </c>
      <c r="F665" s="21" t="s">
        <v>173</v>
      </c>
      <c r="G665" s="1009">
        <v>193800000</v>
      </c>
      <c r="H665" s="44">
        <v>24</v>
      </c>
      <c r="I665" s="22">
        <v>138950115</v>
      </c>
      <c r="J665" s="44">
        <v>12</v>
      </c>
      <c r="K665" s="23">
        <v>202200000</v>
      </c>
      <c r="L665" s="44">
        <v>3</v>
      </c>
      <c r="M665" s="23">
        <v>25047329</v>
      </c>
      <c r="N665" s="44">
        <v>3</v>
      </c>
      <c r="O665" s="23">
        <v>33155750</v>
      </c>
      <c r="P665" s="44">
        <v>3</v>
      </c>
      <c r="Q665" s="23">
        <v>35111445</v>
      </c>
      <c r="R665" s="44">
        <v>3</v>
      </c>
      <c r="S665" s="23">
        <v>35319073</v>
      </c>
      <c r="T665" s="54">
        <f t="shared" si="115"/>
        <v>12</v>
      </c>
      <c r="U665" s="54">
        <f t="shared" si="112"/>
        <v>100</v>
      </c>
      <c r="V665" s="35" t="s">
        <v>58</v>
      </c>
      <c r="W665" s="40">
        <f t="shared" si="116"/>
        <v>128633597</v>
      </c>
      <c r="X665" s="53">
        <f t="shared" si="117"/>
        <v>63.617011374876363</v>
      </c>
      <c r="Y665" s="35" t="s">
        <v>58</v>
      </c>
      <c r="Z665" s="54">
        <f t="shared" si="118"/>
        <v>36</v>
      </c>
      <c r="AA665" s="40">
        <f t="shared" si="119"/>
        <v>267583712</v>
      </c>
      <c r="AB665" s="53"/>
      <c r="AC665" s="35"/>
      <c r="AD665" s="53"/>
      <c r="AE665" s="11"/>
      <c r="AH665" s="25"/>
    </row>
    <row r="666" spans="1:34" ht="120">
      <c r="A666" s="16"/>
      <c r="B666" s="17"/>
      <c r="C666" s="29" t="s">
        <v>80</v>
      </c>
      <c r="D666" s="29" t="s">
        <v>224</v>
      </c>
      <c r="E666" s="20">
        <f>J666*3</f>
        <v>36</v>
      </c>
      <c r="F666" s="21" t="s">
        <v>173</v>
      </c>
      <c r="G666" s="1009">
        <v>814000000</v>
      </c>
      <c r="H666" s="44">
        <v>24</v>
      </c>
      <c r="I666" s="22">
        <v>500000</v>
      </c>
      <c r="J666" s="44">
        <v>12</v>
      </c>
      <c r="K666" s="23">
        <v>6250000</v>
      </c>
      <c r="L666" s="44">
        <v>3</v>
      </c>
      <c r="M666" s="23">
        <v>0</v>
      </c>
      <c r="N666" s="44">
        <v>3</v>
      </c>
      <c r="O666" s="23">
        <v>1150000</v>
      </c>
      <c r="P666" s="44">
        <v>3</v>
      </c>
      <c r="Q666" s="23">
        <v>800000</v>
      </c>
      <c r="R666" s="44">
        <v>3</v>
      </c>
      <c r="S666" s="23">
        <v>850000</v>
      </c>
      <c r="T666" s="54">
        <f t="shared" si="115"/>
        <v>12</v>
      </c>
      <c r="U666" s="54">
        <f t="shared" si="112"/>
        <v>100</v>
      </c>
      <c r="V666" s="35" t="s">
        <v>58</v>
      </c>
      <c r="W666" s="40">
        <f t="shared" si="116"/>
        <v>2800000</v>
      </c>
      <c r="X666" s="53">
        <f t="shared" si="117"/>
        <v>44.800000000000004</v>
      </c>
      <c r="Y666" s="35" t="s">
        <v>58</v>
      </c>
      <c r="Z666" s="54">
        <f t="shared" si="118"/>
        <v>36</v>
      </c>
      <c r="AA666" s="40">
        <f t="shared" si="119"/>
        <v>3300000</v>
      </c>
      <c r="AB666" s="53"/>
      <c r="AC666" s="35"/>
      <c r="AD666" s="53"/>
      <c r="AE666" s="11"/>
      <c r="AH666" s="25"/>
    </row>
    <row r="667" spans="1:34" ht="115.5" customHeight="1">
      <c r="A667" s="48"/>
      <c r="B667" s="49"/>
      <c r="C667" s="19" t="s">
        <v>81</v>
      </c>
      <c r="D667" s="19" t="s">
        <v>2415</v>
      </c>
      <c r="E667" s="45">
        <v>100</v>
      </c>
      <c r="F667" s="46" t="s">
        <v>58</v>
      </c>
      <c r="G667" s="42">
        <f>SUM(G668:G670)</f>
        <v>628760000</v>
      </c>
      <c r="H667" s="74">
        <v>200</v>
      </c>
      <c r="I667" s="42">
        <f>SUM(I668:I670)</f>
        <v>742082900</v>
      </c>
      <c r="J667" s="74">
        <v>100</v>
      </c>
      <c r="K667" s="42">
        <f>SUM(K668:K670)</f>
        <v>827856350</v>
      </c>
      <c r="L667" s="74">
        <v>25</v>
      </c>
      <c r="M667" s="42">
        <f>SUM(M668:M670)</f>
        <v>106467400</v>
      </c>
      <c r="N667" s="74">
        <v>25</v>
      </c>
      <c r="O667" s="42">
        <f>SUM(O668:O670)</f>
        <v>116740750</v>
      </c>
      <c r="P667" s="74">
        <v>25</v>
      </c>
      <c r="Q667" s="42">
        <f>SUM(Q668:Q670)</f>
        <v>338380750</v>
      </c>
      <c r="R667" s="74">
        <v>25</v>
      </c>
      <c r="S667" s="42">
        <f>SUM(S668:S670)</f>
        <v>202730460</v>
      </c>
      <c r="T667" s="55">
        <f t="shared" si="115"/>
        <v>100</v>
      </c>
      <c r="U667" s="55">
        <f t="shared" si="112"/>
        <v>100</v>
      </c>
      <c r="V667" s="58" t="s">
        <v>58</v>
      </c>
      <c r="W667" s="59">
        <f t="shared" si="116"/>
        <v>764319360</v>
      </c>
      <c r="X667" s="57">
        <f t="shared" si="117"/>
        <v>92.325118965385727</v>
      </c>
      <c r="Y667" s="58" t="s">
        <v>58</v>
      </c>
      <c r="Z667" s="55">
        <f t="shared" si="118"/>
        <v>300</v>
      </c>
      <c r="AA667" s="59">
        <f t="shared" si="119"/>
        <v>1506402260</v>
      </c>
      <c r="AB667" s="57"/>
      <c r="AC667" s="58"/>
      <c r="AD667" s="57"/>
      <c r="AE667" s="11"/>
      <c r="AH667" s="25"/>
    </row>
    <row r="668" spans="1:34" ht="146.44999999999999" customHeight="1">
      <c r="A668" s="16"/>
      <c r="B668" s="17"/>
      <c r="C668" s="29" t="s">
        <v>82</v>
      </c>
      <c r="D668" s="29" t="s">
        <v>226</v>
      </c>
      <c r="E668" s="20">
        <f>J668*3</f>
        <v>36</v>
      </c>
      <c r="F668" s="21" t="s">
        <v>138</v>
      </c>
      <c r="G668" s="1009">
        <v>447260000</v>
      </c>
      <c r="H668" s="104">
        <v>24</v>
      </c>
      <c r="I668" s="22">
        <v>600650900</v>
      </c>
      <c r="J668" s="104">
        <v>12</v>
      </c>
      <c r="K668" s="23">
        <v>697486350</v>
      </c>
      <c r="L668" s="104">
        <v>3</v>
      </c>
      <c r="M668" s="23">
        <f>54360000+24927400</f>
        <v>79287400</v>
      </c>
      <c r="N668" s="104">
        <v>3</v>
      </c>
      <c r="O668" s="23">
        <v>85500750</v>
      </c>
      <c r="P668" s="104">
        <v>3</v>
      </c>
      <c r="Q668" s="23">
        <v>295052150</v>
      </c>
      <c r="R668" s="104">
        <v>3</v>
      </c>
      <c r="S668" s="23">
        <v>182096460</v>
      </c>
      <c r="T668" s="102">
        <f t="shared" si="115"/>
        <v>12</v>
      </c>
      <c r="U668" s="54">
        <f t="shared" si="112"/>
        <v>100</v>
      </c>
      <c r="V668" s="35" t="s">
        <v>58</v>
      </c>
      <c r="W668" s="40">
        <f t="shared" si="116"/>
        <v>641936760</v>
      </c>
      <c r="X668" s="53">
        <f t="shared" si="117"/>
        <v>92.035745215659063</v>
      </c>
      <c r="Y668" s="35" t="s">
        <v>58</v>
      </c>
      <c r="Z668" s="54">
        <f t="shared" si="118"/>
        <v>36</v>
      </c>
      <c r="AA668" s="40">
        <f t="shared" si="119"/>
        <v>1242587660</v>
      </c>
      <c r="AB668" s="53"/>
      <c r="AC668" s="35"/>
      <c r="AD668" s="53"/>
      <c r="AE668" s="11"/>
      <c r="AH668" s="25"/>
    </row>
    <row r="669" spans="1:34" ht="98.1" customHeight="1">
      <c r="A669" s="16"/>
      <c r="B669" s="17"/>
      <c r="C669" s="29" t="s">
        <v>83</v>
      </c>
      <c r="D669" s="29" t="s">
        <v>365</v>
      </c>
      <c r="E669" s="20">
        <f t="shared" ref="E669:E670" si="122">J669*3</f>
        <v>36</v>
      </c>
      <c r="F669" s="21" t="s">
        <v>138</v>
      </c>
      <c r="G669" s="1009">
        <v>40000000</v>
      </c>
      <c r="H669" s="104">
        <v>24</v>
      </c>
      <c r="I669" s="22">
        <v>76142000</v>
      </c>
      <c r="J669" s="104">
        <v>12</v>
      </c>
      <c r="K669" s="23">
        <v>46488000</v>
      </c>
      <c r="L669" s="104">
        <v>3</v>
      </c>
      <c r="M669" s="23">
        <v>10872000</v>
      </c>
      <c r="N669" s="104">
        <v>3</v>
      </c>
      <c r="O669" s="23">
        <v>10800000</v>
      </c>
      <c r="P669" s="104">
        <v>3</v>
      </c>
      <c r="Q669" s="23">
        <v>14516640</v>
      </c>
      <c r="R669" s="104">
        <v>3</v>
      </c>
      <c r="S669" s="23">
        <v>7200000</v>
      </c>
      <c r="T669" s="102">
        <f t="shared" si="115"/>
        <v>12</v>
      </c>
      <c r="U669" s="54">
        <f t="shared" si="112"/>
        <v>100</v>
      </c>
      <c r="V669" s="35" t="s">
        <v>58</v>
      </c>
      <c r="W669" s="40">
        <f t="shared" si="116"/>
        <v>43388640</v>
      </c>
      <c r="X669" s="53">
        <f t="shared" si="117"/>
        <v>93.332989158492524</v>
      </c>
      <c r="Y669" s="35" t="s">
        <v>58</v>
      </c>
      <c r="Z669" s="54">
        <f t="shared" si="118"/>
        <v>36</v>
      </c>
      <c r="AA669" s="40">
        <f t="shared" si="119"/>
        <v>119530640</v>
      </c>
      <c r="AB669" s="53"/>
      <c r="AC669" s="35"/>
      <c r="AD669" s="53"/>
      <c r="AE669" s="11"/>
      <c r="AH669" s="25"/>
    </row>
    <row r="670" spans="1:34" ht="135">
      <c r="A670" s="16"/>
      <c r="B670" s="17"/>
      <c r="C670" s="29" t="s">
        <v>84</v>
      </c>
      <c r="D670" s="360" t="s">
        <v>228</v>
      </c>
      <c r="E670" s="20">
        <f t="shared" si="122"/>
        <v>36</v>
      </c>
      <c r="F670" s="21" t="s">
        <v>138</v>
      </c>
      <c r="G670" s="1009">
        <v>141500000</v>
      </c>
      <c r="H670" s="104">
        <v>24</v>
      </c>
      <c r="I670" s="22">
        <v>65290000</v>
      </c>
      <c r="J670" s="104">
        <v>12</v>
      </c>
      <c r="K670" s="23">
        <v>83882000</v>
      </c>
      <c r="L670" s="104">
        <v>3</v>
      </c>
      <c r="M670" s="23">
        <v>16308000</v>
      </c>
      <c r="N670" s="104">
        <v>3</v>
      </c>
      <c r="O670" s="23">
        <v>20440000</v>
      </c>
      <c r="P670" s="104">
        <v>3</v>
      </c>
      <c r="Q670" s="23">
        <v>28811960</v>
      </c>
      <c r="R670" s="104">
        <v>3</v>
      </c>
      <c r="S670" s="23">
        <v>13434000</v>
      </c>
      <c r="T670" s="102">
        <f t="shared" si="115"/>
        <v>12</v>
      </c>
      <c r="U670" s="54">
        <f t="shared" si="112"/>
        <v>100</v>
      </c>
      <c r="V670" s="35" t="s">
        <v>58</v>
      </c>
      <c r="W670" s="40">
        <f t="shared" si="116"/>
        <v>78993960</v>
      </c>
      <c r="X670" s="53">
        <f t="shared" si="117"/>
        <v>94.172718819293763</v>
      </c>
      <c r="Y670" s="35" t="s">
        <v>58</v>
      </c>
      <c r="Z670" s="53">
        <f t="shared" si="118"/>
        <v>36</v>
      </c>
      <c r="AA670" s="40">
        <f t="shared" si="119"/>
        <v>144283960</v>
      </c>
      <c r="AB670" s="53"/>
      <c r="AC670" s="35"/>
      <c r="AD670" s="53"/>
      <c r="AE670" s="11"/>
      <c r="AH670" s="25"/>
    </row>
    <row r="671" spans="1:34" ht="78.75">
      <c r="A671" s="48">
        <v>3</v>
      </c>
      <c r="B671" s="49" t="s">
        <v>972</v>
      </c>
      <c r="C671" s="19" t="s">
        <v>2793</v>
      </c>
      <c r="D671" s="19" t="s">
        <v>2794</v>
      </c>
      <c r="E671" s="294" t="s">
        <v>2795</v>
      </c>
      <c r="F671" s="21" t="s">
        <v>58</v>
      </c>
      <c r="G671" s="42">
        <f>G672+G677</f>
        <v>70417536277</v>
      </c>
      <c r="H671" s="254">
        <v>64.03</v>
      </c>
      <c r="I671" s="42">
        <v>34418173051</v>
      </c>
      <c r="J671" s="294">
        <v>64.34</v>
      </c>
      <c r="K671" s="42">
        <f>K672+K677</f>
        <v>28468965958</v>
      </c>
      <c r="L671" s="267">
        <v>0</v>
      </c>
      <c r="M671" s="42">
        <f>M672+M677</f>
        <v>632730250</v>
      </c>
      <c r="N671" s="1010">
        <v>0</v>
      </c>
      <c r="O671" s="42">
        <f>O672+O677</f>
        <v>1843965820</v>
      </c>
      <c r="P671" s="294">
        <v>64.03</v>
      </c>
      <c r="Q671" s="42">
        <f>Q672+Q677</f>
        <v>6226944861</v>
      </c>
      <c r="R671" s="294">
        <v>64.44</v>
      </c>
      <c r="S671" s="42">
        <f>S672+S677</f>
        <v>18200035506</v>
      </c>
      <c r="T671" s="103">
        <f t="shared" si="115"/>
        <v>128.47</v>
      </c>
      <c r="U671" s="57">
        <f t="shared" si="112"/>
        <v>199.67360895244016</v>
      </c>
      <c r="V671" s="58" t="s">
        <v>58</v>
      </c>
      <c r="W671" s="59">
        <f t="shared" si="116"/>
        <v>26903676437</v>
      </c>
      <c r="X671" s="57">
        <f t="shared" si="117"/>
        <v>94.501768967270337</v>
      </c>
      <c r="Y671" s="58" t="s">
        <v>58</v>
      </c>
      <c r="Z671" s="57">
        <f t="shared" si="118"/>
        <v>192.5</v>
      </c>
      <c r="AA671" s="59">
        <f t="shared" si="119"/>
        <v>61321849488</v>
      </c>
      <c r="AB671" s="57"/>
      <c r="AC671" s="58"/>
      <c r="AD671" s="57"/>
      <c r="AE671" s="11"/>
      <c r="AH671" s="25"/>
    </row>
    <row r="672" spans="1:34" ht="197.25" customHeight="1">
      <c r="A672" s="16"/>
      <c r="B672" s="17"/>
      <c r="C672" s="19" t="s">
        <v>2796</v>
      </c>
      <c r="D672" s="19" t="s">
        <v>2797</v>
      </c>
      <c r="E672" s="1011">
        <v>141950</v>
      </c>
      <c r="F672" s="46" t="s">
        <v>2798</v>
      </c>
      <c r="G672" s="42">
        <f>SUM(G673:G676)</f>
        <v>26834794803</v>
      </c>
      <c r="H672" s="1012">
        <v>70803</v>
      </c>
      <c r="I672" s="42">
        <v>14422275629</v>
      </c>
      <c r="J672" s="267">
        <v>75294</v>
      </c>
      <c r="K672" s="42">
        <f>SUM(K673:K676)</f>
        <v>17285465000</v>
      </c>
      <c r="L672" s="267">
        <f>SUM(L673:L674)</f>
        <v>200</v>
      </c>
      <c r="M672" s="42">
        <f>SUM(M673:M676)</f>
        <v>0</v>
      </c>
      <c r="N672" s="1013">
        <v>1450</v>
      </c>
      <c r="O672" s="42">
        <f>SUM(O673:O676)</f>
        <v>314384600</v>
      </c>
      <c r="P672" s="267">
        <v>8768</v>
      </c>
      <c r="Q672" s="42">
        <f>SUM(Q673:Q676)</f>
        <v>3321293100</v>
      </c>
      <c r="R672" s="294">
        <v>68701</v>
      </c>
      <c r="S672" s="42">
        <f>SUM(S673:S676)</f>
        <v>12239582287</v>
      </c>
      <c r="T672" s="293">
        <f t="shared" si="115"/>
        <v>79119</v>
      </c>
      <c r="U672" s="57">
        <f t="shared" si="112"/>
        <v>105.08008606263448</v>
      </c>
      <c r="V672" s="58" t="s">
        <v>58</v>
      </c>
      <c r="W672" s="59">
        <f t="shared" si="116"/>
        <v>15875259987</v>
      </c>
      <c r="X672" s="57">
        <f t="shared" si="117"/>
        <v>91.841671525758784</v>
      </c>
      <c r="Y672" s="58" t="s">
        <v>58</v>
      </c>
      <c r="Z672" s="293">
        <f t="shared" si="118"/>
        <v>149922</v>
      </c>
      <c r="AA672" s="59">
        <f t="shared" si="119"/>
        <v>30297535616</v>
      </c>
      <c r="AB672" s="57"/>
      <c r="AC672" s="58"/>
      <c r="AD672" s="57"/>
      <c r="AE672" s="11"/>
      <c r="AH672" s="25"/>
    </row>
    <row r="673" spans="1:34" ht="94.5" customHeight="1">
      <c r="A673" s="16"/>
      <c r="B673" s="17"/>
      <c r="C673" s="29" t="s">
        <v>2799</v>
      </c>
      <c r="D673" s="29" t="s">
        <v>2800</v>
      </c>
      <c r="E673" s="1014">
        <v>630</v>
      </c>
      <c r="F673" s="21" t="s">
        <v>2801</v>
      </c>
      <c r="G673" s="1015">
        <v>6624395000</v>
      </c>
      <c r="H673" s="102">
        <v>462</v>
      </c>
      <c r="I673" s="22">
        <v>3303266324</v>
      </c>
      <c r="J673" s="104">
        <v>373</v>
      </c>
      <c r="K673" s="23">
        <v>3702570000</v>
      </c>
      <c r="L673" s="1016">
        <v>0</v>
      </c>
      <c r="M673" s="23">
        <v>0</v>
      </c>
      <c r="N673" s="1016">
        <v>0</v>
      </c>
      <c r="O673" s="23">
        <v>0</v>
      </c>
      <c r="P673" s="285">
        <v>18</v>
      </c>
      <c r="Q673" s="23">
        <v>663930600</v>
      </c>
      <c r="R673" s="285">
        <v>357</v>
      </c>
      <c r="S673" s="23">
        <v>3015228713</v>
      </c>
      <c r="T673" s="53">
        <f t="shared" si="115"/>
        <v>375</v>
      </c>
      <c r="U673" s="53">
        <f t="shared" si="112"/>
        <v>100.53619302949062</v>
      </c>
      <c r="V673" s="35" t="s">
        <v>58</v>
      </c>
      <c r="W673" s="40">
        <f t="shared" si="116"/>
        <v>3679159313</v>
      </c>
      <c r="X673" s="53">
        <f t="shared" si="117"/>
        <v>99.367717909452082</v>
      </c>
      <c r="Y673" s="35" t="s">
        <v>58</v>
      </c>
      <c r="Z673" s="53">
        <f t="shared" si="118"/>
        <v>837</v>
      </c>
      <c r="AA673" s="40">
        <f t="shared" si="119"/>
        <v>6982425637</v>
      </c>
      <c r="AB673" s="53"/>
      <c r="AC673" s="35"/>
      <c r="AD673" s="53"/>
      <c r="AE673" s="11"/>
      <c r="AH673" s="25"/>
    </row>
    <row r="674" spans="1:34" ht="60">
      <c r="A674" s="16"/>
      <c r="B674" s="17"/>
      <c r="C674" s="29" t="s">
        <v>2802</v>
      </c>
      <c r="D674" s="29" t="s">
        <v>2803</v>
      </c>
      <c r="E674" s="1017">
        <v>141250</v>
      </c>
      <c r="F674" s="21" t="s">
        <v>2801</v>
      </c>
      <c r="G674" s="1018">
        <v>20070675303</v>
      </c>
      <c r="H674" s="274">
        <v>70321</v>
      </c>
      <c r="I674" s="22">
        <v>11076009305</v>
      </c>
      <c r="J674" s="296">
        <v>74921</v>
      </c>
      <c r="K674" s="23">
        <v>13142812500</v>
      </c>
      <c r="L674" s="104">
        <v>200</v>
      </c>
      <c r="M674" s="23">
        <v>0</v>
      </c>
      <c r="N674" s="1016">
        <v>0</v>
      </c>
      <c r="O674" s="23">
        <v>114840600</v>
      </c>
      <c r="P674" s="104">
        <v>8750</v>
      </c>
      <c r="Q674" s="23">
        <v>2657362500</v>
      </c>
      <c r="R674" s="104">
        <v>67994</v>
      </c>
      <c r="S674" s="23">
        <v>9002137224</v>
      </c>
      <c r="T674" s="106">
        <f t="shared" si="115"/>
        <v>76944</v>
      </c>
      <c r="U674" s="53">
        <f t="shared" si="112"/>
        <v>102.70017752032142</v>
      </c>
      <c r="V674" s="35" t="s">
        <v>58</v>
      </c>
      <c r="W674" s="40">
        <f t="shared" si="116"/>
        <v>11774340324</v>
      </c>
      <c r="X674" s="53">
        <f t="shared" si="117"/>
        <v>89.587676336400605</v>
      </c>
      <c r="Y674" s="35" t="s">
        <v>58</v>
      </c>
      <c r="Z674" s="53">
        <f t="shared" si="118"/>
        <v>147265</v>
      </c>
      <c r="AA674" s="40">
        <f t="shared" si="119"/>
        <v>22850349629</v>
      </c>
      <c r="AB674" s="53"/>
      <c r="AC674" s="35"/>
      <c r="AD674" s="53"/>
      <c r="AE674" s="11"/>
      <c r="AH674" s="25"/>
    </row>
    <row r="675" spans="1:34" ht="210">
      <c r="A675" s="16"/>
      <c r="B675" s="17"/>
      <c r="C675" s="29" t="s">
        <v>2804</v>
      </c>
      <c r="D675" s="29" t="s">
        <v>2805</v>
      </c>
      <c r="E675" s="1019">
        <v>70</v>
      </c>
      <c r="F675" s="21" t="s">
        <v>57</v>
      </c>
      <c r="G675" s="1020">
        <v>139724500</v>
      </c>
      <c r="H675" s="44">
        <v>20</v>
      </c>
      <c r="I675" s="23">
        <v>43000000</v>
      </c>
      <c r="J675" s="299">
        <v>20</v>
      </c>
      <c r="K675" s="23">
        <v>45712500</v>
      </c>
      <c r="L675" s="44">
        <v>0</v>
      </c>
      <c r="M675" s="23">
        <v>0</v>
      </c>
      <c r="N675" s="1021">
        <v>0</v>
      </c>
      <c r="O675" s="42">
        <v>0</v>
      </c>
      <c r="P675" s="44">
        <v>0</v>
      </c>
      <c r="Q675" s="42">
        <v>0</v>
      </c>
      <c r="R675" s="44">
        <v>20</v>
      </c>
      <c r="S675" s="23">
        <v>29487500</v>
      </c>
      <c r="T675" s="54">
        <f t="shared" si="115"/>
        <v>20</v>
      </c>
      <c r="U675" s="54">
        <f t="shared" si="112"/>
        <v>100</v>
      </c>
      <c r="V675" s="35" t="s">
        <v>58</v>
      </c>
      <c r="W675" s="40">
        <f t="shared" si="116"/>
        <v>29487500</v>
      </c>
      <c r="X675" s="53">
        <f t="shared" si="117"/>
        <v>64.506426032266887</v>
      </c>
      <c r="Y675" s="35" t="s">
        <v>58</v>
      </c>
      <c r="Z675" s="53">
        <f t="shared" si="118"/>
        <v>40</v>
      </c>
      <c r="AA675" s="40">
        <f t="shared" si="119"/>
        <v>72487500</v>
      </c>
      <c r="AB675" s="53"/>
      <c r="AC675" s="35"/>
      <c r="AD675" s="53"/>
      <c r="AE675" s="11"/>
      <c r="AH675" s="25"/>
    </row>
    <row r="676" spans="1:34" ht="75">
      <c r="A676" s="16"/>
      <c r="B676" s="17"/>
      <c r="C676" s="29" t="s">
        <v>2806</v>
      </c>
      <c r="D676" s="29" t="s">
        <v>2807</v>
      </c>
      <c r="E676" s="1019"/>
      <c r="F676" s="21" t="s">
        <v>2801</v>
      </c>
      <c r="G676" s="1020"/>
      <c r="H676" s="108"/>
      <c r="I676" s="42"/>
      <c r="J676" s="299">
        <v>1350</v>
      </c>
      <c r="K676" s="23">
        <v>394370000</v>
      </c>
      <c r="L676" s="44">
        <v>0</v>
      </c>
      <c r="M676" s="23">
        <v>0</v>
      </c>
      <c r="N676" s="1021">
        <v>1450</v>
      </c>
      <c r="O676" s="23">
        <v>199544000</v>
      </c>
      <c r="P676" s="44">
        <v>0</v>
      </c>
      <c r="Q676" s="42">
        <v>0</v>
      </c>
      <c r="R676" s="44">
        <v>350</v>
      </c>
      <c r="S676" s="23">
        <v>192728850</v>
      </c>
      <c r="T676" s="54">
        <f t="shared" si="115"/>
        <v>1800</v>
      </c>
      <c r="U676" s="54">
        <f t="shared" si="112"/>
        <v>133.33333333333331</v>
      </c>
      <c r="V676" s="35" t="s">
        <v>58</v>
      </c>
      <c r="W676" s="40">
        <f t="shared" si="116"/>
        <v>392272850</v>
      </c>
      <c r="X676" s="53">
        <f t="shared" si="117"/>
        <v>99.468227806374728</v>
      </c>
      <c r="Y676" s="35" t="s">
        <v>58</v>
      </c>
      <c r="Z676" s="53">
        <f t="shared" si="118"/>
        <v>1800</v>
      </c>
      <c r="AA676" s="40">
        <f t="shared" si="119"/>
        <v>392272850</v>
      </c>
      <c r="AB676" s="53"/>
      <c r="AC676" s="35"/>
      <c r="AD676" s="53"/>
      <c r="AE676" s="11"/>
      <c r="AH676" s="25"/>
    </row>
    <row r="677" spans="1:34" ht="275.25" customHeight="1">
      <c r="A677" s="16"/>
      <c r="B677" s="17"/>
      <c r="C677" s="19" t="s">
        <v>2808</v>
      </c>
      <c r="D677" s="1022" t="s">
        <v>2809</v>
      </c>
      <c r="E677" s="267">
        <v>2583.5</v>
      </c>
      <c r="F677" s="46" t="s">
        <v>1068</v>
      </c>
      <c r="G677" s="42">
        <f>SUM(G678:G684)</f>
        <v>43582741474</v>
      </c>
      <c r="H677" s="1012">
        <v>1435</v>
      </c>
      <c r="I677" s="42">
        <v>19995897422</v>
      </c>
      <c r="J677" s="267">
        <v>562</v>
      </c>
      <c r="K677" s="42">
        <f>SUM(K678:K684)</f>
        <v>11183500958</v>
      </c>
      <c r="L677" s="267">
        <f>L684</f>
        <v>0</v>
      </c>
      <c r="M677" s="42">
        <f>SUM(M678:M683)</f>
        <v>632730250</v>
      </c>
      <c r="N677" s="1010">
        <v>0.10979999999999999</v>
      </c>
      <c r="O677" s="42">
        <f>SUM(O678:O683)</f>
        <v>1529581220</v>
      </c>
      <c r="P677" s="267">
        <v>251</v>
      </c>
      <c r="Q677" s="42">
        <f>SUM(Q678:Q683)</f>
        <v>2905651761</v>
      </c>
      <c r="R677" s="294">
        <v>311</v>
      </c>
      <c r="S677" s="42">
        <f>SUM(S678:S683)</f>
        <v>5960453219</v>
      </c>
      <c r="T677" s="57">
        <f t="shared" si="115"/>
        <v>562.10979999999995</v>
      </c>
      <c r="U677" s="57">
        <f t="shared" si="112"/>
        <v>100.01953736654802</v>
      </c>
      <c r="V677" s="58" t="s">
        <v>58</v>
      </c>
      <c r="W677" s="59">
        <f t="shared" si="116"/>
        <v>11028416450</v>
      </c>
      <c r="X677" s="57">
        <f t="shared" si="117"/>
        <v>98.613274067016903</v>
      </c>
      <c r="Y677" s="58" t="s">
        <v>58</v>
      </c>
      <c r="Z677" s="57">
        <f t="shared" si="118"/>
        <v>1997.1098</v>
      </c>
      <c r="AA677" s="59">
        <f t="shared" si="119"/>
        <v>31024313872</v>
      </c>
      <c r="AB677" s="57"/>
      <c r="AC677" s="58"/>
      <c r="AD677" s="57"/>
      <c r="AE677" s="11"/>
      <c r="AH677" s="25"/>
    </row>
    <row r="678" spans="1:34" ht="160.5" customHeight="1">
      <c r="A678" s="16"/>
      <c r="B678" s="17"/>
      <c r="C678" s="29" t="s">
        <v>2810</v>
      </c>
      <c r="D678" s="1023" t="s">
        <v>2811</v>
      </c>
      <c r="E678" s="1019">
        <v>3</v>
      </c>
      <c r="F678" s="21" t="s">
        <v>55</v>
      </c>
      <c r="G678" s="1020">
        <f>K678*3</f>
        <v>150000000</v>
      </c>
      <c r="H678" s="102">
        <v>1</v>
      </c>
      <c r="I678" s="22">
        <v>50000000</v>
      </c>
      <c r="J678" s="104">
        <v>1</v>
      </c>
      <c r="K678" s="23">
        <v>50000000</v>
      </c>
      <c r="L678" s="104">
        <v>0</v>
      </c>
      <c r="M678" s="23">
        <v>0</v>
      </c>
      <c r="N678" s="1016">
        <v>1</v>
      </c>
      <c r="O678" s="23">
        <v>37500000</v>
      </c>
      <c r="P678" s="104">
        <v>1</v>
      </c>
      <c r="Q678" s="23">
        <v>12500000</v>
      </c>
      <c r="R678" s="104">
        <v>0</v>
      </c>
      <c r="S678" s="23">
        <v>0</v>
      </c>
      <c r="T678" s="102">
        <f t="shared" si="115"/>
        <v>2</v>
      </c>
      <c r="U678" s="54">
        <f t="shared" si="112"/>
        <v>200</v>
      </c>
      <c r="V678" s="35" t="s">
        <v>58</v>
      </c>
      <c r="W678" s="40">
        <f t="shared" si="116"/>
        <v>50000000</v>
      </c>
      <c r="X678" s="53">
        <f t="shared" si="117"/>
        <v>100</v>
      </c>
      <c r="Y678" s="35" t="s">
        <v>58</v>
      </c>
      <c r="Z678" s="53">
        <f t="shared" si="118"/>
        <v>3</v>
      </c>
      <c r="AA678" s="40">
        <f t="shared" si="119"/>
        <v>100000000</v>
      </c>
      <c r="AB678" s="53"/>
      <c r="AC678" s="35"/>
      <c r="AD678" s="53"/>
      <c r="AE678" s="11"/>
      <c r="AH678" s="25"/>
    </row>
    <row r="679" spans="1:34" ht="90">
      <c r="A679" s="16"/>
      <c r="B679" s="17"/>
      <c r="C679" s="29" t="s">
        <v>2812</v>
      </c>
      <c r="D679" s="29" t="s">
        <v>2813</v>
      </c>
      <c r="E679" s="1024">
        <v>1399</v>
      </c>
      <c r="F679" s="21" t="s">
        <v>2801</v>
      </c>
      <c r="G679" s="1015">
        <v>2805925000</v>
      </c>
      <c r="H679" s="104">
        <v>1154</v>
      </c>
      <c r="I679" s="23">
        <v>1432338079</v>
      </c>
      <c r="J679" s="296">
        <v>794</v>
      </c>
      <c r="K679" s="23">
        <v>1125785000</v>
      </c>
      <c r="L679" s="44">
        <v>0</v>
      </c>
      <c r="M679" s="23">
        <v>0</v>
      </c>
      <c r="N679" s="1021"/>
      <c r="O679" s="23">
        <v>0</v>
      </c>
      <c r="P679" s="44">
        <v>80</v>
      </c>
      <c r="Q679" s="23">
        <v>115814100</v>
      </c>
      <c r="R679" s="44">
        <v>1036</v>
      </c>
      <c r="S679" s="23">
        <v>990453500</v>
      </c>
      <c r="T679" s="54">
        <f t="shared" si="115"/>
        <v>1116</v>
      </c>
      <c r="U679" s="53">
        <f t="shared" si="112"/>
        <v>140.55415617128463</v>
      </c>
      <c r="V679" s="35" t="s">
        <v>58</v>
      </c>
      <c r="W679" s="40">
        <f t="shared" si="116"/>
        <v>1106267600</v>
      </c>
      <c r="X679" s="53">
        <f t="shared" si="117"/>
        <v>98.266329716597753</v>
      </c>
      <c r="Y679" s="35" t="s">
        <v>58</v>
      </c>
      <c r="Z679" s="53">
        <f t="shared" si="118"/>
        <v>2270</v>
      </c>
      <c r="AA679" s="40">
        <f t="shared" si="119"/>
        <v>2538605679</v>
      </c>
      <c r="AB679" s="53"/>
      <c r="AC679" s="35"/>
      <c r="AD679" s="53"/>
      <c r="AE679" s="11"/>
      <c r="AH679" s="25"/>
    </row>
    <row r="680" spans="1:34" ht="63" customHeight="1">
      <c r="A680" s="16"/>
      <c r="B680" s="17"/>
      <c r="C680" s="29" t="s">
        <v>2814</v>
      </c>
      <c r="D680" s="29" t="s">
        <v>2815</v>
      </c>
      <c r="E680" s="1024"/>
      <c r="F680" s="47" t="s">
        <v>2816</v>
      </c>
      <c r="G680" s="1025"/>
      <c r="H680" s="44"/>
      <c r="I680" s="22"/>
      <c r="J680" s="1026">
        <v>1</v>
      </c>
      <c r="K680" s="23">
        <v>252300000</v>
      </c>
      <c r="L680" s="20">
        <v>0</v>
      </c>
      <c r="M680" s="23">
        <v>0</v>
      </c>
      <c r="N680" s="1019"/>
      <c r="O680" s="23">
        <v>0</v>
      </c>
      <c r="P680" s="20" t="s">
        <v>449</v>
      </c>
      <c r="Q680" s="23">
        <v>133613200</v>
      </c>
      <c r="R680" s="20">
        <v>1</v>
      </c>
      <c r="S680" s="23">
        <v>117877600</v>
      </c>
      <c r="T680" s="53">
        <f t="shared" si="115"/>
        <v>1</v>
      </c>
      <c r="U680" s="53">
        <f t="shared" si="112"/>
        <v>100</v>
      </c>
      <c r="V680" s="35" t="s">
        <v>58</v>
      </c>
      <c r="W680" s="40">
        <f t="shared" si="116"/>
        <v>251490800</v>
      </c>
      <c r="X680" s="53">
        <f t="shared" si="117"/>
        <v>99.679270709472846</v>
      </c>
      <c r="Y680" s="35" t="s">
        <v>58</v>
      </c>
      <c r="Z680" s="53">
        <f t="shared" si="118"/>
        <v>1</v>
      </c>
      <c r="AA680" s="40">
        <f t="shared" si="119"/>
        <v>251490800</v>
      </c>
      <c r="AB680" s="53"/>
      <c r="AC680" s="35"/>
      <c r="AD680" s="53"/>
      <c r="AE680" s="11"/>
      <c r="AH680" s="25"/>
    </row>
    <row r="681" spans="1:34" ht="90">
      <c r="A681" s="16"/>
      <c r="B681" s="17"/>
      <c r="C681" s="29" t="s">
        <v>2817</v>
      </c>
      <c r="D681" s="29" t="s">
        <v>2818</v>
      </c>
      <c r="E681" s="1024"/>
      <c r="F681" s="21" t="s">
        <v>2801</v>
      </c>
      <c r="G681" s="1025"/>
      <c r="H681" s="514"/>
      <c r="I681" s="22"/>
      <c r="J681" s="1026">
        <v>562</v>
      </c>
      <c r="K681" s="23">
        <v>8896725958</v>
      </c>
      <c r="L681" s="20">
        <v>0</v>
      </c>
      <c r="M681" s="23">
        <v>0</v>
      </c>
      <c r="N681" s="1019">
        <v>0</v>
      </c>
      <c r="O681" s="23">
        <v>1392335470</v>
      </c>
      <c r="P681" s="20">
        <v>251</v>
      </c>
      <c r="Q681" s="23">
        <v>2576541261</v>
      </c>
      <c r="R681" s="20">
        <v>311</v>
      </c>
      <c r="S681" s="23">
        <v>4819722119</v>
      </c>
      <c r="T681" s="53">
        <f t="shared" si="115"/>
        <v>562</v>
      </c>
      <c r="U681" s="53">
        <f t="shared" si="112"/>
        <v>100</v>
      </c>
      <c r="V681" s="35" t="s">
        <v>58</v>
      </c>
      <c r="W681" s="40">
        <f t="shared" si="116"/>
        <v>8788598850</v>
      </c>
      <c r="X681" s="53">
        <f t="shared" si="117"/>
        <v>98.784641580392048</v>
      </c>
      <c r="Y681" s="35" t="s">
        <v>58</v>
      </c>
      <c r="Z681" s="53">
        <f t="shared" si="118"/>
        <v>562</v>
      </c>
      <c r="AA681" s="40">
        <f t="shared" si="119"/>
        <v>8788598850</v>
      </c>
      <c r="AB681" s="53"/>
      <c r="AC681" s="35"/>
      <c r="AD681" s="53"/>
      <c r="AE681" s="11"/>
      <c r="AH681" s="25"/>
    </row>
    <row r="682" spans="1:34" ht="126.75" customHeight="1">
      <c r="A682" s="16"/>
      <c r="B682" s="17"/>
      <c r="C682" s="29" t="s">
        <v>2819</v>
      </c>
      <c r="D682" s="29" t="s">
        <v>2820</v>
      </c>
      <c r="E682" s="1024">
        <v>21544</v>
      </c>
      <c r="F682" s="21" t="s">
        <v>2801</v>
      </c>
      <c r="G682" s="1025">
        <v>4499115000</v>
      </c>
      <c r="H682" s="104">
        <v>1764</v>
      </c>
      <c r="I682" s="22">
        <v>879196553</v>
      </c>
      <c r="J682" s="296">
        <v>4153</v>
      </c>
      <c r="K682" s="23">
        <v>627750000</v>
      </c>
      <c r="L682" s="104">
        <v>3055</v>
      </c>
      <c r="M682" s="23">
        <v>578490250</v>
      </c>
      <c r="N682" s="1016">
        <v>1098</v>
      </c>
      <c r="O682" s="23">
        <v>45745750</v>
      </c>
      <c r="P682" s="104">
        <v>0</v>
      </c>
      <c r="Q682" s="23">
        <v>0</v>
      </c>
      <c r="R682" s="104">
        <v>0</v>
      </c>
      <c r="S682" s="23">
        <v>0</v>
      </c>
      <c r="T682" s="106">
        <f t="shared" si="115"/>
        <v>4153</v>
      </c>
      <c r="U682" s="53">
        <f t="shared" si="112"/>
        <v>100</v>
      </c>
      <c r="V682" s="35" t="s">
        <v>58</v>
      </c>
      <c r="W682" s="40">
        <f t="shared" si="116"/>
        <v>624236000</v>
      </c>
      <c r="X682" s="53">
        <f t="shared" si="117"/>
        <v>99.440223018717646</v>
      </c>
      <c r="Y682" s="35" t="s">
        <v>58</v>
      </c>
      <c r="Z682" s="53">
        <f t="shared" si="118"/>
        <v>5917</v>
      </c>
      <c r="AA682" s="40">
        <f t="shared" si="119"/>
        <v>1503432553</v>
      </c>
      <c r="AB682" s="53"/>
      <c r="AC682" s="35"/>
      <c r="AD682" s="53"/>
      <c r="AE682" s="11"/>
      <c r="AH682" s="25"/>
    </row>
    <row r="683" spans="1:34" ht="99.75" customHeight="1">
      <c r="A683" s="16"/>
      <c r="B683" s="17"/>
      <c r="C683" s="29" t="s">
        <v>2821</v>
      </c>
      <c r="D683" s="29" t="s">
        <v>2822</v>
      </c>
      <c r="E683" s="1019">
        <v>30</v>
      </c>
      <c r="F683" s="21" t="s">
        <v>138</v>
      </c>
      <c r="G683" s="1020">
        <v>586676000</v>
      </c>
      <c r="H683" s="44">
        <v>20</v>
      </c>
      <c r="I683" s="22">
        <v>180648000</v>
      </c>
      <c r="J683" s="20">
        <v>9</v>
      </c>
      <c r="K683" s="23">
        <v>230940000</v>
      </c>
      <c r="L683" s="20">
        <v>10</v>
      </c>
      <c r="M683" s="23">
        <v>54240000</v>
      </c>
      <c r="N683" s="1019">
        <v>0</v>
      </c>
      <c r="O683" s="23">
        <v>54000000</v>
      </c>
      <c r="P683" s="20">
        <v>10</v>
      </c>
      <c r="Q683" s="23">
        <v>67183200</v>
      </c>
      <c r="R683" s="20">
        <v>9</v>
      </c>
      <c r="S683" s="23">
        <v>32400000</v>
      </c>
      <c r="T683" s="54">
        <f t="shared" si="115"/>
        <v>29</v>
      </c>
      <c r="U683" s="54">
        <f t="shared" ref="U683" si="123">T683/J683*100</f>
        <v>322.22222222222223</v>
      </c>
      <c r="V683" s="35" t="s">
        <v>58</v>
      </c>
      <c r="W683" s="40">
        <f t="shared" si="116"/>
        <v>207823200</v>
      </c>
      <c r="X683" s="53">
        <f t="shared" si="117"/>
        <v>89.990127305793706</v>
      </c>
      <c r="Y683" s="35" t="s">
        <v>58</v>
      </c>
      <c r="Z683" s="53">
        <f t="shared" si="118"/>
        <v>49</v>
      </c>
      <c r="AA683" s="40">
        <f t="shared" si="119"/>
        <v>388471200</v>
      </c>
      <c r="AB683" s="53"/>
      <c r="AC683" s="35"/>
      <c r="AD683" s="53"/>
      <c r="AE683" s="11"/>
      <c r="AH683" s="25"/>
    </row>
    <row r="684" spans="1:34" ht="63" customHeight="1">
      <c r="A684" s="16"/>
      <c r="B684" s="17"/>
      <c r="C684" s="113" t="s">
        <v>2823</v>
      </c>
      <c r="D684" s="113" t="s">
        <v>2824</v>
      </c>
      <c r="E684" s="1024">
        <v>2583.5</v>
      </c>
      <c r="F684" s="47" t="s">
        <v>2816</v>
      </c>
      <c r="G684" s="1025">
        <v>35541025474</v>
      </c>
      <c r="H684" s="104">
        <v>1435</v>
      </c>
      <c r="I684" s="22">
        <v>17453714790</v>
      </c>
      <c r="J684" s="1026"/>
      <c r="K684" s="23"/>
      <c r="L684" s="20"/>
      <c r="M684" s="23"/>
      <c r="N684" s="1019"/>
      <c r="O684" s="23"/>
      <c r="P684" s="20"/>
      <c r="Q684" s="23"/>
      <c r="R684" s="20"/>
      <c r="S684" s="23"/>
      <c r="T684" s="53"/>
      <c r="U684" s="53"/>
      <c r="V684" s="35"/>
      <c r="W684" s="40"/>
      <c r="X684" s="53"/>
      <c r="Y684" s="35"/>
      <c r="Z684" s="53">
        <f t="shared" si="118"/>
        <v>1435</v>
      </c>
      <c r="AA684" s="40">
        <f t="shared" si="119"/>
        <v>17453714790</v>
      </c>
      <c r="AB684" s="53"/>
      <c r="AC684" s="35"/>
      <c r="AD684" s="53"/>
      <c r="AE684" s="11"/>
      <c r="AH684" s="25"/>
    </row>
    <row r="685" spans="1:34" ht="141.75">
      <c r="A685" s="16"/>
      <c r="B685" s="17"/>
      <c r="C685" s="19" t="s">
        <v>2825</v>
      </c>
      <c r="D685" s="19" t="s">
        <v>2826</v>
      </c>
      <c r="E685" s="45">
        <v>100</v>
      </c>
      <c r="F685" s="46" t="s">
        <v>58</v>
      </c>
      <c r="G685" s="42">
        <f>G686</f>
        <v>7090993500</v>
      </c>
      <c r="H685" s="107">
        <v>83.03</v>
      </c>
      <c r="I685" s="42">
        <f>I686</f>
        <v>5912390016</v>
      </c>
      <c r="J685" s="107">
        <v>89.14</v>
      </c>
      <c r="K685" s="42">
        <f>K686</f>
        <v>11917191036</v>
      </c>
      <c r="L685" s="45">
        <v>0</v>
      </c>
      <c r="M685" s="42">
        <f>M686</f>
        <v>5436000</v>
      </c>
      <c r="N685" s="1027">
        <v>0</v>
      </c>
      <c r="O685" s="42">
        <f>O686</f>
        <v>5400000</v>
      </c>
      <c r="P685" s="107">
        <f>(45228+P686)/56296*100</f>
        <v>80.513713230069627</v>
      </c>
      <c r="Q685" s="42">
        <f>Q686</f>
        <v>4018860745</v>
      </c>
      <c r="R685" s="107">
        <f>(45228+R686)/56296*100</f>
        <v>82.803396333664921</v>
      </c>
      <c r="S685" s="42">
        <f>S686</f>
        <v>7833962960</v>
      </c>
      <c r="T685" s="835">
        <f t="shared" ref="T685:T697" si="124">SUM(L685,N685,P685,R685)</f>
        <v>163.31710956373456</v>
      </c>
      <c r="U685" s="57">
        <f>T685/J685*100</f>
        <v>183.21416823394051</v>
      </c>
      <c r="V685" s="58" t="s">
        <v>58</v>
      </c>
      <c r="W685" s="59">
        <f t="shared" ref="W685:W697" si="125">SUM(M685,O685,Q685,S685)</f>
        <v>11863659705</v>
      </c>
      <c r="X685" s="57">
        <f t="shared" ref="X685:X697" si="126">W685/K685*100</f>
        <v>99.550805799468264</v>
      </c>
      <c r="Y685" s="58" t="s">
        <v>58</v>
      </c>
      <c r="Z685" s="57">
        <f t="shared" si="118"/>
        <v>246.34710956373456</v>
      </c>
      <c r="AA685" s="59">
        <f t="shared" si="119"/>
        <v>17776049721</v>
      </c>
      <c r="AB685" s="57"/>
      <c r="AC685" s="58"/>
      <c r="AD685" s="57"/>
      <c r="AE685" s="11"/>
      <c r="AH685" s="25"/>
    </row>
    <row r="686" spans="1:34" ht="165" customHeight="1">
      <c r="A686" s="16"/>
      <c r="B686" s="17"/>
      <c r="C686" s="19" t="s">
        <v>2827</v>
      </c>
      <c r="D686" s="19" t="s">
        <v>2828</v>
      </c>
      <c r="E686" s="108">
        <f>J686*3</f>
        <v>1800</v>
      </c>
      <c r="F686" s="46" t="s">
        <v>2829</v>
      </c>
      <c r="G686" s="42">
        <f>SUM(G687:G688)</f>
        <v>7090993500</v>
      </c>
      <c r="H686" s="1013">
        <v>1573</v>
      </c>
      <c r="I686" s="42">
        <f>SUM(I687:I688)</f>
        <v>5912390016</v>
      </c>
      <c r="J686" s="267">
        <f>J687</f>
        <v>600</v>
      </c>
      <c r="K686" s="42">
        <f>SUM(K687:K688)</f>
        <v>11917191036</v>
      </c>
      <c r="L686" s="267">
        <f>L687</f>
        <v>0</v>
      </c>
      <c r="M686" s="42">
        <f>SUM(M687:M688)</f>
        <v>5436000</v>
      </c>
      <c r="N686" s="1013">
        <v>0</v>
      </c>
      <c r="O686" s="42">
        <f>SUM(O687:O688)</f>
        <v>5400000</v>
      </c>
      <c r="P686" s="267">
        <f>P687+P688</f>
        <v>98</v>
      </c>
      <c r="Q686" s="42">
        <f>SUM(Q687:Q688)</f>
        <v>4018860745</v>
      </c>
      <c r="R686" s="267">
        <f>R687+R688</f>
        <v>1387</v>
      </c>
      <c r="S686" s="42">
        <f>SUM(S687:S688)</f>
        <v>7833962960</v>
      </c>
      <c r="T686" s="55">
        <f t="shared" si="124"/>
        <v>1485</v>
      </c>
      <c r="U686" s="57">
        <f t="shared" ref="U686:U697" si="127">T686/J686*100</f>
        <v>247.5</v>
      </c>
      <c r="V686" s="58" t="s">
        <v>58</v>
      </c>
      <c r="W686" s="59">
        <f t="shared" si="125"/>
        <v>11863659705</v>
      </c>
      <c r="X686" s="57">
        <f t="shared" si="126"/>
        <v>99.550805799468264</v>
      </c>
      <c r="Y686" s="58" t="s">
        <v>58</v>
      </c>
      <c r="Z686" s="57">
        <f t="shared" si="118"/>
        <v>3058</v>
      </c>
      <c r="AA686" s="59">
        <f t="shared" si="119"/>
        <v>17776049721</v>
      </c>
      <c r="AB686" s="57"/>
      <c r="AC686" s="58"/>
      <c r="AD686" s="57"/>
      <c r="AE686" s="11"/>
      <c r="AH686" s="25"/>
    </row>
    <row r="687" spans="1:34" ht="150">
      <c r="A687" s="16"/>
      <c r="B687" s="17"/>
      <c r="C687" s="29" t="s">
        <v>2830</v>
      </c>
      <c r="D687" s="29" t="s">
        <v>2831</v>
      </c>
      <c r="E687" s="44">
        <v>1800</v>
      </c>
      <c r="F687" s="21" t="s">
        <v>2832</v>
      </c>
      <c r="G687" s="1025">
        <v>3208377500</v>
      </c>
      <c r="H687" s="104">
        <v>1358</v>
      </c>
      <c r="I687" s="50">
        <v>5568851432</v>
      </c>
      <c r="J687" s="104">
        <v>600</v>
      </c>
      <c r="K687" s="23">
        <v>11517905464</v>
      </c>
      <c r="L687" s="104">
        <v>0</v>
      </c>
      <c r="M687" s="23">
        <v>0</v>
      </c>
      <c r="N687" s="1019">
        <v>0</v>
      </c>
      <c r="O687" s="23">
        <v>0</v>
      </c>
      <c r="P687" s="20">
        <v>87</v>
      </c>
      <c r="Q687" s="23">
        <v>3994839925</v>
      </c>
      <c r="R687" s="20">
        <v>1338</v>
      </c>
      <c r="S687" s="23">
        <f>11465923813-3994839925</f>
        <v>7471083888</v>
      </c>
      <c r="T687" s="54">
        <f t="shared" si="124"/>
        <v>1425</v>
      </c>
      <c r="U687" s="53">
        <f t="shared" si="127"/>
        <v>237.5</v>
      </c>
      <c r="V687" s="35" t="s">
        <v>58</v>
      </c>
      <c r="W687" s="40">
        <f t="shared" si="125"/>
        <v>11465923813</v>
      </c>
      <c r="X687" s="53">
        <f t="shared" si="126"/>
        <v>99.548688334328901</v>
      </c>
      <c r="Y687" s="35" t="s">
        <v>58</v>
      </c>
      <c r="Z687" s="53">
        <f t="shared" si="118"/>
        <v>2783</v>
      </c>
      <c r="AA687" s="40">
        <f>I687+W687</f>
        <v>17034775245</v>
      </c>
      <c r="AB687" s="53"/>
      <c r="AC687" s="35"/>
      <c r="AD687" s="53"/>
      <c r="AE687" s="11"/>
      <c r="AH687" s="25"/>
    </row>
    <row r="688" spans="1:34" ht="120">
      <c r="A688" s="16"/>
      <c r="B688" s="17"/>
      <c r="C688" s="29" t="s">
        <v>2833</v>
      </c>
      <c r="D688" s="29" t="s">
        <v>2834</v>
      </c>
      <c r="E688" s="20">
        <v>90</v>
      </c>
      <c r="F688" s="21" t="s">
        <v>138</v>
      </c>
      <c r="G688" s="1025">
        <v>3882616000</v>
      </c>
      <c r="H688" s="44">
        <v>215</v>
      </c>
      <c r="I688" s="22">
        <v>343538584</v>
      </c>
      <c r="J688" s="20">
        <v>30</v>
      </c>
      <c r="K688" s="23">
        <v>399285572</v>
      </c>
      <c r="L688" s="20">
        <v>0</v>
      </c>
      <c r="M688" s="23">
        <v>5436000</v>
      </c>
      <c r="N688" s="1019">
        <v>0</v>
      </c>
      <c r="O688" s="23">
        <v>5400000</v>
      </c>
      <c r="P688" s="20">
        <v>11</v>
      </c>
      <c r="Q688" s="23">
        <v>24020820</v>
      </c>
      <c r="R688" s="20">
        <v>49</v>
      </c>
      <c r="S688" s="23">
        <f>397735892-24020820-5400000-5436000</f>
        <v>362879072</v>
      </c>
      <c r="T688" s="54">
        <f t="shared" si="124"/>
        <v>60</v>
      </c>
      <c r="U688" s="53">
        <f t="shared" si="127"/>
        <v>200</v>
      </c>
      <c r="V688" s="35" t="s">
        <v>58</v>
      </c>
      <c r="W688" s="40">
        <f t="shared" si="125"/>
        <v>397735892</v>
      </c>
      <c r="X688" s="53">
        <f t="shared" si="126"/>
        <v>99.61188680266163</v>
      </c>
      <c r="Y688" s="35" t="s">
        <v>58</v>
      </c>
      <c r="Z688" s="53">
        <f t="shared" si="118"/>
        <v>275</v>
      </c>
      <c r="AA688" s="40">
        <f t="shared" si="119"/>
        <v>741274476</v>
      </c>
      <c r="AB688" s="53"/>
      <c r="AC688" s="35"/>
      <c r="AD688" s="53"/>
      <c r="AE688" s="11"/>
      <c r="AH688" s="25"/>
    </row>
    <row r="689" spans="1:34" ht="173.25">
      <c r="A689" s="16"/>
      <c r="B689" s="17"/>
      <c r="C689" s="19" t="s">
        <v>2835</v>
      </c>
      <c r="D689" s="19" t="s">
        <v>2836</v>
      </c>
      <c r="E689" s="45">
        <v>100</v>
      </c>
      <c r="F689" s="46" t="s">
        <v>58</v>
      </c>
      <c r="G689" s="42">
        <f>G690</f>
        <v>4361673550</v>
      </c>
      <c r="H689" s="1028">
        <v>83.39</v>
      </c>
      <c r="I689" s="42">
        <f>I690</f>
        <v>4641357249</v>
      </c>
      <c r="J689" s="107">
        <v>87.1</v>
      </c>
      <c r="K689" s="42">
        <f>K690</f>
        <v>11008749000</v>
      </c>
      <c r="L689" s="45">
        <v>0</v>
      </c>
      <c r="M689" s="42">
        <f>M690</f>
        <v>37152000</v>
      </c>
      <c r="N689" s="1028">
        <v>0</v>
      </c>
      <c r="O689" s="42">
        <f>O690</f>
        <v>647877250</v>
      </c>
      <c r="P689" s="107">
        <f>(46354+P690)/56296*100</f>
        <v>83.24392496802615</v>
      </c>
      <c r="Q689" s="42">
        <f>Q690</f>
        <v>5025828590</v>
      </c>
      <c r="R689" s="107">
        <f>(46354+R690)/56296*100</f>
        <v>83.405570555634498</v>
      </c>
      <c r="S689" s="42">
        <f>S690</f>
        <v>5262825200</v>
      </c>
      <c r="T689" s="55">
        <f t="shared" si="124"/>
        <v>166.64949552366065</v>
      </c>
      <c r="U689" s="57">
        <f>T689/J689*100</f>
        <v>191.33122333370915</v>
      </c>
      <c r="V689" s="58" t="s">
        <v>58</v>
      </c>
      <c r="W689" s="59">
        <f t="shared" si="125"/>
        <v>10973683040</v>
      </c>
      <c r="X689" s="57">
        <f t="shared" si="126"/>
        <v>99.681471891129505</v>
      </c>
      <c r="Y689" s="58" t="s">
        <v>58</v>
      </c>
      <c r="Z689" s="57">
        <f t="shared" si="118"/>
        <v>250.03949552366066</v>
      </c>
      <c r="AA689" s="59">
        <f t="shared" si="119"/>
        <v>15615040289</v>
      </c>
      <c r="AB689" s="57"/>
      <c r="AC689" s="58"/>
      <c r="AD689" s="57"/>
      <c r="AE689" s="77"/>
      <c r="AH689" s="25"/>
    </row>
    <row r="690" spans="1:34" ht="204.75">
      <c r="A690" s="16"/>
      <c r="B690" s="17"/>
      <c r="C690" s="19" t="s">
        <v>2837</v>
      </c>
      <c r="D690" s="19" t="s">
        <v>2838</v>
      </c>
      <c r="E690" s="45">
        <v>800</v>
      </c>
      <c r="F690" s="46" t="s">
        <v>2829</v>
      </c>
      <c r="G690" s="42">
        <f>SUM(G691:G692)</f>
        <v>4361673550</v>
      </c>
      <c r="H690" s="1029">
        <v>676</v>
      </c>
      <c r="I690" s="42">
        <f>SUM(I691:I692)</f>
        <v>4641357249</v>
      </c>
      <c r="J690" s="45">
        <f>J692</f>
        <v>700</v>
      </c>
      <c r="K690" s="42">
        <f>SUM(K691:K692)</f>
        <v>11008749000</v>
      </c>
      <c r="L690" s="45">
        <f>L692</f>
        <v>0</v>
      </c>
      <c r="M690" s="42">
        <f>SUM(M691:M692)</f>
        <v>37152000</v>
      </c>
      <c r="N690" s="1029">
        <v>0</v>
      </c>
      <c r="O690" s="42">
        <f>SUM(O691:O692)</f>
        <v>647877250</v>
      </c>
      <c r="P690" s="267">
        <f>P691+P692</f>
        <v>509</v>
      </c>
      <c r="Q690" s="42">
        <f>SUM(Q691:Q692)</f>
        <v>5025828590</v>
      </c>
      <c r="R690" s="267">
        <f>R691+R692</f>
        <v>600</v>
      </c>
      <c r="S690" s="42">
        <f>SUM(S691:S692)</f>
        <v>5262825200</v>
      </c>
      <c r="T690" s="55">
        <f t="shared" si="124"/>
        <v>1109</v>
      </c>
      <c r="U690" s="57">
        <f t="shared" si="127"/>
        <v>158.42857142857142</v>
      </c>
      <c r="V690" s="58" t="s">
        <v>58</v>
      </c>
      <c r="W690" s="59">
        <f t="shared" si="125"/>
        <v>10973683040</v>
      </c>
      <c r="X690" s="57">
        <f t="shared" si="126"/>
        <v>99.681471891129505</v>
      </c>
      <c r="Y690" s="58" t="s">
        <v>58</v>
      </c>
      <c r="Z690" s="57">
        <f t="shared" si="118"/>
        <v>1785</v>
      </c>
      <c r="AA690" s="59">
        <f t="shared" si="119"/>
        <v>15615040289</v>
      </c>
      <c r="AB690" s="57"/>
      <c r="AC690" s="58"/>
      <c r="AD690" s="57"/>
      <c r="AE690" s="11"/>
      <c r="AH690" s="25"/>
    </row>
    <row r="691" spans="1:34" ht="135">
      <c r="A691" s="16"/>
      <c r="B691" s="17"/>
      <c r="C691" s="29" t="s">
        <v>2839</v>
      </c>
      <c r="D691" s="29" t="s">
        <v>2840</v>
      </c>
      <c r="E691" s="20">
        <f>J691*3</f>
        <v>90</v>
      </c>
      <c r="F691" s="21" t="s">
        <v>138</v>
      </c>
      <c r="G691" s="1030">
        <v>527579550</v>
      </c>
      <c r="H691" s="44">
        <v>32</v>
      </c>
      <c r="I691" s="22">
        <v>281415101</v>
      </c>
      <c r="J691" s="20">
        <v>30</v>
      </c>
      <c r="K691" s="23">
        <v>448140000</v>
      </c>
      <c r="L691" s="20">
        <v>0</v>
      </c>
      <c r="M691" s="23">
        <v>37152000</v>
      </c>
      <c r="N691" s="1019">
        <v>0</v>
      </c>
      <c r="O691" s="23">
        <v>208274250</v>
      </c>
      <c r="P691" s="20">
        <v>52</v>
      </c>
      <c r="Q691" s="23">
        <v>145233990</v>
      </c>
      <c r="R691" s="20">
        <v>52</v>
      </c>
      <c r="S691" s="23">
        <f>426060240-145233990-208274250-37152000</f>
        <v>35400000</v>
      </c>
      <c r="T691" s="54">
        <f t="shared" si="124"/>
        <v>104</v>
      </c>
      <c r="U691" s="53">
        <f t="shared" si="127"/>
        <v>346.66666666666669</v>
      </c>
      <c r="V691" s="35" t="s">
        <v>58</v>
      </c>
      <c r="W691" s="40">
        <f t="shared" si="125"/>
        <v>426060240</v>
      </c>
      <c r="X691" s="53">
        <f t="shared" si="126"/>
        <v>95.073021823537289</v>
      </c>
      <c r="Y691" s="35" t="s">
        <v>58</v>
      </c>
      <c r="Z691" s="53">
        <f t="shared" si="118"/>
        <v>136</v>
      </c>
      <c r="AA691" s="40">
        <f t="shared" si="119"/>
        <v>707475341</v>
      </c>
      <c r="AB691" s="53"/>
      <c r="AC691" s="35"/>
      <c r="AD691" s="53"/>
      <c r="AE691" s="11"/>
      <c r="AH691" s="25"/>
    </row>
    <row r="692" spans="1:34" ht="162.75" customHeight="1">
      <c r="A692" s="16"/>
      <c r="B692" s="17"/>
      <c r="C692" s="29" t="s">
        <v>2841</v>
      </c>
      <c r="D692" s="29" t="s">
        <v>2842</v>
      </c>
      <c r="E692" s="20">
        <f>700+500+800</f>
        <v>2000</v>
      </c>
      <c r="F692" s="47" t="s">
        <v>2843</v>
      </c>
      <c r="G692" s="1031">
        <v>3834094000</v>
      </c>
      <c r="H692" s="44">
        <v>644</v>
      </c>
      <c r="I692" s="22">
        <v>4359942148</v>
      </c>
      <c r="J692" s="20">
        <v>700</v>
      </c>
      <c r="K692" s="23">
        <v>10560609000</v>
      </c>
      <c r="L692" s="20">
        <v>0</v>
      </c>
      <c r="M692" s="23">
        <v>0</v>
      </c>
      <c r="N692" s="1019">
        <v>0</v>
      </c>
      <c r="O692" s="23">
        <v>439603000</v>
      </c>
      <c r="P692" s="20">
        <v>457</v>
      </c>
      <c r="Q692" s="23">
        <v>4880594600</v>
      </c>
      <c r="R692" s="20">
        <v>548</v>
      </c>
      <c r="S692" s="23">
        <f>10547622800-4880594600-439603000</f>
        <v>5227425200</v>
      </c>
      <c r="T692" s="54">
        <f t="shared" si="124"/>
        <v>1005</v>
      </c>
      <c r="U692" s="53">
        <f t="shared" si="127"/>
        <v>143.57142857142858</v>
      </c>
      <c r="V692" s="35" t="s">
        <v>58</v>
      </c>
      <c r="W692" s="40">
        <f t="shared" si="125"/>
        <v>10547622800</v>
      </c>
      <c r="X692" s="53">
        <f t="shared" si="126"/>
        <v>99.877031712849146</v>
      </c>
      <c r="Y692" s="35" t="s">
        <v>58</v>
      </c>
      <c r="Z692" s="53">
        <f t="shared" si="118"/>
        <v>1649</v>
      </c>
      <c r="AA692" s="40">
        <f t="shared" si="119"/>
        <v>14907564948</v>
      </c>
      <c r="AB692" s="53"/>
      <c r="AC692" s="35"/>
      <c r="AD692" s="53"/>
      <c r="AE692" s="11"/>
      <c r="AH692" s="25"/>
    </row>
    <row r="693" spans="1:34" ht="120" customHeight="1">
      <c r="A693" s="16"/>
      <c r="B693" s="17"/>
      <c r="C693" s="19" t="s">
        <v>2844</v>
      </c>
      <c r="D693" s="19" t="s">
        <v>2845</v>
      </c>
      <c r="E693" s="107">
        <v>73</v>
      </c>
      <c r="F693" s="46" t="s">
        <v>58</v>
      </c>
      <c r="G693" s="42">
        <f>G694</f>
        <v>4446711050</v>
      </c>
      <c r="H693" s="108">
        <v>66</v>
      </c>
      <c r="I693" s="42">
        <f>I694</f>
        <v>1311299427</v>
      </c>
      <c r="J693" s="45">
        <v>69</v>
      </c>
      <c r="K693" s="42">
        <f>K694</f>
        <v>1953044000</v>
      </c>
      <c r="L693" s="45">
        <v>0</v>
      </c>
      <c r="M693" s="42">
        <f>M694</f>
        <v>5436000</v>
      </c>
      <c r="N693" s="1027">
        <v>0</v>
      </c>
      <c r="O693" s="42">
        <f>O694</f>
        <v>299068250</v>
      </c>
      <c r="P693" s="108">
        <v>0</v>
      </c>
      <c r="Q693" s="42">
        <f>Q694</f>
        <v>189680010</v>
      </c>
      <c r="R693" s="1032">
        <f>R694/17200*100</f>
        <v>81.087209302325576</v>
      </c>
      <c r="S693" s="42">
        <f>S694</f>
        <v>1429573500</v>
      </c>
      <c r="T693" s="55">
        <f t="shared" si="124"/>
        <v>81.087209302325576</v>
      </c>
      <c r="U693" s="57">
        <f t="shared" si="127"/>
        <v>117.51769464105155</v>
      </c>
      <c r="V693" s="58" t="s">
        <v>58</v>
      </c>
      <c r="W693" s="59">
        <f t="shared" si="125"/>
        <v>1923757760</v>
      </c>
      <c r="X693" s="57">
        <f t="shared" si="126"/>
        <v>98.500482324002931</v>
      </c>
      <c r="Y693" s="58" t="s">
        <v>58</v>
      </c>
      <c r="Z693" s="57">
        <f t="shared" si="118"/>
        <v>147.08720930232556</v>
      </c>
      <c r="AA693" s="59">
        <f t="shared" si="119"/>
        <v>3235057187</v>
      </c>
      <c r="AB693" s="57"/>
      <c r="AC693" s="58"/>
      <c r="AD693" s="57"/>
      <c r="AE693" s="11"/>
      <c r="AH693" s="25"/>
    </row>
    <row r="694" spans="1:34" ht="232.5" customHeight="1">
      <c r="A694" s="16"/>
      <c r="B694" s="17"/>
      <c r="C694" s="19" t="s">
        <v>2846</v>
      </c>
      <c r="D694" s="19" t="s">
        <v>2847</v>
      </c>
      <c r="E694" s="1033">
        <v>14000</v>
      </c>
      <c r="F694" s="46" t="s">
        <v>2798</v>
      </c>
      <c r="G694" s="918">
        <f>SUM(G695:G698)</f>
        <v>4446711050</v>
      </c>
      <c r="H694" s="267">
        <v>12306</v>
      </c>
      <c r="I694" s="918">
        <f>SUM(I695:I698)</f>
        <v>1311299427</v>
      </c>
      <c r="J694" s="267">
        <v>11400</v>
      </c>
      <c r="K694" s="918">
        <f>SUM(K695:K698)</f>
        <v>1953044000</v>
      </c>
      <c r="L694" s="267">
        <v>0</v>
      </c>
      <c r="M694" s="918">
        <f>SUM(M695:M698)</f>
        <v>5436000</v>
      </c>
      <c r="N694" s="1027">
        <v>0</v>
      </c>
      <c r="O694" s="918">
        <f>SUM(O695:O698)</f>
        <v>299068250</v>
      </c>
      <c r="P694" s="108">
        <v>0</v>
      </c>
      <c r="Q694" s="918">
        <f>SUM(Q695:Q698)</f>
        <v>189680010</v>
      </c>
      <c r="R694" s="108">
        <f>H694+R695+R696+R697</f>
        <v>13947</v>
      </c>
      <c r="S694" s="918">
        <f>SUM(S695:S698)</f>
        <v>1429573500</v>
      </c>
      <c r="T694" s="55">
        <f t="shared" si="124"/>
        <v>13947</v>
      </c>
      <c r="U694" s="57">
        <f t="shared" si="127"/>
        <v>122.34210526315789</v>
      </c>
      <c r="V694" s="58" t="s">
        <v>58</v>
      </c>
      <c r="W694" s="59">
        <f t="shared" si="125"/>
        <v>1923757760</v>
      </c>
      <c r="X694" s="57">
        <f t="shared" si="126"/>
        <v>98.500482324002931</v>
      </c>
      <c r="Y694" s="58" t="s">
        <v>58</v>
      </c>
      <c r="Z694" s="57">
        <f t="shared" si="118"/>
        <v>26253</v>
      </c>
      <c r="AA694" s="59">
        <f t="shared" si="119"/>
        <v>3235057187</v>
      </c>
      <c r="AB694" s="57"/>
      <c r="AC694" s="58"/>
      <c r="AD694" s="57"/>
      <c r="AE694" s="11"/>
      <c r="AH694" s="25"/>
    </row>
    <row r="695" spans="1:34" ht="97.5" customHeight="1">
      <c r="A695" s="16"/>
      <c r="B695" s="17"/>
      <c r="C695" s="29" t="s">
        <v>2848</v>
      </c>
      <c r="D695" s="29" t="s">
        <v>2849</v>
      </c>
      <c r="E695" s="434">
        <v>14000</v>
      </c>
      <c r="F695" s="21" t="s">
        <v>2798</v>
      </c>
      <c r="G695" s="1031">
        <v>85037500</v>
      </c>
      <c r="H695" s="104">
        <v>1057</v>
      </c>
      <c r="I695" s="22">
        <v>670280000</v>
      </c>
      <c r="J695" s="20">
        <v>820</v>
      </c>
      <c r="K695" s="23">
        <v>220200000</v>
      </c>
      <c r="L695" s="20">
        <v>0</v>
      </c>
      <c r="M695" s="23">
        <v>0</v>
      </c>
      <c r="N695" s="1019">
        <v>0</v>
      </c>
      <c r="O695" s="23">
        <v>0</v>
      </c>
      <c r="P695" s="20">
        <v>0</v>
      </c>
      <c r="Q695" s="23"/>
      <c r="R695" s="20">
        <v>820</v>
      </c>
      <c r="S695" s="23">
        <v>218822000</v>
      </c>
      <c r="T695" s="54">
        <f t="shared" si="124"/>
        <v>820</v>
      </c>
      <c r="U695" s="53">
        <f t="shared" si="127"/>
        <v>100</v>
      </c>
      <c r="V695" s="35" t="s">
        <v>58</v>
      </c>
      <c r="W695" s="40">
        <f t="shared" si="125"/>
        <v>218822000</v>
      </c>
      <c r="X695" s="53">
        <f t="shared" si="126"/>
        <v>99.374205267938237</v>
      </c>
      <c r="Y695" s="35" t="s">
        <v>58</v>
      </c>
      <c r="Z695" s="53">
        <f t="shared" si="118"/>
        <v>1877</v>
      </c>
      <c r="AA695" s="40">
        <f t="shared" si="119"/>
        <v>889102000</v>
      </c>
      <c r="AB695" s="53"/>
      <c r="AC695" s="35"/>
      <c r="AD695" s="53"/>
      <c r="AE695" s="11"/>
      <c r="AH695" s="25"/>
    </row>
    <row r="696" spans="1:34" ht="105">
      <c r="A696" s="16"/>
      <c r="B696" s="17"/>
      <c r="C696" s="29" t="s">
        <v>2850</v>
      </c>
      <c r="D696" s="29" t="s">
        <v>2851</v>
      </c>
      <c r="E696" s="20"/>
      <c r="F696" s="21" t="s">
        <v>2798</v>
      </c>
      <c r="G696" s="1030"/>
      <c r="H696" s="44"/>
      <c r="I696" s="22"/>
      <c r="J696" s="104">
        <v>386</v>
      </c>
      <c r="K696" s="23">
        <v>1150350000</v>
      </c>
      <c r="L696" s="104">
        <v>0</v>
      </c>
      <c r="M696" s="23">
        <v>0</v>
      </c>
      <c r="N696" s="1019">
        <v>0</v>
      </c>
      <c r="O696" s="23">
        <v>0</v>
      </c>
      <c r="P696" s="20">
        <v>0</v>
      </c>
      <c r="Q696" s="23">
        <v>107701000</v>
      </c>
      <c r="R696" s="20">
        <v>415</v>
      </c>
      <c r="S696" s="23">
        <f>1136959500-107701000</f>
        <v>1029258500</v>
      </c>
      <c r="T696" s="54">
        <f t="shared" si="124"/>
        <v>415</v>
      </c>
      <c r="U696" s="53">
        <f t="shared" si="127"/>
        <v>107.51295336787565</v>
      </c>
      <c r="V696" s="35" t="s">
        <v>58</v>
      </c>
      <c r="W696" s="40">
        <f t="shared" si="125"/>
        <v>1136959500</v>
      </c>
      <c r="X696" s="53">
        <f t="shared" si="126"/>
        <v>98.835962967792412</v>
      </c>
      <c r="Y696" s="35" t="s">
        <v>58</v>
      </c>
      <c r="Z696" s="53">
        <f t="shared" si="118"/>
        <v>415</v>
      </c>
      <c r="AA696" s="40">
        <f t="shared" si="119"/>
        <v>1136959500</v>
      </c>
      <c r="AB696" s="53"/>
      <c r="AC696" s="35"/>
      <c r="AD696" s="53"/>
      <c r="AE696" s="11"/>
      <c r="AH696" s="25"/>
    </row>
    <row r="697" spans="1:34" ht="95.25" customHeight="1">
      <c r="A697" s="16"/>
      <c r="B697" s="17"/>
      <c r="C697" s="29" t="s">
        <v>2852</v>
      </c>
      <c r="D697" s="29" t="s">
        <v>2853</v>
      </c>
      <c r="E697" s="20">
        <v>386</v>
      </c>
      <c r="F697" s="21" t="s">
        <v>2798</v>
      </c>
      <c r="G697" s="1030">
        <v>527579550</v>
      </c>
      <c r="H697" s="44">
        <v>509</v>
      </c>
      <c r="I697" s="22">
        <v>434573030</v>
      </c>
      <c r="J697" s="104">
        <v>386</v>
      </c>
      <c r="K697" s="23">
        <v>582494000</v>
      </c>
      <c r="L697" s="104">
        <v>0</v>
      </c>
      <c r="M697" s="23">
        <v>5436000</v>
      </c>
      <c r="N697" s="1019">
        <v>607</v>
      </c>
      <c r="O697" s="23">
        <v>299068250</v>
      </c>
      <c r="P697" s="20">
        <v>0</v>
      </c>
      <c r="Q697" s="23">
        <v>81979010</v>
      </c>
      <c r="R697" s="20">
        <v>406</v>
      </c>
      <c r="S697" s="23">
        <f>567976260-81979010-299068250-5436000</f>
        <v>181493000</v>
      </c>
      <c r="T697" s="54">
        <f t="shared" si="124"/>
        <v>1013</v>
      </c>
      <c r="U697" s="53">
        <f t="shared" si="127"/>
        <v>262.43523316062175</v>
      </c>
      <c r="V697" s="35" t="s">
        <v>58</v>
      </c>
      <c r="W697" s="40">
        <f t="shared" si="125"/>
        <v>567976260</v>
      </c>
      <c r="X697" s="53">
        <f t="shared" si="126"/>
        <v>97.507658447984014</v>
      </c>
      <c r="Y697" s="35" t="s">
        <v>58</v>
      </c>
      <c r="Z697" s="53">
        <f t="shared" si="118"/>
        <v>1522</v>
      </c>
      <c r="AA697" s="40">
        <f t="shared" si="119"/>
        <v>1002549290</v>
      </c>
      <c r="AB697" s="53"/>
      <c r="AC697" s="35"/>
      <c r="AD697" s="53"/>
      <c r="AE697" s="11"/>
      <c r="AH697" s="25"/>
    </row>
    <row r="698" spans="1:34" ht="105">
      <c r="A698" s="16"/>
      <c r="B698" s="17"/>
      <c r="C698" s="113" t="s">
        <v>2854</v>
      </c>
      <c r="D698" s="113" t="s">
        <v>2855</v>
      </c>
      <c r="E698" s="104">
        <v>8754</v>
      </c>
      <c r="F698" s="21" t="s">
        <v>2798</v>
      </c>
      <c r="G698" s="1031">
        <v>3834094000</v>
      </c>
      <c r="H698" s="104">
        <v>0</v>
      </c>
      <c r="I698" s="23">
        <v>206446397</v>
      </c>
      <c r="J698" s="105"/>
      <c r="K698" s="23"/>
      <c r="L698" s="44"/>
      <c r="M698" s="23"/>
      <c r="N698" s="1021"/>
      <c r="O698" s="42"/>
      <c r="P698" s="44"/>
      <c r="Q698" s="42"/>
      <c r="R698" s="44"/>
      <c r="S698" s="23"/>
      <c r="T698" s="54"/>
      <c r="U698" s="53"/>
      <c r="V698" s="35"/>
      <c r="W698" s="40"/>
      <c r="X698" s="53"/>
      <c r="Y698" s="35"/>
      <c r="Z698" s="53">
        <f t="shared" si="118"/>
        <v>0</v>
      </c>
      <c r="AA698" s="40">
        <f t="shared" si="119"/>
        <v>206446397</v>
      </c>
      <c r="AB698" s="53"/>
      <c r="AC698" s="35"/>
      <c r="AD698" s="53"/>
      <c r="AE698" s="11"/>
      <c r="AH698" s="25"/>
    </row>
    <row r="699" spans="1:34" ht="84" customHeight="1">
      <c r="A699" s="16"/>
      <c r="B699" s="17"/>
      <c r="C699" s="19" t="s">
        <v>2856</v>
      </c>
      <c r="D699" s="19" t="s">
        <v>2857</v>
      </c>
      <c r="E699" s="108">
        <v>100</v>
      </c>
      <c r="F699" s="46" t="s">
        <v>58</v>
      </c>
      <c r="G699" s="42">
        <f>G700</f>
        <v>50000000000</v>
      </c>
      <c r="H699" s="107">
        <f>14/21*100</f>
        <v>66.666666666666657</v>
      </c>
      <c r="I699" s="42">
        <f>I700</f>
        <v>50275666496</v>
      </c>
      <c r="J699" s="107">
        <v>85.71</v>
      </c>
      <c r="K699" s="42">
        <f>K700</f>
        <v>22603506000</v>
      </c>
      <c r="L699" s="107">
        <v>0</v>
      </c>
      <c r="M699" s="42">
        <f>M700</f>
        <v>10836000</v>
      </c>
      <c r="N699" s="1028">
        <v>0</v>
      </c>
      <c r="O699" s="42">
        <f>O700</f>
        <v>2262811988</v>
      </c>
      <c r="P699" s="107">
        <f>18/21*100</f>
        <v>85.714285714285708</v>
      </c>
      <c r="Q699" s="42">
        <f>Q700</f>
        <v>6895707543</v>
      </c>
      <c r="R699" s="107">
        <f>18/21*100</f>
        <v>85.714285714285708</v>
      </c>
      <c r="S699" s="42">
        <f>S700</f>
        <v>12050589430</v>
      </c>
      <c r="T699" s="55">
        <f t="shared" ref="T699:T713" si="128">SUM(L699,N699,P699,R699)</f>
        <v>171.42857142857142</v>
      </c>
      <c r="U699" s="57">
        <f t="shared" ref="U699:U709" si="129">T699/J699*100</f>
        <v>200.01000050002503</v>
      </c>
      <c r="V699" s="58" t="s">
        <v>58</v>
      </c>
      <c r="W699" s="59">
        <f t="shared" ref="W699:W713" si="130">SUM(M699,O699,Q699,S699)</f>
        <v>21219944961</v>
      </c>
      <c r="X699" s="57">
        <f t="shared" ref="X699:X713" si="131">W699/K699*100</f>
        <v>93.878998067821868</v>
      </c>
      <c r="Y699" s="58" t="s">
        <v>58</v>
      </c>
      <c r="Z699" s="57">
        <f t="shared" si="118"/>
        <v>238.09523809523807</v>
      </c>
      <c r="AA699" s="59">
        <f t="shared" si="119"/>
        <v>71495611457</v>
      </c>
      <c r="AB699" s="57"/>
      <c r="AC699" s="58"/>
      <c r="AD699" s="57"/>
      <c r="AE699" s="11"/>
      <c r="AH699" s="25"/>
    </row>
    <row r="700" spans="1:34" ht="229.5" customHeight="1">
      <c r="A700" s="16"/>
      <c r="B700" s="17"/>
      <c r="C700" s="19" t="s">
        <v>2858</v>
      </c>
      <c r="D700" s="19" t="s">
        <v>2859</v>
      </c>
      <c r="E700" s="45">
        <v>6</v>
      </c>
      <c r="F700" s="46" t="s">
        <v>1113</v>
      </c>
      <c r="G700" s="42">
        <f>SUM(G701:G702)</f>
        <v>50000000000</v>
      </c>
      <c r="H700" s="108">
        <v>13</v>
      </c>
      <c r="I700" s="42">
        <f>SUM(I701:I702)</f>
        <v>50275666496</v>
      </c>
      <c r="J700" s="45">
        <f>J702</f>
        <v>2</v>
      </c>
      <c r="K700" s="42">
        <f>SUM(K701:K702)</f>
        <v>22603506000</v>
      </c>
      <c r="L700" s="45">
        <f>L702</f>
        <v>0</v>
      </c>
      <c r="M700" s="42">
        <f>SUM(M701:M702)</f>
        <v>10836000</v>
      </c>
      <c r="N700" s="1029">
        <v>0</v>
      </c>
      <c r="O700" s="42">
        <f>SUM(O701:O702)</f>
        <v>2262811988</v>
      </c>
      <c r="P700" s="45">
        <v>1</v>
      </c>
      <c r="Q700" s="42">
        <f>SUM(Q701:Q702)</f>
        <v>6895707543</v>
      </c>
      <c r="R700" s="45">
        <v>3</v>
      </c>
      <c r="S700" s="42">
        <f>SUM(S701:S702)</f>
        <v>12050589430</v>
      </c>
      <c r="T700" s="55">
        <f t="shared" si="128"/>
        <v>4</v>
      </c>
      <c r="U700" s="57">
        <f t="shared" si="129"/>
        <v>200</v>
      </c>
      <c r="V700" s="58" t="s">
        <v>58</v>
      </c>
      <c r="W700" s="59">
        <f t="shared" si="130"/>
        <v>21219944961</v>
      </c>
      <c r="X700" s="57">
        <f t="shared" si="131"/>
        <v>93.878998067821868</v>
      </c>
      <c r="Y700" s="58" t="s">
        <v>58</v>
      </c>
      <c r="Z700" s="57">
        <f t="shared" si="118"/>
        <v>17</v>
      </c>
      <c r="AA700" s="59">
        <f t="shared" si="119"/>
        <v>71495611457</v>
      </c>
      <c r="AB700" s="57"/>
      <c r="AC700" s="58"/>
      <c r="AD700" s="57"/>
      <c r="AE700" s="11"/>
      <c r="AH700" s="25"/>
    </row>
    <row r="701" spans="1:34" ht="257.45" customHeight="1">
      <c r="A701" s="16"/>
      <c r="B701" s="17"/>
      <c r="C701" s="29" t="s">
        <v>2860</v>
      </c>
      <c r="D701" s="29" t="s">
        <v>2861</v>
      </c>
      <c r="E701" s="20">
        <f>J701*3</f>
        <v>300</v>
      </c>
      <c r="F701" s="47" t="s">
        <v>55</v>
      </c>
      <c r="G701" s="1025">
        <v>56400000</v>
      </c>
      <c r="H701" s="44">
        <v>70</v>
      </c>
      <c r="I701" s="22">
        <v>60372000</v>
      </c>
      <c r="J701" s="20">
        <v>100</v>
      </c>
      <c r="K701" s="23">
        <v>158894000</v>
      </c>
      <c r="L701" s="20">
        <v>14</v>
      </c>
      <c r="M701" s="23">
        <v>5436000</v>
      </c>
      <c r="N701" s="1019">
        <v>0</v>
      </c>
      <c r="O701" s="23">
        <v>32830000</v>
      </c>
      <c r="P701" s="20">
        <v>78</v>
      </c>
      <c r="Q701" s="23">
        <v>35445520</v>
      </c>
      <c r="R701" s="20">
        <v>42</v>
      </c>
      <c r="S701" s="23">
        <f>124141820-35445520-32830000-5436000</f>
        <v>50430300</v>
      </c>
      <c r="T701" s="54">
        <f t="shared" si="128"/>
        <v>134</v>
      </c>
      <c r="U701" s="53">
        <f t="shared" si="129"/>
        <v>134</v>
      </c>
      <c r="V701" s="35" t="s">
        <v>58</v>
      </c>
      <c r="W701" s="40">
        <f t="shared" si="130"/>
        <v>124141820</v>
      </c>
      <c r="X701" s="53">
        <f t="shared" si="131"/>
        <v>78.128702153637022</v>
      </c>
      <c r="Y701" s="35" t="s">
        <v>58</v>
      </c>
      <c r="Z701" s="53">
        <f t="shared" si="118"/>
        <v>204</v>
      </c>
      <c r="AA701" s="40">
        <f t="shared" si="119"/>
        <v>184513820</v>
      </c>
      <c r="AB701" s="53"/>
      <c r="AC701" s="35"/>
      <c r="AD701" s="53"/>
      <c r="AE701" s="11"/>
      <c r="AH701" s="25"/>
    </row>
    <row r="702" spans="1:34" ht="189.95" customHeight="1">
      <c r="A702" s="16"/>
      <c r="B702" s="17"/>
      <c r="C702" s="29" t="s">
        <v>2862</v>
      </c>
      <c r="D702" s="29" t="s">
        <v>2863</v>
      </c>
      <c r="E702" s="20">
        <v>6</v>
      </c>
      <c r="F702" s="47" t="s">
        <v>55</v>
      </c>
      <c r="G702" s="1034">
        <v>49943600000</v>
      </c>
      <c r="H702" s="44">
        <v>4</v>
      </c>
      <c r="I702" s="22">
        <v>50215294496</v>
      </c>
      <c r="J702" s="20">
        <v>2</v>
      </c>
      <c r="K702" s="23">
        <v>22444612000</v>
      </c>
      <c r="L702" s="20">
        <v>0</v>
      </c>
      <c r="M702" s="23">
        <v>5400000</v>
      </c>
      <c r="N702" s="1019">
        <v>0</v>
      </c>
      <c r="O702" s="23">
        <v>2229981988</v>
      </c>
      <c r="P702" s="20">
        <v>1</v>
      </c>
      <c r="Q702" s="23">
        <v>6860262023</v>
      </c>
      <c r="R702" s="20">
        <v>2</v>
      </c>
      <c r="S702" s="23">
        <f>21095803141-6860262023-2229981988-5400000</f>
        <v>12000159130</v>
      </c>
      <c r="T702" s="54">
        <f t="shared" si="128"/>
        <v>3</v>
      </c>
      <c r="U702" s="53">
        <f t="shared" si="129"/>
        <v>150</v>
      </c>
      <c r="V702" s="35" t="s">
        <v>58</v>
      </c>
      <c r="W702" s="40">
        <f t="shared" si="130"/>
        <v>21095803141</v>
      </c>
      <c r="X702" s="53">
        <f t="shared" si="131"/>
        <v>93.990500441709585</v>
      </c>
      <c r="Y702" s="35" t="s">
        <v>58</v>
      </c>
      <c r="Z702" s="53">
        <f t="shared" si="118"/>
        <v>7</v>
      </c>
      <c r="AA702" s="40">
        <f t="shared" si="119"/>
        <v>71311097637</v>
      </c>
      <c r="AB702" s="53"/>
      <c r="AC702" s="35"/>
      <c r="AD702" s="53"/>
      <c r="AE702" s="11"/>
      <c r="AH702" s="25"/>
    </row>
    <row r="703" spans="1:34" ht="78.75">
      <c r="A703" s="1035"/>
      <c r="B703" s="1036"/>
      <c r="C703" s="1037" t="s">
        <v>2864</v>
      </c>
      <c r="D703" s="1037" t="s">
        <v>2865</v>
      </c>
      <c r="E703" s="1038">
        <v>70.400000000000006</v>
      </c>
      <c r="F703" s="1039" t="s">
        <v>58</v>
      </c>
      <c r="G703" s="1040">
        <f>G704</f>
        <v>65786454175</v>
      </c>
      <c r="H703" s="1038">
        <v>68.37</v>
      </c>
      <c r="I703" s="1040">
        <f>I704</f>
        <v>45667668342</v>
      </c>
      <c r="J703" s="1041">
        <v>69.53</v>
      </c>
      <c r="K703" s="1040">
        <f>K704</f>
        <v>81238202380</v>
      </c>
      <c r="L703" s="1042">
        <v>68.37</v>
      </c>
      <c r="M703" s="1040">
        <f>M704</f>
        <v>32400000</v>
      </c>
      <c r="N703" s="1042">
        <v>68.040000000000006</v>
      </c>
      <c r="O703" s="1040">
        <f>O704</f>
        <v>1642749334</v>
      </c>
      <c r="P703" s="1042">
        <v>68.53</v>
      </c>
      <c r="Q703" s="1040">
        <f>Q704</f>
        <v>26365716478</v>
      </c>
      <c r="R703" s="1042">
        <v>69.53</v>
      </c>
      <c r="S703" s="1040">
        <f>S704</f>
        <v>37672522544</v>
      </c>
      <c r="T703" s="1041">
        <f t="shared" si="128"/>
        <v>274.47000000000003</v>
      </c>
      <c r="U703" s="1041">
        <f t="shared" si="129"/>
        <v>394.75046742413349</v>
      </c>
      <c r="V703" s="1043" t="s">
        <v>58</v>
      </c>
      <c r="W703" s="1044">
        <f t="shared" si="130"/>
        <v>65713388356</v>
      </c>
      <c r="X703" s="1041">
        <f t="shared" si="131"/>
        <v>80.889761751028061</v>
      </c>
      <c r="Y703" s="1043" t="s">
        <v>58</v>
      </c>
      <c r="Z703" s="1041">
        <f t="shared" si="118"/>
        <v>342.84000000000003</v>
      </c>
      <c r="AA703" s="1044">
        <f t="shared" si="119"/>
        <v>111381056698</v>
      </c>
      <c r="AB703" s="1041"/>
      <c r="AC703" s="1043"/>
      <c r="AD703" s="1041"/>
      <c r="AE703" s="1045"/>
      <c r="AH703" s="25"/>
    </row>
    <row r="704" spans="1:34" ht="110.25">
      <c r="A704" s="1035"/>
      <c r="B704" s="1036"/>
      <c r="C704" s="1037" t="s">
        <v>2866</v>
      </c>
      <c r="D704" s="1037" t="s">
        <v>2867</v>
      </c>
      <c r="E704" s="1038">
        <f>J704+7.5</f>
        <v>41.45</v>
      </c>
      <c r="F704" s="1039" t="s">
        <v>2801</v>
      </c>
      <c r="G704" s="1040">
        <f>SUM(G705:G713)</f>
        <v>65786454175</v>
      </c>
      <c r="H704" s="1038">
        <f>SUM(H707:H708)</f>
        <v>19.989999999999998</v>
      </c>
      <c r="I704" s="1040">
        <f>SUM(I705:I713)</f>
        <v>45667668342</v>
      </c>
      <c r="J704" s="1041">
        <f>SUM(J706:J708)</f>
        <v>33.950000000000003</v>
      </c>
      <c r="K704" s="1040">
        <f>SUM(K705:K713)</f>
        <v>81238202380</v>
      </c>
      <c r="L704" s="1041">
        <f>SUM(L707:L708)</f>
        <v>0</v>
      </c>
      <c r="M704" s="1040">
        <f>SUM(M705:M713)</f>
        <v>32400000</v>
      </c>
      <c r="N704" s="1041">
        <v>0</v>
      </c>
      <c r="O704" s="1040">
        <f>SUM(O705:O713)</f>
        <v>1642749334</v>
      </c>
      <c r="P704" s="1041">
        <v>0</v>
      </c>
      <c r="Q704" s="1040">
        <f>SUM(Q705:Q713)</f>
        <v>26365716478</v>
      </c>
      <c r="R704" s="1041">
        <f>SUM(R706:R708)</f>
        <v>26.35</v>
      </c>
      <c r="S704" s="1040">
        <f>SUM(S705:S713)</f>
        <v>37672522544</v>
      </c>
      <c r="T704" s="1041">
        <f t="shared" si="128"/>
        <v>26.35</v>
      </c>
      <c r="U704" s="1041">
        <f t="shared" si="129"/>
        <v>77.614138438880715</v>
      </c>
      <c r="V704" s="1043" t="s">
        <v>58</v>
      </c>
      <c r="W704" s="1044">
        <f t="shared" si="130"/>
        <v>65713388356</v>
      </c>
      <c r="X704" s="1041">
        <f t="shared" si="131"/>
        <v>80.889761751028061</v>
      </c>
      <c r="Y704" s="1043" t="s">
        <v>58</v>
      </c>
      <c r="Z704" s="1041">
        <f>H704+T704</f>
        <v>46.34</v>
      </c>
      <c r="AA704" s="1044">
        <f t="shared" si="119"/>
        <v>111381056698</v>
      </c>
      <c r="AB704" s="1041"/>
      <c r="AC704" s="1043"/>
      <c r="AD704" s="1041"/>
      <c r="AE704" s="1045"/>
      <c r="AH704" s="25"/>
    </row>
    <row r="705" spans="1:34" ht="45">
      <c r="A705" s="1035"/>
      <c r="B705" s="1036"/>
      <c r="C705" s="1046" t="s">
        <v>2868</v>
      </c>
      <c r="D705" s="1046" t="s">
        <v>2869</v>
      </c>
      <c r="E705" s="1047">
        <v>0.9</v>
      </c>
      <c r="F705" s="1048" t="s">
        <v>2801</v>
      </c>
      <c r="G705" s="1015">
        <v>1000000000</v>
      </c>
      <c r="H705" s="1047">
        <v>0.3</v>
      </c>
      <c r="I705" s="1049">
        <v>1239107100</v>
      </c>
      <c r="J705" s="1050">
        <v>0.5</v>
      </c>
      <c r="K705" s="1051">
        <v>5912777380</v>
      </c>
      <c r="L705" s="1047">
        <v>0</v>
      </c>
      <c r="M705" s="1051">
        <v>0</v>
      </c>
      <c r="N705" s="1047">
        <v>0</v>
      </c>
      <c r="O705" s="1051">
        <v>0</v>
      </c>
      <c r="P705" s="1047">
        <v>0</v>
      </c>
      <c r="Q705" s="1051">
        <v>3991099980</v>
      </c>
      <c r="R705" s="1047">
        <v>0.65</v>
      </c>
      <c r="S705" s="1051">
        <v>1016890170</v>
      </c>
      <c r="T705" s="1050">
        <f t="shared" si="128"/>
        <v>0.65</v>
      </c>
      <c r="U705" s="1050">
        <f t="shared" si="129"/>
        <v>130</v>
      </c>
      <c r="V705" s="1052" t="s">
        <v>58</v>
      </c>
      <c r="W705" s="1053">
        <f t="shared" si="130"/>
        <v>5007990150</v>
      </c>
      <c r="X705" s="1050">
        <f t="shared" si="131"/>
        <v>84.697762627416893</v>
      </c>
      <c r="Y705" s="1052" t="s">
        <v>58</v>
      </c>
      <c r="Z705" s="1050">
        <f t="shared" si="118"/>
        <v>0.95</v>
      </c>
      <c r="AA705" s="1053">
        <f t="shared" si="119"/>
        <v>6247097250</v>
      </c>
      <c r="AB705" s="1050"/>
      <c r="AC705" s="1052"/>
      <c r="AD705" s="1050"/>
      <c r="AE705" s="1045"/>
      <c r="AH705" s="25"/>
    </row>
    <row r="706" spans="1:34" ht="90">
      <c r="A706" s="1035"/>
      <c r="B706" s="1036"/>
      <c r="C706" s="1046" t="s">
        <v>2870</v>
      </c>
      <c r="D706" s="1054" t="s">
        <v>2871</v>
      </c>
      <c r="E706" s="1047">
        <f>J706</f>
        <v>3.1</v>
      </c>
      <c r="F706" s="1048" t="s">
        <v>2801</v>
      </c>
      <c r="G706" s="1015">
        <f>K706</f>
        <v>4821709200</v>
      </c>
      <c r="H706" s="1047">
        <v>0</v>
      </c>
      <c r="I706" s="1049">
        <v>0</v>
      </c>
      <c r="J706" s="1050">
        <v>3.1</v>
      </c>
      <c r="K706" s="1051">
        <v>4821709200</v>
      </c>
      <c r="L706" s="1047">
        <v>0</v>
      </c>
      <c r="M706" s="1051">
        <v>0</v>
      </c>
      <c r="N706" s="1047">
        <v>0</v>
      </c>
      <c r="O706" s="1051">
        <v>0</v>
      </c>
      <c r="P706" s="1047">
        <v>0.51</v>
      </c>
      <c r="Q706" s="1051">
        <v>999581000</v>
      </c>
      <c r="R706" s="1047">
        <v>2.08</v>
      </c>
      <c r="S706" s="1051">
        <v>3274345615</v>
      </c>
      <c r="T706" s="1050">
        <f t="shared" si="128"/>
        <v>2.59</v>
      </c>
      <c r="U706" s="1050">
        <f t="shared" si="129"/>
        <v>83.548387096774192</v>
      </c>
      <c r="V706" s="1052" t="s">
        <v>58</v>
      </c>
      <c r="W706" s="1053">
        <f t="shared" si="130"/>
        <v>4273926615</v>
      </c>
      <c r="X706" s="1050">
        <f t="shared" si="131"/>
        <v>88.639244668674749</v>
      </c>
      <c r="Y706" s="1052" t="s">
        <v>58</v>
      </c>
      <c r="Z706" s="1050">
        <f t="shared" si="118"/>
        <v>2.59</v>
      </c>
      <c r="AA706" s="1053">
        <f t="shared" si="119"/>
        <v>4273926615</v>
      </c>
      <c r="AB706" s="1050"/>
      <c r="AC706" s="1052"/>
      <c r="AD706" s="1050"/>
      <c r="AE706" s="1045"/>
      <c r="AH706" s="25"/>
    </row>
    <row r="707" spans="1:34" ht="75">
      <c r="A707" s="1035"/>
      <c r="B707" s="1036"/>
      <c r="C707" s="1046" t="s">
        <v>2872</v>
      </c>
      <c r="D707" s="1054" t="s">
        <v>2873</v>
      </c>
      <c r="E707" s="1047">
        <f>SUM(J707+5)</f>
        <v>11.95</v>
      </c>
      <c r="F707" s="1048" t="s">
        <v>2801</v>
      </c>
      <c r="G707" s="1015">
        <v>12761833025</v>
      </c>
      <c r="H707" s="1047">
        <v>7.05</v>
      </c>
      <c r="I707" s="1049">
        <v>10776027287</v>
      </c>
      <c r="J707" s="1050">
        <v>6.95</v>
      </c>
      <c r="K707" s="1051">
        <v>15354031700</v>
      </c>
      <c r="L707" s="1047">
        <v>0</v>
      </c>
      <c r="M707" s="1051">
        <v>5400000</v>
      </c>
      <c r="N707" s="1047">
        <v>0</v>
      </c>
      <c r="O707" s="1051">
        <v>175003475</v>
      </c>
      <c r="P707" s="1047">
        <v>0.91</v>
      </c>
      <c r="Q707" s="1051">
        <v>6825203708</v>
      </c>
      <c r="R707" s="1047">
        <v>6.51</v>
      </c>
      <c r="S707" s="1051">
        <v>8210837663</v>
      </c>
      <c r="T707" s="1050">
        <f t="shared" si="128"/>
        <v>7.42</v>
      </c>
      <c r="U707" s="1050">
        <f t="shared" si="129"/>
        <v>106.76258992805757</v>
      </c>
      <c r="V707" s="1052" t="s">
        <v>58</v>
      </c>
      <c r="W707" s="1053">
        <f t="shared" si="130"/>
        <v>15216444846</v>
      </c>
      <c r="X707" s="1050">
        <f t="shared" si="131"/>
        <v>99.103904064494017</v>
      </c>
      <c r="Y707" s="1052" t="s">
        <v>58</v>
      </c>
      <c r="Z707" s="1050">
        <f t="shared" si="118"/>
        <v>14.469999999999999</v>
      </c>
      <c r="AA707" s="1053">
        <f t="shared" si="119"/>
        <v>25992472133</v>
      </c>
      <c r="AB707" s="1050"/>
      <c r="AC707" s="1052"/>
      <c r="AD707" s="1050"/>
      <c r="AE707" s="1045"/>
      <c r="AH707" s="25"/>
    </row>
    <row r="708" spans="1:34" ht="45">
      <c r="A708" s="1035"/>
      <c r="B708" s="1036"/>
      <c r="C708" s="1046" t="s">
        <v>2874</v>
      </c>
      <c r="D708" s="1054" t="s">
        <v>2875</v>
      </c>
      <c r="E708" s="1047">
        <f>SUM(J708+2.5)</f>
        <v>26.4</v>
      </c>
      <c r="F708" s="1048" t="s">
        <v>2801</v>
      </c>
      <c r="G708" s="1015">
        <v>10485066975</v>
      </c>
      <c r="H708" s="1047">
        <v>12.94</v>
      </c>
      <c r="I708" s="1049">
        <v>15880639673</v>
      </c>
      <c r="J708" s="1050">
        <v>23.9</v>
      </c>
      <c r="K708" s="1051">
        <v>30117438100</v>
      </c>
      <c r="L708" s="1055">
        <v>0</v>
      </c>
      <c r="M708" s="1051">
        <v>5400000</v>
      </c>
      <c r="N708" s="1055">
        <v>0</v>
      </c>
      <c r="O708" s="1051">
        <v>952082384</v>
      </c>
      <c r="P708" s="1055">
        <v>0</v>
      </c>
      <c r="Q708" s="1051">
        <v>9633415800</v>
      </c>
      <c r="R708" s="1055">
        <v>17.760000000000002</v>
      </c>
      <c r="S708" s="1051">
        <v>17345240736</v>
      </c>
      <c r="T708" s="1050">
        <f t="shared" si="128"/>
        <v>17.760000000000002</v>
      </c>
      <c r="U708" s="1050">
        <f t="shared" si="129"/>
        <v>74.309623430962361</v>
      </c>
      <c r="V708" s="1052" t="s">
        <v>58</v>
      </c>
      <c r="W708" s="1053">
        <f t="shared" si="130"/>
        <v>27936138920</v>
      </c>
      <c r="X708" s="1050">
        <f t="shared" si="131"/>
        <v>92.757354816311562</v>
      </c>
      <c r="Y708" s="1052" t="s">
        <v>58</v>
      </c>
      <c r="Z708" s="1050">
        <f t="shared" si="118"/>
        <v>30.700000000000003</v>
      </c>
      <c r="AA708" s="1053">
        <f t="shared" si="119"/>
        <v>43816778593</v>
      </c>
      <c r="AB708" s="1050"/>
      <c r="AC708" s="1052"/>
      <c r="AD708" s="1050"/>
      <c r="AE708" s="1045"/>
      <c r="AH708" s="25"/>
    </row>
    <row r="709" spans="1:34" ht="90">
      <c r="A709" s="1035"/>
      <c r="B709" s="1036"/>
      <c r="C709" s="1046" t="s">
        <v>2876</v>
      </c>
      <c r="D709" s="1054" t="s">
        <v>2877</v>
      </c>
      <c r="E709" s="1047">
        <f>SUM(J709+1.53)</f>
        <v>6.375</v>
      </c>
      <c r="F709" s="1048" t="s">
        <v>2801</v>
      </c>
      <c r="G709" s="1015">
        <v>13288453000</v>
      </c>
      <c r="H709" s="1047">
        <v>17.95</v>
      </c>
      <c r="I709" s="1049">
        <v>5330974101</v>
      </c>
      <c r="J709" s="1050">
        <v>4.8449999999999998</v>
      </c>
      <c r="K709" s="1051">
        <v>9109264000</v>
      </c>
      <c r="L709" s="1055">
        <v>0</v>
      </c>
      <c r="M709" s="1051">
        <v>5400000</v>
      </c>
      <c r="N709" s="1047">
        <v>0</v>
      </c>
      <c r="O709" s="1051">
        <v>399871725</v>
      </c>
      <c r="P709" s="1047">
        <v>4.34</v>
      </c>
      <c r="Q709" s="1051">
        <v>3844756050</v>
      </c>
      <c r="R709" s="1055">
        <v>11.18</v>
      </c>
      <c r="S709" s="1051">
        <v>4814572320</v>
      </c>
      <c r="T709" s="1050">
        <f t="shared" si="128"/>
        <v>15.52</v>
      </c>
      <c r="U709" s="1050">
        <f t="shared" si="129"/>
        <v>320.33023735810116</v>
      </c>
      <c r="V709" s="1052" t="s">
        <v>58</v>
      </c>
      <c r="W709" s="1053">
        <f t="shared" si="130"/>
        <v>9064600095</v>
      </c>
      <c r="X709" s="1050">
        <f t="shared" si="131"/>
        <v>99.509687006546301</v>
      </c>
      <c r="Y709" s="1052" t="s">
        <v>58</v>
      </c>
      <c r="Z709" s="1050">
        <f t="shared" si="118"/>
        <v>33.47</v>
      </c>
      <c r="AA709" s="1053">
        <f t="shared" si="119"/>
        <v>14395574196</v>
      </c>
      <c r="AB709" s="1050"/>
      <c r="AC709" s="1052"/>
      <c r="AD709" s="1050"/>
      <c r="AE709" s="1045"/>
      <c r="AH709" s="25"/>
    </row>
    <row r="710" spans="1:34" ht="90">
      <c r="A710" s="1035"/>
      <c r="B710" s="1036"/>
      <c r="C710" s="1046" t="s">
        <v>2878</v>
      </c>
      <c r="D710" s="1054" t="s">
        <v>2879</v>
      </c>
      <c r="E710" s="1047">
        <f>J710+2</f>
        <v>3</v>
      </c>
      <c r="F710" s="1048" t="s">
        <v>2801</v>
      </c>
      <c r="G710" s="1015">
        <v>10485066975</v>
      </c>
      <c r="H710" s="1047">
        <v>2.62</v>
      </c>
      <c r="I710" s="1049">
        <v>484451026</v>
      </c>
      <c r="J710" s="1050">
        <v>1</v>
      </c>
      <c r="K710" s="1051">
        <v>1775044000</v>
      </c>
      <c r="L710" s="1055">
        <v>0</v>
      </c>
      <c r="M710" s="1051">
        <v>5400000</v>
      </c>
      <c r="N710" s="1055">
        <v>0</v>
      </c>
      <c r="O710" s="1051">
        <v>5436000</v>
      </c>
      <c r="P710" s="1055">
        <v>0</v>
      </c>
      <c r="Q710" s="1051">
        <v>749209520</v>
      </c>
      <c r="R710" s="1055">
        <v>0.44</v>
      </c>
      <c r="S710" s="1051">
        <v>810411800</v>
      </c>
      <c r="T710" s="1050">
        <f t="shared" si="128"/>
        <v>0.44</v>
      </c>
      <c r="U710" s="1050">
        <f>T710/J710*100</f>
        <v>44</v>
      </c>
      <c r="V710" s="1052" t="s">
        <v>58</v>
      </c>
      <c r="W710" s="1053">
        <f t="shared" si="130"/>
        <v>1570457320</v>
      </c>
      <c r="X710" s="1050">
        <f t="shared" si="131"/>
        <v>88.474275567253542</v>
      </c>
      <c r="Y710" s="1052" t="s">
        <v>58</v>
      </c>
      <c r="Z710" s="1050">
        <f t="shared" si="118"/>
        <v>3.06</v>
      </c>
      <c r="AA710" s="1053">
        <f t="shared" si="119"/>
        <v>2054908346</v>
      </c>
      <c r="AB710" s="1050"/>
      <c r="AC710" s="1052"/>
      <c r="AD710" s="1050"/>
      <c r="AE710" s="1045"/>
      <c r="AH710" s="25"/>
    </row>
    <row r="711" spans="1:34" ht="60">
      <c r="A711" s="1035"/>
      <c r="B711" s="1036"/>
      <c r="C711" s="1046" t="s">
        <v>2880</v>
      </c>
      <c r="D711" s="1054" t="s">
        <v>2881</v>
      </c>
      <c r="E711" s="1056">
        <f>SUM(H711+J711+11)</f>
        <v>139.6</v>
      </c>
      <c r="F711" s="1048" t="s">
        <v>2798</v>
      </c>
      <c r="G711" s="1015">
        <v>1000000000</v>
      </c>
      <c r="H711" s="1047">
        <v>128.6</v>
      </c>
      <c r="I711" s="1049">
        <v>2582773630</v>
      </c>
      <c r="J711" s="1050">
        <v>0</v>
      </c>
      <c r="K711" s="1051">
        <v>12201500000</v>
      </c>
      <c r="L711" s="1056">
        <v>0</v>
      </c>
      <c r="M711" s="1051">
        <v>0</v>
      </c>
      <c r="N711" s="1056">
        <v>0</v>
      </c>
      <c r="O711" s="1051">
        <v>0</v>
      </c>
      <c r="P711" s="1056">
        <v>0</v>
      </c>
      <c r="Q711" s="1051">
        <v>0</v>
      </c>
      <c r="R711" s="1056">
        <v>0</v>
      </c>
      <c r="S711" s="1051">
        <v>889640000</v>
      </c>
      <c r="T711" s="1050">
        <f t="shared" si="128"/>
        <v>0</v>
      </c>
      <c r="U711" s="1050">
        <v>0</v>
      </c>
      <c r="V711" s="1052" t="s">
        <v>58</v>
      </c>
      <c r="W711" s="1053">
        <f t="shared" si="130"/>
        <v>889640000</v>
      </c>
      <c r="X711" s="1050">
        <f t="shared" si="131"/>
        <v>7.2912346842601323</v>
      </c>
      <c r="Y711" s="1052" t="s">
        <v>58</v>
      </c>
      <c r="Z711" s="1050">
        <f t="shared" si="118"/>
        <v>128.6</v>
      </c>
      <c r="AA711" s="1053">
        <f t="shared" si="119"/>
        <v>3472413630</v>
      </c>
      <c r="AB711" s="1050"/>
      <c r="AC711" s="1052"/>
      <c r="AD711" s="1050"/>
      <c r="AE711" s="1045"/>
      <c r="AH711" s="25"/>
    </row>
    <row r="712" spans="1:34" ht="75">
      <c r="A712" s="1035"/>
      <c r="B712" s="1036"/>
      <c r="C712" s="1046" t="s">
        <v>2882</v>
      </c>
      <c r="D712" s="1054" t="s">
        <v>2883</v>
      </c>
      <c r="E712" s="1047">
        <f>SUM(H712+J712+10)</f>
        <v>178.2</v>
      </c>
      <c r="F712" s="1048" t="s">
        <v>2798</v>
      </c>
      <c r="G712" s="1015">
        <v>10337925000</v>
      </c>
      <c r="H712" s="1047">
        <v>143.19999999999999</v>
      </c>
      <c r="I712" s="1049">
        <v>9066513217</v>
      </c>
      <c r="J712" s="1050">
        <v>25</v>
      </c>
      <c r="K712" s="1051">
        <v>958894000</v>
      </c>
      <c r="L712" s="1055">
        <v>0</v>
      </c>
      <c r="M712" s="1051">
        <v>5400000</v>
      </c>
      <c r="N712" s="1055">
        <v>0</v>
      </c>
      <c r="O712" s="1051">
        <v>104919750</v>
      </c>
      <c r="P712" s="1055">
        <v>0</v>
      </c>
      <c r="Q712" s="1051">
        <v>215826320</v>
      </c>
      <c r="R712" s="1055">
        <v>45.4</v>
      </c>
      <c r="S712" s="1051">
        <v>625112000</v>
      </c>
      <c r="T712" s="1050">
        <f t="shared" si="128"/>
        <v>45.4</v>
      </c>
      <c r="U712" s="1050">
        <f>T712/J712*100</f>
        <v>181.6</v>
      </c>
      <c r="V712" s="1052" t="s">
        <v>58</v>
      </c>
      <c r="W712" s="1053">
        <f t="shared" si="130"/>
        <v>951258070</v>
      </c>
      <c r="X712" s="1050">
        <f t="shared" si="131"/>
        <v>99.20367319015449</v>
      </c>
      <c r="Y712" s="1052" t="s">
        <v>58</v>
      </c>
      <c r="Z712" s="1050">
        <f t="shared" ref="Z712:Z742" si="132">H712+T712</f>
        <v>188.6</v>
      </c>
      <c r="AA712" s="1053">
        <f t="shared" ref="AA712:AA742" si="133">I712+W712</f>
        <v>10017771287</v>
      </c>
      <c r="AB712" s="1050"/>
      <c r="AC712" s="1052"/>
      <c r="AD712" s="1050"/>
      <c r="AE712" s="1045"/>
      <c r="AH712" s="25"/>
    </row>
    <row r="713" spans="1:34" ht="105">
      <c r="A713" s="1035"/>
      <c r="B713" s="1036"/>
      <c r="C713" s="1046" t="s">
        <v>2884</v>
      </c>
      <c r="D713" s="1054" t="s">
        <v>2885</v>
      </c>
      <c r="E713" s="1056">
        <f>SUM(H713+J713+10)</f>
        <v>223.35</v>
      </c>
      <c r="F713" s="1048" t="s">
        <v>2798</v>
      </c>
      <c r="G713" s="1015">
        <v>1606400000</v>
      </c>
      <c r="H713" s="1047">
        <v>169.6</v>
      </c>
      <c r="I713" s="1049">
        <v>307182308</v>
      </c>
      <c r="J713" s="1050">
        <v>43.75</v>
      </c>
      <c r="K713" s="1051">
        <v>987544000</v>
      </c>
      <c r="L713" s="1056">
        <v>0</v>
      </c>
      <c r="M713" s="1051">
        <v>5400000</v>
      </c>
      <c r="N713" s="1056">
        <v>0</v>
      </c>
      <c r="O713" s="1051">
        <v>5436000</v>
      </c>
      <c r="P713" s="1056">
        <v>0</v>
      </c>
      <c r="Q713" s="1051">
        <v>106624100</v>
      </c>
      <c r="R713" s="1057">
        <v>75</v>
      </c>
      <c r="S713" s="1051">
        <v>685472240</v>
      </c>
      <c r="T713" s="1050">
        <f t="shared" si="128"/>
        <v>75</v>
      </c>
      <c r="U713" s="1050">
        <f>T713/J713*100</f>
        <v>171.42857142857142</v>
      </c>
      <c r="V713" s="1052" t="s">
        <v>58</v>
      </c>
      <c r="W713" s="1053">
        <f t="shared" si="130"/>
        <v>802932340</v>
      </c>
      <c r="X713" s="1050">
        <f t="shared" si="131"/>
        <v>81.305981303111565</v>
      </c>
      <c r="Y713" s="1052" t="s">
        <v>58</v>
      </c>
      <c r="Z713" s="1050">
        <f t="shared" si="132"/>
        <v>244.6</v>
      </c>
      <c r="AA713" s="1053">
        <f t="shared" si="133"/>
        <v>1110114648</v>
      </c>
      <c r="AB713" s="1050"/>
      <c r="AC713" s="1052"/>
      <c r="AD713" s="1050"/>
      <c r="AE713" s="1045"/>
      <c r="AH713" s="25"/>
    </row>
    <row r="714" spans="1:34" ht="240">
      <c r="A714" s="16"/>
      <c r="B714" s="17"/>
      <c r="C714" s="113" t="s">
        <v>2886</v>
      </c>
      <c r="D714" s="113" t="s">
        <v>2887</v>
      </c>
      <c r="E714" s="1055">
        <v>2</v>
      </c>
      <c r="F714" s="842" t="s">
        <v>55</v>
      </c>
      <c r="G714" s="273">
        <v>199400000</v>
      </c>
      <c r="H714" s="299">
        <v>2</v>
      </c>
      <c r="I714" s="804">
        <v>195970000</v>
      </c>
      <c r="J714" s="1058"/>
      <c r="K714" s="273"/>
      <c r="L714" s="301"/>
      <c r="M714" s="273"/>
      <c r="N714" s="1055"/>
      <c r="O714" s="273"/>
      <c r="P714" s="301"/>
      <c r="Q714" s="273"/>
      <c r="R714" s="301"/>
      <c r="S714" s="273"/>
      <c r="T714" s="406"/>
      <c r="U714" s="408"/>
      <c r="V714" s="300"/>
      <c r="W714" s="407"/>
      <c r="X714" s="408"/>
      <c r="Y714" s="300"/>
      <c r="Z714" s="408">
        <f t="shared" si="132"/>
        <v>2</v>
      </c>
      <c r="AA714" s="407">
        <f t="shared" si="133"/>
        <v>195970000</v>
      </c>
      <c r="AB714" s="408"/>
      <c r="AC714" s="300"/>
      <c r="AD714" s="408"/>
      <c r="AE714" s="833"/>
      <c r="AH714" s="25"/>
    </row>
    <row r="715" spans="1:34" ht="97.5" customHeight="1">
      <c r="A715" s="16"/>
      <c r="B715" s="17"/>
      <c r="C715" s="19" t="s">
        <v>2888</v>
      </c>
      <c r="D715" s="1037" t="s">
        <v>2889</v>
      </c>
      <c r="E715" s="841">
        <v>100</v>
      </c>
      <c r="F715" s="829" t="s">
        <v>58</v>
      </c>
      <c r="G715" s="610">
        <f>G716+G723+G733</f>
        <v>75000000</v>
      </c>
      <c r="H715" s="841">
        <v>34</v>
      </c>
      <c r="I715" s="610">
        <f>I716+I723+I733</f>
        <v>137832550</v>
      </c>
      <c r="J715" s="1059">
        <v>64</v>
      </c>
      <c r="K715" s="610">
        <v>650593650</v>
      </c>
      <c r="L715" s="823">
        <v>0</v>
      </c>
      <c r="M715" s="610">
        <f>M716+M723+M733</f>
        <v>8657500</v>
      </c>
      <c r="N715" s="1042">
        <v>0</v>
      </c>
      <c r="O715" s="610">
        <f>O716+O723+O733</f>
        <v>6434500</v>
      </c>
      <c r="P715" s="1042">
        <v>0</v>
      </c>
      <c r="Q715" s="610">
        <f>Q716+Q723+Q733</f>
        <v>14743020</v>
      </c>
      <c r="R715" s="823">
        <v>0</v>
      </c>
      <c r="S715" s="610">
        <v>108630498</v>
      </c>
      <c r="T715" s="401">
        <f t="shared" ref="T715:T739" si="134">SUM(L715,N715,P715,R715)</f>
        <v>0</v>
      </c>
      <c r="U715" s="412">
        <f t="shared" ref="U715:U739" si="135">T715/J715*100</f>
        <v>0</v>
      </c>
      <c r="V715" s="410" t="s">
        <v>58</v>
      </c>
      <c r="W715" s="411">
        <f t="shared" ref="W715:W735" si="136">SUM(M715,O715,Q715,S715)</f>
        <v>138465518</v>
      </c>
      <c r="X715" s="412">
        <f t="shared" ref="X715:X735" si="137">W715/K715*100</f>
        <v>21.282949503119188</v>
      </c>
      <c r="Y715" s="410" t="s">
        <v>58</v>
      </c>
      <c r="Z715" s="412">
        <f t="shared" si="132"/>
        <v>34</v>
      </c>
      <c r="AA715" s="411">
        <f t="shared" si="133"/>
        <v>276298068</v>
      </c>
      <c r="AB715" s="412"/>
      <c r="AC715" s="410"/>
      <c r="AD715" s="412"/>
      <c r="AE715" s="833"/>
      <c r="AH715" s="25"/>
    </row>
    <row r="716" spans="1:34" ht="94.5">
      <c r="A716" s="16"/>
      <c r="B716" s="17"/>
      <c r="C716" s="19" t="s">
        <v>2890</v>
      </c>
      <c r="D716" s="19" t="s">
        <v>2891</v>
      </c>
      <c r="E716" s="823">
        <v>180</v>
      </c>
      <c r="F716" s="829" t="s">
        <v>57</v>
      </c>
      <c r="G716" s="610">
        <f>SUM(G717:G722)</f>
        <v>75000000</v>
      </c>
      <c r="H716" s="841">
        <v>150</v>
      </c>
      <c r="I716" s="610">
        <f>SUM(I717:I722)</f>
        <v>137832550</v>
      </c>
      <c r="J716" s="823">
        <v>150</v>
      </c>
      <c r="K716" s="610">
        <v>402039200</v>
      </c>
      <c r="L716" s="823">
        <v>0</v>
      </c>
      <c r="M716" s="610">
        <f>SUM(M717:M722)</f>
        <v>3257500</v>
      </c>
      <c r="N716" s="1042">
        <v>0</v>
      </c>
      <c r="O716" s="610">
        <f>SUM(O717:O722)</f>
        <v>1034500</v>
      </c>
      <c r="P716" s="1042">
        <v>0</v>
      </c>
      <c r="Q716" s="610">
        <f>SUM(Q717:Q722)</f>
        <v>2844800</v>
      </c>
      <c r="R716" s="823">
        <v>0</v>
      </c>
      <c r="S716" s="610">
        <v>6804498</v>
      </c>
      <c r="T716" s="401">
        <f t="shared" si="134"/>
        <v>0</v>
      </c>
      <c r="U716" s="412">
        <f t="shared" si="135"/>
        <v>0</v>
      </c>
      <c r="V716" s="410" t="s">
        <v>58</v>
      </c>
      <c r="W716" s="411">
        <f t="shared" si="136"/>
        <v>13941298</v>
      </c>
      <c r="X716" s="412">
        <f t="shared" si="137"/>
        <v>3.4676464384567471</v>
      </c>
      <c r="Y716" s="410" t="s">
        <v>58</v>
      </c>
      <c r="Z716" s="412">
        <f t="shared" si="132"/>
        <v>150</v>
      </c>
      <c r="AA716" s="411">
        <f t="shared" si="133"/>
        <v>151773848</v>
      </c>
      <c r="AB716" s="412"/>
      <c r="AC716" s="410"/>
      <c r="AD716" s="412"/>
      <c r="AE716" s="833"/>
      <c r="AH716" s="25"/>
    </row>
    <row r="717" spans="1:34" ht="135">
      <c r="A717" s="16"/>
      <c r="B717" s="17"/>
      <c r="C717" s="29" t="s">
        <v>2892</v>
      </c>
      <c r="D717" s="29" t="s">
        <v>2893</v>
      </c>
      <c r="E717" s="301">
        <v>180</v>
      </c>
      <c r="F717" s="842" t="s">
        <v>55</v>
      </c>
      <c r="G717" s="1060">
        <v>2000000</v>
      </c>
      <c r="H717" s="299">
        <v>137</v>
      </c>
      <c r="I717" s="804">
        <v>4870000</v>
      </c>
      <c r="J717" s="1061">
        <v>150</v>
      </c>
      <c r="K717" s="273">
        <v>10000000</v>
      </c>
      <c r="L717" s="301">
        <v>0</v>
      </c>
      <c r="M717" s="273">
        <f>2050000+1207500</f>
        <v>3257500</v>
      </c>
      <c r="N717" s="1055">
        <v>0</v>
      </c>
      <c r="O717" s="273">
        <v>1034500</v>
      </c>
      <c r="P717" s="1055">
        <v>0</v>
      </c>
      <c r="Q717" s="273">
        <v>764300</v>
      </c>
      <c r="R717" s="301">
        <v>0</v>
      </c>
      <c r="S717" s="273">
        <v>2063500</v>
      </c>
      <c r="T717" s="406">
        <f t="shared" si="134"/>
        <v>0</v>
      </c>
      <c r="U717" s="408">
        <f t="shared" si="135"/>
        <v>0</v>
      </c>
      <c r="V717" s="300" t="s">
        <v>58</v>
      </c>
      <c r="W717" s="407">
        <f t="shared" si="136"/>
        <v>7119800</v>
      </c>
      <c r="X717" s="408">
        <f t="shared" si="137"/>
        <v>71.197999999999993</v>
      </c>
      <c r="Y717" s="300" t="s">
        <v>58</v>
      </c>
      <c r="Z717" s="408">
        <f t="shared" si="132"/>
        <v>137</v>
      </c>
      <c r="AA717" s="407">
        <f t="shared" si="133"/>
        <v>11989800</v>
      </c>
      <c r="AB717" s="408"/>
      <c r="AC717" s="300"/>
      <c r="AD717" s="408"/>
      <c r="AE717" s="833"/>
      <c r="AH717" s="25"/>
    </row>
    <row r="718" spans="1:34" ht="180">
      <c r="A718" s="16"/>
      <c r="B718" s="17"/>
      <c r="C718" s="29" t="s">
        <v>2894</v>
      </c>
      <c r="D718" s="29" t="s">
        <v>2895</v>
      </c>
      <c r="E718" s="301">
        <v>8</v>
      </c>
      <c r="F718" s="842" t="s">
        <v>57</v>
      </c>
      <c r="G718" s="1060">
        <v>2000000</v>
      </c>
      <c r="H718" s="299">
        <v>8</v>
      </c>
      <c r="I718" s="804">
        <v>12800000</v>
      </c>
      <c r="J718" s="1061">
        <v>8</v>
      </c>
      <c r="K718" s="273">
        <v>86850000</v>
      </c>
      <c r="L718" s="301">
        <v>0</v>
      </c>
      <c r="M718" s="273">
        <v>0</v>
      </c>
      <c r="N718" s="1055">
        <v>0</v>
      </c>
      <c r="O718" s="273">
        <v>0</v>
      </c>
      <c r="P718" s="1055">
        <v>0</v>
      </c>
      <c r="Q718" s="273">
        <v>0</v>
      </c>
      <c r="R718" s="1055">
        <v>0</v>
      </c>
      <c r="S718" s="273">
        <v>0</v>
      </c>
      <c r="T718" s="406">
        <f t="shared" si="134"/>
        <v>0</v>
      </c>
      <c r="U718" s="408">
        <f t="shared" si="135"/>
        <v>0</v>
      </c>
      <c r="V718" s="300" t="s">
        <v>58</v>
      </c>
      <c r="W718" s="407">
        <f t="shared" si="136"/>
        <v>0</v>
      </c>
      <c r="X718" s="408">
        <f t="shared" si="137"/>
        <v>0</v>
      </c>
      <c r="Y718" s="300" t="s">
        <v>58</v>
      </c>
      <c r="Z718" s="408">
        <f t="shared" si="132"/>
        <v>8</v>
      </c>
      <c r="AA718" s="407">
        <f t="shared" si="133"/>
        <v>12800000</v>
      </c>
      <c r="AB718" s="408"/>
      <c r="AC718" s="300"/>
      <c r="AD718" s="408"/>
      <c r="AE718" s="833"/>
      <c r="AH718" s="25"/>
    </row>
    <row r="719" spans="1:34" ht="195">
      <c r="A719" s="16"/>
      <c r="B719" s="17"/>
      <c r="C719" s="29" t="s">
        <v>2896</v>
      </c>
      <c r="D719" s="29" t="s">
        <v>2897</v>
      </c>
      <c r="E719" s="301"/>
      <c r="F719" s="842"/>
      <c r="G719" s="1060"/>
      <c r="H719" s="1062"/>
      <c r="I719" s="804"/>
      <c r="J719" s="1061">
        <v>1</v>
      </c>
      <c r="K719" s="273">
        <v>6000000</v>
      </c>
      <c r="L719" s="301">
        <v>0</v>
      </c>
      <c r="M719" s="273">
        <v>0</v>
      </c>
      <c r="N719" s="1055">
        <v>0</v>
      </c>
      <c r="O719" s="273">
        <v>0</v>
      </c>
      <c r="P719" s="1055">
        <v>0</v>
      </c>
      <c r="Q719" s="273">
        <v>1390500</v>
      </c>
      <c r="R719" s="301">
        <v>0</v>
      </c>
      <c r="S719" s="273">
        <v>1151100</v>
      </c>
      <c r="T719" s="406">
        <f t="shared" si="134"/>
        <v>0</v>
      </c>
      <c r="U719" s="408">
        <f t="shared" si="135"/>
        <v>0</v>
      </c>
      <c r="V719" s="300" t="s">
        <v>58</v>
      </c>
      <c r="W719" s="407">
        <f t="shared" si="136"/>
        <v>2541600</v>
      </c>
      <c r="X719" s="408">
        <f t="shared" si="137"/>
        <v>42.36</v>
      </c>
      <c r="Y719" s="300" t="s">
        <v>58</v>
      </c>
      <c r="Z719" s="408">
        <f t="shared" si="132"/>
        <v>0</v>
      </c>
      <c r="AA719" s="407">
        <f t="shared" si="133"/>
        <v>2541600</v>
      </c>
      <c r="AB719" s="408"/>
      <c r="AC719" s="300"/>
      <c r="AD719" s="408"/>
      <c r="AE719" s="833"/>
      <c r="AH719" s="25"/>
    </row>
    <row r="720" spans="1:34" ht="104.1" customHeight="1">
      <c r="A720" s="16"/>
      <c r="B720" s="17"/>
      <c r="C720" s="29" t="s">
        <v>2898</v>
      </c>
      <c r="D720" s="29" t="s">
        <v>2899</v>
      </c>
      <c r="E720" s="301">
        <v>175</v>
      </c>
      <c r="F720" s="842" t="s">
        <v>55</v>
      </c>
      <c r="G720" s="1060">
        <v>69000000</v>
      </c>
      <c r="H720" s="299">
        <v>150</v>
      </c>
      <c r="I720" s="804">
        <v>118518550</v>
      </c>
      <c r="J720" s="1061">
        <v>1</v>
      </c>
      <c r="K720" s="273">
        <v>267900000</v>
      </c>
      <c r="L720" s="301">
        <v>0</v>
      </c>
      <c r="M720" s="273">
        <v>0</v>
      </c>
      <c r="N720" s="1055">
        <v>0</v>
      </c>
      <c r="O720" s="273">
        <v>0</v>
      </c>
      <c r="P720" s="1055">
        <v>0</v>
      </c>
      <c r="Q720" s="273">
        <v>690000</v>
      </c>
      <c r="R720" s="301"/>
      <c r="S720" s="273">
        <v>13628989</v>
      </c>
      <c r="T720" s="406">
        <f t="shared" si="134"/>
        <v>0</v>
      </c>
      <c r="U720" s="408">
        <f t="shared" si="135"/>
        <v>0</v>
      </c>
      <c r="V720" s="300" t="s">
        <v>58</v>
      </c>
      <c r="W720" s="407">
        <f t="shared" si="136"/>
        <v>14318989</v>
      </c>
      <c r="X720" s="408">
        <f t="shared" si="137"/>
        <v>5.3449007092198579</v>
      </c>
      <c r="Y720" s="300" t="s">
        <v>58</v>
      </c>
      <c r="Z720" s="408">
        <f t="shared" si="132"/>
        <v>150</v>
      </c>
      <c r="AA720" s="407">
        <f t="shared" si="133"/>
        <v>132837539</v>
      </c>
      <c r="AB720" s="408"/>
      <c r="AC720" s="300"/>
      <c r="AD720" s="408"/>
      <c r="AE720" s="833"/>
      <c r="AH720" s="25"/>
    </row>
    <row r="721" spans="1:34" ht="135">
      <c r="A721" s="16"/>
      <c r="B721" s="17"/>
      <c r="C721" s="29" t="s">
        <v>2900</v>
      </c>
      <c r="D721" s="29" t="s">
        <v>2901</v>
      </c>
      <c r="E721" s="301">
        <v>175</v>
      </c>
      <c r="F721" s="842" t="s">
        <v>57</v>
      </c>
      <c r="G721" s="1060">
        <v>2000000</v>
      </c>
      <c r="H721" s="299">
        <v>137</v>
      </c>
      <c r="I721" s="804">
        <v>1644000</v>
      </c>
      <c r="J721" s="1061">
        <v>150</v>
      </c>
      <c r="K721" s="273">
        <v>21299200</v>
      </c>
      <c r="L721" s="301">
        <v>0</v>
      </c>
      <c r="M721" s="273">
        <v>0</v>
      </c>
      <c r="N721" s="1055">
        <v>0</v>
      </c>
      <c r="O721" s="273">
        <v>0</v>
      </c>
      <c r="P721" s="1055">
        <v>0</v>
      </c>
      <c r="Q721" s="273">
        <v>0</v>
      </c>
      <c r="R721" s="301">
        <v>0</v>
      </c>
      <c r="S721" s="273">
        <v>0</v>
      </c>
      <c r="T721" s="406">
        <f t="shared" si="134"/>
        <v>0</v>
      </c>
      <c r="U721" s="408">
        <f t="shared" si="135"/>
        <v>0</v>
      </c>
      <c r="V721" s="300" t="s">
        <v>58</v>
      </c>
      <c r="W721" s="407">
        <f t="shared" si="136"/>
        <v>0</v>
      </c>
      <c r="X721" s="408">
        <f t="shared" si="137"/>
        <v>0</v>
      </c>
      <c r="Y721" s="300" t="s">
        <v>58</v>
      </c>
      <c r="Z721" s="408">
        <f t="shared" si="132"/>
        <v>137</v>
      </c>
      <c r="AA721" s="407">
        <f t="shared" si="133"/>
        <v>1644000</v>
      </c>
      <c r="AB721" s="408"/>
      <c r="AC721" s="300"/>
      <c r="AD721" s="408"/>
      <c r="AE721" s="833"/>
      <c r="AH721" s="25"/>
    </row>
    <row r="722" spans="1:34" ht="150">
      <c r="A722" s="16"/>
      <c r="B722" s="17"/>
      <c r="C722" s="29" t="s">
        <v>2902</v>
      </c>
      <c r="D722" s="29" t="s">
        <v>2903</v>
      </c>
      <c r="E722" s="301"/>
      <c r="F722" s="842" t="s">
        <v>55</v>
      </c>
      <c r="G722" s="1060"/>
      <c r="H722" s="1062"/>
      <c r="I722" s="804"/>
      <c r="J722" s="1061">
        <v>150</v>
      </c>
      <c r="K722" s="273">
        <v>9990000</v>
      </c>
      <c r="L722" s="301">
        <v>0</v>
      </c>
      <c r="M722" s="273">
        <v>0</v>
      </c>
      <c r="N722" s="1055">
        <v>0</v>
      </c>
      <c r="O722" s="273">
        <v>0</v>
      </c>
      <c r="P722" s="1055">
        <v>0</v>
      </c>
      <c r="Q722" s="273">
        <v>0</v>
      </c>
      <c r="R722" s="301">
        <v>0</v>
      </c>
      <c r="S722" s="273">
        <v>0</v>
      </c>
      <c r="T722" s="406">
        <f t="shared" si="134"/>
        <v>0</v>
      </c>
      <c r="U722" s="408">
        <f t="shared" si="135"/>
        <v>0</v>
      </c>
      <c r="V722" s="300" t="s">
        <v>58</v>
      </c>
      <c r="W722" s="407">
        <f t="shared" si="136"/>
        <v>0</v>
      </c>
      <c r="X722" s="408">
        <f t="shared" si="137"/>
        <v>0</v>
      </c>
      <c r="Y722" s="300" t="s">
        <v>58</v>
      </c>
      <c r="Z722" s="408">
        <f t="shared" si="132"/>
        <v>0</v>
      </c>
      <c r="AA722" s="407">
        <f t="shared" si="133"/>
        <v>0</v>
      </c>
      <c r="AB722" s="408"/>
      <c r="AC722" s="300"/>
      <c r="AD722" s="408"/>
      <c r="AE722" s="833"/>
      <c r="AH722" s="25"/>
    </row>
    <row r="723" spans="1:34" ht="135.94999999999999" customHeight="1">
      <c r="A723" s="16"/>
      <c r="B723" s="17"/>
      <c r="C723" s="19" t="s">
        <v>2904</v>
      </c>
      <c r="D723" s="19"/>
      <c r="E723" s="45"/>
      <c r="F723" s="46"/>
      <c r="G723" s="42">
        <f>SUM(G724:G732)</f>
        <v>0</v>
      </c>
      <c r="H723" s="514"/>
      <c r="I723" s="42">
        <f>SUM(I724:I732)</f>
        <v>0</v>
      </c>
      <c r="J723" s="45">
        <v>150</v>
      </c>
      <c r="K723" s="42">
        <v>100554900</v>
      </c>
      <c r="L723" s="45">
        <v>0</v>
      </c>
      <c r="M723" s="42">
        <f>SUM(M724:M732)</f>
        <v>5400000</v>
      </c>
      <c r="N723" s="1029">
        <v>0</v>
      </c>
      <c r="O723" s="42">
        <f>SUM(O724:O732)</f>
        <v>5400000</v>
      </c>
      <c r="P723" s="1029">
        <v>0</v>
      </c>
      <c r="Q723" s="42">
        <f>SUM(Q724:Q732)</f>
        <v>11898220</v>
      </c>
      <c r="R723" s="45">
        <v>0</v>
      </c>
      <c r="S723" s="42">
        <v>1937000</v>
      </c>
      <c r="T723" s="55">
        <f t="shared" si="134"/>
        <v>0</v>
      </c>
      <c r="U723" s="57">
        <f t="shared" si="135"/>
        <v>0</v>
      </c>
      <c r="V723" s="58" t="s">
        <v>58</v>
      </c>
      <c r="W723" s="59">
        <f t="shared" si="136"/>
        <v>24635220</v>
      </c>
      <c r="X723" s="57">
        <f t="shared" si="137"/>
        <v>24.499273531175508</v>
      </c>
      <c r="Y723" s="58" t="s">
        <v>58</v>
      </c>
      <c r="Z723" s="57">
        <f t="shared" si="132"/>
        <v>0</v>
      </c>
      <c r="AA723" s="59">
        <f t="shared" si="133"/>
        <v>24635220</v>
      </c>
      <c r="AB723" s="57"/>
      <c r="AC723" s="58"/>
      <c r="AD723" s="57"/>
      <c r="AE723" s="11"/>
      <c r="AH723" s="25"/>
    </row>
    <row r="724" spans="1:34" ht="150">
      <c r="A724" s="16"/>
      <c r="B724" s="17"/>
      <c r="C724" s="29" t="s">
        <v>2905</v>
      </c>
      <c r="D724" s="29" t="s">
        <v>2906</v>
      </c>
      <c r="E724" s="20"/>
      <c r="F724" s="21" t="s">
        <v>173</v>
      </c>
      <c r="G724" s="1008"/>
      <c r="H724" s="514"/>
      <c r="I724" s="22"/>
      <c r="J724" s="1061">
        <v>150</v>
      </c>
      <c r="K724" s="23">
        <v>24999000</v>
      </c>
      <c r="L724" s="20">
        <v>0</v>
      </c>
      <c r="M724" s="23">
        <v>5400000</v>
      </c>
      <c r="N724" s="1019">
        <v>0</v>
      </c>
      <c r="O724" s="23">
        <v>5400000</v>
      </c>
      <c r="P724" s="1019">
        <v>0</v>
      </c>
      <c r="Q724" s="23">
        <v>7258320</v>
      </c>
      <c r="R724" s="20">
        <v>0</v>
      </c>
      <c r="S724" s="23">
        <v>3600000</v>
      </c>
      <c r="T724" s="54">
        <f t="shared" si="134"/>
        <v>0</v>
      </c>
      <c r="U724" s="53">
        <f t="shared" si="135"/>
        <v>0</v>
      </c>
      <c r="V724" s="35" t="s">
        <v>58</v>
      </c>
      <c r="W724" s="40">
        <f t="shared" si="136"/>
        <v>21658320</v>
      </c>
      <c r="X724" s="53">
        <f t="shared" si="137"/>
        <v>86.636745469818791</v>
      </c>
      <c r="Y724" s="35" t="s">
        <v>58</v>
      </c>
      <c r="Z724" s="53">
        <f t="shared" si="132"/>
        <v>0</v>
      </c>
      <c r="AA724" s="40">
        <f t="shared" si="133"/>
        <v>21658320</v>
      </c>
      <c r="AB724" s="53"/>
      <c r="AC724" s="35"/>
      <c r="AD724" s="53"/>
      <c r="AE724" s="11"/>
      <c r="AH724" s="25"/>
    </row>
    <row r="725" spans="1:34" ht="165">
      <c r="A725" s="16"/>
      <c r="B725" s="17"/>
      <c r="C725" s="29" t="s">
        <v>2907</v>
      </c>
      <c r="D725" s="29" t="s">
        <v>2908</v>
      </c>
      <c r="E725" s="20"/>
      <c r="F725" s="21" t="s">
        <v>55</v>
      </c>
      <c r="G725" s="1008"/>
      <c r="H725" s="514"/>
      <c r="I725" s="22"/>
      <c r="J725" s="1061">
        <v>150</v>
      </c>
      <c r="K725" s="23">
        <v>50000000</v>
      </c>
      <c r="L725" s="20">
        <v>0</v>
      </c>
      <c r="M725" s="23">
        <v>0</v>
      </c>
      <c r="N725" s="1019">
        <v>0</v>
      </c>
      <c r="O725" s="23">
        <v>0</v>
      </c>
      <c r="P725" s="1019">
        <v>0</v>
      </c>
      <c r="Q725" s="23">
        <v>0</v>
      </c>
      <c r="R725" s="20">
        <v>0</v>
      </c>
      <c r="S725" s="23">
        <v>0</v>
      </c>
      <c r="T725" s="54">
        <f t="shared" si="134"/>
        <v>0</v>
      </c>
      <c r="U725" s="53">
        <f t="shared" si="135"/>
        <v>0</v>
      </c>
      <c r="V725" s="35" t="s">
        <v>58</v>
      </c>
      <c r="W725" s="40">
        <f t="shared" si="136"/>
        <v>0</v>
      </c>
      <c r="X725" s="53">
        <f t="shared" si="137"/>
        <v>0</v>
      </c>
      <c r="Y725" s="35" t="s">
        <v>58</v>
      </c>
      <c r="Z725" s="53">
        <f t="shared" si="132"/>
        <v>0</v>
      </c>
      <c r="AA725" s="40">
        <f t="shared" si="133"/>
        <v>0</v>
      </c>
      <c r="AB725" s="53"/>
      <c r="AC725" s="35"/>
      <c r="AD725" s="53"/>
      <c r="AE725" s="11"/>
      <c r="AH725" s="25"/>
    </row>
    <row r="726" spans="1:34" ht="165">
      <c r="A726" s="16"/>
      <c r="B726" s="17"/>
      <c r="C726" s="29" t="s">
        <v>2909</v>
      </c>
      <c r="D726" s="29" t="s">
        <v>2910</v>
      </c>
      <c r="E726" s="20"/>
      <c r="F726" s="21" t="s">
        <v>57</v>
      </c>
      <c r="G726" s="1008"/>
      <c r="H726" s="514"/>
      <c r="I726" s="22"/>
      <c r="J726" s="1061">
        <v>150</v>
      </c>
      <c r="K726" s="23">
        <v>4999900</v>
      </c>
      <c r="L726" s="20">
        <v>0</v>
      </c>
      <c r="M726" s="23">
        <v>0</v>
      </c>
      <c r="N726" s="1019">
        <v>0</v>
      </c>
      <c r="O726" s="23">
        <v>0</v>
      </c>
      <c r="P726" s="1019">
        <v>0</v>
      </c>
      <c r="Q726" s="23">
        <v>4639900</v>
      </c>
      <c r="R726" s="20">
        <v>0</v>
      </c>
      <c r="S726" s="23">
        <v>0</v>
      </c>
      <c r="T726" s="54">
        <f t="shared" si="134"/>
        <v>0</v>
      </c>
      <c r="U726" s="53">
        <f t="shared" si="135"/>
        <v>0</v>
      </c>
      <c r="V726" s="35" t="s">
        <v>58</v>
      </c>
      <c r="W726" s="40">
        <f t="shared" si="136"/>
        <v>4639900</v>
      </c>
      <c r="X726" s="53">
        <f t="shared" si="137"/>
        <v>92.799855997119934</v>
      </c>
      <c r="Y726" s="35" t="s">
        <v>58</v>
      </c>
      <c r="Z726" s="53">
        <f t="shared" si="132"/>
        <v>0</v>
      </c>
      <c r="AA726" s="40">
        <f t="shared" si="133"/>
        <v>4639900</v>
      </c>
      <c r="AB726" s="53"/>
      <c r="AC726" s="35"/>
      <c r="AD726" s="53"/>
      <c r="AE726" s="11"/>
      <c r="AH726" s="25"/>
    </row>
    <row r="727" spans="1:34" ht="90">
      <c r="A727" s="16"/>
      <c r="B727" s="17"/>
      <c r="C727" s="29" t="s">
        <v>2911</v>
      </c>
      <c r="D727" s="29" t="s">
        <v>2912</v>
      </c>
      <c r="E727" s="20"/>
      <c r="F727" s="21" t="s">
        <v>55</v>
      </c>
      <c r="G727" s="1008"/>
      <c r="H727" s="514"/>
      <c r="I727" s="22"/>
      <c r="J727" s="1061">
        <v>150</v>
      </c>
      <c r="K727" s="23">
        <v>3426000</v>
      </c>
      <c r="L727" s="20">
        <v>0</v>
      </c>
      <c r="M727" s="23">
        <v>0</v>
      </c>
      <c r="N727" s="1019">
        <v>0</v>
      </c>
      <c r="O727" s="23">
        <v>0</v>
      </c>
      <c r="P727" s="1019">
        <v>0</v>
      </c>
      <c r="Q727" s="23">
        <v>0</v>
      </c>
      <c r="R727" s="20">
        <v>0</v>
      </c>
      <c r="S727" s="23">
        <v>0</v>
      </c>
      <c r="T727" s="54">
        <f t="shared" si="134"/>
        <v>0</v>
      </c>
      <c r="U727" s="53">
        <f t="shared" si="135"/>
        <v>0</v>
      </c>
      <c r="V727" s="35" t="s">
        <v>58</v>
      </c>
      <c r="W727" s="40">
        <f t="shared" si="136"/>
        <v>0</v>
      </c>
      <c r="X727" s="53">
        <f t="shared" si="137"/>
        <v>0</v>
      </c>
      <c r="Y727" s="35" t="s">
        <v>58</v>
      </c>
      <c r="Z727" s="53">
        <f t="shared" si="132"/>
        <v>0</v>
      </c>
      <c r="AA727" s="40">
        <f t="shared" si="133"/>
        <v>0</v>
      </c>
      <c r="AB727" s="53"/>
      <c r="AC727" s="35"/>
      <c r="AD727" s="53"/>
      <c r="AE727" s="11"/>
      <c r="AH727" s="25"/>
    </row>
    <row r="728" spans="1:34" ht="105">
      <c r="A728" s="16"/>
      <c r="B728" s="17"/>
      <c r="C728" s="29" t="s">
        <v>2913</v>
      </c>
      <c r="D728" s="29" t="s">
        <v>2914</v>
      </c>
      <c r="E728" s="20"/>
      <c r="F728" s="21" t="s">
        <v>55</v>
      </c>
      <c r="G728" s="1008"/>
      <c r="H728" s="514"/>
      <c r="I728" s="22"/>
      <c r="J728" s="1061">
        <v>150</v>
      </c>
      <c r="K728" s="23">
        <v>3426000</v>
      </c>
      <c r="L728" s="20">
        <v>0</v>
      </c>
      <c r="M728" s="23">
        <v>0</v>
      </c>
      <c r="N728" s="1019">
        <v>0</v>
      </c>
      <c r="O728" s="23">
        <v>0</v>
      </c>
      <c r="P728" s="1019">
        <v>0</v>
      </c>
      <c r="Q728" s="23">
        <v>0</v>
      </c>
      <c r="R728" s="20">
        <v>0</v>
      </c>
      <c r="S728" s="23">
        <v>0</v>
      </c>
      <c r="T728" s="54">
        <f t="shared" si="134"/>
        <v>0</v>
      </c>
      <c r="U728" s="53">
        <f t="shared" si="135"/>
        <v>0</v>
      </c>
      <c r="V728" s="35" t="s">
        <v>58</v>
      </c>
      <c r="W728" s="40">
        <f t="shared" si="136"/>
        <v>0</v>
      </c>
      <c r="X728" s="53">
        <f t="shared" si="137"/>
        <v>0</v>
      </c>
      <c r="Y728" s="35" t="s">
        <v>58</v>
      </c>
      <c r="Z728" s="53">
        <f t="shared" si="132"/>
        <v>0</v>
      </c>
      <c r="AA728" s="40">
        <f t="shared" si="133"/>
        <v>0</v>
      </c>
      <c r="AB728" s="53"/>
      <c r="AC728" s="35"/>
      <c r="AD728" s="53"/>
      <c r="AE728" s="11"/>
      <c r="AH728" s="25"/>
    </row>
    <row r="729" spans="1:34" ht="90">
      <c r="A729" s="16"/>
      <c r="B729" s="17"/>
      <c r="C729" s="29" t="s">
        <v>2915</v>
      </c>
      <c r="D729" s="29" t="s">
        <v>2916</v>
      </c>
      <c r="E729" s="20"/>
      <c r="F729" s="21" t="s">
        <v>55</v>
      </c>
      <c r="G729" s="1008"/>
      <c r="H729" s="514"/>
      <c r="I729" s="22"/>
      <c r="J729" s="1061">
        <v>150</v>
      </c>
      <c r="K729" s="23">
        <v>3426000</v>
      </c>
      <c r="L729" s="20">
        <v>0</v>
      </c>
      <c r="M729" s="23">
        <v>0</v>
      </c>
      <c r="N729" s="1019">
        <v>0</v>
      </c>
      <c r="O729" s="23">
        <v>0</v>
      </c>
      <c r="P729" s="1019">
        <v>0</v>
      </c>
      <c r="Q729" s="23">
        <v>0</v>
      </c>
      <c r="R729" s="20">
        <v>0</v>
      </c>
      <c r="S729" s="23">
        <v>0</v>
      </c>
      <c r="T729" s="54">
        <f t="shared" si="134"/>
        <v>0</v>
      </c>
      <c r="U729" s="53">
        <f t="shared" si="135"/>
        <v>0</v>
      </c>
      <c r="V729" s="35" t="s">
        <v>58</v>
      </c>
      <c r="W729" s="40">
        <f t="shared" si="136"/>
        <v>0</v>
      </c>
      <c r="X729" s="53">
        <f t="shared" si="137"/>
        <v>0</v>
      </c>
      <c r="Y729" s="35" t="s">
        <v>58</v>
      </c>
      <c r="Z729" s="53">
        <f t="shared" si="132"/>
        <v>0</v>
      </c>
      <c r="AA729" s="40">
        <f t="shared" si="133"/>
        <v>0</v>
      </c>
      <c r="AB729" s="53"/>
      <c r="AC729" s="35"/>
      <c r="AD729" s="53"/>
      <c r="AE729" s="11"/>
      <c r="AH729" s="25"/>
    </row>
    <row r="730" spans="1:34" ht="110.25" customHeight="1">
      <c r="A730" s="16"/>
      <c r="B730" s="17"/>
      <c r="C730" s="29" t="s">
        <v>2917</v>
      </c>
      <c r="D730" s="29" t="s">
        <v>2918</v>
      </c>
      <c r="E730" s="20"/>
      <c r="F730" s="21" t="s">
        <v>55</v>
      </c>
      <c r="G730" s="1008"/>
      <c r="H730" s="514"/>
      <c r="I730" s="22"/>
      <c r="J730" s="1061">
        <v>150</v>
      </c>
      <c r="K730" s="23">
        <v>3426000</v>
      </c>
      <c r="L730" s="20">
        <v>0</v>
      </c>
      <c r="M730" s="23">
        <v>0</v>
      </c>
      <c r="N730" s="1019">
        <v>0</v>
      </c>
      <c r="O730" s="23">
        <v>0</v>
      </c>
      <c r="P730" s="1019">
        <v>0</v>
      </c>
      <c r="Q730" s="23">
        <v>0</v>
      </c>
      <c r="R730" s="20">
        <v>0</v>
      </c>
      <c r="S730" s="23">
        <v>0</v>
      </c>
      <c r="T730" s="54">
        <f t="shared" si="134"/>
        <v>0</v>
      </c>
      <c r="U730" s="53">
        <f t="shared" si="135"/>
        <v>0</v>
      </c>
      <c r="V730" s="35" t="s">
        <v>58</v>
      </c>
      <c r="W730" s="40">
        <f t="shared" si="136"/>
        <v>0</v>
      </c>
      <c r="X730" s="53">
        <f t="shared" si="137"/>
        <v>0</v>
      </c>
      <c r="Y730" s="35" t="s">
        <v>58</v>
      </c>
      <c r="Z730" s="53">
        <f t="shared" si="132"/>
        <v>0</v>
      </c>
      <c r="AA730" s="40">
        <f t="shared" si="133"/>
        <v>0</v>
      </c>
      <c r="AB730" s="53"/>
      <c r="AC730" s="35"/>
      <c r="AD730" s="53"/>
      <c r="AE730" s="11"/>
      <c r="AH730" s="25"/>
    </row>
    <row r="731" spans="1:34" ht="87" customHeight="1">
      <c r="A731" s="16"/>
      <c r="B731" s="17"/>
      <c r="C731" s="29" t="s">
        <v>2919</v>
      </c>
      <c r="D731" s="29" t="s">
        <v>2920</v>
      </c>
      <c r="E731" s="20"/>
      <c r="F731" s="21" t="s">
        <v>55</v>
      </c>
      <c r="G731" s="1008"/>
      <c r="H731" s="514"/>
      <c r="I731" s="22"/>
      <c r="J731" s="1061">
        <v>150</v>
      </c>
      <c r="K731" s="23">
        <v>3426000</v>
      </c>
      <c r="L731" s="20">
        <v>0</v>
      </c>
      <c r="M731" s="23">
        <v>0</v>
      </c>
      <c r="N731" s="1019">
        <v>0</v>
      </c>
      <c r="O731" s="23">
        <v>0</v>
      </c>
      <c r="P731" s="1019">
        <v>0</v>
      </c>
      <c r="Q731" s="23">
        <v>0</v>
      </c>
      <c r="R731" s="20">
        <v>0</v>
      </c>
      <c r="S731" s="23">
        <v>0</v>
      </c>
      <c r="T731" s="54">
        <f t="shared" si="134"/>
        <v>0</v>
      </c>
      <c r="U731" s="53">
        <f t="shared" si="135"/>
        <v>0</v>
      </c>
      <c r="V731" s="35" t="s">
        <v>58</v>
      </c>
      <c r="W731" s="40">
        <f t="shared" si="136"/>
        <v>0</v>
      </c>
      <c r="X731" s="53">
        <f t="shared" si="137"/>
        <v>0</v>
      </c>
      <c r="Y731" s="35" t="s">
        <v>58</v>
      </c>
      <c r="Z731" s="53">
        <f t="shared" si="132"/>
        <v>0</v>
      </c>
      <c r="AA731" s="40">
        <f t="shared" si="133"/>
        <v>0</v>
      </c>
      <c r="AB731" s="53"/>
      <c r="AC731" s="35"/>
      <c r="AD731" s="53"/>
      <c r="AE731" s="11"/>
      <c r="AH731" s="25"/>
    </row>
    <row r="732" spans="1:34" ht="94.5" customHeight="1">
      <c r="A732" s="16"/>
      <c r="B732" s="17"/>
      <c r="C732" s="29" t="s">
        <v>2921</v>
      </c>
      <c r="D732" s="29" t="s">
        <v>2922</v>
      </c>
      <c r="E732" s="20"/>
      <c r="F732" s="21" t="s">
        <v>55</v>
      </c>
      <c r="G732" s="1008"/>
      <c r="H732" s="514"/>
      <c r="I732" s="22"/>
      <c r="J732" s="1061">
        <v>150</v>
      </c>
      <c r="K732" s="23">
        <v>3426000</v>
      </c>
      <c r="L732" s="20">
        <v>0</v>
      </c>
      <c r="M732" s="23">
        <v>0</v>
      </c>
      <c r="N732" s="1019">
        <v>0</v>
      </c>
      <c r="O732" s="23">
        <v>0</v>
      </c>
      <c r="P732" s="1019">
        <v>0</v>
      </c>
      <c r="Q732" s="23">
        <v>0</v>
      </c>
      <c r="R732" s="20">
        <v>0</v>
      </c>
      <c r="S732" s="23">
        <v>0</v>
      </c>
      <c r="T732" s="54">
        <f t="shared" si="134"/>
        <v>0</v>
      </c>
      <c r="U732" s="53">
        <f t="shared" si="135"/>
        <v>0</v>
      </c>
      <c r="V732" s="35" t="s">
        <v>58</v>
      </c>
      <c r="W732" s="40">
        <f t="shared" si="136"/>
        <v>0</v>
      </c>
      <c r="X732" s="53">
        <f t="shared" si="137"/>
        <v>0</v>
      </c>
      <c r="Y732" s="35" t="s">
        <v>58</v>
      </c>
      <c r="Z732" s="53">
        <f t="shared" si="132"/>
        <v>0</v>
      </c>
      <c r="AA732" s="40">
        <f t="shared" si="133"/>
        <v>0</v>
      </c>
      <c r="AB732" s="53"/>
      <c r="AC732" s="35"/>
      <c r="AD732" s="53"/>
      <c r="AE732" s="11"/>
      <c r="AH732" s="25"/>
    </row>
    <row r="733" spans="1:34" ht="120.6" customHeight="1">
      <c r="A733" s="16"/>
      <c r="B733" s="17"/>
      <c r="C733" s="19" t="s">
        <v>2923</v>
      </c>
      <c r="D733" s="19"/>
      <c r="E733" s="45"/>
      <c r="F733" s="46"/>
      <c r="G733" s="42">
        <f>SUM(G734)</f>
        <v>0</v>
      </c>
      <c r="H733" s="514"/>
      <c r="I733" s="42">
        <f>SUM(I734)</f>
        <v>0</v>
      </c>
      <c r="J733" s="45">
        <v>150</v>
      </c>
      <c r="K733" s="42">
        <v>147999550</v>
      </c>
      <c r="L733" s="45">
        <v>0</v>
      </c>
      <c r="M733" s="42">
        <f>SUM(M734)</f>
        <v>0</v>
      </c>
      <c r="N733" s="1029">
        <v>0</v>
      </c>
      <c r="O733" s="42">
        <f>SUM(O734)</f>
        <v>0</v>
      </c>
      <c r="P733" s="1029">
        <v>0</v>
      </c>
      <c r="Q733" s="42">
        <f>SUM(Q734)</f>
        <v>0</v>
      </c>
      <c r="R733" s="45">
        <v>0</v>
      </c>
      <c r="S733" s="42">
        <v>99889000</v>
      </c>
      <c r="T733" s="55">
        <f t="shared" si="134"/>
        <v>0</v>
      </c>
      <c r="U733" s="57">
        <f t="shared" si="135"/>
        <v>0</v>
      </c>
      <c r="V733" s="58" t="s">
        <v>58</v>
      </c>
      <c r="W733" s="59">
        <f t="shared" si="136"/>
        <v>99889000</v>
      </c>
      <c r="X733" s="57">
        <f t="shared" si="137"/>
        <v>67.492772782079399</v>
      </c>
      <c r="Y733" s="58" t="s">
        <v>58</v>
      </c>
      <c r="Z733" s="57">
        <f t="shared" si="132"/>
        <v>0</v>
      </c>
      <c r="AA733" s="59">
        <f t="shared" si="133"/>
        <v>99889000</v>
      </c>
      <c r="AB733" s="57"/>
      <c r="AC733" s="58"/>
      <c r="AD733" s="57"/>
      <c r="AE733" s="11"/>
      <c r="AH733" s="25"/>
    </row>
    <row r="734" spans="1:34" ht="165">
      <c r="A734" s="16"/>
      <c r="B734" s="17"/>
      <c r="C734" s="29" t="s">
        <v>2924</v>
      </c>
      <c r="D734" s="29" t="s">
        <v>2925</v>
      </c>
      <c r="E734" s="20"/>
      <c r="F734" s="21" t="s">
        <v>55</v>
      </c>
      <c r="G734" s="1008"/>
      <c r="H734" s="514"/>
      <c r="I734" s="22"/>
      <c r="J734" s="1061">
        <v>150</v>
      </c>
      <c r="K734" s="23">
        <v>147999550</v>
      </c>
      <c r="L734" s="20">
        <v>0</v>
      </c>
      <c r="M734" s="23">
        <v>0</v>
      </c>
      <c r="N734" s="1019">
        <v>0</v>
      </c>
      <c r="O734" s="23">
        <v>0</v>
      </c>
      <c r="P734" s="1019">
        <v>0</v>
      </c>
      <c r="Q734" s="23">
        <v>0</v>
      </c>
      <c r="R734" s="20">
        <v>0</v>
      </c>
      <c r="S734" s="23">
        <v>105889000</v>
      </c>
      <c r="T734" s="54">
        <f t="shared" si="134"/>
        <v>0</v>
      </c>
      <c r="U734" s="53">
        <f t="shared" si="135"/>
        <v>0</v>
      </c>
      <c r="V734" s="35" t="s">
        <v>58</v>
      </c>
      <c r="W734" s="40">
        <f t="shared" si="136"/>
        <v>105889000</v>
      </c>
      <c r="X734" s="53">
        <f t="shared" si="137"/>
        <v>71.546839162686652</v>
      </c>
      <c r="Y734" s="35" t="s">
        <v>58</v>
      </c>
      <c r="Z734" s="53">
        <f t="shared" si="132"/>
        <v>0</v>
      </c>
      <c r="AA734" s="40">
        <f t="shared" si="133"/>
        <v>105889000</v>
      </c>
      <c r="AB734" s="53"/>
      <c r="AC734" s="35"/>
      <c r="AD734" s="53"/>
      <c r="AE734" s="11"/>
      <c r="AH734" s="25"/>
    </row>
    <row r="735" spans="1:34" ht="110.25">
      <c r="A735" s="16"/>
      <c r="B735" s="17"/>
      <c r="C735" s="281" t="s">
        <v>2926</v>
      </c>
      <c r="D735" s="1037" t="s">
        <v>2927</v>
      </c>
      <c r="E735" s="45">
        <v>90</v>
      </c>
      <c r="F735" s="46" t="s">
        <v>58</v>
      </c>
      <c r="G735" s="52">
        <f>G736+G738+G741</f>
        <v>1000000000</v>
      </c>
      <c r="H735" s="74">
        <v>70</v>
      </c>
      <c r="I735" s="52">
        <f>I736+I738+I741</f>
        <v>117939250</v>
      </c>
      <c r="J735" s="45">
        <v>80</v>
      </c>
      <c r="K735" s="52">
        <v>1429073400</v>
      </c>
      <c r="L735" s="45">
        <v>0</v>
      </c>
      <c r="M735" s="52">
        <f>M736+M738+M741</f>
        <v>10836000</v>
      </c>
      <c r="N735" s="1019">
        <v>0</v>
      </c>
      <c r="O735" s="52">
        <f>O736+O738+O741</f>
        <v>12280000</v>
      </c>
      <c r="P735" s="1019">
        <v>0</v>
      </c>
      <c r="Q735" s="52">
        <f>Q736+Q738+Q741</f>
        <v>27908340</v>
      </c>
      <c r="R735" s="20">
        <v>47.514098016239053</v>
      </c>
      <c r="S735" s="52">
        <v>679011336</v>
      </c>
      <c r="T735" s="55">
        <f t="shared" si="134"/>
        <v>47.514098016239053</v>
      </c>
      <c r="U735" s="57">
        <f t="shared" si="135"/>
        <v>59.392622520298822</v>
      </c>
      <c r="V735" s="58" t="s">
        <v>58</v>
      </c>
      <c r="W735" s="56">
        <f t="shared" si="136"/>
        <v>730035676</v>
      </c>
      <c r="X735" s="60">
        <f t="shared" si="137"/>
        <v>51.084547231793699</v>
      </c>
      <c r="Y735" s="48" t="s">
        <v>58</v>
      </c>
      <c r="Z735" s="57">
        <f t="shared" si="132"/>
        <v>117.51409801623905</v>
      </c>
      <c r="AA735" s="56">
        <f t="shared" si="133"/>
        <v>847974926</v>
      </c>
      <c r="AB735" s="57"/>
      <c r="AC735" s="58"/>
      <c r="AD735" s="60"/>
      <c r="AE735" s="11"/>
      <c r="AH735" s="25"/>
    </row>
    <row r="736" spans="1:34" ht="180.75" customHeight="1">
      <c r="A736" s="16"/>
      <c r="B736" s="17"/>
      <c r="C736" s="19" t="s">
        <v>2928</v>
      </c>
      <c r="D736" s="19" t="s">
        <v>2929</v>
      </c>
      <c r="E736" s="45">
        <v>1</v>
      </c>
      <c r="F736" s="46" t="s">
        <v>55</v>
      </c>
      <c r="G736" s="42">
        <f>SUM(G737)</f>
        <v>275000000</v>
      </c>
      <c r="H736" s="108">
        <v>0</v>
      </c>
      <c r="I736" s="42">
        <f>SUM(I737)</f>
        <v>0</v>
      </c>
      <c r="J736" s="1063">
        <v>1</v>
      </c>
      <c r="K736" s="42">
        <v>687725000</v>
      </c>
      <c r="L736" s="45">
        <v>0</v>
      </c>
      <c r="M736" s="42">
        <f>SUM(M737)</f>
        <v>0</v>
      </c>
      <c r="N736" s="1029">
        <v>0</v>
      </c>
      <c r="O736" s="42">
        <f>SUM(O737)</f>
        <v>0</v>
      </c>
      <c r="P736" s="1029">
        <v>0</v>
      </c>
      <c r="Q736" s="42">
        <f>SUM(Q737)</f>
        <v>0</v>
      </c>
      <c r="R736" s="45"/>
      <c r="S736" s="42">
        <v>410839500</v>
      </c>
      <c r="T736" s="55">
        <f t="shared" si="134"/>
        <v>0</v>
      </c>
      <c r="U736" s="57">
        <f t="shared" si="135"/>
        <v>0</v>
      </c>
      <c r="V736" s="58" t="s">
        <v>58</v>
      </c>
      <c r="W736" s="59">
        <f>SUM(M736,O736,Q736,S736)</f>
        <v>410839500</v>
      </c>
      <c r="X736" s="57">
        <f>W736/K736*100</f>
        <v>59.738921807408488</v>
      </c>
      <c r="Y736" s="58" t="s">
        <v>58</v>
      </c>
      <c r="Z736" s="57">
        <f t="shared" si="132"/>
        <v>0</v>
      </c>
      <c r="AA736" s="59">
        <f t="shared" si="133"/>
        <v>410839500</v>
      </c>
      <c r="AB736" s="57"/>
      <c r="AC736" s="58"/>
      <c r="AD736" s="57"/>
      <c r="AE736" s="11"/>
      <c r="AH736" s="25"/>
    </row>
    <row r="737" spans="1:34" ht="165">
      <c r="A737" s="16"/>
      <c r="B737" s="17"/>
      <c r="C737" s="29" t="s">
        <v>2930</v>
      </c>
      <c r="D737" s="29" t="s">
        <v>2931</v>
      </c>
      <c r="E737" s="20">
        <v>1</v>
      </c>
      <c r="F737" s="21" t="s">
        <v>55</v>
      </c>
      <c r="G737" s="1008">
        <v>275000000</v>
      </c>
      <c r="H737" s="44">
        <v>0</v>
      </c>
      <c r="I737" s="22">
        <v>0</v>
      </c>
      <c r="J737" s="20">
        <v>1</v>
      </c>
      <c r="K737" s="23">
        <v>687725000</v>
      </c>
      <c r="L737" s="20">
        <v>0</v>
      </c>
      <c r="M737" s="23">
        <v>0</v>
      </c>
      <c r="N737" s="1019">
        <v>0</v>
      </c>
      <c r="O737" s="23">
        <v>0</v>
      </c>
      <c r="P737" s="1019">
        <v>0</v>
      </c>
      <c r="Q737" s="23"/>
      <c r="R737" s="20"/>
      <c r="S737" s="23">
        <v>410839500</v>
      </c>
      <c r="T737" s="54">
        <f t="shared" si="134"/>
        <v>0</v>
      </c>
      <c r="U737" s="53">
        <f t="shared" si="135"/>
        <v>0</v>
      </c>
      <c r="V737" s="35" t="s">
        <v>58</v>
      </c>
      <c r="W737" s="40">
        <f>SUM(M737,O737,Q737,S737)</f>
        <v>410839500</v>
      </c>
      <c r="X737" s="53">
        <f>W737/K737*100</f>
        <v>59.738921807408488</v>
      </c>
      <c r="Y737" s="35" t="s">
        <v>58</v>
      </c>
      <c r="Z737" s="53">
        <f t="shared" si="132"/>
        <v>0</v>
      </c>
      <c r="AA737" s="40">
        <f t="shared" si="133"/>
        <v>410839500</v>
      </c>
      <c r="AB737" s="53"/>
      <c r="AC737" s="35"/>
      <c r="AD737" s="53"/>
      <c r="AE737" s="11"/>
      <c r="AH737" s="25"/>
    </row>
    <row r="738" spans="1:34" ht="149.25" customHeight="1">
      <c r="A738" s="16"/>
      <c r="B738" s="17"/>
      <c r="C738" s="19" t="s">
        <v>2932</v>
      </c>
      <c r="D738" s="19" t="s">
        <v>2933</v>
      </c>
      <c r="E738" s="45">
        <v>1</v>
      </c>
      <c r="F738" s="46" t="s">
        <v>55</v>
      </c>
      <c r="G738" s="42">
        <f>SUM(G739:G740)</f>
        <v>275000000</v>
      </c>
      <c r="H738" s="108">
        <v>1</v>
      </c>
      <c r="I738" s="42">
        <f>SUM(I739:I740)</f>
        <v>68557750</v>
      </c>
      <c r="J738" s="45">
        <v>2</v>
      </c>
      <c r="K738" s="42">
        <v>548150000</v>
      </c>
      <c r="L738" s="45">
        <v>0</v>
      </c>
      <c r="M738" s="42">
        <f>SUM(M739)</f>
        <v>0</v>
      </c>
      <c r="N738" s="1029">
        <v>0</v>
      </c>
      <c r="O738" s="42">
        <f>SUM(O739)</f>
        <v>1480000</v>
      </c>
      <c r="P738" s="1029">
        <v>0</v>
      </c>
      <c r="Q738" s="42">
        <f>SUM(Q739)</f>
        <v>0</v>
      </c>
      <c r="R738" s="45">
        <v>2</v>
      </c>
      <c r="S738" s="42">
        <v>237205366</v>
      </c>
      <c r="T738" s="55">
        <f t="shared" si="134"/>
        <v>2</v>
      </c>
      <c r="U738" s="57">
        <f t="shared" si="135"/>
        <v>100</v>
      </c>
      <c r="V738" s="58" t="s">
        <v>58</v>
      </c>
      <c r="W738" s="59">
        <f>SUM(M738,O738,Q738,S738)</f>
        <v>238685366</v>
      </c>
      <c r="X738" s="57">
        <f>W738/K738*100</f>
        <v>43.543804797956767</v>
      </c>
      <c r="Y738" s="58" t="s">
        <v>58</v>
      </c>
      <c r="Z738" s="57">
        <f t="shared" si="132"/>
        <v>3</v>
      </c>
      <c r="AA738" s="59">
        <f t="shared" si="133"/>
        <v>307243116</v>
      </c>
      <c r="AB738" s="57"/>
      <c r="AC738" s="58"/>
      <c r="AD738" s="57"/>
      <c r="AE738" s="11"/>
      <c r="AH738" s="25"/>
    </row>
    <row r="739" spans="1:34" ht="135">
      <c r="A739" s="16"/>
      <c r="B739" s="17"/>
      <c r="C739" s="29" t="s">
        <v>2934</v>
      </c>
      <c r="D739" s="29" t="s">
        <v>2935</v>
      </c>
      <c r="E739" s="20"/>
      <c r="F739" s="21" t="s">
        <v>55</v>
      </c>
      <c r="G739" s="1008"/>
      <c r="H739" s="514"/>
      <c r="I739" s="22"/>
      <c r="J739" s="20">
        <v>2</v>
      </c>
      <c r="K739" s="23">
        <v>548150000</v>
      </c>
      <c r="L739" s="20">
        <v>0</v>
      </c>
      <c r="M739" s="23">
        <v>0</v>
      </c>
      <c r="N739" s="1019">
        <v>0</v>
      </c>
      <c r="O739" s="23">
        <v>1480000</v>
      </c>
      <c r="P739" s="1019">
        <v>0</v>
      </c>
      <c r="Q739" s="23"/>
      <c r="R739" s="20">
        <v>2</v>
      </c>
      <c r="S739" s="23">
        <v>240205356</v>
      </c>
      <c r="T739" s="54">
        <f t="shared" si="134"/>
        <v>2</v>
      </c>
      <c r="U739" s="53">
        <f t="shared" si="135"/>
        <v>100</v>
      </c>
      <c r="V739" s="35" t="s">
        <v>58</v>
      </c>
      <c r="W739" s="40">
        <f>SUM(M739,O739,Q739,S739)</f>
        <v>241685356</v>
      </c>
      <c r="X739" s="53">
        <f>W739/K739*100</f>
        <v>44.091098421964794</v>
      </c>
      <c r="Y739" s="35" t="s">
        <v>58</v>
      </c>
      <c r="Z739" s="53">
        <f t="shared" si="132"/>
        <v>2</v>
      </c>
      <c r="AA739" s="40">
        <f t="shared" si="133"/>
        <v>241685356</v>
      </c>
      <c r="AB739" s="53"/>
      <c r="AC739" s="35"/>
      <c r="AD739" s="53"/>
      <c r="AE739" s="11"/>
      <c r="AH739" s="25"/>
    </row>
    <row r="740" spans="1:34" ht="125.25" customHeight="1">
      <c r="A740" s="16"/>
      <c r="B740" s="17"/>
      <c r="C740" s="113" t="s">
        <v>2932</v>
      </c>
      <c r="D740" s="113" t="s">
        <v>2936</v>
      </c>
      <c r="E740" s="20">
        <v>1</v>
      </c>
      <c r="F740" s="21" t="s">
        <v>55</v>
      </c>
      <c r="G740" s="1008">
        <v>275000000</v>
      </c>
      <c r="H740" s="44">
        <v>1</v>
      </c>
      <c r="I740" s="22">
        <v>68557750</v>
      </c>
      <c r="J740" s="20"/>
      <c r="K740" s="23"/>
      <c r="L740" s="20"/>
      <c r="M740" s="23"/>
      <c r="N740" s="1019"/>
      <c r="O740" s="23"/>
      <c r="P740" s="1019"/>
      <c r="Q740" s="23"/>
      <c r="R740" s="20"/>
      <c r="S740" s="23"/>
      <c r="T740" s="54"/>
      <c r="U740" s="53"/>
      <c r="V740" s="35"/>
      <c r="W740" s="40"/>
      <c r="X740" s="53"/>
      <c r="Y740" s="35"/>
      <c r="Z740" s="53">
        <f t="shared" si="132"/>
        <v>1</v>
      </c>
      <c r="AA740" s="40">
        <f t="shared" si="133"/>
        <v>68557750</v>
      </c>
      <c r="AB740" s="53"/>
      <c r="AC740" s="35"/>
      <c r="AD740" s="53"/>
      <c r="AE740" s="11"/>
      <c r="AH740" s="25"/>
    </row>
    <row r="741" spans="1:34" ht="177.75" customHeight="1">
      <c r="A741" s="16"/>
      <c r="B741" s="17"/>
      <c r="C741" s="19" t="s">
        <v>2937</v>
      </c>
      <c r="D741" s="19" t="s">
        <v>2938</v>
      </c>
      <c r="E741" s="108">
        <v>2</v>
      </c>
      <c r="F741" s="46" t="s">
        <v>55</v>
      </c>
      <c r="G741" s="42">
        <f>SUM(G742)</f>
        <v>450000000</v>
      </c>
      <c r="H741" s="108">
        <v>2</v>
      </c>
      <c r="I741" s="42">
        <f>SUM(I742)</f>
        <v>49381500</v>
      </c>
      <c r="J741" s="45">
        <v>2</v>
      </c>
      <c r="K741" s="42">
        <v>193198400</v>
      </c>
      <c r="L741" s="45">
        <v>0</v>
      </c>
      <c r="M741" s="42">
        <f>SUM(M742)</f>
        <v>10836000</v>
      </c>
      <c r="N741" s="1029">
        <v>0</v>
      </c>
      <c r="O741" s="42">
        <f>SUM(O742)</f>
        <v>10800000</v>
      </c>
      <c r="P741" s="1029">
        <v>0</v>
      </c>
      <c r="Q741" s="42">
        <f>SUM(Q742)</f>
        <v>27908340</v>
      </c>
      <c r="R741" s="45">
        <v>2</v>
      </c>
      <c r="S741" s="42">
        <f>SUM(S742)</f>
        <v>13610000</v>
      </c>
      <c r="T741" s="55">
        <f>SUM(L741,N741,P741,R741)</f>
        <v>2</v>
      </c>
      <c r="U741" s="57">
        <f>T741/J741*100</f>
        <v>100</v>
      </c>
      <c r="V741" s="58" t="s">
        <v>58</v>
      </c>
      <c r="W741" s="59">
        <f>SUM(M741,O741,Q741,S741)</f>
        <v>63154340</v>
      </c>
      <c r="X741" s="57">
        <f>W741/K741*100</f>
        <v>32.68885249567284</v>
      </c>
      <c r="Y741" s="58" t="s">
        <v>58</v>
      </c>
      <c r="Z741" s="57">
        <f t="shared" si="132"/>
        <v>4</v>
      </c>
      <c r="AA741" s="59">
        <f t="shared" si="133"/>
        <v>112535840</v>
      </c>
      <c r="AB741" s="57"/>
      <c r="AC741" s="58"/>
      <c r="AD741" s="57"/>
      <c r="AE741" s="11"/>
      <c r="AH741" s="25"/>
    </row>
    <row r="742" spans="1:34" ht="90">
      <c r="A742" s="16"/>
      <c r="B742" s="17"/>
      <c r="C742" s="29" t="s">
        <v>2939</v>
      </c>
      <c r="D742" s="29" t="s">
        <v>2940</v>
      </c>
      <c r="E742" s="44">
        <v>2</v>
      </c>
      <c r="F742" s="21" t="s">
        <v>55</v>
      </c>
      <c r="G742" s="1008">
        <v>450000000</v>
      </c>
      <c r="H742" s="44">
        <v>2</v>
      </c>
      <c r="I742" s="22">
        <v>49381500</v>
      </c>
      <c r="J742" s="20">
        <v>2</v>
      </c>
      <c r="K742" s="23">
        <v>193198400</v>
      </c>
      <c r="L742" s="20">
        <v>0</v>
      </c>
      <c r="M742" s="23">
        <v>10836000</v>
      </c>
      <c r="N742" s="1019">
        <v>0</v>
      </c>
      <c r="O742" s="23">
        <v>10800000</v>
      </c>
      <c r="P742" s="1019">
        <v>0</v>
      </c>
      <c r="Q742" s="23">
        <v>27908340</v>
      </c>
      <c r="R742" s="20">
        <v>2</v>
      </c>
      <c r="S742" s="23">
        <v>13610000</v>
      </c>
      <c r="T742" s="54">
        <f>SUM(L742,N742,P742,R742)</f>
        <v>2</v>
      </c>
      <c r="U742" s="53">
        <f>T742/J742*100</f>
        <v>100</v>
      </c>
      <c r="V742" s="35" t="s">
        <v>58</v>
      </c>
      <c r="W742" s="40">
        <f>SUM(M742,O742,Q742,S742)</f>
        <v>63154340</v>
      </c>
      <c r="X742" s="53">
        <f>W742/K742*100</f>
        <v>32.68885249567284</v>
      </c>
      <c r="Y742" s="35" t="s">
        <v>58</v>
      </c>
      <c r="Z742" s="53">
        <f t="shared" si="132"/>
        <v>4</v>
      </c>
      <c r="AA742" s="40">
        <f t="shared" si="133"/>
        <v>112535840</v>
      </c>
      <c r="AB742" s="53"/>
      <c r="AC742" s="35"/>
      <c r="AD742" s="53"/>
      <c r="AE742" s="11"/>
      <c r="AH742" s="25"/>
    </row>
    <row r="743" spans="1:34" ht="126">
      <c r="A743" s="1077">
        <v>1</v>
      </c>
      <c r="B743" s="1065" t="s">
        <v>29</v>
      </c>
      <c r="C743" s="1065" t="s">
        <v>68</v>
      </c>
      <c r="D743" s="19" t="s">
        <v>942</v>
      </c>
      <c r="E743" s="45">
        <v>26</v>
      </c>
      <c r="F743" s="46" t="s">
        <v>943</v>
      </c>
      <c r="G743" s="52">
        <f>G748+G752+G760+G771+G776</f>
        <v>42833585299</v>
      </c>
      <c r="H743" s="45">
        <v>25.88</v>
      </c>
      <c r="I743" s="52">
        <f>I748+I752+I760+I771+I776</f>
        <v>13317659576</v>
      </c>
      <c r="J743" s="45">
        <v>26</v>
      </c>
      <c r="K743" s="52">
        <f>K748+K752+K760+K771+K776</f>
        <v>14771524236</v>
      </c>
      <c r="L743" s="45">
        <v>25.88</v>
      </c>
      <c r="M743" s="52">
        <f>M748+M752+M760+M771+M776</f>
        <v>2828420728</v>
      </c>
      <c r="N743" s="107">
        <v>25.88</v>
      </c>
      <c r="O743" s="52">
        <f>O748+O752+O760+O771+O776</f>
        <v>1634804505</v>
      </c>
      <c r="P743" s="107">
        <v>25.88</v>
      </c>
      <c r="Q743" s="52">
        <f>Q748+Q752+Q760+Q771+Q776</f>
        <v>5982471005</v>
      </c>
      <c r="R743" s="107">
        <v>25.88</v>
      </c>
      <c r="S743" s="52">
        <f>S748+S752+S760+S771+S776</f>
        <v>3776925051</v>
      </c>
      <c r="T743" s="57">
        <f>AVERAGE(L743,N743,P743,R743)</f>
        <v>25.88</v>
      </c>
      <c r="U743" s="55">
        <f>T743/J743*100</f>
        <v>99.538461538461533</v>
      </c>
      <c r="V743" s="58" t="s">
        <v>58</v>
      </c>
      <c r="W743" s="56">
        <f>SUM(M743,O743,Q743,S743)</f>
        <v>14222621289</v>
      </c>
      <c r="X743" s="60">
        <f>W743/K743*100</f>
        <v>96.284046668235789</v>
      </c>
      <c r="Y743" s="48" t="s">
        <v>58</v>
      </c>
      <c r="Z743" s="57">
        <f>SUM(H743,T743)</f>
        <v>51.76</v>
      </c>
      <c r="AA743" s="56">
        <f>SUM(I743,W743)</f>
        <v>27540280865</v>
      </c>
      <c r="AB743" s="57"/>
      <c r="AC743" s="58" t="s">
        <v>58</v>
      </c>
      <c r="AD743" s="60"/>
      <c r="AE743" s="24" t="s">
        <v>944</v>
      </c>
      <c r="AH743" s="25">
        <f>M743+O743+Q743+S743</f>
        <v>14222621289</v>
      </c>
    </row>
    <row r="744" spans="1:34" ht="47.25">
      <c r="A744" s="1075"/>
      <c r="B744" s="1066"/>
      <c r="C744" s="1066"/>
      <c r="D744" s="19" t="s">
        <v>945</v>
      </c>
      <c r="E744" s="45">
        <v>22</v>
      </c>
      <c r="F744" s="46" t="s">
        <v>943</v>
      </c>
      <c r="G744" s="52"/>
      <c r="H744" s="45">
        <v>21.09</v>
      </c>
      <c r="I744" s="52"/>
      <c r="J744" s="45">
        <v>22</v>
      </c>
      <c r="K744" s="52"/>
      <c r="L744" s="45">
        <v>21.09</v>
      </c>
      <c r="M744" s="52"/>
      <c r="N744" s="45">
        <v>21.09</v>
      </c>
      <c r="O744" s="52"/>
      <c r="P744" s="45">
        <v>21.09</v>
      </c>
      <c r="Q744" s="52"/>
      <c r="R744" s="45">
        <v>21.09</v>
      </c>
      <c r="S744" s="52"/>
      <c r="T744" s="57">
        <f t="shared" ref="T744:T747" si="138">AVERAGE(L744,N744,P744,R744)</f>
        <v>21.09</v>
      </c>
      <c r="U744" s="55">
        <f t="shared" ref="U744:U747" si="139">T744/J744*100</f>
        <v>95.86363636363636</v>
      </c>
      <c r="V744" s="58" t="s">
        <v>58</v>
      </c>
      <c r="W744" s="56"/>
      <c r="X744" s="60">
        <f>W743/K743*100</f>
        <v>96.284046668235789</v>
      </c>
      <c r="Y744" s="48" t="s">
        <v>58</v>
      </c>
      <c r="Z744" s="57"/>
      <c r="AA744" s="56"/>
      <c r="AB744" s="57"/>
      <c r="AC744" s="58"/>
      <c r="AD744" s="60"/>
      <c r="AE744" s="24"/>
      <c r="AH744" s="25"/>
    </row>
    <row r="745" spans="1:34" ht="47.25">
      <c r="A745" s="1075"/>
      <c r="B745" s="1066"/>
      <c r="C745" s="1066"/>
      <c r="D745" s="19" t="s">
        <v>946</v>
      </c>
      <c r="E745" s="45">
        <v>12</v>
      </c>
      <c r="F745" s="46" t="s">
        <v>943</v>
      </c>
      <c r="G745" s="52"/>
      <c r="H745" s="45">
        <v>11.99</v>
      </c>
      <c r="I745" s="52"/>
      <c r="J745" s="45">
        <v>12</v>
      </c>
      <c r="K745" s="52"/>
      <c r="L745" s="45">
        <v>11.99</v>
      </c>
      <c r="M745" s="52"/>
      <c r="N745" s="45">
        <v>11.99</v>
      </c>
      <c r="O745" s="52"/>
      <c r="P745" s="45">
        <v>11.99</v>
      </c>
      <c r="Q745" s="52"/>
      <c r="R745" s="45">
        <v>11.99</v>
      </c>
      <c r="S745" s="52"/>
      <c r="T745" s="57">
        <f t="shared" si="138"/>
        <v>11.99</v>
      </c>
      <c r="U745" s="55">
        <f t="shared" si="139"/>
        <v>99.916666666666671</v>
      </c>
      <c r="V745" s="58" t="s">
        <v>58</v>
      </c>
      <c r="W745" s="56"/>
      <c r="X745" s="60">
        <f>W743/K743*100</f>
        <v>96.284046668235789</v>
      </c>
      <c r="Y745" s="48" t="s">
        <v>58</v>
      </c>
      <c r="Z745" s="57"/>
      <c r="AA745" s="56"/>
      <c r="AB745" s="57"/>
      <c r="AC745" s="58"/>
      <c r="AD745" s="60"/>
      <c r="AE745" s="24"/>
      <c r="AH745" s="25"/>
    </row>
    <row r="746" spans="1:34" ht="63">
      <c r="A746" s="1075"/>
      <c r="B746" s="1066"/>
      <c r="C746" s="1066"/>
      <c r="D746" s="19" t="s">
        <v>947</v>
      </c>
      <c r="E746" s="45">
        <v>8.5</v>
      </c>
      <c r="F746" s="46" t="s">
        <v>943</v>
      </c>
      <c r="G746" s="52"/>
      <c r="H746" s="45">
        <v>8.2100000000000009</v>
      </c>
      <c r="I746" s="52"/>
      <c r="J746" s="45">
        <v>8.5</v>
      </c>
      <c r="K746" s="52"/>
      <c r="L746" s="45">
        <v>8.2100000000000009</v>
      </c>
      <c r="M746" s="52"/>
      <c r="N746" s="45">
        <v>8.2100000000000009</v>
      </c>
      <c r="O746" s="52"/>
      <c r="P746" s="45">
        <v>8.2100000000000009</v>
      </c>
      <c r="Q746" s="52"/>
      <c r="R746" s="45">
        <v>8.2100000000000009</v>
      </c>
      <c r="S746" s="52"/>
      <c r="T746" s="57">
        <f t="shared" si="138"/>
        <v>8.2100000000000009</v>
      </c>
      <c r="U746" s="55">
        <f t="shared" si="139"/>
        <v>96.588235294117652</v>
      </c>
      <c r="V746" s="58" t="s">
        <v>58</v>
      </c>
      <c r="W746" s="56"/>
      <c r="X746" s="60">
        <f>W743/K743*100</f>
        <v>96.284046668235789</v>
      </c>
      <c r="Y746" s="48" t="s">
        <v>58</v>
      </c>
      <c r="Z746" s="57"/>
      <c r="AA746" s="56"/>
      <c r="AB746" s="57"/>
      <c r="AC746" s="58"/>
      <c r="AD746" s="60"/>
      <c r="AE746" s="24"/>
      <c r="AH746" s="25"/>
    </row>
    <row r="747" spans="1:34" ht="47.25">
      <c r="A747" s="1078"/>
      <c r="B747" s="1067"/>
      <c r="C747" s="1067"/>
      <c r="D747" s="19" t="s">
        <v>948</v>
      </c>
      <c r="E747" s="45">
        <v>13</v>
      </c>
      <c r="F747" s="46" t="s">
        <v>943</v>
      </c>
      <c r="G747" s="52"/>
      <c r="H747" s="45">
        <v>12.85</v>
      </c>
      <c r="I747" s="52"/>
      <c r="J747" s="45">
        <v>13</v>
      </c>
      <c r="K747" s="52"/>
      <c r="L747" s="45">
        <v>12.85</v>
      </c>
      <c r="M747" s="52"/>
      <c r="N747" s="45">
        <v>12.85</v>
      </c>
      <c r="O747" s="52"/>
      <c r="P747" s="45">
        <v>12.85</v>
      </c>
      <c r="Q747" s="52"/>
      <c r="R747" s="45">
        <v>12.85</v>
      </c>
      <c r="S747" s="52"/>
      <c r="T747" s="57">
        <f t="shared" si="138"/>
        <v>12.85</v>
      </c>
      <c r="U747" s="55">
        <f t="shared" si="139"/>
        <v>98.84615384615384</v>
      </c>
      <c r="V747" s="58" t="s">
        <v>58</v>
      </c>
      <c r="W747" s="56"/>
      <c r="X747" s="60">
        <f>W743/K743*100</f>
        <v>96.284046668235789</v>
      </c>
      <c r="Y747" s="48" t="s">
        <v>58</v>
      </c>
      <c r="Z747" s="57"/>
      <c r="AA747" s="56"/>
      <c r="AB747" s="57"/>
      <c r="AC747" s="58"/>
      <c r="AD747" s="60"/>
      <c r="AE747" s="24"/>
      <c r="AH747" s="25"/>
    </row>
    <row r="748" spans="1:34" ht="141.75">
      <c r="A748" s="48">
        <v>2</v>
      </c>
      <c r="B748" s="49" t="s">
        <v>30</v>
      </c>
      <c r="C748" s="1065" t="s">
        <v>309</v>
      </c>
      <c r="D748" s="19" t="s">
        <v>949</v>
      </c>
      <c r="E748" s="45">
        <v>6</v>
      </c>
      <c r="F748" s="46" t="s">
        <v>55</v>
      </c>
      <c r="G748" s="42">
        <f>SUM(G750:G751)</f>
        <v>29014200</v>
      </c>
      <c r="H748" s="45">
        <v>6</v>
      </c>
      <c r="I748" s="42">
        <f>SUM(I750:I751)</f>
        <v>9500000</v>
      </c>
      <c r="J748" s="45">
        <v>6</v>
      </c>
      <c r="K748" s="42">
        <f>SUM(K750:K751)</f>
        <v>9757100</v>
      </c>
      <c r="L748" s="45">
        <v>1</v>
      </c>
      <c r="M748" s="42">
        <f>SUM(M750:M751)</f>
        <v>0</v>
      </c>
      <c r="N748" s="45">
        <v>2</v>
      </c>
      <c r="O748" s="42">
        <v>0</v>
      </c>
      <c r="P748" s="45">
        <v>1</v>
      </c>
      <c r="Q748" s="42">
        <f>Q750+Q751</f>
        <v>3619000</v>
      </c>
      <c r="R748" s="45">
        <v>1</v>
      </c>
      <c r="S748" s="42">
        <f>S750+S751</f>
        <v>5346000</v>
      </c>
      <c r="T748" s="55">
        <f t="shared" ref="T748:T793" si="140">SUM(L748,N748,P748,R748)</f>
        <v>5</v>
      </c>
      <c r="U748" s="55">
        <f>T748/J748*100</f>
        <v>83.333333333333343</v>
      </c>
      <c r="V748" s="58" t="s">
        <v>58</v>
      </c>
      <c r="W748" s="59">
        <f t="shared" ref="W748:W780" si="141">SUM(M748,O748,Q748,S748)</f>
        <v>8965000</v>
      </c>
      <c r="X748" s="57">
        <f>W748/K748*100</f>
        <v>91.881809144110434</v>
      </c>
      <c r="Y748" s="58" t="s">
        <v>58</v>
      </c>
      <c r="Z748" s="55">
        <f>AVERAGE(H748,T748)</f>
        <v>5.5</v>
      </c>
      <c r="AA748" s="59">
        <f t="shared" ref="AA748:AA780" si="142">SUM(I748,W748)</f>
        <v>18465000</v>
      </c>
      <c r="AB748" s="57"/>
      <c r="AC748" s="58" t="s">
        <v>58</v>
      </c>
      <c r="AD748" s="57"/>
      <c r="AE748" s="11"/>
      <c r="AH748" s="25"/>
    </row>
    <row r="749" spans="1:34" ht="78.75">
      <c r="A749" s="16"/>
      <c r="B749" s="17"/>
      <c r="C749" s="1067"/>
      <c r="D749" s="19" t="s">
        <v>950</v>
      </c>
      <c r="E749" s="45">
        <v>4</v>
      </c>
      <c r="F749" s="46"/>
      <c r="G749" s="42"/>
      <c r="H749" s="45">
        <v>4</v>
      </c>
      <c r="I749" s="42"/>
      <c r="J749" s="45">
        <v>4</v>
      </c>
      <c r="K749" s="42"/>
      <c r="L749" s="45">
        <v>1</v>
      </c>
      <c r="M749" s="42"/>
      <c r="N749" s="45">
        <v>1</v>
      </c>
      <c r="O749" s="42"/>
      <c r="P749" s="45">
        <v>1</v>
      </c>
      <c r="Q749" s="42"/>
      <c r="R749" s="45">
        <v>1</v>
      </c>
      <c r="S749" s="42"/>
      <c r="T749" s="55">
        <f t="shared" si="140"/>
        <v>4</v>
      </c>
      <c r="U749" s="55">
        <f>T749/J749*100</f>
        <v>100</v>
      </c>
      <c r="V749" s="58"/>
      <c r="W749" s="59"/>
      <c r="X749" s="57"/>
      <c r="Y749" s="58"/>
      <c r="Z749" s="55"/>
      <c r="AA749" s="59"/>
      <c r="AB749" s="57"/>
      <c r="AC749" s="58"/>
      <c r="AD749" s="57"/>
      <c r="AE749" s="11"/>
      <c r="AH749" s="25"/>
    </row>
    <row r="750" spans="1:34" ht="90">
      <c r="A750" s="16"/>
      <c r="B750" s="17"/>
      <c r="C750" s="26" t="s">
        <v>69</v>
      </c>
      <c r="D750" s="29" t="s">
        <v>951</v>
      </c>
      <c r="E750" s="20">
        <v>5</v>
      </c>
      <c r="F750" s="21" t="s">
        <v>55</v>
      </c>
      <c r="G750" s="23">
        <v>24375000</v>
      </c>
      <c r="H750" s="20">
        <v>10</v>
      </c>
      <c r="I750" s="23">
        <v>8000000</v>
      </c>
      <c r="J750" s="20">
        <v>5</v>
      </c>
      <c r="K750" s="23">
        <v>8187500</v>
      </c>
      <c r="L750" s="20">
        <v>1</v>
      </c>
      <c r="M750" s="23">
        <v>0</v>
      </c>
      <c r="N750" s="20">
        <v>1</v>
      </c>
      <c r="O750" s="23">
        <v>0</v>
      </c>
      <c r="P750" s="20">
        <v>1</v>
      </c>
      <c r="Q750" s="237">
        <v>3095000</v>
      </c>
      <c r="R750" s="20">
        <v>1</v>
      </c>
      <c r="S750" s="23">
        <v>4449000</v>
      </c>
      <c r="T750" s="54">
        <f t="shared" si="140"/>
        <v>4</v>
      </c>
      <c r="U750" s="54">
        <f t="shared" ref="U750:U787" si="143">T750/J750*100</f>
        <v>80</v>
      </c>
      <c r="V750" s="35" t="s">
        <v>58</v>
      </c>
      <c r="W750" s="40">
        <f t="shared" si="141"/>
        <v>7544000</v>
      </c>
      <c r="X750" s="53">
        <f t="shared" ref="X750:X780" si="144">W750/K750*100</f>
        <v>92.140458015267185</v>
      </c>
      <c r="Y750" s="35" t="s">
        <v>58</v>
      </c>
      <c r="Z750" s="54">
        <f t="shared" ref="Z750:Z826" si="145">SUM(H750,T750)</f>
        <v>14</v>
      </c>
      <c r="AA750" s="40">
        <f t="shared" si="142"/>
        <v>15544000</v>
      </c>
      <c r="AB750" s="53"/>
      <c r="AC750" s="35" t="s">
        <v>58</v>
      </c>
      <c r="AD750" s="53"/>
      <c r="AE750" s="11"/>
      <c r="AH750" s="25"/>
    </row>
    <row r="751" spans="1:34" ht="90">
      <c r="A751" s="16"/>
      <c r="B751" s="17"/>
      <c r="C751" s="26" t="s">
        <v>70</v>
      </c>
      <c r="D751" s="29" t="s">
        <v>952</v>
      </c>
      <c r="E751" s="20">
        <v>10</v>
      </c>
      <c r="F751" s="21" t="s">
        <v>55</v>
      </c>
      <c r="G751" s="28">
        <v>4639200</v>
      </c>
      <c r="H751" s="20">
        <v>10</v>
      </c>
      <c r="I751" s="28">
        <v>1500000</v>
      </c>
      <c r="J751" s="20">
        <v>10</v>
      </c>
      <c r="K751" s="28">
        <v>1569600</v>
      </c>
      <c r="L751" s="20">
        <v>1</v>
      </c>
      <c r="M751" s="23">
        <v>0</v>
      </c>
      <c r="N751" s="20">
        <v>3</v>
      </c>
      <c r="O751" s="28">
        <v>0</v>
      </c>
      <c r="P751" s="20">
        <v>3</v>
      </c>
      <c r="Q751" s="238">
        <v>524000</v>
      </c>
      <c r="R751" s="20">
        <v>3</v>
      </c>
      <c r="S751" s="28">
        <v>897000</v>
      </c>
      <c r="T751" s="54">
        <f t="shared" si="140"/>
        <v>10</v>
      </c>
      <c r="U751" s="54">
        <f t="shared" si="143"/>
        <v>100</v>
      </c>
      <c r="V751" s="35" t="s">
        <v>58</v>
      </c>
      <c r="W751" s="40">
        <f t="shared" si="141"/>
        <v>1421000</v>
      </c>
      <c r="X751" s="53">
        <f t="shared" si="144"/>
        <v>90.532619775739036</v>
      </c>
      <c r="Y751" s="35" t="s">
        <v>58</v>
      </c>
      <c r="Z751" s="54">
        <f t="shared" si="145"/>
        <v>20</v>
      </c>
      <c r="AA751" s="40">
        <f t="shared" si="142"/>
        <v>2921000</v>
      </c>
      <c r="AB751" s="53"/>
      <c r="AC751" s="35" t="s">
        <v>58</v>
      </c>
      <c r="AD751" s="53"/>
      <c r="AE751" s="11"/>
      <c r="AH751" s="25"/>
    </row>
    <row r="752" spans="1:34" s="78" customFormat="1" ht="105" customHeight="1">
      <c r="A752" s="16"/>
      <c r="B752" s="17"/>
      <c r="C752" s="1065" t="s">
        <v>71</v>
      </c>
      <c r="D752" s="19" t="s">
        <v>318</v>
      </c>
      <c r="E752" s="45">
        <v>12</v>
      </c>
      <c r="F752" s="75" t="s">
        <v>55</v>
      </c>
      <c r="G752" s="42">
        <f>SUM(G756:G759)</f>
        <v>24649793102</v>
      </c>
      <c r="H752" s="45">
        <v>12</v>
      </c>
      <c r="I752" s="42">
        <f>SUM(I756:I759)</f>
        <v>7577820477</v>
      </c>
      <c r="J752" s="45">
        <v>12</v>
      </c>
      <c r="K752" s="42">
        <f>SUM(K756:K759)</f>
        <v>8209399983</v>
      </c>
      <c r="L752" s="74">
        <f>SUM(L757:L759)</f>
        <v>3</v>
      </c>
      <c r="M752" s="42">
        <f>SUM(M756:M759)</f>
        <v>1507695056</v>
      </c>
      <c r="N752" s="74">
        <v>3</v>
      </c>
      <c r="O752" s="42">
        <f>SUM(O756:O759)</f>
        <v>1537708029</v>
      </c>
      <c r="P752" s="74">
        <v>3</v>
      </c>
      <c r="Q752" s="42">
        <f>SUM(Q756:Q759)</f>
        <v>3019151106</v>
      </c>
      <c r="R752" s="74">
        <v>3</v>
      </c>
      <c r="S752" s="42">
        <f>SUM(S756:S759)</f>
        <v>1907931258</v>
      </c>
      <c r="T752" s="55">
        <f>SUM(L752,N752,P752,R752)</f>
        <v>12</v>
      </c>
      <c r="U752" s="55">
        <f t="shared" si="143"/>
        <v>100</v>
      </c>
      <c r="V752" s="58" t="s">
        <v>58</v>
      </c>
      <c r="W752" s="59">
        <f t="shared" si="141"/>
        <v>7972485449</v>
      </c>
      <c r="X752" s="57">
        <f>W752/K752*100</f>
        <v>97.114106579158005</v>
      </c>
      <c r="Y752" s="58" t="s">
        <v>58</v>
      </c>
      <c r="Z752" s="55">
        <f>AVERAGE(T752,H752)</f>
        <v>12</v>
      </c>
      <c r="AA752" s="59">
        <f t="shared" si="142"/>
        <v>15550305926</v>
      </c>
      <c r="AB752" s="57"/>
      <c r="AC752" s="58" t="s">
        <v>58</v>
      </c>
      <c r="AD752" s="57"/>
      <c r="AE752" s="24"/>
      <c r="AH752" s="79">
        <f>M752+O752+Q752+S752</f>
        <v>7972485449</v>
      </c>
    </row>
    <row r="753" spans="1:34" s="78" customFormat="1" ht="105" customHeight="1">
      <c r="A753" s="16"/>
      <c r="B753" s="17"/>
      <c r="C753" s="1066"/>
      <c r="D753" s="18" t="s">
        <v>319</v>
      </c>
      <c r="E753" s="45">
        <v>1</v>
      </c>
      <c r="F753" s="75" t="s">
        <v>55</v>
      </c>
      <c r="G753" s="42"/>
      <c r="H753" s="45">
        <v>1</v>
      </c>
      <c r="I753" s="42"/>
      <c r="J753" s="45">
        <v>1</v>
      </c>
      <c r="K753" s="42"/>
      <c r="L753" s="74">
        <v>0</v>
      </c>
      <c r="M753" s="42"/>
      <c r="N753" s="74">
        <v>0</v>
      </c>
      <c r="O753" s="42"/>
      <c r="P753" s="74">
        <v>0</v>
      </c>
      <c r="Q753" s="42"/>
      <c r="R753" s="74">
        <v>0</v>
      </c>
      <c r="S753" s="42"/>
      <c r="T753" s="55">
        <f t="shared" ref="T753:T755" si="146">SUM(L753,N753,P753,R753)</f>
        <v>0</v>
      </c>
      <c r="U753" s="55">
        <f t="shared" si="143"/>
        <v>0</v>
      </c>
      <c r="V753" s="58" t="s">
        <v>58</v>
      </c>
      <c r="W753" s="59"/>
      <c r="X753" s="57"/>
      <c r="Y753" s="58"/>
      <c r="Z753" s="55">
        <f t="shared" ref="Z753:Z755" si="147">AVERAGE(T753,H753)</f>
        <v>0.5</v>
      </c>
      <c r="AA753" s="59"/>
      <c r="AB753" s="57"/>
      <c r="AC753" s="58"/>
      <c r="AD753" s="57"/>
      <c r="AE753" s="24"/>
      <c r="AH753" s="79"/>
    </row>
    <row r="754" spans="1:34" s="78" customFormat="1" ht="105" customHeight="1">
      <c r="A754" s="16"/>
      <c r="B754" s="17"/>
      <c r="C754" s="1066"/>
      <c r="D754" s="18" t="s">
        <v>953</v>
      </c>
      <c r="E754" s="45">
        <v>16</v>
      </c>
      <c r="F754" s="75" t="s">
        <v>55</v>
      </c>
      <c r="G754" s="42"/>
      <c r="H754" s="45">
        <v>16</v>
      </c>
      <c r="I754" s="42"/>
      <c r="J754" s="45">
        <v>16</v>
      </c>
      <c r="K754" s="42"/>
      <c r="L754" s="74">
        <v>4</v>
      </c>
      <c r="M754" s="42"/>
      <c r="N754" s="74">
        <v>4</v>
      </c>
      <c r="O754" s="42"/>
      <c r="P754" s="74">
        <v>4</v>
      </c>
      <c r="Q754" s="42"/>
      <c r="R754" s="74">
        <v>4</v>
      </c>
      <c r="S754" s="42"/>
      <c r="T754" s="55">
        <f t="shared" si="146"/>
        <v>16</v>
      </c>
      <c r="U754" s="55">
        <f t="shared" si="143"/>
        <v>100</v>
      </c>
      <c r="V754" s="58" t="s">
        <v>58</v>
      </c>
      <c r="W754" s="59"/>
      <c r="X754" s="57"/>
      <c r="Y754" s="58"/>
      <c r="Z754" s="55">
        <f t="shared" si="147"/>
        <v>16</v>
      </c>
      <c r="AA754" s="59"/>
      <c r="AB754" s="57"/>
      <c r="AC754" s="58"/>
      <c r="AD754" s="57"/>
      <c r="AE754" s="24"/>
      <c r="AH754" s="79"/>
    </row>
    <row r="755" spans="1:34" s="78" customFormat="1" ht="105" customHeight="1">
      <c r="A755" s="16"/>
      <c r="B755" s="17"/>
      <c r="C755" s="1067"/>
      <c r="D755" s="18" t="s">
        <v>321</v>
      </c>
      <c r="E755" s="45">
        <v>1</v>
      </c>
      <c r="F755" s="75" t="s">
        <v>55</v>
      </c>
      <c r="G755" s="42"/>
      <c r="H755" s="45">
        <v>1</v>
      </c>
      <c r="I755" s="42"/>
      <c r="J755" s="45">
        <v>1</v>
      </c>
      <c r="K755" s="42"/>
      <c r="L755" s="74">
        <v>0</v>
      </c>
      <c r="M755" s="42"/>
      <c r="N755" s="74">
        <v>1</v>
      </c>
      <c r="O755" s="42"/>
      <c r="P755" s="74">
        <v>0</v>
      </c>
      <c r="Q755" s="42"/>
      <c r="R755" s="74">
        <v>0</v>
      </c>
      <c r="S755" s="42"/>
      <c r="T755" s="55">
        <f t="shared" si="146"/>
        <v>1</v>
      </c>
      <c r="U755" s="55">
        <f t="shared" si="143"/>
        <v>100</v>
      </c>
      <c r="V755" s="58" t="s">
        <v>58</v>
      </c>
      <c r="W755" s="59"/>
      <c r="X755" s="57"/>
      <c r="Y755" s="58"/>
      <c r="Z755" s="55">
        <f t="shared" si="147"/>
        <v>1</v>
      </c>
      <c r="AA755" s="59"/>
      <c r="AB755" s="57"/>
      <c r="AC755" s="58"/>
      <c r="AD755" s="57"/>
      <c r="AE755" s="24"/>
      <c r="AH755" s="79"/>
    </row>
    <row r="756" spans="1:34" ht="92.25" customHeight="1">
      <c r="A756" s="16"/>
      <c r="B756" s="17"/>
      <c r="C756" s="26" t="s">
        <v>72</v>
      </c>
      <c r="D756" s="26" t="s">
        <v>213</v>
      </c>
      <c r="E756" s="20">
        <f>12*3</f>
        <v>36</v>
      </c>
      <c r="F756" s="275" t="s">
        <v>954</v>
      </c>
      <c r="G756" s="23">
        <v>24634793102</v>
      </c>
      <c r="H756" s="43">
        <v>87</v>
      </c>
      <c r="I756" s="23">
        <v>7572900477</v>
      </c>
      <c r="J756" s="43">
        <v>94</v>
      </c>
      <c r="K756" s="23">
        <v>8205020983</v>
      </c>
      <c r="L756" s="43">
        <v>94</v>
      </c>
      <c r="M756" s="23">
        <v>1507695056</v>
      </c>
      <c r="N756" s="44">
        <v>94</v>
      </c>
      <c r="O756" s="23">
        <v>1537708029</v>
      </c>
      <c r="P756" s="44">
        <v>94</v>
      </c>
      <c r="Q756" s="23">
        <v>3018434106</v>
      </c>
      <c r="R756" s="44">
        <v>94</v>
      </c>
      <c r="S756" s="23">
        <v>1905161258</v>
      </c>
      <c r="T756" s="54">
        <f>AVERAGE(L756,N756,P756)</f>
        <v>94</v>
      </c>
      <c r="U756" s="54">
        <f>T756/J756*100</f>
        <v>100</v>
      </c>
      <c r="V756" s="35" t="s">
        <v>58</v>
      </c>
      <c r="W756" s="40">
        <f t="shared" si="141"/>
        <v>7968998449</v>
      </c>
      <c r="X756" s="53">
        <f t="shared" si="144"/>
        <v>97.123437776831821</v>
      </c>
      <c r="Y756" s="35" t="s">
        <v>58</v>
      </c>
      <c r="Z756" s="54">
        <f t="shared" si="145"/>
        <v>181</v>
      </c>
      <c r="AA756" s="40">
        <f t="shared" si="142"/>
        <v>15541898926</v>
      </c>
      <c r="AB756" s="53"/>
      <c r="AC756" s="35" t="s">
        <v>58</v>
      </c>
      <c r="AD756" s="53"/>
      <c r="AE756" s="11"/>
      <c r="AH756" s="25">
        <f>M756+O756+Q756+S756</f>
        <v>7968998449</v>
      </c>
    </row>
    <row r="757" spans="1:34" ht="195">
      <c r="A757" s="16"/>
      <c r="B757" s="17"/>
      <c r="C757" s="26" t="s">
        <v>73</v>
      </c>
      <c r="D757" s="29" t="s">
        <v>955</v>
      </c>
      <c r="E757" s="43">
        <f>1*3</f>
        <v>3</v>
      </c>
      <c r="F757" s="27" t="s">
        <v>55</v>
      </c>
      <c r="G757" s="23">
        <v>6000000</v>
      </c>
      <c r="H757" s="43">
        <v>2</v>
      </c>
      <c r="I757" s="23">
        <v>1920000</v>
      </c>
      <c r="J757" s="43">
        <v>1</v>
      </c>
      <c r="K757" s="23">
        <v>1555000</v>
      </c>
      <c r="L757" s="43">
        <v>0</v>
      </c>
      <c r="M757" s="23">
        <v>0</v>
      </c>
      <c r="N757" s="43">
        <v>0</v>
      </c>
      <c r="O757" s="23">
        <v>0</v>
      </c>
      <c r="P757" s="43">
        <v>0</v>
      </c>
      <c r="Q757" s="23">
        <v>0</v>
      </c>
      <c r="R757" s="43">
        <v>0</v>
      </c>
      <c r="S757" s="23">
        <v>1420000</v>
      </c>
      <c r="T757" s="54">
        <f t="shared" si="140"/>
        <v>0</v>
      </c>
      <c r="U757" s="54">
        <f t="shared" si="143"/>
        <v>0</v>
      </c>
      <c r="V757" s="35" t="s">
        <v>58</v>
      </c>
      <c r="W757" s="40">
        <f t="shared" si="141"/>
        <v>1420000</v>
      </c>
      <c r="X757" s="53">
        <f t="shared" si="144"/>
        <v>91.318327974276528</v>
      </c>
      <c r="Y757" s="35" t="s">
        <v>58</v>
      </c>
      <c r="Z757" s="54">
        <f t="shared" si="145"/>
        <v>2</v>
      </c>
      <c r="AA757" s="40">
        <f t="shared" si="142"/>
        <v>3340000</v>
      </c>
      <c r="AB757" s="53"/>
      <c r="AC757" s="35" t="s">
        <v>58</v>
      </c>
      <c r="AD757" s="53"/>
      <c r="AE757" s="11"/>
      <c r="AH757" s="25">
        <f>M757+O757+Q757+S757</f>
        <v>1420000</v>
      </c>
    </row>
    <row r="758" spans="1:34" ht="120">
      <c r="A758" s="16"/>
      <c r="B758" s="17"/>
      <c r="C758" s="26" t="s">
        <v>74</v>
      </c>
      <c r="D758" s="29" t="s">
        <v>956</v>
      </c>
      <c r="E758" s="20">
        <f>12*3</f>
        <v>36</v>
      </c>
      <c r="F758" s="27" t="s">
        <v>173</v>
      </c>
      <c r="G758" s="23">
        <v>4500000</v>
      </c>
      <c r="H758" s="20">
        <v>12</v>
      </c>
      <c r="I758" s="23">
        <v>1500000</v>
      </c>
      <c r="J758" s="43">
        <v>12</v>
      </c>
      <c r="K758" s="23">
        <v>1440000</v>
      </c>
      <c r="L758" s="43">
        <v>3</v>
      </c>
      <c r="M758" s="23">
        <v>0</v>
      </c>
      <c r="N758" s="44">
        <v>3</v>
      </c>
      <c r="O758" s="23">
        <v>0</v>
      </c>
      <c r="P758" s="44">
        <v>3</v>
      </c>
      <c r="Q758" s="23">
        <v>717000</v>
      </c>
      <c r="R758" s="44">
        <v>3</v>
      </c>
      <c r="S758" s="23">
        <v>720000</v>
      </c>
      <c r="T758" s="54">
        <f t="shared" si="140"/>
        <v>12</v>
      </c>
      <c r="U758" s="54">
        <f t="shared" si="143"/>
        <v>100</v>
      </c>
      <c r="V758" s="35" t="s">
        <v>58</v>
      </c>
      <c r="W758" s="40">
        <f t="shared" si="141"/>
        <v>1437000</v>
      </c>
      <c r="X758" s="53">
        <f t="shared" si="144"/>
        <v>99.791666666666671</v>
      </c>
      <c r="Y758" s="35" t="s">
        <v>58</v>
      </c>
      <c r="Z758" s="54">
        <f t="shared" si="145"/>
        <v>24</v>
      </c>
      <c r="AA758" s="40">
        <f t="shared" si="142"/>
        <v>2937000</v>
      </c>
      <c r="AB758" s="53"/>
      <c r="AC758" s="35" t="s">
        <v>58</v>
      </c>
      <c r="AD758" s="53"/>
      <c r="AE758" s="11"/>
      <c r="AH758" s="25">
        <f>M758+O758+Q758+S758</f>
        <v>1437000</v>
      </c>
    </row>
    <row r="759" spans="1:34" ht="110.25" customHeight="1">
      <c r="A759" s="16"/>
      <c r="B759" s="17"/>
      <c r="C759" s="26" t="s">
        <v>75</v>
      </c>
      <c r="D759" s="29" t="s">
        <v>956</v>
      </c>
      <c r="E759" s="43">
        <f>1*3</f>
        <v>3</v>
      </c>
      <c r="F759" s="27" t="s">
        <v>173</v>
      </c>
      <c r="G759" s="23">
        <v>4500000</v>
      </c>
      <c r="H759" s="20">
        <v>2</v>
      </c>
      <c r="I759" s="23">
        <v>1500000</v>
      </c>
      <c r="J759" s="43">
        <v>1</v>
      </c>
      <c r="K759" s="23">
        <v>1384000</v>
      </c>
      <c r="L759" s="43">
        <v>0</v>
      </c>
      <c r="M759" s="23">
        <v>0</v>
      </c>
      <c r="N759" s="43">
        <v>1</v>
      </c>
      <c r="O759" s="23">
        <v>0</v>
      </c>
      <c r="P759" s="43">
        <v>0</v>
      </c>
      <c r="Q759" s="23">
        <v>0</v>
      </c>
      <c r="R759" s="43">
        <v>0</v>
      </c>
      <c r="S759" s="23">
        <v>630000</v>
      </c>
      <c r="T759" s="54">
        <f t="shared" si="140"/>
        <v>1</v>
      </c>
      <c r="U759" s="54">
        <f t="shared" si="143"/>
        <v>100</v>
      </c>
      <c r="V759" s="35" t="s">
        <v>58</v>
      </c>
      <c r="W759" s="40">
        <f t="shared" si="141"/>
        <v>630000</v>
      </c>
      <c r="X759" s="53">
        <f t="shared" si="144"/>
        <v>45.520231213872833</v>
      </c>
      <c r="Y759" s="35" t="s">
        <v>58</v>
      </c>
      <c r="Z759" s="54">
        <f t="shared" si="145"/>
        <v>3</v>
      </c>
      <c r="AA759" s="40">
        <f t="shared" si="142"/>
        <v>2130000</v>
      </c>
      <c r="AB759" s="53"/>
      <c r="AC759" s="35" t="s">
        <v>58</v>
      </c>
      <c r="AD759" s="53"/>
      <c r="AE759" s="11"/>
      <c r="AH759" s="25">
        <f>M759+O759+Q759+S759</f>
        <v>630000</v>
      </c>
    </row>
    <row r="760" spans="1:34" s="78" customFormat="1" ht="94.5">
      <c r="A760" s="16"/>
      <c r="B760" s="17"/>
      <c r="C760" s="1065" t="s">
        <v>76</v>
      </c>
      <c r="D760" s="19" t="s">
        <v>336</v>
      </c>
      <c r="E760" s="45">
        <v>100</v>
      </c>
      <c r="F760" s="75" t="s">
        <v>58</v>
      </c>
      <c r="G760" s="42">
        <f>SUM(G765:G770)</f>
        <v>1486076975</v>
      </c>
      <c r="H760" s="45">
        <v>100</v>
      </c>
      <c r="I760" s="42">
        <f>SUM(I765:I770)</f>
        <v>378975066</v>
      </c>
      <c r="J760" s="45">
        <v>100</v>
      </c>
      <c r="K760" s="42">
        <f>SUM(K765:K770)</f>
        <v>592392550</v>
      </c>
      <c r="L760" s="74">
        <v>25</v>
      </c>
      <c r="M760" s="42">
        <f>SUM(M765:M770)</f>
        <v>78338470</v>
      </c>
      <c r="N760" s="108">
        <v>25</v>
      </c>
      <c r="O760" s="42">
        <f>SUM(O765:O770)</f>
        <v>54046400</v>
      </c>
      <c r="P760" s="108">
        <v>25</v>
      </c>
      <c r="Q760" s="42">
        <f>SUM(Q765:Q770)</f>
        <v>198469282</v>
      </c>
      <c r="R760" s="108">
        <v>25</v>
      </c>
      <c r="S760" s="42">
        <f>SUM(S765:S770)</f>
        <v>213040148</v>
      </c>
      <c r="T760" s="55">
        <f t="shared" si="140"/>
        <v>100</v>
      </c>
      <c r="U760" s="55">
        <f>T760/J760*100</f>
        <v>100</v>
      </c>
      <c r="V760" s="58" t="s">
        <v>58</v>
      </c>
      <c r="W760" s="59">
        <f t="shared" si="141"/>
        <v>543894300</v>
      </c>
      <c r="X760" s="57">
        <f t="shared" si="144"/>
        <v>91.81315666444489</v>
      </c>
      <c r="Y760" s="58" t="s">
        <v>58</v>
      </c>
      <c r="Z760" s="55">
        <f>AVERAGE(T760,J760)</f>
        <v>100</v>
      </c>
      <c r="AA760" s="59">
        <f>SUM(I760,W760)</f>
        <v>922869366</v>
      </c>
      <c r="AB760" s="57"/>
      <c r="AC760" s="58" t="s">
        <v>58</v>
      </c>
      <c r="AD760" s="57"/>
      <c r="AE760" s="77"/>
      <c r="AH760" s="79"/>
    </row>
    <row r="761" spans="1:34" s="78" customFormat="1" ht="126">
      <c r="A761" s="16"/>
      <c r="B761" s="17"/>
      <c r="C761" s="1066"/>
      <c r="D761" s="19" t="s">
        <v>337</v>
      </c>
      <c r="E761" s="45">
        <v>100</v>
      </c>
      <c r="F761" s="75" t="s">
        <v>58</v>
      </c>
      <c r="G761" s="41"/>
      <c r="H761" s="45">
        <v>100</v>
      </c>
      <c r="I761" s="42"/>
      <c r="J761" s="45">
        <v>100</v>
      </c>
      <c r="K761" s="42"/>
      <c r="L761" s="74">
        <v>25</v>
      </c>
      <c r="M761" s="42"/>
      <c r="N761" s="108">
        <v>25</v>
      </c>
      <c r="O761" s="42"/>
      <c r="P761" s="108">
        <v>25</v>
      </c>
      <c r="Q761" s="42"/>
      <c r="R761" s="108">
        <v>25</v>
      </c>
      <c r="S761" s="42"/>
      <c r="T761" s="55">
        <f t="shared" si="140"/>
        <v>100</v>
      </c>
      <c r="U761" s="55">
        <f t="shared" ref="U761:U764" si="148">T761/J761*100</f>
        <v>100</v>
      </c>
      <c r="V761" s="58" t="s">
        <v>58</v>
      </c>
      <c r="W761" s="59"/>
      <c r="X761" s="57"/>
      <c r="Y761" s="58"/>
      <c r="Z761" s="55">
        <f t="shared" ref="Z761:Z764" si="149">AVERAGE(T761,J761)</f>
        <v>100</v>
      </c>
      <c r="AA761" s="59"/>
      <c r="AB761" s="57"/>
      <c r="AC761" s="58"/>
      <c r="AD761" s="57"/>
      <c r="AE761" s="77"/>
      <c r="AH761" s="79"/>
    </row>
    <row r="762" spans="1:34" s="78" customFormat="1" ht="126">
      <c r="A762" s="16"/>
      <c r="B762" s="17"/>
      <c r="C762" s="1066"/>
      <c r="D762" s="19" t="s">
        <v>957</v>
      </c>
      <c r="E762" s="45">
        <v>100</v>
      </c>
      <c r="F762" s="75" t="s">
        <v>58</v>
      </c>
      <c r="G762" s="41"/>
      <c r="H762" s="45">
        <v>100</v>
      </c>
      <c r="I762" s="42"/>
      <c r="J762" s="45">
        <v>100</v>
      </c>
      <c r="K762" s="42"/>
      <c r="L762" s="74">
        <v>25</v>
      </c>
      <c r="M762" s="42"/>
      <c r="N762" s="108">
        <v>25</v>
      </c>
      <c r="O762" s="42"/>
      <c r="P762" s="108">
        <v>25</v>
      </c>
      <c r="Q762" s="42"/>
      <c r="R762" s="108">
        <v>25</v>
      </c>
      <c r="S762" s="42"/>
      <c r="T762" s="55">
        <f t="shared" si="140"/>
        <v>100</v>
      </c>
      <c r="U762" s="55">
        <f t="shared" si="148"/>
        <v>100</v>
      </c>
      <c r="V762" s="58" t="s">
        <v>58</v>
      </c>
      <c r="W762" s="59"/>
      <c r="X762" s="57"/>
      <c r="Y762" s="58"/>
      <c r="Z762" s="55">
        <f t="shared" si="149"/>
        <v>100</v>
      </c>
      <c r="AA762" s="59"/>
      <c r="AB762" s="57"/>
      <c r="AC762" s="58"/>
      <c r="AD762" s="57"/>
      <c r="AE762" s="77"/>
      <c r="AH762" s="79"/>
    </row>
    <row r="763" spans="1:34" s="78" customFormat="1" ht="110.25">
      <c r="A763" s="16"/>
      <c r="B763" s="17"/>
      <c r="C763" s="1066"/>
      <c r="D763" s="19" t="s">
        <v>958</v>
      </c>
      <c r="E763" s="45">
        <v>100</v>
      </c>
      <c r="F763" s="75" t="s">
        <v>58</v>
      </c>
      <c r="G763" s="41"/>
      <c r="H763" s="45">
        <v>100</v>
      </c>
      <c r="I763" s="42"/>
      <c r="J763" s="45">
        <v>100</v>
      </c>
      <c r="K763" s="42"/>
      <c r="L763" s="74">
        <v>25</v>
      </c>
      <c r="M763" s="42"/>
      <c r="N763" s="108">
        <v>25</v>
      </c>
      <c r="O763" s="42"/>
      <c r="P763" s="108">
        <v>25</v>
      </c>
      <c r="Q763" s="42"/>
      <c r="R763" s="108">
        <v>25</v>
      </c>
      <c r="S763" s="42"/>
      <c r="T763" s="55">
        <f t="shared" si="140"/>
        <v>100</v>
      </c>
      <c r="U763" s="55">
        <f t="shared" si="148"/>
        <v>100</v>
      </c>
      <c r="V763" s="58" t="s">
        <v>58</v>
      </c>
      <c r="W763" s="59"/>
      <c r="X763" s="57"/>
      <c r="Y763" s="58"/>
      <c r="Z763" s="55">
        <f t="shared" si="149"/>
        <v>100</v>
      </c>
      <c r="AA763" s="59"/>
      <c r="AB763" s="57"/>
      <c r="AC763" s="58"/>
      <c r="AD763" s="57"/>
      <c r="AE763" s="77"/>
      <c r="AH763" s="79"/>
    </row>
    <row r="764" spans="1:34" s="78" customFormat="1" ht="110.25">
      <c r="A764" s="16"/>
      <c r="B764" s="17"/>
      <c r="C764" s="1067"/>
      <c r="D764" s="19" t="s">
        <v>340</v>
      </c>
      <c r="E764" s="45">
        <v>100</v>
      </c>
      <c r="F764" s="75" t="s">
        <v>58</v>
      </c>
      <c r="G764" s="41"/>
      <c r="H764" s="45">
        <v>100</v>
      </c>
      <c r="I764" s="42"/>
      <c r="J764" s="45">
        <v>100</v>
      </c>
      <c r="K764" s="42"/>
      <c r="L764" s="74">
        <v>25</v>
      </c>
      <c r="M764" s="42"/>
      <c r="N764" s="108">
        <v>25</v>
      </c>
      <c r="O764" s="42"/>
      <c r="P764" s="108">
        <v>25</v>
      </c>
      <c r="Q764" s="42"/>
      <c r="R764" s="108">
        <v>25</v>
      </c>
      <c r="S764" s="42"/>
      <c r="T764" s="55">
        <f t="shared" si="140"/>
        <v>100</v>
      </c>
      <c r="U764" s="55">
        <f t="shared" si="148"/>
        <v>100</v>
      </c>
      <c r="V764" s="58" t="s">
        <v>58</v>
      </c>
      <c r="W764" s="59"/>
      <c r="X764" s="57"/>
      <c r="Y764" s="58"/>
      <c r="Z764" s="55">
        <f t="shared" si="149"/>
        <v>100</v>
      </c>
      <c r="AA764" s="59"/>
      <c r="AB764" s="57"/>
      <c r="AC764" s="58"/>
      <c r="AD764" s="57"/>
      <c r="AE764" s="77"/>
      <c r="AH764" s="79"/>
    </row>
    <row r="765" spans="1:34" ht="120">
      <c r="A765" s="16"/>
      <c r="B765" s="17"/>
      <c r="C765" s="29" t="s">
        <v>342</v>
      </c>
      <c r="D765" s="29" t="s">
        <v>959</v>
      </c>
      <c r="E765" s="20">
        <f t="shared" ref="E765:E780" si="150">12*3</f>
        <v>36</v>
      </c>
      <c r="F765" s="27" t="s">
        <v>59</v>
      </c>
      <c r="G765" s="28">
        <v>10107900</v>
      </c>
      <c r="H765" s="20">
        <v>12</v>
      </c>
      <c r="I765" s="23">
        <v>1830000</v>
      </c>
      <c r="J765" s="43">
        <v>12</v>
      </c>
      <c r="K765" s="23">
        <v>3685700</v>
      </c>
      <c r="L765" s="43">
        <v>3</v>
      </c>
      <c r="M765" s="23">
        <v>1187000</v>
      </c>
      <c r="N765" s="43">
        <v>3</v>
      </c>
      <c r="O765" s="23">
        <v>0</v>
      </c>
      <c r="P765" s="43">
        <v>3</v>
      </c>
      <c r="Q765" s="23">
        <v>1883000</v>
      </c>
      <c r="R765" s="43">
        <v>3</v>
      </c>
      <c r="S765" s="23">
        <v>0</v>
      </c>
      <c r="T765" s="54">
        <f t="shared" si="140"/>
        <v>12</v>
      </c>
      <c r="U765" s="54">
        <f t="shared" si="143"/>
        <v>100</v>
      </c>
      <c r="V765" s="35" t="s">
        <v>58</v>
      </c>
      <c r="W765" s="40">
        <f t="shared" si="141"/>
        <v>3070000</v>
      </c>
      <c r="X765" s="53">
        <f t="shared" si="144"/>
        <v>83.29489649184687</v>
      </c>
      <c r="Y765" s="35" t="s">
        <v>58</v>
      </c>
      <c r="Z765" s="54">
        <f t="shared" si="145"/>
        <v>24</v>
      </c>
      <c r="AA765" s="40">
        <f t="shared" si="142"/>
        <v>4900000</v>
      </c>
      <c r="AB765" s="53"/>
      <c r="AC765" s="35" t="s">
        <v>58</v>
      </c>
      <c r="AD765" s="53"/>
      <c r="AE765" s="11"/>
      <c r="AH765" s="25"/>
    </row>
    <row r="766" spans="1:34" ht="90">
      <c r="A766" s="16"/>
      <c r="B766" s="17"/>
      <c r="C766" s="29" t="s">
        <v>345</v>
      </c>
      <c r="D766" s="29" t="s">
        <v>960</v>
      </c>
      <c r="E766" s="20">
        <f t="shared" si="150"/>
        <v>36</v>
      </c>
      <c r="F766" s="27" t="s">
        <v>59</v>
      </c>
      <c r="G766" s="28">
        <v>330252850</v>
      </c>
      <c r="H766" s="20">
        <v>12</v>
      </c>
      <c r="I766" s="23">
        <v>96704450</v>
      </c>
      <c r="J766" s="43">
        <v>12</v>
      </c>
      <c r="K766" s="23">
        <v>131879650</v>
      </c>
      <c r="L766" s="43">
        <v>3</v>
      </c>
      <c r="M766" s="23">
        <v>16538500</v>
      </c>
      <c r="N766" s="43">
        <v>3</v>
      </c>
      <c r="O766" s="23">
        <v>0</v>
      </c>
      <c r="P766" s="43">
        <v>3</v>
      </c>
      <c r="Q766" s="23">
        <v>42846700</v>
      </c>
      <c r="R766" s="43">
        <v>3</v>
      </c>
      <c r="S766" s="23">
        <v>54265600</v>
      </c>
      <c r="T766" s="54">
        <f t="shared" si="140"/>
        <v>12</v>
      </c>
      <c r="U766" s="54">
        <f t="shared" si="143"/>
        <v>100</v>
      </c>
      <c r="V766" s="35" t="s">
        <v>58</v>
      </c>
      <c r="W766" s="40">
        <f t="shared" si="141"/>
        <v>113650800</v>
      </c>
      <c r="X766" s="53">
        <f t="shared" si="144"/>
        <v>86.177662740233245</v>
      </c>
      <c r="Y766" s="35" t="s">
        <v>58</v>
      </c>
      <c r="Z766" s="54">
        <f t="shared" si="145"/>
        <v>24</v>
      </c>
      <c r="AA766" s="40">
        <f t="shared" si="142"/>
        <v>210355250</v>
      </c>
      <c r="AB766" s="53"/>
      <c r="AC766" s="35" t="s">
        <v>58</v>
      </c>
      <c r="AD766" s="53"/>
      <c r="AE766" s="11"/>
      <c r="AH766" s="25"/>
    </row>
    <row r="767" spans="1:34" ht="62.25" customHeight="1">
      <c r="A767" s="16"/>
      <c r="B767" s="17"/>
      <c r="C767" s="29" t="s">
        <v>347</v>
      </c>
      <c r="D767" s="26" t="s">
        <v>961</v>
      </c>
      <c r="E767" s="20">
        <f t="shared" si="150"/>
        <v>36</v>
      </c>
      <c r="F767" s="27" t="s">
        <v>59</v>
      </c>
      <c r="G767" s="28">
        <v>169005000</v>
      </c>
      <c r="H767" s="20">
        <v>12</v>
      </c>
      <c r="I767" s="23">
        <v>17261500</v>
      </c>
      <c r="J767" s="43">
        <v>12</v>
      </c>
      <c r="K767" s="23">
        <v>61352500</v>
      </c>
      <c r="L767" s="43">
        <v>3</v>
      </c>
      <c r="M767" s="23">
        <v>0</v>
      </c>
      <c r="N767" s="43">
        <v>3</v>
      </c>
      <c r="O767" s="23">
        <v>0</v>
      </c>
      <c r="P767" s="43">
        <v>3</v>
      </c>
      <c r="Q767" s="23">
        <v>11375000</v>
      </c>
      <c r="R767" s="43">
        <v>3</v>
      </c>
      <c r="S767" s="23">
        <v>45490000</v>
      </c>
      <c r="T767" s="54">
        <f t="shared" si="140"/>
        <v>12</v>
      </c>
      <c r="U767" s="54">
        <f t="shared" si="143"/>
        <v>100</v>
      </c>
      <c r="V767" s="35" t="s">
        <v>58</v>
      </c>
      <c r="W767" s="40">
        <f t="shared" si="141"/>
        <v>56865000</v>
      </c>
      <c r="X767" s="53">
        <f t="shared" si="144"/>
        <v>92.68570962878448</v>
      </c>
      <c r="Y767" s="35" t="s">
        <v>58</v>
      </c>
      <c r="Z767" s="54">
        <f t="shared" si="145"/>
        <v>24</v>
      </c>
      <c r="AA767" s="40">
        <f t="shared" si="142"/>
        <v>74126500</v>
      </c>
      <c r="AB767" s="53"/>
      <c r="AC767" s="35" t="s">
        <v>58</v>
      </c>
      <c r="AD767" s="53"/>
      <c r="AE767" s="11"/>
      <c r="AH767" s="25"/>
    </row>
    <row r="768" spans="1:34" ht="76.5" customHeight="1">
      <c r="A768" s="16"/>
      <c r="B768" s="17"/>
      <c r="C768" s="29" t="s">
        <v>349</v>
      </c>
      <c r="D768" s="26" t="s">
        <v>962</v>
      </c>
      <c r="E768" s="20">
        <f t="shared" si="150"/>
        <v>36</v>
      </c>
      <c r="F768" s="27" t="s">
        <v>59</v>
      </c>
      <c r="G768" s="28">
        <v>166670000</v>
      </c>
      <c r="H768" s="20">
        <v>12</v>
      </c>
      <c r="I768" s="23">
        <v>36059200</v>
      </c>
      <c r="J768" s="43">
        <v>12</v>
      </c>
      <c r="K768" s="23">
        <v>59541900</v>
      </c>
      <c r="L768" s="43">
        <v>3</v>
      </c>
      <c r="M768" s="23">
        <v>2156000</v>
      </c>
      <c r="N768" s="43">
        <v>3</v>
      </c>
      <c r="O768" s="23">
        <v>160000</v>
      </c>
      <c r="P768" s="43">
        <v>3</v>
      </c>
      <c r="Q768" s="23">
        <v>14530000</v>
      </c>
      <c r="R768" s="43">
        <v>3</v>
      </c>
      <c r="S768" s="23">
        <v>18277500</v>
      </c>
      <c r="T768" s="54">
        <f t="shared" si="140"/>
        <v>12</v>
      </c>
      <c r="U768" s="54">
        <f t="shared" si="143"/>
        <v>100</v>
      </c>
      <c r="V768" s="35" t="s">
        <v>58</v>
      </c>
      <c r="W768" s="40">
        <f t="shared" si="141"/>
        <v>35123500</v>
      </c>
      <c r="X768" s="53">
        <f t="shared" si="144"/>
        <v>58.989551895387947</v>
      </c>
      <c r="Y768" s="35" t="s">
        <v>58</v>
      </c>
      <c r="Z768" s="54">
        <f t="shared" si="145"/>
        <v>24</v>
      </c>
      <c r="AA768" s="40">
        <f t="shared" si="142"/>
        <v>71182700</v>
      </c>
      <c r="AB768" s="53"/>
      <c r="AC768" s="35" t="s">
        <v>58</v>
      </c>
      <c r="AD768" s="53"/>
      <c r="AE768" s="11"/>
      <c r="AH768" s="25"/>
    </row>
    <row r="769" spans="1:34" ht="135">
      <c r="A769" s="16"/>
      <c r="B769" s="17"/>
      <c r="C769" s="29" t="s">
        <v>963</v>
      </c>
      <c r="D769" s="26" t="s">
        <v>964</v>
      </c>
      <c r="E769" s="20">
        <f t="shared" si="150"/>
        <v>36</v>
      </c>
      <c r="F769" s="27" t="s">
        <v>965</v>
      </c>
      <c r="G769" s="28">
        <v>17145600</v>
      </c>
      <c r="H769" s="20">
        <v>12</v>
      </c>
      <c r="I769" s="23">
        <v>4920000</v>
      </c>
      <c r="J769" s="43">
        <v>12</v>
      </c>
      <c r="K769" s="23">
        <v>5932800</v>
      </c>
      <c r="L769" s="43">
        <v>3</v>
      </c>
      <c r="M769" s="23">
        <v>820000</v>
      </c>
      <c r="N769" s="43">
        <v>3</v>
      </c>
      <c r="O769" s="23">
        <v>860000</v>
      </c>
      <c r="P769" s="43">
        <v>3</v>
      </c>
      <c r="Q769" s="23">
        <v>1700000</v>
      </c>
      <c r="R769" s="43">
        <v>3</v>
      </c>
      <c r="S769" s="23">
        <v>1840000</v>
      </c>
      <c r="T769" s="54">
        <f t="shared" si="140"/>
        <v>12</v>
      </c>
      <c r="U769" s="54">
        <f t="shared" si="143"/>
        <v>100</v>
      </c>
      <c r="V769" s="35" t="s">
        <v>58</v>
      </c>
      <c r="W769" s="40">
        <f t="shared" si="141"/>
        <v>5220000</v>
      </c>
      <c r="X769" s="53">
        <f t="shared" si="144"/>
        <v>87.985436893203882</v>
      </c>
      <c r="Y769" s="35" t="s">
        <v>58</v>
      </c>
      <c r="Z769" s="54">
        <f t="shared" si="145"/>
        <v>24</v>
      </c>
      <c r="AA769" s="40">
        <f t="shared" si="142"/>
        <v>10140000</v>
      </c>
      <c r="AB769" s="53"/>
      <c r="AC769" s="35" t="s">
        <v>58</v>
      </c>
      <c r="AD769" s="53"/>
      <c r="AE769" s="11"/>
      <c r="AH769" s="25"/>
    </row>
    <row r="770" spans="1:34" ht="102" customHeight="1">
      <c r="A770" s="16"/>
      <c r="B770" s="17"/>
      <c r="C770" s="29" t="s">
        <v>77</v>
      </c>
      <c r="D770" s="26" t="s">
        <v>220</v>
      </c>
      <c r="E770" s="20">
        <f t="shared" si="150"/>
        <v>36</v>
      </c>
      <c r="F770" s="27" t="s">
        <v>966</v>
      </c>
      <c r="G770" s="28">
        <v>792895625</v>
      </c>
      <c r="H770" s="20">
        <v>12</v>
      </c>
      <c r="I770" s="23">
        <v>222199916</v>
      </c>
      <c r="J770" s="43">
        <v>12</v>
      </c>
      <c r="K770" s="23">
        <v>330000000</v>
      </c>
      <c r="L770" s="43">
        <v>3</v>
      </c>
      <c r="M770" s="23">
        <v>57636970</v>
      </c>
      <c r="N770" s="43">
        <v>3</v>
      </c>
      <c r="O770" s="23">
        <v>53026400</v>
      </c>
      <c r="P770" s="43">
        <v>3</v>
      </c>
      <c r="Q770" s="23">
        <v>126134582</v>
      </c>
      <c r="R770" s="43">
        <v>3</v>
      </c>
      <c r="S770" s="23">
        <v>93167048</v>
      </c>
      <c r="T770" s="54">
        <f t="shared" si="140"/>
        <v>12</v>
      </c>
      <c r="U770" s="54">
        <f t="shared" si="143"/>
        <v>100</v>
      </c>
      <c r="V770" s="35" t="s">
        <v>58</v>
      </c>
      <c r="W770" s="40">
        <f t="shared" si="141"/>
        <v>329965000</v>
      </c>
      <c r="X770" s="53">
        <f t="shared" si="144"/>
        <v>99.989393939393949</v>
      </c>
      <c r="Y770" s="35" t="s">
        <v>58</v>
      </c>
      <c r="Z770" s="54">
        <f>SUM(H770,T770)</f>
        <v>24</v>
      </c>
      <c r="AA770" s="40">
        <f t="shared" si="142"/>
        <v>552164916</v>
      </c>
      <c r="AB770" s="53"/>
      <c r="AC770" s="35" t="s">
        <v>58</v>
      </c>
      <c r="AD770" s="53"/>
      <c r="AE770" s="11"/>
      <c r="AH770" s="25"/>
    </row>
    <row r="771" spans="1:34" s="78" customFormat="1" ht="114.75" customHeight="1">
      <c r="A771" s="16"/>
      <c r="B771" s="17"/>
      <c r="C771" s="1065" t="s">
        <v>79</v>
      </c>
      <c r="D771" s="19" t="s">
        <v>967</v>
      </c>
      <c r="E771" s="45">
        <v>100</v>
      </c>
      <c r="F771" s="75" t="s">
        <v>58</v>
      </c>
      <c r="G771" s="42">
        <f>SUM(G773:G775)</f>
        <v>15085360222</v>
      </c>
      <c r="H771" s="45">
        <v>100</v>
      </c>
      <c r="I771" s="42">
        <f>SUM(I773:I775)</f>
        <v>4684857463</v>
      </c>
      <c r="J771" s="74">
        <v>100</v>
      </c>
      <c r="K771" s="42">
        <f>SUM(K773:K775)</f>
        <v>5684968003</v>
      </c>
      <c r="L771" s="74">
        <v>25</v>
      </c>
      <c r="M771" s="42">
        <f>SUM(M773:M775)</f>
        <v>1217742202</v>
      </c>
      <c r="N771" s="74">
        <v>25</v>
      </c>
      <c r="O771" s="42">
        <f>SUM(O773:O775)</f>
        <v>16409836</v>
      </c>
      <c r="P771" s="74">
        <v>25</v>
      </c>
      <c r="Q771" s="42">
        <f>SUM(Q773:Q775)</f>
        <v>2700932917</v>
      </c>
      <c r="R771" s="74">
        <v>25</v>
      </c>
      <c r="S771" s="42">
        <f>SUM(S773:S775)</f>
        <v>1564020031</v>
      </c>
      <c r="T771" s="55">
        <f t="shared" si="140"/>
        <v>100</v>
      </c>
      <c r="U771" s="55">
        <f t="shared" si="143"/>
        <v>100</v>
      </c>
      <c r="V771" s="58" t="s">
        <v>58</v>
      </c>
      <c r="W771" s="59">
        <f t="shared" si="141"/>
        <v>5499104986</v>
      </c>
      <c r="X771" s="57">
        <f>W771/K771*100</f>
        <v>96.730623340326304</v>
      </c>
      <c r="Y771" s="58" t="s">
        <v>58</v>
      </c>
      <c r="Z771" s="57">
        <f>AVERAGE(T771,J771)</f>
        <v>100</v>
      </c>
      <c r="AA771" s="59">
        <f t="shared" si="142"/>
        <v>10183962449</v>
      </c>
      <c r="AB771" s="57"/>
      <c r="AC771" s="58" t="s">
        <v>58</v>
      </c>
      <c r="AD771" s="60"/>
      <c r="AE771" s="77"/>
      <c r="AH771" s="79"/>
    </row>
    <row r="772" spans="1:34" s="78" customFormat="1" ht="114.75" customHeight="1">
      <c r="A772" s="16"/>
      <c r="B772" s="17"/>
      <c r="C772" s="1067"/>
      <c r="D772" s="19" t="s">
        <v>354</v>
      </c>
      <c r="E772" s="45">
        <v>100</v>
      </c>
      <c r="F772" s="75" t="s">
        <v>58</v>
      </c>
      <c r="G772" s="41"/>
      <c r="H772" s="45">
        <v>100</v>
      </c>
      <c r="I772" s="42"/>
      <c r="J772" s="74">
        <v>100</v>
      </c>
      <c r="K772" s="42"/>
      <c r="L772" s="74">
        <v>25</v>
      </c>
      <c r="M772" s="42"/>
      <c r="N772" s="108">
        <v>25</v>
      </c>
      <c r="O772" s="42"/>
      <c r="P772" s="108">
        <v>25</v>
      </c>
      <c r="Q772" s="42"/>
      <c r="R772" s="108">
        <v>25</v>
      </c>
      <c r="S772" s="42"/>
      <c r="T772" s="55">
        <f t="shared" si="140"/>
        <v>100</v>
      </c>
      <c r="U772" s="55">
        <f t="shared" si="143"/>
        <v>100</v>
      </c>
      <c r="V772" s="58" t="s">
        <v>58</v>
      </c>
      <c r="W772" s="94"/>
      <c r="X772" s="239"/>
      <c r="Y772" s="240"/>
      <c r="Z772" s="57">
        <f>AVERAGE(T772,J772)</f>
        <v>100</v>
      </c>
      <c r="AA772" s="94"/>
      <c r="AB772" s="57"/>
      <c r="AC772" s="58"/>
      <c r="AD772" s="241"/>
      <c r="AE772" s="77"/>
      <c r="AH772" s="79"/>
    </row>
    <row r="773" spans="1:34" ht="75">
      <c r="A773" s="16"/>
      <c r="B773" s="17"/>
      <c r="C773" s="29" t="s">
        <v>86</v>
      </c>
      <c r="D773" s="29" t="s">
        <v>222</v>
      </c>
      <c r="E773" s="20">
        <f t="shared" si="150"/>
        <v>36</v>
      </c>
      <c r="F773" s="27" t="s">
        <v>966</v>
      </c>
      <c r="G773" s="28">
        <v>1200000</v>
      </c>
      <c r="H773" s="20">
        <v>12</v>
      </c>
      <c r="I773" s="23">
        <v>0</v>
      </c>
      <c r="J773" s="44">
        <v>12</v>
      </c>
      <c r="K773" s="23">
        <v>400000</v>
      </c>
      <c r="L773" s="44">
        <v>3</v>
      </c>
      <c r="M773" s="23">
        <v>0</v>
      </c>
      <c r="N773" s="43">
        <v>3</v>
      </c>
      <c r="O773" s="97">
        <v>0</v>
      </c>
      <c r="P773" s="43">
        <v>3</v>
      </c>
      <c r="Q773" s="97">
        <v>0</v>
      </c>
      <c r="R773" s="43">
        <v>3</v>
      </c>
      <c r="S773" s="97">
        <v>0</v>
      </c>
      <c r="T773" s="54">
        <f t="shared" si="140"/>
        <v>12</v>
      </c>
      <c r="U773" s="54">
        <f t="shared" si="143"/>
        <v>100</v>
      </c>
      <c r="V773" s="35" t="s">
        <v>58</v>
      </c>
      <c r="W773" s="85">
        <f t="shared" si="141"/>
        <v>0</v>
      </c>
      <c r="X773" s="86">
        <f t="shared" si="144"/>
        <v>0</v>
      </c>
      <c r="Y773" s="84" t="s">
        <v>58</v>
      </c>
      <c r="Z773" s="86">
        <f t="shared" si="145"/>
        <v>24</v>
      </c>
      <c r="AA773" s="85">
        <f t="shared" si="142"/>
        <v>0</v>
      </c>
      <c r="AB773" s="53"/>
      <c r="AC773" s="35" t="s">
        <v>58</v>
      </c>
      <c r="AD773" s="86"/>
      <c r="AE773" s="11"/>
      <c r="AH773" s="25"/>
    </row>
    <row r="774" spans="1:34" ht="135">
      <c r="A774" s="16"/>
      <c r="B774" s="17"/>
      <c r="C774" s="29" t="s">
        <v>357</v>
      </c>
      <c r="D774" s="29" t="s">
        <v>968</v>
      </c>
      <c r="E774" s="20">
        <f t="shared" si="150"/>
        <v>36</v>
      </c>
      <c r="F774" s="27" t="s">
        <v>966</v>
      </c>
      <c r="G774" s="28">
        <v>14994880222</v>
      </c>
      <c r="H774" s="20">
        <v>12</v>
      </c>
      <c r="I774" s="23">
        <v>4666526463</v>
      </c>
      <c r="J774" s="44">
        <v>12</v>
      </c>
      <c r="K774" s="23">
        <v>5652725003</v>
      </c>
      <c r="L774" s="44">
        <v>3</v>
      </c>
      <c r="M774" s="23">
        <v>1212657202</v>
      </c>
      <c r="N774" s="44">
        <v>3</v>
      </c>
      <c r="O774" s="23">
        <v>12575536</v>
      </c>
      <c r="P774" s="44">
        <v>3</v>
      </c>
      <c r="Q774" s="23">
        <v>2692894317</v>
      </c>
      <c r="R774" s="44">
        <v>3</v>
      </c>
      <c r="S774" s="23">
        <v>1556890731</v>
      </c>
      <c r="T774" s="54">
        <f t="shared" si="140"/>
        <v>12</v>
      </c>
      <c r="U774" s="54">
        <f t="shared" si="143"/>
        <v>100</v>
      </c>
      <c r="V774" s="35" t="s">
        <v>58</v>
      </c>
      <c r="W774" s="85">
        <f t="shared" si="141"/>
        <v>5475017786</v>
      </c>
      <c r="X774" s="86">
        <f t="shared" si="144"/>
        <v>96.856255754424865</v>
      </c>
      <c r="Y774" s="84" t="s">
        <v>58</v>
      </c>
      <c r="Z774" s="86">
        <f t="shared" si="145"/>
        <v>24</v>
      </c>
      <c r="AA774" s="85">
        <f t="shared" si="142"/>
        <v>10141544249</v>
      </c>
      <c r="AB774" s="86"/>
      <c r="AC774" s="84" t="s">
        <v>58</v>
      </c>
      <c r="AD774" s="86"/>
      <c r="AE774" s="11"/>
      <c r="AH774" s="25"/>
    </row>
    <row r="775" spans="1:34" ht="120">
      <c r="A775" s="16"/>
      <c r="B775" s="17"/>
      <c r="C775" s="29" t="s">
        <v>80</v>
      </c>
      <c r="D775" s="29" t="s">
        <v>969</v>
      </c>
      <c r="E775" s="20">
        <f t="shared" si="150"/>
        <v>36</v>
      </c>
      <c r="F775" s="27" t="s">
        <v>966</v>
      </c>
      <c r="G775" s="28">
        <v>89280000</v>
      </c>
      <c r="H775" s="20">
        <v>12</v>
      </c>
      <c r="I775" s="23">
        <v>18331000</v>
      </c>
      <c r="J775" s="44">
        <v>12</v>
      </c>
      <c r="K775" s="23">
        <v>31843000</v>
      </c>
      <c r="L775" s="44">
        <v>3</v>
      </c>
      <c r="M775" s="23">
        <v>5085000</v>
      </c>
      <c r="N775" s="44">
        <v>3</v>
      </c>
      <c r="O775" s="23">
        <v>3834300</v>
      </c>
      <c r="P775" s="44">
        <v>3</v>
      </c>
      <c r="Q775" s="23">
        <v>8038600</v>
      </c>
      <c r="R775" s="44">
        <v>3</v>
      </c>
      <c r="S775" s="23">
        <v>7129300</v>
      </c>
      <c r="T775" s="54">
        <f t="shared" si="140"/>
        <v>12</v>
      </c>
      <c r="U775" s="54">
        <f t="shared" si="143"/>
        <v>100</v>
      </c>
      <c r="V775" s="35" t="s">
        <v>58</v>
      </c>
      <c r="W775" s="40">
        <f t="shared" si="141"/>
        <v>24087200</v>
      </c>
      <c r="X775" s="53">
        <f t="shared" si="144"/>
        <v>75.643626542725258</v>
      </c>
      <c r="Y775" s="35" t="s">
        <v>58</v>
      </c>
      <c r="Z775" s="54">
        <f t="shared" si="145"/>
        <v>24</v>
      </c>
      <c r="AA775" s="40">
        <f t="shared" si="142"/>
        <v>42418200</v>
      </c>
      <c r="AB775" s="53"/>
      <c r="AC775" s="35" t="s">
        <v>58</v>
      </c>
      <c r="AD775" s="53"/>
      <c r="AE775" s="11"/>
      <c r="AH775" s="25"/>
    </row>
    <row r="776" spans="1:34" s="78" customFormat="1" ht="110.25">
      <c r="A776" s="16"/>
      <c r="B776" s="17"/>
      <c r="C776" s="1065" t="s">
        <v>81</v>
      </c>
      <c r="D776" s="19" t="s">
        <v>360</v>
      </c>
      <c r="E776" s="45">
        <v>100</v>
      </c>
      <c r="F776" s="75" t="s">
        <v>58</v>
      </c>
      <c r="G776" s="42">
        <f>SUM(G778:G780)</f>
        <v>1583340800</v>
      </c>
      <c r="H776" s="45">
        <v>100</v>
      </c>
      <c r="I776" s="42">
        <f>SUM(I778:I780)</f>
        <v>666506570</v>
      </c>
      <c r="J776" s="74">
        <v>100</v>
      </c>
      <c r="K776" s="42">
        <f>SUM(K778:K780)</f>
        <v>275006600</v>
      </c>
      <c r="L776" s="74">
        <v>25</v>
      </c>
      <c r="M776" s="42">
        <f>SUM(M778:M780)</f>
        <v>24645000</v>
      </c>
      <c r="N776" s="74">
        <v>25</v>
      </c>
      <c r="O776" s="42">
        <f>SUM(O778:O780)</f>
        <v>26640240</v>
      </c>
      <c r="P776" s="74">
        <v>25</v>
      </c>
      <c r="Q776" s="42">
        <f>SUM(Q778:Q780)</f>
        <v>60298700</v>
      </c>
      <c r="R776" s="74">
        <v>25</v>
      </c>
      <c r="S776" s="42">
        <f>S778+S779+S780</f>
        <v>86587614</v>
      </c>
      <c r="T776" s="55">
        <f t="shared" si="140"/>
        <v>100</v>
      </c>
      <c r="U776" s="55">
        <f t="shared" si="143"/>
        <v>100</v>
      </c>
      <c r="V776" s="58" t="s">
        <v>58</v>
      </c>
      <c r="W776" s="59">
        <f t="shared" si="141"/>
        <v>198171554</v>
      </c>
      <c r="X776" s="57">
        <f>W776/K776*100</f>
        <v>72.060653817035671</v>
      </c>
      <c r="Y776" s="58" t="s">
        <v>58</v>
      </c>
      <c r="Z776" s="57">
        <f>AVERAGE(T776,J776)</f>
        <v>100</v>
      </c>
      <c r="AA776" s="59">
        <f t="shared" si="142"/>
        <v>864678124</v>
      </c>
      <c r="AB776" s="57"/>
      <c r="AC776" s="58" t="s">
        <v>58</v>
      </c>
      <c r="AD776" s="57"/>
      <c r="AE776" s="77"/>
      <c r="AH776" s="79"/>
    </row>
    <row r="777" spans="1:34" s="78" customFormat="1" ht="78.75">
      <c r="A777" s="16"/>
      <c r="B777" s="17"/>
      <c r="C777" s="1067"/>
      <c r="D777" s="19" t="s">
        <v>361</v>
      </c>
      <c r="E777" s="45">
        <v>100</v>
      </c>
      <c r="F777" s="75" t="s">
        <v>58</v>
      </c>
      <c r="G777" s="41"/>
      <c r="H777" s="45">
        <v>100</v>
      </c>
      <c r="I777" s="42"/>
      <c r="J777" s="74">
        <v>100</v>
      </c>
      <c r="K777" s="42"/>
      <c r="L777" s="74">
        <v>25</v>
      </c>
      <c r="M777" s="42"/>
      <c r="N777" s="74">
        <v>25</v>
      </c>
      <c r="O777" s="42"/>
      <c r="P777" s="74">
        <v>25</v>
      </c>
      <c r="Q777" s="42"/>
      <c r="R777" s="74">
        <v>25</v>
      </c>
      <c r="S777" s="42"/>
      <c r="T777" s="55">
        <f t="shared" si="140"/>
        <v>100</v>
      </c>
      <c r="U777" s="55">
        <f t="shared" si="143"/>
        <v>100</v>
      </c>
      <c r="V777" s="58" t="s">
        <v>58</v>
      </c>
      <c r="W777" s="59"/>
      <c r="X777" s="57"/>
      <c r="Y777" s="58"/>
      <c r="Z777" s="57">
        <f>AVERAGE(T777,J777)</f>
        <v>100</v>
      </c>
      <c r="AA777" s="59"/>
      <c r="AB777" s="57"/>
      <c r="AC777" s="58"/>
      <c r="AD777" s="57"/>
      <c r="AE777" s="77"/>
      <c r="AH777" s="79"/>
    </row>
    <row r="778" spans="1:34" ht="180">
      <c r="A778" s="16"/>
      <c r="B778" s="17"/>
      <c r="C778" s="29" t="s">
        <v>82</v>
      </c>
      <c r="D778" s="29" t="s">
        <v>226</v>
      </c>
      <c r="E778" s="20">
        <f t="shared" si="150"/>
        <v>36</v>
      </c>
      <c r="F778" s="27" t="s">
        <v>138</v>
      </c>
      <c r="G778" s="28">
        <v>465933800</v>
      </c>
      <c r="H778" s="20">
        <v>12</v>
      </c>
      <c r="I778" s="23">
        <v>61521570</v>
      </c>
      <c r="J778" s="44">
        <v>12</v>
      </c>
      <c r="K778" s="23">
        <v>164141900</v>
      </c>
      <c r="L778" s="44">
        <v>3</v>
      </c>
      <c r="M778" s="23">
        <v>8735000</v>
      </c>
      <c r="N778" s="44">
        <v>3</v>
      </c>
      <c r="O778" s="23">
        <v>15647340</v>
      </c>
      <c r="P778" s="44">
        <v>3</v>
      </c>
      <c r="Q778" s="23">
        <v>33133900</v>
      </c>
      <c r="R778" s="44">
        <v>3</v>
      </c>
      <c r="S778" s="23">
        <v>41476714</v>
      </c>
      <c r="T778" s="242">
        <f t="shared" si="140"/>
        <v>12</v>
      </c>
      <c r="U778" s="54">
        <f t="shared" si="143"/>
        <v>100</v>
      </c>
      <c r="V778" s="35" t="s">
        <v>58</v>
      </c>
      <c r="W778" s="40">
        <f t="shared" si="141"/>
        <v>98992954</v>
      </c>
      <c r="X778" s="53">
        <f t="shared" si="144"/>
        <v>60.309374998096153</v>
      </c>
      <c r="Y778" s="35" t="s">
        <v>58</v>
      </c>
      <c r="Z778" s="243">
        <f t="shared" si="145"/>
        <v>24</v>
      </c>
      <c r="AA778" s="40">
        <f t="shared" si="142"/>
        <v>160514524</v>
      </c>
      <c r="AB778" s="53"/>
      <c r="AC778" s="35" t="s">
        <v>58</v>
      </c>
      <c r="AD778" s="53"/>
      <c r="AE778" s="11"/>
      <c r="AH778" s="25"/>
    </row>
    <row r="779" spans="1:34" ht="135">
      <c r="A779" s="16"/>
      <c r="B779" s="17"/>
      <c r="C779" s="26" t="s">
        <v>83</v>
      </c>
      <c r="D779" s="29" t="s">
        <v>970</v>
      </c>
      <c r="E779" s="20">
        <f t="shared" si="150"/>
        <v>36</v>
      </c>
      <c r="F779" s="27" t="s">
        <v>138</v>
      </c>
      <c r="G779" s="28">
        <v>734680000</v>
      </c>
      <c r="H779" s="20">
        <v>12</v>
      </c>
      <c r="I779" s="23">
        <v>552231000</v>
      </c>
      <c r="J779" s="44">
        <v>12</v>
      </c>
      <c r="K779" s="23">
        <v>25143000</v>
      </c>
      <c r="L779" s="44">
        <v>3</v>
      </c>
      <c r="M779" s="23">
        <v>8385000</v>
      </c>
      <c r="N779" s="44">
        <v>3</v>
      </c>
      <c r="O779" s="23">
        <v>3939300</v>
      </c>
      <c r="P779" s="44">
        <v>3</v>
      </c>
      <c r="Q779" s="23">
        <v>4818600</v>
      </c>
      <c r="R779" s="44">
        <v>3</v>
      </c>
      <c r="S779" s="23">
        <v>6354300</v>
      </c>
      <c r="T779" s="54">
        <f t="shared" si="140"/>
        <v>12</v>
      </c>
      <c r="U779" s="54">
        <f t="shared" si="143"/>
        <v>100</v>
      </c>
      <c r="V779" s="35" t="s">
        <v>58</v>
      </c>
      <c r="W779" s="40">
        <f t="shared" si="141"/>
        <v>23497200</v>
      </c>
      <c r="X779" s="53">
        <f t="shared" si="144"/>
        <v>93.454241737262862</v>
      </c>
      <c r="Y779" s="35" t="s">
        <v>58</v>
      </c>
      <c r="Z779" s="243">
        <f t="shared" si="145"/>
        <v>24</v>
      </c>
      <c r="AA779" s="40">
        <f t="shared" si="142"/>
        <v>575728200</v>
      </c>
      <c r="AB779" s="53"/>
      <c r="AC779" s="35" t="s">
        <v>58</v>
      </c>
      <c r="AD779" s="53"/>
      <c r="AE779" s="11"/>
      <c r="AH779" s="25"/>
    </row>
    <row r="780" spans="1:34" ht="124.5" customHeight="1">
      <c r="A780" s="16"/>
      <c r="B780" s="17"/>
      <c r="C780" s="26" t="s">
        <v>84</v>
      </c>
      <c r="D780" s="29" t="s">
        <v>971</v>
      </c>
      <c r="E780" s="20">
        <f t="shared" si="150"/>
        <v>36</v>
      </c>
      <c r="F780" s="27" t="s">
        <v>138</v>
      </c>
      <c r="G780" s="28">
        <v>382727000</v>
      </c>
      <c r="H780" s="20">
        <v>12</v>
      </c>
      <c r="I780" s="23">
        <v>52754000</v>
      </c>
      <c r="J780" s="44">
        <v>12</v>
      </c>
      <c r="K780" s="23">
        <v>85721700</v>
      </c>
      <c r="L780" s="44">
        <v>3</v>
      </c>
      <c r="M780" s="23">
        <v>7525000</v>
      </c>
      <c r="N780" s="44">
        <v>3</v>
      </c>
      <c r="O780" s="23">
        <v>7053600</v>
      </c>
      <c r="P780" s="44">
        <v>3</v>
      </c>
      <c r="Q780" s="23">
        <v>22346200</v>
      </c>
      <c r="R780" s="44">
        <v>3</v>
      </c>
      <c r="S780" s="23">
        <v>38756600</v>
      </c>
      <c r="T780" s="54">
        <f t="shared" si="140"/>
        <v>12</v>
      </c>
      <c r="U780" s="54">
        <f t="shared" si="143"/>
        <v>100</v>
      </c>
      <c r="V780" s="35" t="s">
        <v>58</v>
      </c>
      <c r="W780" s="40">
        <f t="shared" si="141"/>
        <v>75681400</v>
      </c>
      <c r="X780" s="53">
        <f t="shared" si="144"/>
        <v>88.287329812637864</v>
      </c>
      <c r="Y780" s="35" t="s">
        <v>58</v>
      </c>
      <c r="Z780" s="53">
        <f t="shared" si="145"/>
        <v>24</v>
      </c>
      <c r="AA780" s="40">
        <f t="shared" si="142"/>
        <v>128435400</v>
      </c>
      <c r="AB780" s="53"/>
      <c r="AC780" s="35" t="s">
        <v>58</v>
      </c>
      <c r="AD780" s="53"/>
      <c r="AE780" s="11"/>
      <c r="AH780" s="25"/>
    </row>
    <row r="781" spans="1:34" ht="154.5" customHeight="1">
      <c r="A781" s="48">
        <v>7</v>
      </c>
      <c r="B781" s="49" t="s">
        <v>972</v>
      </c>
      <c r="C781" s="49" t="s">
        <v>973</v>
      </c>
      <c r="D781" s="19" t="s">
        <v>974</v>
      </c>
      <c r="E781" s="108">
        <v>100</v>
      </c>
      <c r="F781" s="46" t="s">
        <v>58</v>
      </c>
      <c r="G781" s="42">
        <f>SUM(G783,G786)</f>
        <v>422149700</v>
      </c>
      <c r="H781" s="108">
        <v>100</v>
      </c>
      <c r="I781" s="42">
        <f>SUM(I783,I786)</f>
        <v>72183000</v>
      </c>
      <c r="J781" s="108">
        <v>100</v>
      </c>
      <c r="K781" s="42">
        <f>SUM(K783,K786)</f>
        <v>136219550</v>
      </c>
      <c r="L781" s="108">
        <v>0</v>
      </c>
      <c r="M781" s="42">
        <f>M783</f>
        <v>0</v>
      </c>
      <c r="N781" s="108">
        <v>0</v>
      </c>
      <c r="O781" s="42">
        <f>O783</f>
        <v>300000</v>
      </c>
      <c r="P781" s="108">
        <v>0</v>
      </c>
      <c r="Q781" s="42">
        <f>Q783+Q786</f>
        <v>4177500</v>
      </c>
      <c r="R781" s="108">
        <v>100</v>
      </c>
      <c r="S781" s="42">
        <f>S783+S786</f>
        <v>111090250</v>
      </c>
      <c r="T781" s="244">
        <f t="shared" si="140"/>
        <v>100</v>
      </c>
      <c r="U781" s="244">
        <f t="shared" si="143"/>
        <v>100</v>
      </c>
      <c r="V781" s="240" t="s">
        <v>58</v>
      </c>
      <c r="W781" s="276">
        <f>SUM(M781,O781,Q781,S781)</f>
        <v>115567750</v>
      </c>
      <c r="X781" s="241">
        <f>W781/K781*100</f>
        <v>84.839327394636086</v>
      </c>
      <c r="Y781" s="16" t="s">
        <v>58</v>
      </c>
      <c r="Z781" s="239">
        <f t="shared" si="145"/>
        <v>200</v>
      </c>
      <c r="AA781" s="276">
        <f>SUM(I781,W781)</f>
        <v>187750750</v>
      </c>
      <c r="AB781" s="239"/>
      <c r="AC781" s="240" t="s">
        <v>58</v>
      </c>
      <c r="AD781" s="241"/>
      <c r="AE781" s="11"/>
      <c r="AH781" s="25"/>
    </row>
    <row r="782" spans="1:34" ht="184.5" customHeight="1">
      <c r="A782" s="16"/>
      <c r="B782" s="17"/>
      <c r="C782" s="18"/>
      <c r="D782" s="19" t="s">
        <v>975</v>
      </c>
      <c r="E782" s="108">
        <v>100</v>
      </c>
      <c r="F782" s="75" t="s">
        <v>58</v>
      </c>
      <c r="G782" s="41">
        <f>G781</f>
        <v>422149700</v>
      </c>
      <c r="H782" s="74">
        <v>100</v>
      </c>
      <c r="I782" s="41">
        <f>I781</f>
        <v>72183000</v>
      </c>
      <c r="J782" s="74">
        <v>100</v>
      </c>
      <c r="K782" s="41">
        <f>K781</f>
        <v>136219550</v>
      </c>
      <c r="L782" s="74">
        <v>0</v>
      </c>
      <c r="M782" s="41">
        <f>M781</f>
        <v>0</v>
      </c>
      <c r="N782" s="74">
        <v>0</v>
      </c>
      <c r="O782" s="41">
        <f>O781</f>
        <v>300000</v>
      </c>
      <c r="P782" s="74">
        <v>0</v>
      </c>
      <c r="Q782" s="41"/>
      <c r="R782" s="74">
        <v>100</v>
      </c>
      <c r="S782" s="41"/>
      <c r="T782" s="244">
        <f t="shared" si="140"/>
        <v>100</v>
      </c>
      <c r="U782" s="244">
        <f t="shared" si="143"/>
        <v>100</v>
      </c>
      <c r="V782" s="240" t="s">
        <v>58</v>
      </c>
      <c r="W782" s="94"/>
      <c r="X782" s="239"/>
      <c r="Y782" s="240"/>
      <c r="Z782" s="239">
        <f>AVERAGE(U782,J782)</f>
        <v>100</v>
      </c>
      <c r="AA782" s="94"/>
      <c r="AB782" s="239"/>
      <c r="AC782" s="240" t="s">
        <v>58</v>
      </c>
      <c r="AD782" s="239"/>
      <c r="AE782" s="11"/>
      <c r="AH782" s="25"/>
    </row>
    <row r="783" spans="1:34" ht="197.25" customHeight="1">
      <c r="A783" s="16"/>
      <c r="B783" s="17"/>
      <c r="C783" s="18" t="s">
        <v>976</v>
      </c>
      <c r="D783" s="19" t="s">
        <v>977</v>
      </c>
      <c r="E783" s="55">
        <f>E784/E784*100</f>
        <v>100</v>
      </c>
      <c r="F783" s="46" t="s">
        <v>58</v>
      </c>
      <c r="G783" s="42">
        <f>SUM(G784:G785)</f>
        <v>382429700</v>
      </c>
      <c r="H783" s="108">
        <v>100</v>
      </c>
      <c r="I783" s="42">
        <f>SUM(I784:I785)</f>
        <v>72183000</v>
      </c>
      <c r="J783" s="108">
        <f>J784/J784*100</f>
        <v>100</v>
      </c>
      <c r="K783" s="42">
        <f>SUM(K784:K785)</f>
        <v>123139800</v>
      </c>
      <c r="L783" s="108">
        <v>0</v>
      </c>
      <c r="M783" s="42">
        <f>SUM(M784)</f>
        <v>0</v>
      </c>
      <c r="N783" s="108">
        <v>0</v>
      </c>
      <c r="O783" s="42">
        <f>SUM(O784:O785)</f>
        <v>300000</v>
      </c>
      <c r="P783" s="108">
        <v>0</v>
      </c>
      <c r="Q783" s="42">
        <f>SUM(Q784:Q785)</f>
        <v>0</v>
      </c>
      <c r="R783" s="108">
        <v>100</v>
      </c>
      <c r="S783" s="42">
        <f>S784+S785</f>
        <v>106125000</v>
      </c>
      <c r="T783" s="55">
        <f t="shared" si="140"/>
        <v>100</v>
      </c>
      <c r="U783" s="55">
        <f t="shared" si="143"/>
        <v>100</v>
      </c>
      <c r="V783" s="58" t="s">
        <v>58</v>
      </c>
      <c r="W783" s="59">
        <f>SUM(M783,O783,Q783,S783)</f>
        <v>106425000</v>
      </c>
      <c r="X783" s="57">
        <f t="shared" ref="X783:X794" si="151">W783/K783*100</f>
        <v>86.426159535747175</v>
      </c>
      <c r="Y783" s="58" t="s">
        <v>58</v>
      </c>
      <c r="Z783" s="239">
        <f>AVERAGE(U783,J783)</f>
        <v>100</v>
      </c>
      <c r="AA783" s="59">
        <f t="shared" ref="AA783:AA816" si="152">SUM(I783,W783)</f>
        <v>178608000</v>
      </c>
      <c r="AB783" s="57"/>
      <c r="AC783" s="58" t="s">
        <v>58</v>
      </c>
      <c r="AD783" s="57"/>
      <c r="AE783" s="11"/>
      <c r="AH783" s="25"/>
    </row>
    <row r="784" spans="1:34" ht="195">
      <c r="A784" s="16"/>
      <c r="B784" s="17"/>
      <c r="C784" s="26" t="s">
        <v>978</v>
      </c>
      <c r="D784" s="29" t="s">
        <v>979</v>
      </c>
      <c r="E784" s="104">
        <f>J784*3</f>
        <v>3</v>
      </c>
      <c r="F784" s="21" t="s">
        <v>55</v>
      </c>
      <c r="G784" s="23">
        <v>278750000</v>
      </c>
      <c r="H784" s="104">
        <v>1</v>
      </c>
      <c r="I784" s="23">
        <v>72183000</v>
      </c>
      <c r="J784" s="104">
        <v>1</v>
      </c>
      <c r="K784" s="23">
        <v>71299950</v>
      </c>
      <c r="L784" s="104">
        <v>0</v>
      </c>
      <c r="M784" s="23">
        <v>0</v>
      </c>
      <c r="N784" s="20">
        <v>0</v>
      </c>
      <c r="O784" s="23">
        <v>300000</v>
      </c>
      <c r="P784" s="20">
        <v>1</v>
      </c>
      <c r="Q784" s="23">
        <v>0</v>
      </c>
      <c r="R784" s="20">
        <v>1</v>
      </c>
      <c r="S784" s="23">
        <v>63395000</v>
      </c>
      <c r="T784" s="54">
        <f t="shared" si="140"/>
        <v>2</v>
      </c>
      <c r="U784" s="54">
        <f t="shared" si="143"/>
        <v>200</v>
      </c>
      <c r="V784" s="35" t="s">
        <v>58</v>
      </c>
      <c r="W784" s="40">
        <f t="shared" ref="W784:W816" si="153">SUM(M784,O784,Q784,S784)</f>
        <v>63695000</v>
      </c>
      <c r="X784" s="53">
        <f t="shared" si="151"/>
        <v>89.333863487982811</v>
      </c>
      <c r="Y784" s="35" t="s">
        <v>58</v>
      </c>
      <c r="Z784" s="54">
        <f t="shared" si="145"/>
        <v>3</v>
      </c>
      <c r="AA784" s="40">
        <f t="shared" si="152"/>
        <v>135878000</v>
      </c>
      <c r="AB784" s="53"/>
      <c r="AC784" s="35" t="s">
        <v>58</v>
      </c>
      <c r="AD784" s="53"/>
      <c r="AE784" s="11"/>
      <c r="AH784" s="25"/>
    </row>
    <row r="785" spans="1:34" ht="135">
      <c r="A785" s="16"/>
      <c r="B785" s="17"/>
      <c r="C785" s="26" t="s">
        <v>980</v>
      </c>
      <c r="D785" s="29" t="s">
        <v>981</v>
      </c>
      <c r="E785" s="104">
        <f>J785*2</f>
        <v>2</v>
      </c>
      <c r="F785" s="21" t="s">
        <v>55</v>
      </c>
      <c r="G785" s="23">
        <f>K785*2</f>
        <v>103679700</v>
      </c>
      <c r="H785" s="104">
        <v>0</v>
      </c>
      <c r="I785" s="23">
        <v>0</v>
      </c>
      <c r="J785" s="104">
        <v>1</v>
      </c>
      <c r="K785" s="23">
        <v>51839850</v>
      </c>
      <c r="L785" s="104">
        <v>0</v>
      </c>
      <c r="M785" s="23">
        <v>0</v>
      </c>
      <c r="N785" s="20">
        <v>0</v>
      </c>
      <c r="O785" s="23">
        <v>0</v>
      </c>
      <c r="P785" s="20">
        <v>0</v>
      </c>
      <c r="Q785" s="23">
        <v>0</v>
      </c>
      <c r="R785" s="20">
        <v>1</v>
      </c>
      <c r="S785" s="23">
        <v>42730000</v>
      </c>
      <c r="T785" s="54">
        <f t="shared" si="140"/>
        <v>1</v>
      </c>
      <c r="U785" s="54">
        <f t="shared" si="143"/>
        <v>100</v>
      </c>
      <c r="V785" s="35" t="s">
        <v>58</v>
      </c>
      <c r="W785" s="40">
        <f t="shared" si="153"/>
        <v>42730000</v>
      </c>
      <c r="X785" s="53">
        <f t="shared" si="151"/>
        <v>82.426936034730033</v>
      </c>
      <c r="Y785" s="35" t="s">
        <v>58</v>
      </c>
      <c r="Z785" s="54">
        <f t="shared" si="145"/>
        <v>1</v>
      </c>
      <c r="AA785" s="40">
        <f t="shared" si="152"/>
        <v>42730000</v>
      </c>
      <c r="AB785" s="53"/>
      <c r="AC785" s="35" t="s">
        <v>58</v>
      </c>
      <c r="AD785" s="53"/>
      <c r="AE785" s="11"/>
      <c r="AH785" s="25"/>
    </row>
    <row r="786" spans="1:34" ht="220.5">
      <c r="A786" s="16"/>
      <c r="B786" s="17"/>
      <c r="C786" s="18" t="s">
        <v>982</v>
      </c>
      <c r="D786" s="19" t="s">
        <v>983</v>
      </c>
      <c r="E786" s="55">
        <v>100</v>
      </c>
      <c r="F786" s="46" t="s">
        <v>58</v>
      </c>
      <c r="G786" s="42">
        <f>19860000*2</f>
        <v>39720000</v>
      </c>
      <c r="H786" s="108">
        <v>0</v>
      </c>
      <c r="I786" s="42">
        <f>SUM(I787)</f>
        <v>0</v>
      </c>
      <c r="J786" s="108">
        <f>J787/J787*100</f>
        <v>100</v>
      </c>
      <c r="K786" s="42">
        <f>SUM(K787)</f>
        <v>13079750</v>
      </c>
      <c r="L786" s="108">
        <v>0</v>
      </c>
      <c r="M786" s="42">
        <f>SUM(M787)</f>
        <v>0</v>
      </c>
      <c r="N786" s="108">
        <v>0</v>
      </c>
      <c r="O786" s="42">
        <v>0</v>
      </c>
      <c r="P786" s="108">
        <v>0</v>
      </c>
      <c r="Q786" s="42">
        <f>Q787</f>
        <v>4177500</v>
      </c>
      <c r="R786" s="108">
        <v>1</v>
      </c>
      <c r="S786" s="42">
        <f>S787</f>
        <v>4965250</v>
      </c>
      <c r="T786" s="55">
        <f t="shared" si="140"/>
        <v>1</v>
      </c>
      <c r="U786" s="55">
        <f t="shared" si="143"/>
        <v>1</v>
      </c>
      <c r="V786" s="58" t="s">
        <v>58</v>
      </c>
      <c r="W786" s="59">
        <f t="shared" si="153"/>
        <v>9142750</v>
      </c>
      <c r="X786" s="57">
        <f t="shared" si="151"/>
        <v>69.900036315678818</v>
      </c>
      <c r="Y786" s="58" t="s">
        <v>58</v>
      </c>
      <c r="Z786" s="55">
        <f t="shared" si="145"/>
        <v>1</v>
      </c>
      <c r="AA786" s="59">
        <f t="shared" si="152"/>
        <v>9142750</v>
      </c>
      <c r="AB786" s="57"/>
      <c r="AC786" s="58" t="s">
        <v>58</v>
      </c>
      <c r="AD786" s="57"/>
      <c r="AE786" s="11"/>
      <c r="AH786" s="25"/>
    </row>
    <row r="787" spans="1:34" ht="180">
      <c r="A787" s="16"/>
      <c r="B787" s="17"/>
      <c r="C787" s="26" t="s">
        <v>984</v>
      </c>
      <c r="D787" s="29" t="s">
        <v>985</v>
      </c>
      <c r="E787" s="104">
        <f>J787*2</f>
        <v>2</v>
      </c>
      <c r="F787" s="21" t="s">
        <v>173</v>
      </c>
      <c r="G787" s="23">
        <f>G786</f>
        <v>39720000</v>
      </c>
      <c r="H787" s="104">
        <v>0</v>
      </c>
      <c r="I787" s="23">
        <v>0</v>
      </c>
      <c r="J787" s="104">
        <v>1</v>
      </c>
      <c r="K787" s="23">
        <v>13079750</v>
      </c>
      <c r="L787" s="104">
        <v>0</v>
      </c>
      <c r="M787" s="23">
        <v>0</v>
      </c>
      <c r="N787" s="20">
        <v>0</v>
      </c>
      <c r="O787" s="23">
        <v>0</v>
      </c>
      <c r="P787" s="20">
        <v>0</v>
      </c>
      <c r="Q787" s="23">
        <v>4177500</v>
      </c>
      <c r="R787" s="20">
        <v>1</v>
      </c>
      <c r="S787" s="23">
        <v>4965250</v>
      </c>
      <c r="T787" s="54">
        <f t="shared" si="140"/>
        <v>1</v>
      </c>
      <c r="U787" s="54">
        <f t="shared" si="143"/>
        <v>100</v>
      </c>
      <c r="V787" s="35" t="s">
        <v>58</v>
      </c>
      <c r="W787" s="40">
        <f t="shared" si="153"/>
        <v>9142750</v>
      </c>
      <c r="X787" s="53">
        <f t="shared" si="151"/>
        <v>69.900036315678818</v>
      </c>
      <c r="Y787" s="35" t="s">
        <v>58</v>
      </c>
      <c r="Z787" s="54">
        <f t="shared" si="145"/>
        <v>1</v>
      </c>
      <c r="AA787" s="40">
        <f t="shared" si="152"/>
        <v>9142750</v>
      </c>
      <c r="AB787" s="53"/>
      <c r="AC787" s="35" t="s">
        <v>58</v>
      </c>
      <c r="AD787" s="53"/>
      <c r="AE787" s="11"/>
      <c r="AH787" s="25"/>
    </row>
    <row r="788" spans="1:34" ht="78.75" customHeight="1">
      <c r="A788" s="16"/>
      <c r="B788" s="17"/>
      <c r="C788" s="1065" t="s">
        <v>986</v>
      </c>
      <c r="D788" s="19" t="s">
        <v>987</v>
      </c>
      <c r="E788" s="265">
        <v>49.25</v>
      </c>
      <c r="F788" s="46" t="s">
        <v>58</v>
      </c>
      <c r="G788" s="41">
        <f>SUM(G790,G792)</f>
        <v>7522081000</v>
      </c>
      <c r="H788" s="258">
        <v>48.47</v>
      </c>
      <c r="I788" s="41">
        <f>SUM(I790,I792)</f>
        <v>3756133900</v>
      </c>
      <c r="J788" s="258">
        <v>48.78</v>
      </c>
      <c r="K788" s="41">
        <f>SUM(K790,K792)</f>
        <v>2069352000</v>
      </c>
      <c r="L788" s="108">
        <f>L792/5*100</f>
        <v>0</v>
      </c>
      <c r="M788" s="41">
        <f>SUM(M790,M792)</f>
        <v>15264300</v>
      </c>
      <c r="N788" s="108">
        <v>0</v>
      </c>
      <c r="O788" s="41">
        <f>SUM(O790,O792)</f>
        <v>300004500</v>
      </c>
      <c r="P788" s="258">
        <v>0</v>
      </c>
      <c r="Q788" s="41">
        <f>SUM(Q790,Q792)</f>
        <v>301490800</v>
      </c>
      <c r="R788" s="107">
        <v>10326</v>
      </c>
      <c r="S788" s="41">
        <f>S790+S792</f>
        <v>1388889400</v>
      </c>
      <c r="T788" s="252">
        <v>48.78</v>
      </c>
      <c r="U788" s="255">
        <f>T788/J788*100</f>
        <v>100</v>
      </c>
      <c r="V788" s="58" t="s">
        <v>58</v>
      </c>
      <c r="W788" s="94">
        <f t="shared" si="153"/>
        <v>2005649000</v>
      </c>
      <c r="X788" s="239">
        <f>W788/K788*100</f>
        <v>96.921596712400799</v>
      </c>
      <c r="Y788" s="240" t="s">
        <v>58</v>
      </c>
      <c r="Z788" s="255">
        <f>SUM(H788,T788)</f>
        <v>97.25</v>
      </c>
      <c r="AA788" s="94">
        <f>SUM(I788,W788)</f>
        <v>5761782900</v>
      </c>
      <c r="AB788" s="57"/>
      <c r="AC788" s="58" t="s">
        <v>58</v>
      </c>
      <c r="AD788" s="239"/>
      <c r="AE788" s="11"/>
      <c r="AH788" s="25"/>
    </row>
    <row r="789" spans="1:34" ht="94.5">
      <c r="A789" s="16"/>
      <c r="B789" s="17"/>
      <c r="C789" s="1067"/>
      <c r="D789" s="19" t="s">
        <v>988</v>
      </c>
      <c r="E789" s="265">
        <v>59.49</v>
      </c>
      <c r="F789" s="46" t="s">
        <v>58</v>
      </c>
      <c r="G789" s="41"/>
      <c r="H789" s="258">
        <v>43.03</v>
      </c>
      <c r="I789" s="245"/>
      <c r="J789" s="265">
        <v>49.37</v>
      </c>
      <c r="K789" s="41"/>
      <c r="L789" s="108">
        <v>0</v>
      </c>
      <c r="M789" s="41"/>
      <c r="N789" s="108">
        <v>0</v>
      </c>
      <c r="O789" s="41"/>
      <c r="P789" s="107">
        <v>0</v>
      </c>
      <c r="Q789" s="41"/>
      <c r="R789" s="107"/>
      <c r="S789" s="41"/>
      <c r="T789" s="252"/>
      <c r="U789" s="255"/>
      <c r="V789" s="58"/>
      <c r="W789" s="94"/>
      <c r="X789" s="239"/>
      <c r="Y789" s="240"/>
      <c r="Z789" s="57"/>
      <c r="AA789" s="94"/>
      <c r="AB789" s="57"/>
      <c r="AC789" s="58"/>
      <c r="AD789" s="239"/>
      <c r="AE789" s="11"/>
      <c r="AH789" s="25"/>
    </row>
    <row r="790" spans="1:34" ht="193.5" customHeight="1">
      <c r="A790" s="16"/>
      <c r="B790" s="17"/>
      <c r="C790" s="18" t="s">
        <v>989</v>
      </c>
      <c r="D790" s="19" t="s">
        <v>990</v>
      </c>
      <c r="E790" s="246">
        <v>1</v>
      </c>
      <c r="F790" s="247" t="s">
        <v>58</v>
      </c>
      <c r="G790" s="42">
        <v>519065000</v>
      </c>
      <c r="H790" s="107" t="s">
        <v>449</v>
      </c>
      <c r="I790" s="42">
        <f>SUM(I791:I791)</f>
        <v>0</v>
      </c>
      <c r="J790" s="246">
        <v>1</v>
      </c>
      <c r="K790" s="42">
        <f>SUM(K791:K791)</f>
        <v>519065000</v>
      </c>
      <c r="L790" s="103">
        <v>0</v>
      </c>
      <c r="M790" s="42">
        <f>M791</f>
        <v>0</v>
      </c>
      <c r="N790" s="45">
        <v>0</v>
      </c>
      <c r="O790" s="42">
        <f>147585900-M790</f>
        <v>147585900</v>
      </c>
      <c r="P790" s="45">
        <v>0</v>
      </c>
      <c r="Q790" s="42">
        <f>Q791</f>
        <v>2575000</v>
      </c>
      <c r="R790" s="107">
        <v>1</v>
      </c>
      <c r="S790" s="42">
        <f>S791</f>
        <v>350857100</v>
      </c>
      <c r="T790" s="57">
        <f t="shared" si="140"/>
        <v>1</v>
      </c>
      <c r="U790" s="55">
        <f>Z790/J790*100</f>
        <v>100</v>
      </c>
      <c r="V790" s="58" t="s">
        <v>58</v>
      </c>
      <c r="W790" s="59">
        <f t="shared" si="153"/>
        <v>501018000</v>
      </c>
      <c r="X790" s="57">
        <f t="shared" si="151"/>
        <v>96.523171471780984</v>
      </c>
      <c r="Y790" s="58" t="s">
        <v>58</v>
      </c>
      <c r="Z790" s="57">
        <f t="shared" si="145"/>
        <v>1</v>
      </c>
      <c r="AA790" s="59">
        <f t="shared" si="152"/>
        <v>501018000</v>
      </c>
      <c r="AB790" s="57"/>
      <c r="AC790" s="58" t="s">
        <v>58</v>
      </c>
      <c r="AD790" s="57"/>
      <c r="AE790" s="11"/>
      <c r="AH790" s="25"/>
    </row>
    <row r="791" spans="1:34" ht="150">
      <c r="A791" s="16"/>
      <c r="B791" s="17"/>
      <c r="C791" s="26" t="s">
        <v>991</v>
      </c>
      <c r="D791" s="29" t="s">
        <v>992</v>
      </c>
      <c r="E791" s="104">
        <v>1</v>
      </c>
      <c r="F791" s="47" t="s">
        <v>55</v>
      </c>
      <c r="G791" s="23">
        <v>519065000</v>
      </c>
      <c r="H791" s="104" t="s">
        <v>449</v>
      </c>
      <c r="I791" s="23" t="s">
        <v>449</v>
      </c>
      <c r="J791" s="102">
        <v>1</v>
      </c>
      <c r="K791" s="23">
        <v>519065000</v>
      </c>
      <c r="L791" s="104">
        <v>0</v>
      </c>
      <c r="M791" s="23">
        <v>0</v>
      </c>
      <c r="N791" s="44">
        <v>0</v>
      </c>
      <c r="O791" s="23">
        <v>147585900</v>
      </c>
      <c r="P791" s="44">
        <v>1</v>
      </c>
      <c r="Q791" s="23">
        <v>2575000</v>
      </c>
      <c r="R791" s="44">
        <v>1</v>
      </c>
      <c r="S791" s="23">
        <v>350857100</v>
      </c>
      <c r="T791" s="54">
        <f t="shared" si="140"/>
        <v>2</v>
      </c>
      <c r="U791" s="54">
        <f>T791/J791*100</f>
        <v>200</v>
      </c>
      <c r="V791" s="35" t="s">
        <v>58</v>
      </c>
      <c r="W791" s="40">
        <f t="shared" si="153"/>
        <v>501018000</v>
      </c>
      <c r="X791" s="53">
        <f t="shared" si="151"/>
        <v>96.523171471780984</v>
      </c>
      <c r="Y791" s="21" t="s">
        <v>58</v>
      </c>
      <c r="Z791" s="54">
        <f t="shared" si="145"/>
        <v>2</v>
      </c>
      <c r="AA791" s="40">
        <f t="shared" si="152"/>
        <v>501018000</v>
      </c>
      <c r="AB791" s="53"/>
      <c r="AC791" s="35" t="s">
        <v>58</v>
      </c>
      <c r="AD791" s="53"/>
      <c r="AE791" s="11"/>
      <c r="AH791" s="25"/>
    </row>
    <row r="792" spans="1:34" ht="131.25" customHeight="1">
      <c r="A792" s="16"/>
      <c r="B792" s="17"/>
      <c r="C792" s="18" t="s">
        <v>993</v>
      </c>
      <c r="D792" s="19" t="s">
        <v>994</v>
      </c>
      <c r="E792" s="108">
        <v>10466</v>
      </c>
      <c r="F792" s="76" t="s">
        <v>995</v>
      </c>
      <c r="G792" s="42">
        <f>SUM(G794:G794)</f>
        <v>7003016000</v>
      </c>
      <c r="H792" s="108">
        <v>10300</v>
      </c>
      <c r="I792" s="42">
        <f>SUM(I794:I794)</f>
        <v>3756133900</v>
      </c>
      <c r="J792" s="108">
        <v>10366</v>
      </c>
      <c r="K792" s="42">
        <f>SUM(K794:K794)</f>
        <v>1550287000</v>
      </c>
      <c r="L792" s="103">
        <v>0</v>
      </c>
      <c r="M792" s="42">
        <f>SUM(M794:M794)</f>
        <v>15264300</v>
      </c>
      <c r="N792" s="45">
        <v>0</v>
      </c>
      <c r="O792" s="42">
        <f>SUM(O794:O794)</f>
        <v>152418600</v>
      </c>
      <c r="P792" s="45">
        <v>0</v>
      </c>
      <c r="Q792" s="42">
        <f>SUM(Q794:Q794)</f>
        <v>298915800</v>
      </c>
      <c r="R792" s="107">
        <v>10325</v>
      </c>
      <c r="S792" s="42">
        <f>S794</f>
        <v>1038032300</v>
      </c>
      <c r="T792" s="57">
        <f t="shared" si="140"/>
        <v>10325</v>
      </c>
      <c r="U792" s="55">
        <f>T792/J792*100</f>
        <v>99.604476172101101</v>
      </c>
      <c r="V792" s="58" t="s">
        <v>58</v>
      </c>
      <c r="W792" s="59">
        <f t="shared" si="153"/>
        <v>1504631000</v>
      </c>
      <c r="X792" s="57">
        <f t="shared" si="151"/>
        <v>97.054996913474739</v>
      </c>
      <c r="Y792" s="58" t="s">
        <v>58</v>
      </c>
      <c r="Z792" s="57">
        <f t="shared" si="145"/>
        <v>20625</v>
      </c>
      <c r="AA792" s="59">
        <f t="shared" si="152"/>
        <v>5260764900</v>
      </c>
      <c r="AB792" s="57"/>
      <c r="AC792" s="58" t="s">
        <v>58</v>
      </c>
      <c r="AD792" s="57"/>
      <c r="AE792" s="11"/>
      <c r="AH792" s="25"/>
    </row>
    <row r="793" spans="1:34" ht="131.25" customHeight="1">
      <c r="A793" s="16"/>
      <c r="B793" s="17"/>
      <c r="C793" s="17"/>
      <c r="D793" s="19" t="s">
        <v>996</v>
      </c>
      <c r="E793" s="108">
        <v>8</v>
      </c>
      <c r="F793" s="46" t="s">
        <v>997</v>
      </c>
      <c r="G793" s="52"/>
      <c r="H793" s="108">
        <v>6</v>
      </c>
      <c r="I793" s="52"/>
      <c r="J793" s="108">
        <v>8</v>
      </c>
      <c r="K793" s="42"/>
      <c r="L793" s="103">
        <v>0</v>
      </c>
      <c r="M793" s="52"/>
      <c r="N793" s="45">
        <v>0</v>
      </c>
      <c r="O793" s="52"/>
      <c r="P793" s="45">
        <v>0</v>
      </c>
      <c r="Q793" s="52"/>
      <c r="R793" s="107"/>
      <c r="S793" s="52"/>
      <c r="T793" s="57">
        <f t="shared" si="140"/>
        <v>0</v>
      </c>
      <c r="U793" s="55">
        <f>Z793/J793*100</f>
        <v>75</v>
      </c>
      <c r="V793" s="58" t="s">
        <v>58</v>
      </c>
      <c r="W793" s="56"/>
      <c r="X793" s="60"/>
      <c r="Y793" s="48"/>
      <c r="Z793" s="57">
        <f>SUM(H793,T793)</f>
        <v>6</v>
      </c>
      <c r="AA793" s="56"/>
      <c r="AB793" s="57"/>
      <c r="AC793" s="58"/>
      <c r="AD793" s="60"/>
      <c r="AE793" s="11"/>
      <c r="AH793" s="25"/>
    </row>
    <row r="794" spans="1:34" ht="75">
      <c r="A794" s="16"/>
      <c r="B794" s="17"/>
      <c r="C794" s="61" t="s">
        <v>998</v>
      </c>
      <c r="D794" s="29" t="s">
        <v>999</v>
      </c>
      <c r="E794" s="104">
        <v>100</v>
      </c>
      <c r="F794" s="47" t="s">
        <v>138</v>
      </c>
      <c r="G794" s="62">
        <v>7003016000</v>
      </c>
      <c r="H794" s="104">
        <v>134</v>
      </c>
      <c r="I794" s="62">
        <v>3756133900</v>
      </c>
      <c r="J794" s="102">
        <v>100</v>
      </c>
      <c r="K794" s="23">
        <v>1550287000</v>
      </c>
      <c r="L794" s="104">
        <v>0</v>
      </c>
      <c r="M794" s="62">
        <v>15264300</v>
      </c>
      <c r="N794" s="44">
        <v>0</v>
      </c>
      <c r="O794" s="62">
        <v>152418600</v>
      </c>
      <c r="P794" s="44">
        <v>100</v>
      </c>
      <c r="Q794" s="62">
        <v>298915800</v>
      </c>
      <c r="R794" s="44"/>
      <c r="S794" s="62">
        <v>1038032300</v>
      </c>
      <c r="T794" s="54">
        <f>SUM(L794,N794,P794,R794)</f>
        <v>100</v>
      </c>
      <c r="U794" s="54">
        <f>T794/J794*100</f>
        <v>100</v>
      </c>
      <c r="V794" s="35" t="s">
        <v>58</v>
      </c>
      <c r="W794" s="80">
        <f t="shared" si="153"/>
        <v>1504631000</v>
      </c>
      <c r="X794" s="248">
        <f t="shared" si="151"/>
        <v>97.054996913474739</v>
      </c>
      <c r="Y794" s="277" t="s">
        <v>58</v>
      </c>
      <c r="Z794" s="54">
        <f t="shared" si="145"/>
        <v>234</v>
      </c>
      <c r="AA794" s="80">
        <f t="shared" si="152"/>
        <v>5260764900</v>
      </c>
      <c r="AB794" s="53"/>
      <c r="AC794" s="35" t="s">
        <v>58</v>
      </c>
      <c r="AD794" s="248"/>
      <c r="AE794" s="11"/>
      <c r="AH794" s="25"/>
    </row>
    <row r="795" spans="1:34" ht="99" customHeight="1">
      <c r="A795" s="16"/>
      <c r="B795" s="17"/>
      <c r="C795" s="1065" t="s">
        <v>1000</v>
      </c>
      <c r="D795" s="19" t="s">
        <v>987</v>
      </c>
      <c r="E795" s="107">
        <v>49.25</v>
      </c>
      <c r="F795" s="46" t="s">
        <v>58</v>
      </c>
      <c r="G795" s="41">
        <v>21526574000</v>
      </c>
      <c r="H795" s="107">
        <v>48.47</v>
      </c>
      <c r="I795" s="41"/>
      <c r="J795" s="107">
        <v>48.78</v>
      </c>
      <c r="K795" s="41">
        <f>K797</f>
        <v>2145750000</v>
      </c>
      <c r="L795" s="107">
        <f>L797</f>
        <v>0</v>
      </c>
      <c r="M795" s="41">
        <f>M797</f>
        <v>0</v>
      </c>
      <c r="N795" s="107">
        <v>0</v>
      </c>
      <c r="O795" s="41">
        <f>O797</f>
        <v>330400000</v>
      </c>
      <c r="P795" s="107">
        <v>0</v>
      </c>
      <c r="Q795" s="41">
        <f>Q797</f>
        <v>383700000</v>
      </c>
      <c r="R795" s="107">
        <v>48.78</v>
      </c>
      <c r="S795" s="41">
        <f>S797</f>
        <v>1408466600</v>
      </c>
      <c r="T795" s="57">
        <f t="shared" ref="T795:T816" si="154">SUM(L795,N795,P795,R795)</f>
        <v>48.78</v>
      </c>
      <c r="U795" s="55">
        <f>T795/J795*100</f>
        <v>100</v>
      </c>
      <c r="V795" s="58" t="s">
        <v>58</v>
      </c>
      <c r="W795" s="59">
        <f t="shared" si="153"/>
        <v>2122566600</v>
      </c>
      <c r="X795" s="57">
        <f>W795/K795*100</f>
        <v>98.91956658511009</v>
      </c>
      <c r="Y795" s="58" t="s">
        <v>58</v>
      </c>
      <c r="Z795" s="57">
        <f t="shared" si="145"/>
        <v>97.25</v>
      </c>
      <c r="AA795" s="59">
        <f t="shared" si="152"/>
        <v>2122566600</v>
      </c>
      <c r="AB795" s="57"/>
      <c r="AC795" s="58" t="s">
        <v>58</v>
      </c>
      <c r="AD795" s="57"/>
      <c r="AE795" s="11"/>
      <c r="AH795" s="25"/>
    </row>
    <row r="796" spans="1:34" ht="99" customHeight="1">
      <c r="A796" s="16"/>
      <c r="B796" s="17"/>
      <c r="C796" s="1067"/>
      <c r="D796" s="19" t="s">
        <v>988</v>
      </c>
      <c r="E796" s="107">
        <v>59.49</v>
      </c>
      <c r="F796" s="46" t="s">
        <v>58</v>
      </c>
      <c r="G796" s="41"/>
      <c r="H796" s="107">
        <v>43.03</v>
      </c>
      <c r="I796" s="41"/>
      <c r="J796" s="107">
        <v>49.37</v>
      </c>
      <c r="K796" s="41"/>
      <c r="L796" s="107"/>
      <c r="M796" s="41"/>
      <c r="N796" s="107"/>
      <c r="O796" s="41"/>
      <c r="P796" s="107"/>
      <c r="Q796" s="41"/>
      <c r="R796" s="107">
        <v>49.37</v>
      </c>
      <c r="S796" s="41"/>
      <c r="T796" s="57"/>
      <c r="U796" s="55"/>
      <c r="V796" s="58"/>
      <c r="W796" s="59"/>
      <c r="X796" s="57"/>
      <c r="Y796" s="58"/>
      <c r="Z796" s="57"/>
      <c r="AA796" s="59"/>
      <c r="AB796" s="57"/>
      <c r="AC796" s="58"/>
      <c r="AD796" s="57"/>
      <c r="AE796" s="11"/>
      <c r="AH796" s="25"/>
    </row>
    <row r="797" spans="1:34" ht="150.75" customHeight="1">
      <c r="A797" s="16"/>
      <c r="B797" s="17"/>
      <c r="C797" s="18" t="s">
        <v>1001</v>
      </c>
      <c r="D797" s="19" t="s">
        <v>1002</v>
      </c>
      <c r="E797" s="108">
        <v>200</v>
      </c>
      <c r="F797" s="76" t="s">
        <v>995</v>
      </c>
      <c r="G797" s="42">
        <v>21526574000</v>
      </c>
      <c r="H797" s="107">
        <v>100</v>
      </c>
      <c r="I797" s="42">
        <f>SUM(I798)</f>
        <v>0</v>
      </c>
      <c r="J797" s="107">
        <v>50</v>
      </c>
      <c r="K797" s="42">
        <f>SUM(K798)</f>
        <v>2145750000</v>
      </c>
      <c r="L797" s="249">
        <v>0</v>
      </c>
      <c r="M797" s="42">
        <f>SUM(M798)</f>
        <v>0</v>
      </c>
      <c r="N797" s="107">
        <v>0</v>
      </c>
      <c r="O797" s="42">
        <f>SUM(O798)</f>
        <v>330400000</v>
      </c>
      <c r="P797" s="107">
        <v>0</v>
      </c>
      <c r="Q797" s="42">
        <f>SUM(Q798)</f>
        <v>383700000</v>
      </c>
      <c r="R797" s="107">
        <v>50</v>
      </c>
      <c r="S797" s="42">
        <f>S798+S799</f>
        <v>1408466600</v>
      </c>
      <c r="T797" s="57">
        <f t="shared" ref="T797:T802" si="155">SUM(L797,N797,P797,R797)</f>
        <v>50</v>
      </c>
      <c r="U797" s="55">
        <f>T797/J797*100</f>
        <v>100</v>
      </c>
      <c r="V797" s="58" t="s">
        <v>58</v>
      </c>
      <c r="W797" s="59">
        <f t="shared" si="153"/>
        <v>2122566600</v>
      </c>
      <c r="X797" s="57">
        <f>W797/K797*100</f>
        <v>98.91956658511009</v>
      </c>
      <c r="Y797" s="58" t="s">
        <v>58</v>
      </c>
      <c r="Z797" s="103">
        <f>SUM(H797,T797)</f>
        <v>150</v>
      </c>
      <c r="AA797" s="59">
        <f t="shared" si="152"/>
        <v>2122566600</v>
      </c>
      <c r="AB797" s="57"/>
      <c r="AC797" s="58" t="s">
        <v>58</v>
      </c>
      <c r="AD797" s="57"/>
      <c r="AE797" s="11"/>
      <c r="AH797" s="25"/>
    </row>
    <row r="798" spans="1:34" ht="255">
      <c r="A798" s="16"/>
      <c r="B798" s="17"/>
      <c r="C798" s="29" t="s">
        <v>1003</v>
      </c>
      <c r="D798" s="29" t="s">
        <v>999</v>
      </c>
      <c r="E798" s="104">
        <v>50</v>
      </c>
      <c r="F798" s="47" t="s">
        <v>995</v>
      </c>
      <c r="G798" s="23">
        <v>21526574000</v>
      </c>
      <c r="H798" s="104">
        <v>100</v>
      </c>
      <c r="I798" s="23">
        <v>0</v>
      </c>
      <c r="J798" s="104">
        <v>50</v>
      </c>
      <c r="K798" s="23">
        <v>2145750000</v>
      </c>
      <c r="L798" s="104">
        <v>0</v>
      </c>
      <c r="M798" s="23">
        <v>0</v>
      </c>
      <c r="N798" s="104">
        <v>0</v>
      </c>
      <c r="O798" s="23">
        <v>330400000</v>
      </c>
      <c r="P798" s="104">
        <v>0</v>
      </c>
      <c r="Q798" s="23">
        <v>383700000</v>
      </c>
      <c r="R798" s="104">
        <v>50</v>
      </c>
      <c r="S798" s="23">
        <v>1408466600</v>
      </c>
      <c r="T798" s="54">
        <f t="shared" si="155"/>
        <v>50</v>
      </c>
      <c r="U798" s="54">
        <f>T798/J798*100</f>
        <v>100</v>
      </c>
      <c r="V798" s="35" t="s">
        <v>58</v>
      </c>
      <c r="W798" s="40">
        <f t="shared" si="153"/>
        <v>2122566600</v>
      </c>
      <c r="X798" s="53">
        <f t="shared" ref="X798:X816" si="156">W798/K798*100</f>
        <v>98.91956658511009</v>
      </c>
      <c r="Y798" s="35" t="s">
        <v>58</v>
      </c>
      <c r="Z798" s="102">
        <f>SUM(H798,T798)</f>
        <v>150</v>
      </c>
      <c r="AA798" s="40">
        <f t="shared" si="152"/>
        <v>2122566600</v>
      </c>
      <c r="AB798" s="53"/>
      <c r="AC798" s="35" t="s">
        <v>58</v>
      </c>
      <c r="AD798" s="53"/>
      <c r="AE798" s="11"/>
      <c r="AH798" s="25"/>
    </row>
    <row r="799" spans="1:34" ht="240">
      <c r="A799" s="16"/>
      <c r="B799" s="17"/>
      <c r="C799" s="26" t="s">
        <v>1004</v>
      </c>
      <c r="D799" s="26" t="s">
        <v>1005</v>
      </c>
      <c r="E799" s="87">
        <v>36</v>
      </c>
      <c r="F799" s="275" t="s">
        <v>55</v>
      </c>
      <c r="G799" s="28"/>
      <c r="H799" s="87">
        <v>28</v>
      </c>
      <c r="I799" s="28"/>
      <c r="J799" s="87">
        <v>31</v>
      </c>
      <c r="K799" s="28"/>
      <c r="L799" s="87">
        <v>0</v>
      </c>
      <c r="M799" s="28"/>
      <c r="N799" s="87">
        <v>0</v>
      </c>
      <c r="O799" s="28"/>
      <c r="P799" s="87">
        <v>31</v>
      </c>
      <c r="Q799" s="28"/>
      <c r="R799" s="87">
        <v>0</v>
      </c>
      <c r="S799" s="28"/>
      <c r="T799" s="54">
        <f t="shared" si="155"/>
        <v>31</v>
      </c>
      <c r="U799" s="54">
        <f>T799/J799*100</f>
        <v>100</v>
      </c>
      <c r="V799" s="35" t="s">
        <v>58</v>
      </c>
      <c r="W799" s="85"/>
      <c r="X799" s="86"/>
      <c r="Y799" s="84"/>
      <c r="Z799" s="102">
        <f>SUM(H799,T799)</f>
        <v>59</v>
      </c>
      <c r="AA799" s="85"/>
      <c r="AB799" s="86"/>
      <c r="AC799" s="84"/>
      <c r="AD799" s="86"/>
      <c r="AE799" s="11"/>
      <c r="AH799" s="25"/>
    </row>
    <row r="800" spans="1:34" ht="99" customHeight="1">
      <c r="A800" s="16"/>
      <c r="B800" s="17"/>
      <c r="C800" s="18" t="s">
        <v>1006</v>
      </c>
      <c r="D800" s="18" t="s">
        <v>1007</v>
      </c>
      <c r="E800" s="278">
        <v>65.38</v>
      </c>
      <c r="F800" s="75" t="s">
        <v>58</v>
      </c>
      <c r="G800" s="41">
        <f t="shared" ref="G800:O800" si="157">G801</f>
        <v>36032206000</v>
      </c>
      <c r="H800" s="278">
        <f t="shared" si="157"/>
        <v>16</v>
      </c>
      <c r="I800" s="41">
        <f t="shared" si="157"/>
        <v>7966180935</v>
      </c>
      <c r="J800" s="278">
        <v>65.38</v>
      </c>
      <c r="K800" s="41">
        <f t="shared" si="157"/>
        <v>4138786000</v>
      </c>
      <c r="L800" s="278">
        <f t="shared" si="157"/>
        <v>0</v>
      </c>
      <c r="M800" s="41">
        <f t="shared" si="157"/>
        <v>1691894672</v>
      </c>
      <c r="N800" s="278">
        <v>0</v>
      </c>
      <c r="O800" s="41">
        <f t="shared" si="157"/>
        <v>775748096</v>
      </c>
      <c r="P800" s="278">
        <v>0</v>
      </c>
      <c r="Q800" s="41">
        <f t="shared" ref="Q800" si="158">Q801</f>
        <v>359152163</v>
      </c>
      <c r="R800" s="279">
        <v>61.54</v>
      </c>
      <c r="S800" s="41">
        <f>S801</f>
        <v>1210708992</v>
      </c>
      <c r="T800" s="57">
        <f t="shared" si="155"/>
        <v>61.54</v>
      </c>
      <c r="U800" s="244">
        <f>T800/J800*100</f>
        <v>94.126644233710621</v>
      </c>
      <c r="V800" s="240" t="s">
        <v>58</v>
      </c>
      <c r="W800" s="94">
        <f t="shared" si="153"/>
        <v>4037503923</v>
      </c>
      <c r="X800" s="239">
        <f>W800/K800*100</f>
        <v>97.552855426687927</v>
      </c>
      <c r="Y800" s="240" t="s">
        <v>58</v>
      </c>
      <c r="Z800" s="239">
        <f>SUM(H800,T800)</f>
        <v>77.539999999999992</v>
      </c>
      <c r="AA800" s="94">
        <f t="shared" si="152"/>
        <v>12003684858</v>
      </c>
      <c r="AB800" s="239"/>
      <c r="AC800" s="240" t="s">
        <v>58</v>
      </c>
      <c r="AD800" s="239"/>
      <c r="AE800" s="11"/>
      <c r="AH800" s="25"/>
    </row>
    <row r="801" spans="1:34" ht="141.75">
      <c r="A801" s="16"/>
      <c r="B801" s="17"/>
      <c r="C801" s="18" t="s">
        <v>1008</v>
      </c>
      <c r="D801" s="19" t="s">
        <v>1009</v>
      </c>
      <c r="E801" s="108">
        <v>17</v>
      </c>
      <c r="F801" s="76" t="s">
        <v>1010</v>
      </c>
      <c r="G801" s="42">
        <f>SUM(G802)</f>
        <v>36032206000</v>
      </c>
      <c r="H801" s="108">
        <v>16</v>
      </c>
      <c r="I801" s="42">
        <f>SUM(I802)</f>
        <v>7966180935</v>
      </c>
      <c r="J801" s="108">
        <v>17</v>
      </c>
      <c r="K801" s="42">
        <f>SUM(K802)</f>
        <v>4138786000</v>
      </c>
      <c r="L801" s="249">
        <v>0</v>
      </c>
      <c r="M801" s="42">
        <f>SUM(M802)</f>
        <v>1691894672</v>
      </c>
      <c r="N801" s="108">
        <v>0</v>
      </c>
      <c r="O801" s="42">
        <f>SUM(O802)</f>
        <v>775748096</v>
      </c>
      <c r="P801" s="107">
        <v>0</v>
      </c>
      <c r="Q801" s="42">
        <f>SUM(Q802)</f>
        <v>359152163</v>
      </c>
      <c r="R801" s="107">
        <v>17</v>
      </c>
      <c r="S801" s="42">
        <f>S802</f>
        <v>1210708992</v>
      </c>
      <c r="T801" s="57">
        <f t="shared" si="155"/>
        <v>17</v>
      </c>
      <c r="U801" s="55">
        <f t="shared" ref="U801:U812" si="159">Z801/J801*100</f>
        <v>194.11764705882354</v>
      </c>
      <c r="V801" s="58" t="s">
        <v>58</v>
      </c>
      <c r="W801" s="59">
        <f t="shared" si="153"/>
        <v>4037503923</v>
      </c>
      <c r="X801" s="57">
        <f t="shared" si="156"/>
        <v>97.552855426687927</v>
      </c>
      <c r="Y801" s="58" t="s">
        <v>58</v>
      </c>
      <c r="Z801" s="128">
        <f t="shared" si="145"/>
        <v>33</v>
      </c>
      <c r="AA801" s="59">
        <f t="shared" si="152"/>
        <v>12003684858</v>
      </c>
      <c r="AB801" s="57"/>
      <c r="AC801" s="58" t="s">
        <v>58</v>
      </c>
      <c r="AD801" s="57"/>
      <c r="AE801" s="11"/>
      <c r="AH801" s="25"/>
    </row>
    <row r="802" spans="1:34" ht="180">
      <c r="A802" s="16"/>
      <c r="B802" s="17"/>
      <c r="C802" s="29" t="s">
        <v>1011</v>
      </c>
      <c r="D802" s="29" t="s">
        <v>1012</v>
      </c>
      <c r="E802" s="104">
        <v>17</v>
      </c>
      <c r="F802" s="21" t="s">
        <v>1013</v>
      </c>
      <c r="G802" s="23">
        <v>36032206000</v>
      </c>
      <c r="H802" s="104">
        <v>16</v>
      </c>
      <c r="I802" s="23">
        <v>7966180935</v>
      </c>
      <c r="J802" s="104">
        <v>17</v>
      </c>
      <c r="K802" s="23">
        <v>4138786000</v>
      </c>
      <c r="L802" s="104">
        <v>0</v>
      </c>
      <c r="M802" s="23">
        <v>1691894672</v>
      </c>
      <c r="N802" s="104">
        <v>0</v>
      </c>
      <c r="O802" s="23">
        <v>775748096</v>
      </c>
      <c r="P802" s="104">
        <v>0</v>
      </c>
      <c r="Q802" s="23">
        <v>359152163</v>
      </c>
      <c r="R802" s="104">
        <v>17</v>
      </c>
      <c r="S802" s="23">
        <v>1210708992</v>
      </c>
      <c r="T802" s="54">
        <f t="shared" si="155"/>
        <v>17</v>
      </c>
      <c r="U802" s="54">
        <f>Z802/J802*100</f>
        <v>194.11764705882354</v>
      </c>
      <c r="V802" s="35" t="s">
        <v>58</v>
      </c>
      <c r="W802" s="40">
        <f t="shared" si="153"/>
        <v>4037503923</v>
      </c>
      <c r="X802" s="53">
        <f t="shared" si="156"/>
        <v>97.552855426687927</v>
      </c>
      <c r="Y802" s="35" t="s">
        <v>58</v>
      </c>
      <c r="Z802" s="102">
        <f t="shared" si="145"/>
        <v>33</v>
      </c>
      <c r="AA802" s="40">
        <f t="shared" si="152"/>
        <v>12003684858</v>
      </c>
      <c r="AB802" s="53"/>
      <c r="AC802" s="35" t="s">
        <v>58</v>
      </c>
      <c r="AD802" s="53"/>
      <c r="AE802" s="11"/>
      <c r="AH802" s="25"/>
    </row>
    <row r="803" spans="1:34" ht="78.75">
      <c r="A803" s="16"/>
      <c r="B803" s="17"/>
      <c r="C803" s="18" t="s">
        <v>1014</v>
      </c>
      <c r="D803" s="18" t="s">
        <v>1015</v>
      </c>
      <c r="E803" s="74">
        <v>1</v>
      </c>
      <c r="F803" s="76" t="s">
        <v>1016</v>
      </c>
      <c r="G803" s="41">
        <f>G804</f>
        <v>50140000</v>
      </c>
      <c r="H803" s="278">
        <v>0</v>
      </c>
      <c r="I803" s="41">
        <v>0</v>
      </c>
      <c r="J803" s="278">
        <v>1</v>
      </c>
      <c r="K803" s="41">
        <f>K804</f>
        <v>18140000</v>
      </c>
      <c r="L803" s="278">
        <f>L804/26*100</f>
        <v>0</v>
      </c>
      <c r="M803" s="41">
        <f>M804</f>
        <v>0</v>
      </c>
      <c r="N803" s="278">
        <v>0</v>
      </c>
      <c r="O803" s="41">
        <v>0</v>
      </c>
      <c r="P803" s="278">
        <v>0</v>
      </c>
      <c r="Q803" s="41">
        <v>0</v>
      </c>
      <c r="R803" s="278">
        <v>0</v>
      </c>
      <c r="S803" s="41"/>
      <c r="T803" s="239">
        <f t="shared" si="154"/>
        <v>0</v>
      </c>
      <c r="U803" s="244">
        <f t="shared" si="159"/>
        <v>0</v>
      </c>
      <c r="V803" s="240" t="s">
        <v>58</v>
      </c>
      <c r="W803" s="94">
        <f t="shared" si="153"/>
        <v>0</v>
      </c>
      <c r="X803" s="239">
        <f t="shared" si="156"/>
        <v>0</v>
      </c>
      <c r="Y803" s="240" t="s">
        <v>58</v>
      </c>
      <c r="Z803" s="239">
        <f t="shared" si="145"/>
        <v>0</v>
      </c>
      <c r="AA803" s="94">
        <f t="shared" si="152"/>
        <v>0</v>
      </c>
      <c r="AB803" s="239"/>
      <c r="AC803" s="240" t="s">
        <v>58</v>
      </c>
      <c r="AD803" s="239"/>
      <c r="AE803" s="11"/>
      <c r="AH803" s="25"/>
    </row>
    <row r="804" spans="1:34" ht="118.5" customHeight="1">
      <c r="A804" s="16"/>
      <c r="B804" s="17"/>
      <c r="C804" s="18" t="s">
        <v>1017</v>
      </c>
      <c r="D804" s="19" t="s">
        <v>1015</v>
      </c>
      <c r="E804" s="55">
        <v>1</v>
      </c>
      <c r="F804" s="76" t="s">
        <v>1016</v>
      </c>
      <c r="G804" s="42">
        <f>SUM(G805)</f>
        <v>50140000</v>
      </c>
      <c r="H804" s="103">
        <v>0</v>
      </c>
      <c r="I804" s="42">
        <f>SUM(I805)</f>
        <v>0</v>
      </c>
      <c r="J804" s="103">
        <v>100</v>
      </c>
      <c r="K804" s="42">
        <f>SUM(K805)</f>
        <v>18140000</v>
      </c>
      <c r="L804" s="103">
        <f>L805</f>
        <v>0</v>
      </c>
      <c r="M804" s="42">
        <f>SUM(M805)</f>
        <v>0</v>
      </c>
      <c r="N804" s="103">
        <v>0</v>
      </c>
      <c r="O804" s="42">
        <v>0</v>
      </c>
      <c r="P804" s="103">
        <v>0</v>
      </c>
      <c r="Q804" s="42">
        <v>0</v>
      </c>
      <c r="R804" s="103">
        <v>0</v>
      </c>
      <c r="S804" s="42"/>
      <c r="T804" s="55">
        <f t="shared" si="154"/>
        <v>0</v>
      </c>
      <c r="U804" s="55">
        <f t="shared" si="159"/>
        <v>0</v>
      </c>
      <c r="V804" s="58" t="s">
        <v>58</v>
      </c>
      <c r="W804" s="59">
        <f t="shared" si="153"/>
        <v>0</v>
      </c>
      <c r="X804" s="57">
        <f t="shared" si="156"/>
        <v>0</v>
      </c>
      <c r="Y804" s="58" t="s">
        <v>58</v>
      </c>
      <c r="Z804" s="55">
        <f t="shared" si="145"/>
        <v>0</v>
      </c>
      <c r="AA804" s="59">
        <f t="shared" si="152"/>
        <v>0</v>
      </c>
      <c r="AB804" s="57"/>
      <c r="AC804" s="58" t="s">
        <v>58</v>
      </c>
      <c r="AD804" s="57"/>
      <c r="AE804" s="11"/>
      <c r="AH804" s="25"/>
    </row>
    <row r="805" spans="1:34" ht="135">
      <c r="A805" s="16"/>
      <c r="B805" s="17"/>
      <c r="C805" s="29" t="s">
        <v>1018</v>
      </c>
      <c r="D805" s="29" t="s">
        <v>1015</v>
      </c>
      <c r="E805" s="104">
        <v>2</v>
      </c>
      <c r="F805" s="47" t="s">
        <v>1016</v>
      </c>
      <c r="G805" s="23">
        <f>25070000*2</f>
        <v>50140000</v>
      </c>
      <c r="H805" s="104">
        <v>0</v>
      </c>
      <c r="I805" s="23">
        <v>0</v>
      </c>
      <c r="J805" s="102">
        <v>1</v>
      </c>
      <c r="K805" s="23">
        <v>18140000</v>
      </c>
      <c r="L805" s="104">
        <v>0</v>
      </c>
      <c r="M805" s="23">
        <v>0</v>
      </c>
      <c r="N805" s="44">
        <v>0</v>
      </c>
      <c r="O805" s="23">
        <v>0</v>
      </c>
      <c r="P805" s="44">
        <v>0</v>
      </c>
      <c r="Q805" s="23">
        <v>0</v>
      </c>
      <c r="R805" s="44">
        <v>0</v>
      </c>
      <c r="S805" s="23"/>
      <c r="T805" s="54">
        <f t="shared" si="154"/>
        <v>0</v>
      </c>
      <c r="U805" s="54">
        <f t="shared" si="159"/>
        <v>0</v>
      </c>
      <c r="V805" s="35" t="s">
        <v>58</v>
      </c>
      <c r="W805" s="40">
        <f t="shared" si="153"/>
        <v>0</v>
      </c>
      <c r="X805" s="53">
        <f t="shared" si="156"/>
        <v>0</v>
      </c>
      <c r="Y805" s="35" t="s">
        <v>58</v>
      </c>
      <c r="Z805" s="54">
        <f t="shared" si="145"/>
        <v>0</v>
      </c>
      <c r="AA805" s="40">
        <f t="shared" si="152"/>
        <v>0</v>
      </c>
      <c r="AB805" s="53"/>
      <c r="AC805" s="35" t="s">
        <v>58</v>
      </c>
      <c r="AD805" s="53"/>
      <c r="AE805" s="11"/>
      <c r="AH805" s="25"/>
    </row>
    <row r="806" spans="1:34" ht="99" customHeight="1">
      <c r="A806" s="16"/>
      <c r="B806" s="17"/>
      <c r="C806" s="18" t="s">
        <v>1019</v>
      </c>
      <c r="D806" s="18" t="s">
        <v>1020</v>
      </c>
      <c r="E806" s="278">
        <v>100</v>
      </c>
      <c r="F806" s="75" t="s">
        <v>58</v>
      </c>
      <c r="G806" s="280">
        <f>G807</f>
        <v>85850000</v>
      </c>
      <c r="H806" s="278">
        <v>0</v>
      </c>
      <c r="I806" s="41">
        <v>0</v>
      </c>
      <c r="J806" s="278">
        <v>100</v>
      </c>
      <c r="K806" s="41">
        <f>K807</f>
        <v>16089750</v>
      </c>
      <c r="L806" s="278">
        <f>L807/26*100</f>
        <v>0</v>
      </c>
      <c r="M806" s="41">
        <f>M807</f>
        <v>0</v>
      </c>
      <c r="N806" s="278">
        <v>0</v>
      </c>
      <c r="O806" s="41">
        <v>0</v>
      </c>
      <c r="P806" s="278">
        <v>0</v>
      </c>
      <c r="Q806" s="41">
        <v>0</v>
      </c>
      <c r="R806" s="278">
        <v>0</v>
      </c>
      <c r="S806" s="41"/>
      <c r="T806" s="239">
        <f t="shared" si="154"/>
        <v>0</v>
      </c>
      <c r="U806" s="244">
        <f t="shared" si="159"/>
        <v>0</v>
      </c>
      <c r="V806" s="240" t="s">
        <v>58</v>
      </c>
      <c r="W806" s="94">
        <f t="shared" si="153"/>
        <v>0</v>
      </c>
      <c r="X806" s="239">
        <f t="shared" si="156"/>
        <v>0</v>
      </c>
      <c r="Y806" s="240" t="s">
        <v>58</v>
      </c>
      <c r="Z806" s="239">
        <f t="shared" si="145"/>
        <v>0</v>
      </c>
      <c r="AA806" s="94">
        <f t="shared" si="152"/>
        <v>0</v>
      </c>
      <c r="AB806" s="239"/>
      <c r="AC806" s="240" t="s">
        <v>58</v>
      </c>
      <c r="AD806" s="239"/>
      <c r="AE806" s="11"/>
      <c r="AH806" s="25"/>
    </row>
    <row r="807" spans="1:34" ht="146.25" customHeight="1">
      <c r="A807" s="16"/>
      <c r="B807" s="17"/>
      <c r="C807" s="18" t="s">
        <v>1021</v>
      </c>
      <c r="D807" s="19" t="s">
        <v>1020</v>
      </c>
      <c r="E807" s="55">
        <v>100</v>
      </c>
      <c r="F807" s="76" t="s">
        <v>58</v>
      </c>
      <c r="G807" s="41">
        <f>42925000*2</f>
        <v>85850000</v>
      </c>
      <c r="H807" s="103">
        <v>0</v>
      </c>
      <c r="I807" s="42">
        <f>SUM(I808:I809)</f>
        <v>0</v>
      </c>
      <c r="J807" s="103">
        <v>100</v>
      </c>
      <c r="K807" s="42">
        <f>SUM(K808:K809)</f>
        <v>16089750</v>
      </c>
      <c r="L807" s="103">
        <f>L809</f>
        <v>0</v>
      </c>
      <c r="M807" s="42">
        <f>SUM(M809)</f>
        <v>0</v>
      </c>
      <c r="N807" s="103">
        <v>0</v>
      </c>
      <c r="O807" s="42">
        <v>0</v>
      </c>
      <c r="P807" s="103">
        <v>0</v>
      </c>
      <c r="Q807" s="42">
        <v>0</v>
      </c>
      <c r="R807" s="103">
        <v>0</v>
      </c>
      <c r="S807" s="42"/>
      <c r="T807" s="55">
        <f t="shared" si="154"/>
        <v>0</v>
      </c>
      <c r="U807" s="55">
        <f t="shared" si="159"/>
        <v>0</v>
      </c>
      <c r="V807" s="58" t="s">
        <v>58</v>
      </c>
      <c r="W807" s="59">
        <f t="shared" si="153"/>
        <v>0</v>
      </c>
      <c r="X807" s="57">
        <f t="shared" si="156"/>
        <v>0</v>
      </c>
      <c r="Y807" s="58" t="s">
        <v>58</v>
      </c>
      <c r="Z807" s="55">
        <f t="shared" si="145"/>
        <v>0</v>
      </c>
      <c r="AA807" s="59">
        <f t="shared" si="152"/>
        <v>0</v>
      </c>
      <c r="AB807" s="57"/>
      <c r="AC807" s="58" t="s">
        <v>58</v>
      </c>
      <c r="AD807" s="57"/>
      <c r="AE807" s="11"/>
      <c r="AH807" s="25"/>
    </row>
    <row r="808" spans="1:34" ht="150">
      <c r="A808" s="16"/>
      <c r="B808" s="17"/>
      <c r="C808" s="61" t="s">
        <v>1022</v>
      </c>
      <c r="D808" s="61" t="s">
        <v>1023</v>
      </c>
      <c r="E808" s="104">
        <v>2</v>
      </c>
      <c r="F808" s="47" t="s">
        <v>55</v>
      </c>
      <c r="G808" s="23">
        <v>52550000</v>
      </c>
      <c r="H808" s="104">
        <v>0</v>
      </c>
      <c r="I808" s="23">
        <v>0</v>
      </c>
      <c r="J808" s="102">
        <v>1</v>
      </c>
      <c r="K808" s="62">
        <v>10989850</v>
      </c>
      <c r="L808" s="104">
        <v>0</v>
      </c>
      <c r="M808" s="23">
        <v>0</v>
      </c>
      <c r="N808" s="44">
        <v>0</v>
      </c>
      <c r="O808" s="23">
        <v>0</v>
      </c>
      <c r="P808" s="44">
        <v>0</v>
      </c>
      <c r="Q808" s="23">
        <v>0</v>
      </c>
      <c r="R808" s="44">
        <v>0</v>
      </c>
      <c r="S808" s="23"/>
      <c r="T808" s="54">
        <f t="shared" si="154"/>
        <v>0</v>
      </c>
      <c r="U808" s="54">
        <f t="shared" si="159"/>
        <v>0</v>
      </c>
      <c r="V808" s="35" t="s">
        <v>58</v>
      </c>
      <c r="W808" s="40">
        <f t="shared" si="153"/>
        <v>0</v>
      </c>
      <c r="X808" s="53">
        <f t="shared" si="156"/>
        <v>0</v>
      </c>
      <c r="Y808" s="35" t="s">
        <v>58</v>
      </c>
      <c r="Z808" s="54">
        <f t="shared" si="145"/>
        <v>0</v>
      </c>
      <c r="AA808" s="40">
        <f t="shared" si="152"/>
        <v>0</v>
      </c>
      <c r="AB808" s="53"/>
      <c r="AC808" s="35" t="s">
        <v>58</v>
      </c>
      <c r="AD808" s="53"/>
      <c r="AE808" s="11"/>
      <c r="AH808" s="25"/>
    </row>
    <row r="809" spans="1:34" ht="233.25" customHeight="1">
      <c r="A809" s="16"/>
      <c r="B809" s="17"/>
      <c r="C809" s="29" t="s">
        <v>1024</v>
      </c>
      <c r="D809" s="29" t="s">
        <v>1025</v>
      </c>
      <c r="E809" s="104">
        <v>2</v>
      </c>
      <c r="F809" s="47" t="s">
        <v>1026</v>
      </c>
      <c r="G809" s="23">
        <f>G807-G808</f>
        <v>33300000</v>
      </c>
      <c r="H809" s="104">
        <v>0</v>
      </c>
      <c r="I809" s="23">
        <v>0</v>
      </c>
      <c r="J809" s="102">
        <v>1</v>
      </c>
      <c r="K809" s="23">
        <v>5099900</v>
      </c>
      <c r="L809" s="104">
        <v>0</v>
      </c>
      <c r="M809" s="23">
        <v>0</v>
      </c>
      <c r="N809" s="44">
        <v>0</v>
      </c>
      <c r="O809" s="23">
        <v>0</v>
      </c>
      <c r="P809" s="44">
        <v>0</v>
      </c>
      <c r="Q809" s="23">
        <v>0</v>
      </c>
      <c r="R809" s="44">
        <v>0</v>
      </c>
      <c r="S809" s="23"/>
      <c r="T809" s="54">
        <f t="shared" si="154"/>
        <v>0</v>
      </c>
      <c r="U809" s="54">
        <f t="shared" si="159"/>
        <v>0</v>
      </c>
      <c r="V809" s="35" t="s">
        <v>58</v>
      </c>
      <c r="W809" s="40">
        <f t="shared" si="153"/>
        <v>0</v>
      </c>
      <c r="X809" s="53">
        <f t="shared" si="156"/>
        <v>0</v>
      </c>
      <c r="Y809" s="35" t="s">
        <v>58</v>
      </c>
      <c r="Z809" s="54">
        <f t="shared" si="145"/>
        <v>0</v>
      </c>
      <c r="AA809" s="40">
        <f t="shared" si="152"/>
        <v>0</v>
      </c>
      <c r="AB809" s="53"/>
      <c r="AC809" s="35" t="s">
        <v>58</v>
      </c>
      <c r="AD809" s="53"/>
      <c r="AE809" s="11"/>
      <c r="AH809" s="25"/>
    </row>
    <row r="810" spans="1:34" ht="230.25" customHeight="1">
      <c r="A810" s="16"/>
      <c r="B810" s="17"/>
      <c r="C810" s="18" t="s">
        <v>1027</v>
      </c>
      <c r="D810" s="18" t="s">
        <v>1028</v>
      </c>
      <c r="E810" s="278">
        <v>100</v>
      </c>
      <c r="F810" s="75" t="s">
        <v>58</v>
      </c>
      <c r="G810" s="41">
        <f>G811</f>
        <v>120000000</v>
      </c>
      <c r="H810" s="278">
        <v>0</v>
      </c>
      <c r="I810" s="41">
        <f>I811</f>
        <v>0</v>
      </c>
      <c r="J810" s="278">
        <v>100</v>
      </c>
      <c r="K810" s="41">
        <f>K811</f>
        <v>37529900</v>
      </c>
      <c r="L810" s="278">
        <f>L811/26*100</f>
        <v>0</v>
      </c>
      <c r="M810" s="41">
        <f>M811</f>
        <v>0</v>
      </c>
      <c r="N810" s="278">
        <v>0</v>
      </c>
      <c r="O810" s="41">
        <v>0</v>
      </c>
      <c r="P810" s="278">
        <v>0</v>
      </c>
      <c r="Q810" s="41">
        <v>0</v>
      </c>
      <c r="R810" s="278">
        <v>1</v>
      </c>
      <c r="S810" s="41">
        <f>S811</f>
        <v>770000</v>
      </c>
      <c r="T810" s="239">
        <f t="shared" si="154"/>
        <v>1</v>
      </c>
      <c r="U810" s="244">
        <f>Z810/J810*100</f>
        <v>1</v>
      </c>
      <c r="V810" s="240" t="s">
        <v>58</v>
      </c>
      <c r="W810" s="94">
        <f t="shared" si="153"/>
        <v>770000</v>
      </c>
      <c r="X810" s="239">
        <f>W810/K810*100</f>
        <v>2.0516974465692686</v>
      </c>
      <c r="Y810" s="240" t="s">
        <v>58</v>
      </c>
      <c r="Z810" s="239">
        <f t="shared" si="145"/>
        <v>1</v>
      </c>
      <c r="AA810" s="94">
        <f t="shared" si="152"/>
        <v>770000</v>
      </c>
      <c r="AB810" s="239"/>
      <c r="AC810" s="240" t="s">
        <v>58</v>
      </c>
      <c r="AD810" s="239"/>
      <c r="AE810" s="11"/>
      <c r="AH810" s="25"/>
    </row>
    <row r="811" spans="1:34" ht="315" customHeight="1">
      <c r="A811" s="16"/>
      <c r="B811" s="17"/>
      <c r="C811" s="18" t="s">
        <v>1029</v>
      </c>
      <c r="D811" s="19" t="s">
        <v>1028</v>
      </c>
      <c r="E811" s="55">
        <v>100</v>
      </c>
      <c r="F811" s="76" t="s">
        <v>58</v>
      </c>
      <c r="G811" s="42">
        <f>SUM(G812)</f>
        <v>120000000</v>
      </c>
      <c r="H811" s="103">
        <v>0</v>
      </c>
      <c r="I811" s="42">
        <f>SUM(I812)</f>
        <v>0</v>
      </c>
      <c r="J811" s="103">
        <v>100</v>
      </c>
      <c r="K811" s="42">
        <f>SUM(K812)</f>
        <v>37529900</v>
      </c>
      <c r="L811" s="103">
        <f>L812</f>
        <v>0</v>
      </c>
      <c r="M811" s="42">
        <f>SUM(M812)</f>
        <v>0</v>
      </c>
      <c r="N811" s="103">
        <v>0</v>
      </c>
      <c r="O811" s="42">
        <v>0</v>
      </c>
      <c r="P811" s="103">
        <v>0</v>
      </c>
      <c r="Q811" s="42">
        <v>0</v>
      </c>
      <c r="R811" s="103">
        <v>1</v>
      </c>
      <c r="S811" s="42">
        <f>S812</f>
        <v>770000</v>
      </c>
      <c r="T811" s="55">
        <f t="shared" si="154"/>
        <v>1</v>
      </c>
      <c r="U811" s="55">
        <f t="shared" si="159"/>
        <v>1</v>
      </c>
      <c r="V811" s="58" t="s">
        <v>58</v>
      </c>
      <c r="W811" s="59">
        <f t="shared" si="153"/>
        <v>770000</v>
      </c>
      <c r="X811" s="57">
        <f t="shared" si="156"/>
        <v>2.0516974465692686</v>
      </c>
      <c r="Y811" s="58" t="s">
        <v>58</v>
      </c>
      <c r="Z811" s="55">
        <f t="shared" si="145"/>
        <v>1</v>
      </c>
      <c r="AA811" s="59">
        <f t="shared" si="152"/>
        <v>770000</v>
      </c>
      <c r="AB811" s="57"/>
      <c r="AC811" s="58" t="s">
        <v>58</v>
      </c>
      <c r="AD811" s="57"/>
      <c r="AE811" s="11"/>
      <c r="AH811" s="25"/>
    </row>
    <row r="812" spans="1:34" ht="135">
      <c r="A812" s="16"/>
      <c r="B812" s="17"/>
      <c r="C812" s="29" t="s">
        <v>1030</v>
      </c>
      <c r="D812" s="29" t="s">
        <v>1031</v>
      </c>
      <c r="E812" s="104">
        <v>1</v>
      </c>
      <c r="F812" s="47" t="s">
        <v>55</v>
      </c>
      <c r="G812" s="23">
        <f>60000000*2</f>
        <v>120000000</v>
      </c>
      <c r="H812" s="104">
        <v>0</v>
      </c>
      <c r="I812" s="23">
        <v>0</v>
      </c>
      <c r="J812" s="102">
        <v>1</v>
      </c>
      <c r="K812" s="23">
        <v>37529900</v>
      </c>
      <c r="L812" s="104">
        <v>0</v>
      </c>
      <c r="M812" s="23">
        <v>0</v>
      </c>
      <c r="N812" s="44">
        <v>0</v>
      </c>
      <c r="O812" s="23">
        <v>0</v>
      </c>
      <c r="P812" s="44">
        <v>0</v>
      </c>
      <c r="Q812" s="23">
        <v>0</v>
      </c>
      <c r="R812" s="44">
        <v>1</v>
      </c>
      <c r="S812" s="23">
        <v>770000</v>
      </c>
      <c r="T812" s="54">
        <f t="shared" si="154"/>
        <v>1</v>
      </c>
      <c r="U812" s="54">
        <f t="shared" si="159"/>
        <v>100</v>
      </c>
      <c r="V812" s="35" t="s">
        <v>58</v>
      </c>
      <c r="W812" s="40">
        <f t="shared" si="153"/>
        <v>770000</v>
      </c>
      <c r="X812" s="53">
        <f t="shared" si="156"/>
        <v>2.0516974465692686</v>
      </c>
      <c r="Y812" s="35" t="s">
        <v>58</v>
      </c>
      <c r="Z812" s="54">
        <f t="shared" si="145"/>
        <v>1</v>
      </c>
      <c r="AA812" s="40">
        <f t="shared" si="152"/>
        <v>770000</v>
      </c>
      <c r="AB812" s="53"/>
      <c r="AC812" s="35" t="s">
        <v>58</v>
      </c>
      <c r="AD812" s="53"/>
      <c r="AE812" s="11"/>
      <c r="AH812" s="25"/>
    </row>
    <row r="813" spans="1:34" ht="94.5">
      <c r="A813" s="16"/>
      <c r="B813" s="17"/>
      <c r="C813" s="18" t="s">
        <v>1032</v>
      </c>
      <c r="D813" s="18" t="s">
        <v>1007</v>
      </c>
      <c r="E813" s="278">
        <f>E814/26*100</f>
        <v>65.384615384615387</v>
      </c>
      <c r="F813" s="75" t="s">
        <v>58</v>
      </c>
      <c r="G813" s="41">
        <f>G814</f>
        <v>282432000</v>
      </c>
      <c r="H813" s="278">
        <f>16/26*100</f>
        <v>61.53846153846154</v>
      </c>
      <c r="I813" s="41">
        <f>I814</f>
        <v>90921000</v>
      </c>
      <c r="J813" s="278">
        <f>J814/26*100</f>
        <v>65.384615384615387</v>
      </c>
      <c r="K813" s="41">
        <f>K814</f>
        <v>88888750</v>
      </c>
      <c r="L813" s="278">
        <f>L814/26*100</f>
        <v>0</v>
      </c>
      <c r="M813" s="41">
        <f>M814</f>
        <v>6609300</v>
      </c>
      <c r="N813" s="278">
        <v>0</v>
      </c>
      <c r="O813" s="41">
        <f>O814</f>
        <v>4664300</v>
      </c>
      <c r="P813" s="278">
        <v>0</v>
      </c>
      <c r="Q813" s="41">
        <f>Q814</f>
        <v>5484300</v>
      </c>
      <c r="R813" s="279">
        <v>61.53846153846154</v>
      </c>
      <c r="S813" s="245">
        <f>S814</f>
        <v>56669300</v>
      </c>
      <c r="T813" s="239">
        <f>SUM(L813,N813,P813,R813)</f>
        <v>61.53846153846154</v>
      </c>
      <c r="U813" s="244">
        <f>T813/J813*100</f>
        <v>94.117647058823522</v>
      </c>
      <c r="V813" s="240" t="s">
        <v>58</v>
      </c>
      <c r="W813" s="94">
        <f>SUM(M813,O813,Q813,S813)</f>
        <v>73427200</v>
      </c>
      <c r="X813" s="57">
        <f t="shared" si="156"/>
        <v>82.605729071451677</v>
      </c>
      <c r="Y813" s="240" t="s">
        <v>58</v>
      </c>
      <c r="Z813" s="239">
        <f>SUM(H813,T813)</f>
        <v>123.07692307692308</v>
      </c>
      <c r="AA813" s="94">
        <f t="shared" si="152"/>
        <v>164348200</v>
      </c>
      <c r="AB813" s="239"/>
      <c r="AC813" s="240" t="s">
        <v>58</v>
      </c>
      <c r="AD813" s="239"/>
      <c r="AE813" s="11"/>
      <c r="AH813" s="25"/>
    </row>
    <row r="814" spans="1:34" ht="126">
      <c r="A814" s="16"/>
      <c r="B814" s="17"/>
      <c r="C814" s="1073" t="s">
        <v>1033</v>
      </c>
      <c r="D814" s="19" t="s">
        <v>1034</v>
      </c>
      <c r="E814" s="55">
        <v>17</v>
      </c>
      <c r="F814" s="76" t="s">
        <v>1010</v>
      </c>
      <c r="G814" s="42">
        <f>SUM(G816)</f>
        <v>282432000</v>
      </c>
      <c r="H814" s="103">
        <v>16</v>
      </c>
      <c r="I814" s="42">
        <f>SUM(I816)</f>
        <v>90921000</v>
      </c>
      <c r="J814" s="103">
        <v>17</v>
      </c>
      <c r="K814" s="42">
        <f>SUM(K816)</f>
        <v>88888750</v>
      </c>
      <c r="L814" s="103">
        <f>L816</f>
        <v>0</v>
      </c>
      <c r="M814" s="42">
        <f>SUM(M816)</f>
        <v>6609300</v>
      </c>
      <c r="N814" s="103">
        <v>0</v>
      </c>
      <c r="O814" s="42">
        <f>SUM(O816)</f>
        <v>4664300</v>
      </c>
      <c r="P814" s="103">
        <v>17</v>
      </c>
      <c r="Q814" s="42">
        <f>SUM(Q816)</f>
        <v>5484300</v>
      </c>
      <c r="R814" s="103">
        <v>0</v>
      </c>
      <c r="S814" s="42">
        <f>S816</f>
        <v>56669300</v>
      </c>
      <c r="T814" s="55">
        <f t="shared" si="154"/>
        <v>17</v>
      </c>
      <c r="U814" s="55">
        <f>T814/J814*100</f>
        <v>100</v>
      </c>
      <c r="V814" s="58" t="s">
        <v>58</v>
      </c>
      <c r="W814" s="59">
        <f t="shared" si="153"/>
        <v>73427200</v>
      </c>
      <c r="X814" s="57">
        <f>W814/K814*100</f>
        <v>82.605729071451677</v>
      </c>
      <c r="Y814" s="58" t="s">
        <v>58</v>
      </c>
      <c r="Z814" s="55">
        <f>AVERAGE(T814,H814)</f>
        <v>16.5</v>
      </c>
      <c r="AA814" s="59">
        <f t="shared" si="152"/>
        <v>164348200</v>
      </c>
      <c r="AB814" s="57"/>
      <c r="AC814" s="58" t="s">
        <v>58</v>
      </c>
      <c r="AD814" s="57"/>
      <c r="AE814" s="11"/>
      <c r="AH814" s="25"/>
    </row>
    <row r="815" spans="1:34" ht="126">
      <c r="A815" s="16"/>
      <c r="B815" s="17"/>
      <c r="C815" s="1074"/>
      <c r="D815" s="19" t="s">
        <v>1035</v>
      </c>
      <c r="E815" s="55">
        <v>17</v>
      </c>
      <c r="F815" s="76" t="s">
        <v>1010</v>
      </c>
      <c r="G815" s="52"/>
      <c r="H815" s="103">
        <v>16</v>
      </c>
      <c r="I815" s="52"/>
      <c r="J815" s="103">
        <v>17</v>
      </c>
      <c r="K815" s="52"/>
      <c r="L815" s="103">
        <v>0</v>
      </c>
      <c r="M815" s="42"/>
      <c r="N815" s="103">
        <v>0</v>
      </c>
      <c r="O815" s="42"/>
      <c r="P815" s="103">
        <v>17</v>
      </c>
      <c r="Q815" s="42"/>
      <c r="R815" s="103">
        <v>0</v>
      </c>
      <c r="S815" s="42"/>
      <c r="T815" s="55">
        <f t="shared" si="154"/>
        <v>17</v>
      </c>
      <c r="U815" s="55">
        <f>T815/J815*100</f>
        <v>100</v>
      </c>
      <c r="V815" s="58" t="s">
        <v>58</v>
      </c>
      <c r="W815" s="59"/>
      <c r="X815" s="57"/>
      <c r="Y815" s="58"/>
      <c r="Z815" s="55">
        <f>AVERAGE(T815,H815)</f>
        <v>16.5</v>
      </c>
      <c r="AA815" s="59"/>
      <c r="AB815" s="57"/>
      <c r="AC815" s="58"/>
      <c r="AD815" s="57"/>
      <c r="AE815" s="11"/>
      <c r="AH815" s="25"/>
    </row>
    <row r="816" spans="1:34" ht="150">
      <c r="A816" s="16"/>
      <c r="B816" s="17"/>
      <c r="C816" s="73" t="s">
        <v>1036</v>
      </c>
      <c r="D816" s="29" t="s">
        <v>1037</v>
      </c>
      <c r="E816" s="104">
        <v>1</v>
      </c>
      <c r="F816" s="47" t="s">
        <v>966</v>
      </c>
      <c r="G816" s="62">
        <v>282432000</v>
      </c>
      <c r="H816" s="104">
        <v>1</v>
      </c>
      <c r="I816" s="62">
        <v>90921000</v>
      </c>
      <c r="J816" s="102">
        <v>1</v>
      </c>
      <c r="K816" s="62">
        <v>88888750</v>
      </c>
      <c r="L816" s="104">
        <v>0</v>
      </c>
      <c r="M816" s="28">
        <v>6609300</v>
      </c>
      <c r="N816" s="43">
        <v>0</v>
      </c>
      <c r="O816" s="122">
        <v>4664300</v>
      </c>
      <c r="P816" s="43">
        <v>1</v>
      </c>
      <c r="Q816" s="122">
        <v>5484300</v>
      </c>
      <c r="R816" s="43">
        <v>0</v>
      </c>
      <c r="S816" s="122">
        <v>56669300</v>
      </c>
      <c r="T816" s="282">
        <f t="shared" si="154"/>
        <v>1</v>
      </c>
      <c r="U816" s="83">
        <f>T816/J816*100</f>
        <v>100</v>
      </c>
      <c r="V816" s="72" t="s">
        <v>58</v>
      </c>
      <c r="W816" s="98">
        <f t="shared" si="153"/>
        <v>73427200</v>
      </c>
      <c r="X816" s="101">
        <f t="shared" si="156"/>
        <v>82.605729071451677</v>
      </c>
      <c r="Y816" s="72" t="s">
        <v>58</v>
      </c>
      <c r="Z816" s="282">
        <f t="shared" si="145"/>
        <v>2</v>
      </c>
      <c r="AA816" s="98">
        <f t="shared" si="152"/>
        <v>164348200</v>
      </c>
      <c r="AB816" s="101"/>
      <c r="AC816" s="72" t="s">
        <v>58</v>
      </c>
      <c r="AD816" s="101"/>
      <c r="AE816" s="11"/>
      <c r="AH816" s="25"/>
    </row>
    <row r="817" spans="1:34" ht="134.25" customHeight="1">
      <c r="A817" s="48">
        <v>6</v>
      </c>
      <c r="B817" s="49" t="s">
        <v>1038</v>
      </c>
      <c r="C817" s="49" t="s">
        <v>1039</v>
      </c>
      <c r="D817" s="19" t="s">
        <v>1040</v>
      </c>
      <c r="E817" s="108">
        <v>50</v>
      </c>
      <c r="F817" s="46" t="s">
        <v>1041</v>
      </c>
      <c r="G817" s="42">
        <v>519065000</v>
      </c>
      <c r="H817" s="107">
        <v>50</v>
      </c>
      <c r="I817" s="52">
        <f>I820+I827</f>
        <v>589610700</v>
      </c>
      <c r="J817" s="108">
        <v>50</v>
      </c>
      <c r="K817" s="52">
        <f>K820+K827</f>
        <v>1042306200</v>
      </c>
      <c r="L817" s="283">
        <v>50</v>
      </c>
      <c r="M817" s="52">
        <f>M820+M827</f>
        <v>0</v>
      </c>
      <c r="N817" s="283">
        <v>50</v>
      </c>
      <c r="O817" s="52">
        <f>O820+O827</f>
        <v>47193000</v>
      </c>
      <c r="P817" s="283">
        <v>50</v>
      </c>
      <c r="Q817" s="52">
        <f>Q820+Q827</f>
        <v>198894752</v>
      </c>
      <c r="R817" s="107">
        <v>50</v>
      </c>
      <c r="S817" s="52">
        <f>S820+S827</f>
        <v>713414870</v>
      </c>
      <c r="T817" s="57">
        <f>AVERAGE(L817,N817,P817,R817)</f>
        <v>50</v>
      </c>
      <c r="U817" s="57">
        <f>T817/J817*100</f>
        <v>100</v>
      </c>
      <c r="V817" s="58" t="s">
        <v>58</v>
      </c>
      <c r="W817" s="56">
        <f>SUM(M817,O817,Q817,S817)</f>
        <v>959502622</v>
      </c>
      <c r="X817" s="60">
        <f>W817/K817*100</f>
        <v>92.055733910054443</v>
      </c>
      <c r="Y817" s="48" t="s">
        <v>58</v>
      </c>
      <c r="Z817" s="57">
        <f>AVERAGE(H817,T817)</f>
        <v>50</v>
      </c>
      <c r="AA817" s="56">
        <f>SUM(I817,W817)</f>
        <v>1549113322</v>
      </c>
      <c r="AB817" s="57"/>
      <c r="AC817" s="58" t="s">
        <v>58</v>
      </c>
      <c r="AD817" s="60"/>
      <c r="AE817" s="11"/>
      <c r="AH817" s="25"/>
    </row>
    <row r="818" spans="1:34" ht="173.25">
      <c r="A818" s="16"/>
      <c r="B818" s="17"/>
      <c r="C818" s="17"/>
      <c r="D818" s="19" t="s">
        <v>1042</v>
      </c>
      <c r="E818" s="108">
        <v>25</v>
      </c>
      <c r="F818" s="46" t="s">
        <v>1041</v>
      </c>
      <c r="G818" s="97"/>
      <c r="H818" s="107">
        <v>25</v>
      </c>
      <c r="I818" s="97"/>
      <c r="J818" s="108">
        <v>25</v>
      </c>
      <c r="K818" s="97"/>
      <c r="L818" s="107">
        <v>25</v>
      </c>
      <c r="M818" s="97"/>
      <c r="N818" s="107">
        <v>25</v>
      </c>
      <c r="O818" s="97"/>
      <c r="P818" s="107">
        <v>25</v>
      </c>
      <c r="Q818" s="97"/>
      <c r="R818" s="107">
        <v>25</v>
      </c>
      <c r="S818" s="97"/>
      <c r="T818" s="57">
        <f>AVERAGE(L818,N818,P818,R818)</f>
        <v>25</v>
      </c>
      <c r="U818" s="55">
        <f t="shared" ref="U818:U830" si="160">T818/J818*100</f>
        <v>100</v>
      </c>
      <c r="V818" s="58" t="s">
        <v>58</v>
      </c>
      <c r="W818" s="276"/>
      <c r="X818" s="241"/>
      <c r="Y818" s="16"/>
      <c r="Z818" s="57">
        <f>AVERAGE(H818,T818)</f>
        <v>25</v>
      </c>
      <c r="AA818" s="276"/>
      <c r="AB818" s="57"/>
      <c r="AC818" s="58" t="s">
        <v>58</v>
      </c>
      <c r="AD818" s="241"/>
      <c r="AE818" s="11"/>
      <c r="AH818" s="25"/>
    </row>
    <row r="819" spans="1:34" ht="165.75" customHeight="1">
      <c r="A819" s="16"/>
      <c r="B819" s="17"/>
      <c r="C819" s="17"/>
      <c r="D819" s="19" t="s">
        <v>1043</v>
      </c>
      <c r="E819" s="108">
        <v>100</v>
      </c>
      <c r="F819" s="46" t="s">
        <v>1044</v>
      </c>
      <c r="G819" s="97"/>
      <c r="H819" s="250">
        <v>33.33</v>
      </c>
      <c r="I819" s="97"/>
      <c r="J819" s="108">
        <f>(J820+J821)/(J820+J821)*100</f>
        <v>100</v>
      </c>
      <c r="K819" s="97"/>
      <c r="L819" s="107">
        <v>0</v>
      </c>
      <c r="M819" s="97"/>
      <c r="N819" s="107">
        <v>0</v>
      </c>
      <c r="O819" s="97"/>
      <c r="P819" s="107">
        <v>0</v>
      </c>
      <c r="Q819" s="251"/>
      <c r="R819" s="107">
        <v>100</v>
      </c>
      <c r="S819" s="97"/>
      <c r="T819" s="57">
        <f t="shared" ref="T819:T828" si="161">SUM(L819,N819,P819,R819)</f>
        <v>100</v>
      </c>
      <c r="U819" s="57">
        <f t="shared" si="160"/>
        <v>100</v>
      </c>
      <c r="V819" s="58" t="s">
        <v>58</v>
      </c>
      <c r="W819" s="276"/>
      <c r="X819" s="241"/>
      <c r="Y819" s="16"/>
      <c r="Z819" s="57">
        <f>SUM(H819,T819)</f>
        <v>133.32999999999998</v>
      </c>
      <c r="AA819" s="276"/>
      <c r="AB819" s="57"/>
      <c r="AC819" s="58" t="s">
        <v>58</v>
      </c>
      <c r="AD819" s="241"/>
      <c r="AE819" s="11"/>
      <c r="AH819" s="25"/>
    </row>
    <row r="820" spans="1:34" ht="173.25">
      <c r="A820" s="16"/>
      <c r="B820" s="17"/>
      <c r="C820" s="49" t="s">
        <v>1045</v>
      </c>
      <c r="D820" s="19" t="s">
        <v>1046</v>
      </c>
      <c r="E820" s="252">
        <v>3</v>
      </c>
      <c r="F820" s="76" t="s">
        <v>1047</v>
      </c>
      <c r="G820" s="52">
        <f>SUM(G824:G826)</f>
        <v>126045000</v>
      </c>
      <c r="H820" s="103">
        <v>3</v>
      </c>
      <c r="I820" s="52">
        <f>SUM(I824:I826)</f>
        <v>19831000</v>
      </c>
      <c r="J820" s="103">
        <v>3</v>
      </c>
      <c r="K820" s="52">
        <f>SUM(K824:K826)</f>
        <v>859886200</v>
      </c>
      <c r="L820" s="103">
        <v>0</v>
      </c>
      <c r="M820" s="52">
        <f>SUM(M824:M826)</f>
        <v>0</v>
      </c>
      <c r="N820" s="103">
        <v>1</v>
      </c>
      <c r="O820" s="52">
        <f>SUM(O824:O826)</f>
        <v>47193000</v>
      </c>
      <c r="P820" s="103">
        <v>1</v>
      </c>
      <c r="Q820" s="52">
        <f>SUM(Q824:Q826)</f>
        <v>121253000</v>
      </c>
      <c r="R820" s="103">
        <v>1</v>
      </c>
      <c r="S820" s="52">
        <f>SUM(S824:S826)</f>
        <v>622262450</v>
      </c>
      <c r="T820" s="55">
        <f t="shared" si="161"/>
        <v>3</v>
      </c>
      <c r="U820" s="55">
        <f>T820/J820*100</f>
        <v>100</v>
      </c>
      <c r="V820" s="58" t="s">
        <v>58</v>
      </c>
      <c r="W820" s="56">
        <f>SUM(M820,O820,Q820,S820)</f>
        <v>790708450</v>
      </c>
      <c r="X820" s="60">
        <f>W820/K820*100</f>
        <v>91.95501102355172</v>
      </c>
      <c r="Y820" s="48" t="s">
        <v>58</v>
      </c>
      <c r="Z820" s="55">
        <f>AVERAGE(T820,H820)</f>
        <v>3</v>
      </c>
      <c r="AA820" s="56">
        <f>SUM(I820,W820)</f>
        <v>810539450</v>
      </c>
      <c r="AB820" s="57"/>
      <c r="AC820" s="58" t="s">
        <v>58</v>
      </c>
      <c r="AD820" s="60"/>
      <c r="AE820" s="11"/>
      <c r="AH820" s="25"/>
    </row>
    <row r="821" spans="1:34" ht="211.5" customHeight="1">
      <c r="A821" s="16"/>
      <c r="B821" s="17"/>
      <c r="C821" s="1066"/>
      <c r="D821" s="19" t="s">
        <v>1048</v>
      </c>
      <c r="E821" s="252">
        <v>1</v>
      </c>
      <c r="F821" s="76" t="s">
        <v>1047</v>
      </c>
      <c r="G821" s="41"/>
      <c r="H821" s="103">
        <v>1</v>
      </c>
      <c r="I821" s="41"/>
      <c r="J821" s="103">
        <v>1</v>
      </c>
      <c r="K821" s="41"/>
      <c r="L821" s="103">
        <v>0</v>
      </c>
      <c r="M821" s="41"/>
      <c r="N821" s="103">
        <v>0</v>
      </c>
      <c r="O821" s="41"/>
      <c r="P821" s="103">
        <v>0</v>
      </c>
      <c r="Q821" s="41"/>
      <c r="R821" s="103">
        <v>1</v>
      </c>
      <c r="S821" s="41"/>
      <c r="T821" s="55">
        <f t="shared" si="161"/>
        <v>1</v>
      </c>
      <c r="U821" s="55">
        <f t="shared" ref="U821" si="162">T821/J821*100</f>
        <v>100</v>
      </c>
      <c r="V821" s="58" t="s">
        <v>58</v>
      </c>
      <c r="W821" s="94"/>
      <c r="X821" s="239"/>
      <c r="Y821" s="240"/>
      <c r="Z821" s="55">
        <f t="shared" ref="Z821:Z823" si="163">AVERAGE(T821,H821)</f>
        <v>1</v>
      </c>
      <c r="AA821" s="94"/>
      <c r="AB821" s="57"/>
      <c r="AC821" s="58" t="s">
        <v>58</v>
      </c>
      <c r="AD821" s="239"/>
      <c r="AE821" s="11"/>
      <c r="AH821" s="25"/>
    </row>
    <row r="822" spans="1:34" ht="211.5" customHeight="1">
      <c r="A822" s="16"/>
      <c r="B822" s="17"/>
      <c r="C822" s="1066"/>
      <c r="D822" s="19" t="s">
        <v>1049</v>
      </c>
      <c r="E822" s="252">
        <v>7</v>
      </c>
      <c r="F822" s="76" t="s">
        <v>1050</v>
      </c>
      <c r="G822" s="97"/>
      <c r="H822" s="103">
        <v>7</v>
      </c>
      <c r="I822" s="97"/>
      <c r="J822" s="103">
        <v>7</v>
      </c>
      <c r="K822" s="97"/>
      <c r="L822" s="103">
        <v>0</v>
      </c>
      <c r="M822" s="41"/>
      <c r="N822" s="103">
        <v>2</v>
      </c>
      <c r="O822" s="97"/>
      <c r="P822" s="103">
        <v>2</v>
      </c>
      <c r="Q822" s="97"/>
      <c r="R822" s="103">
        <v>3</v>
      </c>
      <c r="S822" s="97"/>
      <c r="T822" s="55">
        <f t="shared" si="161"/>
        <v>7</v>
      </c>
      <c r="U822" s="55">
        <f>T822/J822*100</f>
        <v>100</v>
      </c>
      <c r="V822" s="58" t="s">
        <v>58</v>
      </c>
      <c r="W822" s="276"/>
      <c r="X822" s="241"/>
      <c r="Y822" s="16"/>
      <c r="Z822" s="55">
        <f t="shared" si="163"/>
        <v>7</v>
      </c>
      <c r="AA822" s="276"/>
      <c r="AB822" s="57"/>
      <c r="AC822" s="58"/>
      <c r="AD822" s="241"/>
      <c r="AE822" s="11"/>
      <c r="AH822" s="25"/>
    </row>
    <row r="823" spans="1:34" ht="211.5" customHeight="1">
      <c r="A823" s="16"/>
      <c r="B823" s="17"/>
      <c r="C823" s="1067"/>
      <c r="D823" s="19" t="s">
        <v>1051</v>
      </c>
      <c r="E823" s="252">
        <v>7</v>
      </c>
      <c r="F823" s="76" t="s">
        <v>1047</v>
      </c>
      <c r="G823" s="97"/>
      <c r="H823" s="103">
        <v>7</v>
      </c>
      <c r="I823" s="97"/>
      <c r="J823" s="103">
        <v>7</v>
      </c>
      <c r="K823" s="97"/>
      <c r="L823" s="103">
        <v>0</v>
      </c>
      <c r="M823" s="41"/>
      <c r="N823" s="103">
        <v>1</v>
      </c>
      <c r="O823" s="97"/>
      <c r="P823" s="103">
        <v>4</v>
      </c>
      <c r="Q823" s="97"/>
      <c r="R823" s="103">
        <v>2</v>
      </c>
      <c r="S823" s="97"/>
      <c r="T823" s="55">
        <f t="shared" si="161"/>
        <v>7</v>
      </c>
      <c r="U823" s="55">
        <f>T823/J823*100</f>
        <v>100</v>
      </c>
      <c r="V823" s="58" t="s">
        <v>58</v>
      </c>
      <c r="W823" s="276"/>
      <c r="X823" s="241"/>
      <c r="Y823" s="16"/>
      <c r="Z823" s="55">
        <f t="shared" si="163"/>
        <v>7</v>
      </c>
      <c r="AA823" s="276"/>
      <c r="AB823" s="57"/>
      <c r="AC823" s="58"/>
      <c r="AD823" s="241"/>
      <c r="AE823" s="11"/>
      <c r="AH823" s="25"/>
    </row>
    <row r="824" spans="1:34" ht="210">
      <c r="A824" s="16"/>
      <c r="B824" s="17"/>
      <c r="C824" s="29" t="s">
        <v>1052</v>
      </c>
      <c r="D824" s="29" t="s">
        <v>1053</v>
      </c>
      <c r="E824" s="104">
        <v>3</v>
      </c>
      <c r="F824" s="47" t="s">
        <v>55</v>
      </c>
      <c r="G824" s="62">
        <v>126045000</v>
      </c>
      <c r="H824" s="104">
        <v>2</v>
      </c>
      <c r="I824" s="62">
        <v>19831000</v>
      </c>
      <c r="J824" s="104">
        <v>2</v>
      </c>
      <c r="K824" s="62">
        <v>51540500</v>
      </c>
      <c r="L824" s="104">
        <v>0</v>
      </c>
      <c r="M824" s="23">
        <v>0</v>
      </c>
      <c r="N824" s="20">
        <v>1</v>
      </c>
      <c r="O824" s="62">
        <v>20407200</v>
      </c>
      <c r="P824" s="20">
        <v>0</v>
      </c>
      <c r="Q824" s="62">
        <v>11553600</v>
      </c>
      <c r="R824" s="20">
        <v>1</v>
      </c>
      <c r="S824" s="62">
        <v>11628600</v>
      </c>
      <c r="T824" s="54">
        <f t="shared" si="161"/>
        <v>2</v>
      </c>
      <c r="U824" s="54">
        <f t="shared" si="160"/>
        <v>100</v>
      </c>
      <c r="V824" s="35" t="s">
        <v>58</v>
      </c>
      <c r="W824" s="80">
        <f t="shared" ref="W824:W852" si="164">SUM(M824,O824,Q824,S824)</f>
        <v>43589400</v>
      </c>
      <c r="X824" s="248">
        <f t="shared" ref="X824:X856" si="165">W824/K824*100</f>
        <v>84.573102705639258</v>
      </c>
      <c r="Y824" s="253" t="s">
        <v>58</v>
      </c>
      <c r="Z824" s="54">
        <f t="shared" si="145"/>
        <v>4</v>
      </c>
      <c r="AA824" s="80">
        <f t="shared" ref="AA824:AA852" si="166">SUM(I824,W824)</f>
        <v>63420400</v>
      </c>
      <c r="AB824" s="53"/>
      <c r="AC824" s="35" t="s">
        <v>58</v>
      </c>
      <c r="AD824" s="248"/>
      <c r="AE824" s="11"/>
      <c r="AH824" s="25"/>
    </row>
    <row r="825" spans="1:34" ht="213" customHeight="1">
      <c r="A825" s="16"/>
      <c r="B825" s="17"/>
      <c r="C825" s="61" t="s">
        <v>1054</v>
      </c>
      <c r="D825" s="29" t="s">
        <v>1055</v>
      </c>
      <c r="E825" s="104">
        <v>2</v>
      </c>
      <c r="F825" s="47" t="s">
        <v>55</v>
      </c>
      <c r="G825" s="62">
        <v>0</v>
      </c>
      <c r="H825" s="104">
        <v>0</v>
      </c>
      <c r="I825" s="62">
        <v>0</v>
      </c>
      <c r="J825" s="104">
        <v>1</v>
      </c>
      <c r="K825" s="62">
        <v>13155000</v>
      </c>
      <c r="L825" s="104">
        <v>0</v>
      </c>
      <c r="M825" s="23">
        <v>0</v>
      </c>
      <c r="N825" s="20">
        <v>0</v>
      </c>
      <c r="O825" s="62">
        <v>0</v>
      </c>
      <c r="P825" s="20">
        <v>0</v>
      </c>
      <c r="Q825" s="62">
        <v>0</v>
      </c>
      <c r="R825" s="20">
        <v>1</v>
      </c>
      <c r="S825" s="62">
        <v>13055000</v>
      </c>
      <c r="T825" s="54">
        <f t="shared" si="161"/>
        <v>1</v>
      </c>
      <c r="U825" s="54">
        <f t="shared" si="160"/>
        <v>100</v>
      </c>
      <c r="V825" s="35" t="s">
        <v>58</v>
      </c>
      <c r="W825" s="80">
        <f t="shared" si="164"/>
        <v>13055000</v>
      </c>
      <c r="X825" s="248">
        <f t="shared" si="165"/>
        <v>99.2398327632079</v>
      </c>
      <c r="Y825" s="253" t="s">
        <v>58</v>
      </c>
      <c r="Z825" s="54">
        <f t="shared" si="145"/>
        <v>1</v>
      </c>
      <c r="AA825" s="80">
        <f t="shared" si="166"/>
        <v>13055000</v>
      </c>
      <c r="AB825" s="53"/>
      <c r="AC825" s="35" t="s">
        <v>58</v>
      </c>
      <c r="AD825" s="248"/>
      <c r="AE825" s="11"/>
      <c r="AH825" s="25"/>
    </row>
    <row r="826" spans="1:34" ht="183" customHeight="1">
      <c r="A826" s="16"/>
      <c r="B826" s="17"/>
      <c r="C826" s="29" t="s">
        <v>1056</v>
      </c>
      <c r="D826" s="29" t="s">
        <v>1057</v>
      </c>
      <c r="E826" s="104">
        <v>0</v>
      </c>
      <c r="F826" s="47" t="s">
        <v>55</v>
      </c>
      <c r="G826" s="62">
        <v>0</v>
      </c>
      <c r="H826" s="104">
        <v>0</v>
      </c>
      <c r="I826" s="62">
        <v>0</v>
      </c>
      <c r="J826" s="104">
        <v>2</v>
      </c>
      <c r="K826" s="62">
        <v>795190700</v>
      </c>
      <c r="L826" s="104">
        <v>1</v>
      </c>
      <c r="M826" s="23">
        <v>0</v>
      </c>
      <c r="N826" s="20">
        <v>1</v>
      </c>
      <c r="O826" s="62">
        <v>26785800</v>
      </c>
      <c r="P826" s="20">
        <v>0</v>
      </c>
      <c r="Q826" s="62">
        <v>109699400</v>
      </c>
      <c r="R826" s="20">
        <v>0</v>
      </c>
      <c r="S826" s="62">
        <v>597578850</v>
      </c>
      <c r="T826" s="54">
        <f t="shared" si="161"/>
        <v>2</v>
      </c>
      <c r="U826" s="54">
        <f t="shared" si="160"/>
        <v>100</v>
      </c>
      <c r="V826" s="35" t="s">
        <v>58</v>
      </c>
      <c r="W826" s="80">
        <f t="shared" si="164"/>
        <v>734064050</v>
      </c>
      <c r="X826" s="248">
        <f t="shared" si="165"/>
        <v>92.312957130912125</v>
      </c>
      <c r="Y826" s="253" t="s">
        <v>58</v>
      </c>
      <c r="Z826" s="54">
        <f t="shared" si="145"/>
        <v>2</v>
      </c>
      <c r="AA826" s="80">
        <f t="shared" si="166"/>
        <v>734064050</v>
      </c>
      <c r="AB826" s="53"/>
      <c r="AC826" s="35" t="s">
        <v>58</v>
      </c>
      <c r="AD826" s="248"/>
      <c r="AE826" s="11"/>
      <c r="AH826" s="25"/>
    </row>
    <row r="827" spans="1:34" ht="177.75" customHeight="1">
      <c r="A827" s="16"/>
      <c r="B827" s="17"/>
      <c r="C827" s="18" t="s">
        <v>1058</v>
      </c>
      <c r="D827" s="19" t="s">
        <v>1059</v>
      </c>
      <c r="E827" s="55">
        <f>8/8*100</f>
        <v>100</v>
      </c>
      <c r="F827" s="46" t="s">
        <v>58</v>
      </c>
      <c r="G827" s="42">
        <f>SUM(G828)</f>
        <v>1133598441</v>
      </c>
      <c r="H827" s="103">
        <v>35.29</v>
      </c>
      <c r="I827" s="42">
        <f>SUM(I828)</f>
        <v>569779700</v>
      </c>
      <c r="J827" s="128">
        <v>70.59</v>
      </c>
      <c r="K827" s="42">
        <f>SUM(K828)</f>
        <v>182420000</v>
      </c>
      <c r="L827" s="249">
        <v>0</v>
      </c>
      <c r="M827" s="42">
        <f>SUM(M828)</f>
        <v>0</v>
      </c>
      <c r="N827" s="108">
        <v>0</v>
      </c>
      <c r="O827" s="42">
        <v>0</v>
      </c>
      <c r="P827" s="108">
        <v>0</v>
      </c>
      <c r="Q827" s="42">
        <f>Q828</f>
        <v>77641752</v>
      </c>
      <c r="R827" s="107">
        <v>100</v>
      </c>
      <c r="S827" s="42">
        <f>S828</f>
        <v>91152420</v>
      </c>
      <c r="T827" s="57">
        <f t="shared" si="161"/>
        <v>100</v>
      </c>
      <c r="U827" s="55">
        <f>T827/J827*100</f>
        <v>141.66312508853943</v>
      </c>
      <c r="V827" s="58" t="s">
        <v>58</v>
      </c>
      <c r="W827" s="59">
        <f t="shared" si="164"/>
        <v>168794172</v>
      </c>
      <c r="X827" s="57">
        <f>W827/K827*100</f>
        <v>92.530518583488657</v>
      </c>
      <c r="Y827" s="58" t="s">
        <v>58</v>
      </c>
      <c r="Z827" s="57">
        <f>SUM(H827,T827)</f>
        <v>135.29</v>
      </c>
      <c r="AA827" s="59">
        <f t="shared" si="166"/>
        <v>738573872</v>
      </c>
      <c r="AB827" s="57"/>
      <c r="AC827" s="58" t="s">
        <v>58</v>
      </c>
      <c r="AD827" s="57"/>
      <c r="AE827" s="11"/>
      <c r="AH827" s="25"/>
    </row>
    <row r="828" spans="1:34" ht="146.25" customHeight="1">
      <c r="A828" s="16"/>
      <c r="B828" s="17"/>
      <c r="C828" s="26" t="s">
        <v>1060</v>
      </c>
      <c r="D828" s="29" t="s">
        <v>1061</v>
      </c>
      <c r="E828" s="104">
        <f>2*3</f>
        <v>6</v>
      </c>
      <c r="F828" s="21" t="s">
        <v>966</v>
      </c>
      <c r="G828" s="23">
        <v>1133598441</v>
      </c>
      <c r="H828" s="104">
        <v>2</v>
      </c>
      <c r="I828" s="23">
        <v>569779700</v>
      </c>
      <c r="J828" s="104">
        <v>1</v>
      </c>
      <c r="K828" s="23">
        <v>182420000</v>
      </c>
      <c r="L828" s="104">
        <v>0</v>
      </c>
      <c r="M828" s="23">
        <v>0</v>
      </c>
      <c r="N828" s="20">
        <v>0</v>
      </c>
      <c r="O828" s="23">
        <v>0</v>
      </c>
      <c r="P828" s="20">
        <v>1</v>
      </c>
      <c r="Q828" s="23">
        <v>77641752</v>
      </c>
      <c r="R828" s="20">
        <v>0</v>
      </c>
      <c r="S828" s="23">
        <v>91152420</v>
      </c>
      <c r="T828" s="54">
        <f t="shared" si="161"/>
        <v>1</v>
      </c>
      <c r="U828" s="54">
        <f t="shared" si="160"/>
        <v>100</v>
      </c>
      <c r="V828" s="35" t="s">
        <v>58</v>
      </c>
      <c r="W828" s="40">
        <f t="shared" si="164"/>
        <v>168794172</v>
      </c>
      <c r="X828" s="53">
        <f t="shared" si="165"/>
        <v>92.530518583488657</v>
      </c>
      <c r="Y828" s="35" t="s">
        <v>58</v>
      </c>
      <c r="Z828" s="54">
        <f t="shared" ref="Z828:Z857" si="167">SUM(H828,T828)</f>
        <v>3</v>
      </c>
      <c r="AA828" s="40">
        <f t="shared" si="166"/>
        <v>738573872</v>
      </c>
      <c r="AB828" s="53"/>
      <c r="AC828" s="35" t="s">
        <v>58</v>
      </c>
      <c r="AD828" s="53"/>
      <c r="AE828" s="11"/>
      <c r="AH828" s="25"/>
    </row>
    <row r="829" spans="1:34" ht="157.5">
      <c r="A829" s="16"/>
      <c r="B829" s="17"/>
      <c r="C829" s="1065" t="s">
        <v>1062</v>
      </c>
      <c r="D829" s="19" t="s">
        <v>1063</v>
      </c>
      <c r="E829" s="107">
        <v>72.73</v>
      </c>
      <c r="F829" s="107" t="s">
        <v>1044</v>
      </c>
      <c r="G829" s="41">
        <f>G832</f>
        <v>23256437500</v>
      </c>
      <c r="H829" s="107">
        <v>45.45</v>
      </c>
      <c r="I829" s="41">
        <f>I832</f>
        <v>3307644976</v>
      </c>
      <c r="J829" s="107">
        <v>72.73</v>
      </c>
      <c r="K829" s="41">
        <f>K832</f>
        <v>5303631300</v>
      </c>
      <c r="L829" s="107">
        <v>45.45</v>
      </c>
      <c r="M829" s="41">
        <f>M832</f>
        <v>0</v>
      </c>
      <c r="N829" s="107">
        <v>45.45</v>
      </c>
      <c r="O829" s="41">
        <f>O832</f>
        <v>574973382</v>
      </c>
      <c r="P829" s="107">
        <v>45.45</v>
      </c>
      <c r="Q829" s="41">
        <f>Q832</f>
        <v>1668788208</v>
      </c>
      <c r="R829" s="254">
        <v>45.45</v>
      </c>
      <c r="S829" s="41">
        <f>S832</f>
        <v>2518351160</v>
      </c>
      <c r="T829" s="255">
        <f>AVERAGE(L829,N829,P829,R829)</f>
        <v>45.45</v>
      </c>
      <c r="U829" s="57">
        <f>T829/J829*100</f>
        <v>62.491406572253538</v>
      </c>
      <c r="V829" s="58" t="s">
        <v>58</v>
      </c>
      <c r="W829" s="59">
        <f t="shared" si="164"/>
        <v>4762112750</v>
      </c>
      <c r="X829" s="57">
        <f>W829/K829*100</f>
        <v>89.789664488932331</v>
      </c>
      <c r="Y829" s="58" t="s">
        <v>58</v>
      </c>
      <c r="Z829" s="57">
        <f t="shared" si="167"/>
        <v>90.9</v>
      </c>
      <c r="AA829" s="59">
        <f t="shared" si="166"/>
        <v>8069757726</v>
      </c>
      <c r="AB829" s="57"/>
      <c r="AC829" s="58" t="s">
        <v>58</v>
      </c>
      <c r="AD829" s="57"/>
      <c r="AE829" s="11"/>
      <c r="AH829" s="25"/>
    </row>
    <row r="830" spans="1:34" ht="110.25">
      <c r="A830" s="16"/>
      <c r="B830" s="17"/>
      <c r="C830" s="1066"/>
      <c r="D830" s="19" t="s">
        <v>1064</v>
      </c>
      <c r="E830" s="284">
        <v>100</v>
      </c>
      <c r="F830" s="284" t="s">
        <v>1044</v>
      </c>
      <c r="G830" s="41"/>
      <c r="H830" s="284">
        <v>100</v>
      </c>
      <c r="I830" s="41"/>
      <c r="J830" s="107">
        <v>100</v>
      </c>
      <c r="K830" s="41"/>
      <c r="L830" s="107">
        <v>100</v>
      </c>
      <c r="M830" s="41"/>
      <c r="N830" s="107">
        <v>100</v>
      </c>
      <c r="O830" s="41"/>
      <c r="P830" s="107">
        <v>100</v>
      </c>
      <c r="Q830" s="41"/>
      <c r="R830" s="254">
        <v>100</v>
      </c>
      <c r="S830" s="41"/>
      <c r="T830" s="255">
        <f>AVERAGE(L830,N830,P830,R830)</f>
        <v>100</v>
      </c>
      <c r="U830" s="57">
        <f t="shared" si="160"/>
        <v>100</v>
      </c>
      <c r="V830" s="58" t="s">
        <v>58</v>
      </c>
      <c r="W830" s="59"/>
      <c r="X830" s="57"/>
      <c r="Y830" s="58"/>
      <c r="Z830" s="57"/>
      <c r="AA830" s="59"/>
      <c r="AB830" s="57"/>
      <c r="AC830" s="58"/>
      <c r="AD830" s="57"/>
      <c r="AE830" s="11"/>
      <c r="AH830" s="25"/>
    </row>
    <row r="831" spans="1:34" ht="63">
      <c r="A831" s="16"/>
      <c r="B831" s="17"/>
      <c r="C831" s="1066"/>
      <c r="D831" s="19" t="s">
        <v>1065</v>
      </c>
      <c r="E831" s="284">
        <v>6.89</v>
      </c>
      <c r="F831" s="284" t="s">
        <v>1044</v>
      </c>
      <c r="G831" s="41"/>
      <c r="H831" s="284">
        <v>6.3</v>
      </c>
      <c r="I831" s="41"/>
      <c r="J831" s="107">
        <v>6.48</v>
      </c>
      <c r="K831" s="41"/>
      <c r="L831" s="107">
        <v>6.3</v>
      </c>
      <c r="M831" s="41"/>
      <c r="N831" s="107">
        <v>6.3</v>
      </c>
      <c r="O831" s="41"/>
      <c r="P831" s="107">
        <v>6.3</v>
      </c>
      <c r="Q831" s="41"/>
      <c r="R831" s="254">
        <v>6.32</v>
      </c>
      <c r="S831" s="41"/>
      <c r="T831" s="255">
        <f>R831</f>
        <v>6.32</v>
      </c>
      <c r="U831" s="57">
        <f>T831/J831*100</f>
        <v>97.53086419753086</v>
      </c>
      <c r="V831" s="58" t="s">
        <v>58</v>
      </c>
      <c r="W831" s="59"/>
      <c r="X831" s="57"/>
      <c r="Y831" s="58"/>
      <c r="Z831" s="57"/>
      <c r="AA831" s="59"/>
      <c r="AB831" s="57"/>
      <c r="AC831" s="58"/>
      <c r="AD831" s="57"/>
      <c r="AE831" s="11"/>
      <c r="AH831" s="25"/>
    </row>
    <row r="832" spans="1:34" ht="78.75">
      <c r="A832" s="16"/>
      <c r="B832" s="17"/>
      <c r="C832" s="1066" t="s">
        <v>1066</v>
      </c>
      <c r="D832" s="19" t="s">
        <v>1067</v>
      </c>
      <c r="E832" s="256">
        <v>132.97300000000001</v>
      </c>
      <c r="F832" s="46" t="s">
        <v>1068</v>
      </c>
      <c r="G832" s="42">
        <f>SUM(G836)</f>
        <v>23256437500</v>
      </c>
      <c r="H832" s="256">
        <v>121.64</v>
      </c>
      <c r="I832" s="42">
        <f>SUM(I836)</f>
        <v>3307644976</v>
      </c>
      <c r="J832" s="255">
        <f>J835</f>
        <v>123.22</v>
      </c>
      <c r="K832" s="42">
        <f>SUM(K836)</f>
        <v>5303631300</v>
      </c>
      <c r="L832" s="257">
        <f>L836</f>
        <v>0.25</v>
      </c>
      <c r="M832" s="42">
        <f>SUM(M836)</f>
        <v>0</v>
      </c>
      <c r="N832" s="258">
        <f>N836</f>
        <v>0.25</v>
      </c>
      <c r="O832" s="42">
        <f>SUM(O836)</f>
        <v>574973382</v>
      </c>
      <c r="P832" s="258">
        <f>P836</f>
        <v>0.25</v>
      </c>
      <c r="Q832" s="42">
        <f>SUM(Q836)</f>
        <v>1668788208</v>
      </c>
      <c r="R832" s="258">
        <f>R836</f>
        <v>0.52</v>
      </c>
      <c r="S832" s="42">
        <f>S836</f>
        <v>2518351160</v>
      </c>
      <c r="T832" s="255">
        <f>L832+N832+P832+R832</f>
        <v>1.27</v>
      </c>
      <c r="U832" s="53">
        <f>Z832/J832*100</f>
        <v>101.03067683817561</v>
      </c>
      <c r="V832" s="58" t="s">
        <v>58</v>
      </c>
      <c r="W832" s="59">
        <f t="shared" si="164"/>
        <v>4762112750</v>
      </c>
      <c r="X832" s="57">
        <f>W832/K832*100</f>
        <v>89.789664488932331</v>
      </c>
      <c r="Y832" s="58" t="s">
        <v>58</v>
      </c>
      <c r="Z832" s="57">
        <f>J832+T832</f>
        <v>124.49</v>
      </c>
      <c r="AA832" s="59">
        <f t="shared" si="166"/>
        <v>8069757726</v>
      </c>
      <c r="AB832" s="57"/>
      <c r="AC832" s="58" t="s">
        <v>58</v>
      </c>
      <c r="AD832" s="57"/>
      <c r="AE832" s="11"/>
      <c r="AH832" s="25"/>
    </row>
    <row r="833" spans="1:35" ht="126">
      <c r="A833" s="1075"/>
      <c r="B833" s="1076"/>
      <c r="C833" s="1066"/>
      <c r="D833" s="19" t="s">
        <v>1069</v>
      </c>
      <c r="E833" s="259">
        <v>6</v>
      </c>
      <c r="F833" s="46" t="s">
        <v>1070</v>
      </c>
      <c r="G833" s="42"/>
      <c r="H833" s="259">
        <v>2</v>
      </c>
      <c r="I833" s="42"/>
      <c r="J833" s="260">
        <v>2</v>
      </c>
      <c r="K833" s="42"/>
      <c r="L833" s="249">
        <v>0</v>
      </c>
      <c r="M833" s="42"/>
      <c r="N833" s="261">
        <v>1</v>
      </c>
      <c r="O833" s="42"/>
      <c r="P833" s="261">
        <v>0</v>
      </c>
      <c r="Q833" s="42"/>
      <c r="R833" s="258">
        <v>1</v>
      </c>
      <c r="S833" s="42"/>
      <c r="T833" s="255">
        <f>L833+N833+P833+R833</f>
        <v>2</v>
      </c>
      <c r="U833" s="53">
        <f>T833/J833*100</f>
        <v>100</v>
      </c>
      <c r="V833" s="58" t="s">
        <v>58</v>
      </c>
      <c r="W833" s="59"/>
      <c r="X833" s="57"/>
      <c r="Y833" s="58"/>
      <c r="Z833" s="57">
        <f>J833+T833</f>
        <v>4</v>
      </c>
      <c r="AA833" s="59"/>
      <c r="AB833" s="57"/>
      <c r="AC833" s="58"/>
      <c r="AD833" s="57"/>
      <c r="AE833" s="11"/>
      <c r="AH833" s="25"/>
    </row>
    <row r="834" spans="1:35" ht="94.5">
      <c r="A834" s="1075"/>
      <c r="B834" s="1076"/>
      <c r="C834" s="1066"/>
      <c r="D834" s="19" t="s">
        <v>1071</v>
      </c>
      <c r="E834" s="259">
        <v>14</v>
      </c>
      <c r="F834" s="46" t="s">
        <v>1072</v>
      </c>
      <c r="G834" s="42"/>
      <c r="H834" s="259">
        <v>4</v>
      </c>
      <c r="I834" s="42"/>
      <c r="J834" s="260">
        <v>5</v>
      </c>
      <c r="K834" s="262"/>
      <c r="L834" s="249">
        <v>1</v>
      </c>
      <c r="M834" s="42"/>
      <c r="N834" s="261">
        <v>2</v>
      </c>
      <c r="O834" s="42"/>
      <c r="P834" s="261">
        <v>1</v>
      </c>
      <c r="Q834" s="42"/>
      <c r="R834" s="258">
        <v>0</v>
      </c>
      <c r="S834" s="42"/>
      <c r="T834" s="255">
        <f>L834+N834+P834+R834</f>
        <v>4</v>
      </c>
      <c r="U834" s="53">
        <f>T834/J834*100</f>
        <v>80</v>
      </c>
      <c r="V834" s="58" t="s">
        <v>58</v>
      </c>
      <c r="W834" s="59"/>
      <c r="X834" s="57"/>
      <c r="Y834" s="58"/>
      <c r="Z834" s="57">
        <f>J834+T834</f>
        <v>9</v>
      </c>
      <c r="AA834" s="59"/>
      <c r="AB834" s="57"/>
      <c r="AC834" s="58"/>
      <c r="AD834" s="57"/>
      <c r="AE834" s="11"/>
      <c r="AH834" s="25"/>
    </row>
    <row r="835" spans="1:35" ht="110.25">
      <c r="A835" s="1075"/>
      <c r="B835" s="1076"/>
      <c r="C835" s="1067"/>
      <c r="D835" s="19" t="s">
        <v>1073</v>
      </c>
      <c r="E835" s="256">
        <v>132.97300000000001</v>
      </c>
      <c r="F835" s="46" t="s">
        <v>1068</v>
      </c>
      <c r="G835" s="42"/>
      <c r="H835" s="256">
        <f>H836</f>
        <v>121.64</v>
      </c>
      <c r="I835" s="42"/>
      <c r="J835" s="255">
        <f>J836</f>
        <v>123.22</v>
      </c>
      <c r="K835" s="42"/>
      <c r="L835" s="249">
        <v>2.95</v>
      </c>
      <c r="M835" s="42"/>
      <c r="N835" s="258">
        <v>0</v>
      </c>
      <c r="O835" s="42"/>
      <c r="P835" s="258">
        <v>2.58</v>
      </c>
      <c r="Q835" s="42"/>
      <c r="R835" s="258"/>
      <c r="S835" s="42"/>
      <c r="T835" s="255">
        <f>L835+N835+P835+R835</f>
        <v>5.53</v>
      </c>
      <c r="U835" s="53">
        <f>Z835/J835*100</f>
        <v>104.48790780717417</v>
      </c>
      <c r="V835" s="58" t="s">
        <v>58</v>
      </c>
      <c r="W835" s="59"/>
      <c r="X835" s="57"/>
      <c r="Y835" s="58"/>
      <c r="Z835" s="57">
        <f>J835+T835</f>
        <v>128.75</v>
      </c>
      <c r="AA835" s="59"/>
      <c r="AB835" s="57"/>
      <c r="AC835" s="58"/>
      <c r="AD835" s="57"/>
      <c r="AE835" s="11"/>
      <c r="AH835" s="25"/>
    </row>
    <row r="836" spans="1:35" ht="84.75" customHeight="1">
      <c r="A836" s="16"/>
      <c r="B836" s="17"/>
      <c r="C836" s="26" t="s">
        <v>1074</v>
      </c>
      <c r="D836" s="29" t="s">
        <v>1075</v>
      </c>
      <c r="E836" s="285">
        <v>132.97300000000001</v>
      </c>
      <c r="F836" s="21" t="s">
        <v>1068</v>
      </c>
      <c r="G836" s="23">
        <v>23256437500</v>
      </c>
      <c r="H836" s="263">
        <v>121.64</v>
      </c>
      <c r="I836" s="23">
        <v>3307644976</v>
      </c>
      <c r="J836" s="264">
        <v>123.22</v>
      </c>
      <c r="K836" s="23">
        <v>5303631300</v>
      </c>
      <c r="L836" s="285">
        <v>0.25</v>
      </c>
      <c r="M836" s="23">
        <v>0</v>
      </c>
      <c r="N836" s="286">
        <v>0.25</v>
      </c>
      <c r="O836" s="23">
        <v>574973382</v>
      </c>
      <c r="P836" s="286">
        <v>0.25</v>
      </c>
      <c r="Q836" s="23">
        <v>1668788208</v>
      </c>
      <c r="R836" s="20">
        <v>0.52</v>
      </c>
      <c r="S836" s="23">
        <v>2518351160</v>
      </c>
      <c r="T836" s="287">
        <f>SUM(L836,N836,P836,R836)</f>
        <v>1.27</v>
      </c>
      <c r="U836" s="53">
        <f>Z836/J836*100</f>
        <v>99.748417464697297</v>
      </c>
      <c r="V836" s="35" t="s">
        <v>58</v>
      </c>
      <c r="W836" s="40">
        <f t="shared" si="164"/>
        <v>4762112750</v>
      </c>
      <c r="X836" s="53">
        <f>W836/K836*100</f>
        <v>89.789664488932331</v>
      </c>
      <c r="Y836" s="35" t="s">
        <v>58</v>
      </c>
      <c r="Z836" s="287">
        <f>SUM(H836,T836)</f>
        <v>122.91</v>
      </c>
      <c r="AA836" s="40">
        <f t="shared" si="166"/>
        <v>8069757726</v>
      </c>
      <c r="AB836" s="53"/>
      <c r="AC836" s="35" t="s">
        <v>58</v>
      </c>
      <c r="AD836" s="53"/>
      <c r="AE836" s="11"/>
      <c r="AH836" s="25"/>
    </row>
    <row r="837" spans="1:35" ht="236.25">
      <c r="A837" s="16"/>
      <c r="B837" s="17"/>
      <c r="C837" s="18" t="s">
        <v>1076</v>
      </c>
      <c r="D837" s="19" t="s">
        <v>1077</v>
      </c>
      <c r="E837" s="128">
        <v>100</v>
      </c>
      <c r="F837" s="46" t="s">
        <v>58</v>
      </c>
      <c r="G837" s="41">
        <f>G838</f>
        <v>91476000</v>
      </c>
      <c r="H837" s="107">
        <v>0</v>
      </c>
      <c r="I837" s="41">
        <f>SUM(I838)</f>
        <v>0</v>
      </c>
      <c r="J837" s="265">
        <v>100</v>
      </c>
      <c r="K837" s="41">
        <f>SUM(K838)</f>
        <v>32920000</v>
      </c>
      <c r="L837" s="107">
        <v>50</v>
      </c>
      <c r="M837" s="41">
        <f>M838</f>
        <v>0</v>
      </c>
      <c r="N837" s="107">
        <v>67.78</v>
      </c>
      <c r="O837" s="41">
        <v>0</v>
      </c>
      <c r="P837" s="107">
        <v>67.78</v>
      </c>
      <c r="Q837" s="41">
        <f>Q838</f>
        <v>1875000</v>
      </c>
      <c r="R837" s="107">
        <v>100</v>
      </c>
      <c r="S837" s="41">
        <f>S838</f>
        <v>937500</v>
      </c>
      <c r="T837" s="255">
        <f>AVERAGE(L837,N837,P837,R837)</f>
        <v>71.39</v>
      </c>
      <c r="U837" s="57">
        <f>T837/J837*100</f>
        <v>71.39</v>
      </c>
      <c r="V837" s="58" t="s">
        <v>58</v>
      </c>
      <c r="W837" s="56">
        <f t="shared" si="164"/>
        <v>2812500</v>
      </c>
      <c r="X837" s="60">
        <f>W837/K837*100</f>
        <v>8.5434386391251511</v>
      </c>
      <c r="Y837" s="48" t="s">
        <v>58</v>
      </c>
      <c r="Z837" s="55">
        <f t="shared" si="167"/>
        <v>71.39</v>
      </c>
      <c r="AA837" s="56">
        <f t="shared" si="166"/>
        <v>2812500</v>
      </c>
      <c r="AB837" s="57"/>
      <c r="AC837" s="58" t="s">
        <v>58</v>
      </c>
      <c r="AD837" s="60"/>
      <c r="AE837" s="11"/>
      <c r="AH837" s="25"/>
    </row>
    <row r="838" spans="1:35" ht="276" customHeight="1">
      <c r="A838" s="16"/>
      <c r="B838" s="17"/>
      <c r="C838" s="18" t="s">
        <v>1078</v>
      </c>
      <c r="D838" s="19" t="s">
        <v>1079</v>
      </c>
      <c r="E838" s="103">
        <v>100</v>
      </c>
      <c r="F838" s="46" t="s">
        <v>58</v>
      </c>
      <c r="G838" s="42">
        <f>G839+G840</f>
        <v>91476000</v>
      </c>
      <c r="H838" s="255">
        <v>0</v>
      </c>
      <c r="I838" s="42">
        <f>SUM(I839:I840)</f>
        <v>0</v>
      </c>
      <c r="J838" s="260">
        <f>32/32*100</f>
        <v>100</v>
      </c>
      <c r="K838" s="42">
        <f>SUM(K839:K840)</f>
        <v>32920000</v>
      </c>
      <c r="L838" s="128">
        <v>0</v>
      </c>
      <c r="M838" s="42">
        <f>SUM(M839:M840)</f>
        <v>0</v>
      </c>
      <c r="N838" s="128">
        <v>0</v>
      </c>
      <c r="O838" s="42">
        <v>0</v>
      </c>
      <c r="P838" s="128">
        <v>0</v>
      </c>
      <c r="Q838" s="42">
        <f>Q839+Q840</f>
        <v>1875000</v>
      </c>
      <c r="R838" s="128">
        <v>100</v>
      </c>
      <c r="S838" s="42">
        <f>S839+S840</f>
        <v>937500</v>
      </c>
      <c r="T838" s="57">
        <f>SUM(L838,N838,P838,R838)</f>
        <v>100</v>
      </c>
      <c r="U838" s="57">
        <f>Z838/J838*100</f>
        <v>100</v>
      </c>
      <c r="V838" s="58" t="s">
        <v>58</v>
      </c>
      <c r="W838" s="59">
        <f t="shared" si="164"/>
        <v>2812500</v>
      </c>
      <c r="X838" s="57">
        <f t="shared" si="165"/>
        <v>8.5434386391251511</v>
      </c>
      <c r="Y838" s="58" t="s">
        <v>58</v>
      </c>
      <c r="Z838" s="57">
        <f t="shared" si="167"/>
        <v>100</v>
      </c>
      <c r="AA838" s="59">
        <f t="shared" si="166"/>
        <v>2812500</v>
      </c>
      <c r="AB838" s="57"/>
      <c r="AC838" s="58" t="s">
        <v>58</v>
      </c>
      <c r="AD838" s="239"/>
      <c r="AE838" s="11"/>
      <c r="AH838" s="25"/>
    </row>
    <row r="839" spans="1:35" ht="255">
      <c r="A839" s="72"/>
      <c r="B839" s="73"/>
      <c r="C839" s="26" t="s">
        <v>1080</v>
      </c>
      <c r="D839" s="29" t="s">
        <v>1081</v>
      </c>
      <c r="E839" s="104">
        <v>32</v>
      </c>
      <c r="F839" s="21" t="s">
        <v>173</v>
      </c>
      <c r="G839" s="23">
        <v>45738000</v>
      </c>
      <c r="H839" s="285"/>
      <c r="I839" s="23">
        <v>0</v>
      </c>
      <c r="J839" s="104">
        <v>28</v>
      </c>
      <c r="K839" s="23">
        <v>6430000</v>
      </c>
      <c r="L839" s="104">
        <v>7</v>
      </c>
      <c r="M839" s="23">
        <v>0</v>
      </c>
      <c r="N839" s="20">
        <v>5</v>
      </c>
      <c r="O839" s="28">
        <v>0</v>
      </c>
      <c r="P839" s="20">
        <v>5</v>
      </c>
      <c r="Q839" s="28">
        <v>937500</v>
      </c>
      <c r="R839" s="20">
        <v>11</v>
      </c>
      <c r="S839" s="28">
        <v>937500</v>
      </c>
      <c r="T839" s="54">
        <f>SUM(L839,N839,P839,R839)</f>
        <v>28</v>
      </c>
      <c r="U839" s="54">
        <f>T839/J839*100</f>
        <v>100</v>
      </c>
      <c r="V839" s="35" t="s">
        <v>58</v>
      </c>
      <c r="W839" s="40">
        <f t="shared" si="164"/>
        <v>1875000</v>
      </c>
      <c r="X839" s="53">
        <f t="shared" si="165"/>
        <v>29.160186625194402</v>
      </c>
      <c r="Y839" s="35" t="s">
        <v>58</v>
      </c>
      <c r="Z839" s="53">
        <f t="shared" si="167"/>
        <v>28</v>
      </c>
      <c r="AA839" s="40">
        <f t="shared" si="166"/>
        <v>1875000</v>
      </c>
      <c r="AB839" s="86"/>
      <c r="AC839" s="84" t="s">
        <v>58</v>
      </c>
      <c r="AD839" s="86"/>
      <c r="AE839" s="11"/>
      <c r="AH839" s="25"/>
    </row>
    <row r="840" spans="1:35" ht="198" customHeight="1">
      <c r="A840" s="72"/>
      <c r="B840" s="73"/>
      <c r="C840" s="26" t="s">
        <v>1082</v>
      </c>
      <c r="D840" s="29" t="s">
        <v>1083</v>
      </c>
      <c r="E840" s="104">
        <v>1</v>
      </c>
      <c r="F840" s="21" t="s">
        <v>55</v>
      </c>
      <c r="G840" s="23">
        <v>45738000</v>
      </c>
      <c r="H840" s="285">
        <v>1</v>
      </c>
      <c r="I840" s="23">
        <v>0</v>
      </c>
      <c r="J840" s="104">
        <v>1</v>
      </c>
      <c r="K840" s="23">
        <v>26490000</v>
      </c>
      <c r="L840" s="104">
        <v>0</v>
      </c>
      <c r="M840" s="23">
        <v>0</v>
      </c>
      <c r="N840" s="20">
        <v>0</v>
      </c>
      <c r="O840" s="28">
        <v>0</v>
      </c>
      <c r="P840" s="20">
        <v>0</v>
      </c>
      <c r="Q840" s="28">
        <v>937500</v>
      </c>
      <c r="R840" s="20">
        <v>1</v>
      </c>
      <c r="S840" s="28"/>
      <c r="T840" s="54">
        <f>SUM(L840,N840,P840,R840)</f>
        <v>1</v>
      </c>
      <c r="U840" s="54">
        <f>T840/J840*100</f>
        <v>100</v>
      </c>
      <c r="V840" s="35" t="s">
        <v>58</v>
      </c>
      <c r="W840" s="85">
        <f t="shared" si="164"/>
        <v>937500</v>
      </c>
      <c r="X840" s="101">
        <f t="shared" si="165"/>
        <v>3.5390713476783695</v>
      </c>
      <c r="Y840" s="72" t="s">
        <v>58</v>
      </c>
      <c r="Z840" s="86">
        <f t="shared" si="167"/>
        <v>2</v>
      </c>
      <c r="AA840" s="85">
        <f t="shared" si="166"/>
        <v>937500</v>
      </c>
      <c r="AB840" s="53"/>
      <c r="AC840" s="35" t="s">
        <v>58</v>
      </c>
      <c r="AD840" s="86"/>
      <c r="AE840" s="11"/>
      <c r="AH840" s="25"/>
    </row>
    <row r="841" spans="1:35" ht="140.1" customHeight="1">
      <c r="A841" s="16"/>
      <c r="B841" s="17"/>
      <c r="C841" s="18" t="s">
        <v>1084</v>
      </c>
      <c r="D841" s="19" t="s">
        <v>1085</v>
      </c>
      <c r="E841" s="107">
        <v>6.89</v>
      </c>
      <c r="F841" s="46" t="s">
        <v>58</v>
      </c>
      <c r="G841" s="41">
        <f>G842</f>
        <v>4629084900</v>
      </c>
      <c r="H841" s="107">
        <v>6.3</v>
      </c>
      <c r="I841" s="41">
        <f>I842</f>
        <v>600493250</v>
      </c>
      <c r="J841" s="107">
        <v>6.48</v>
      </c>
      <c r="K841" s="41">
        <f>K842</f>
        <v>576764800</v>
      </c>
      <c r="L841" s="107">
        <v>0</v>
      </c>
      <c r="M841" s="41">
        <f>M842</f>
        <v>28965000</v>
      </c>
      <c r="N841" s="107">
        <v>0</v>
      </c>
      <c r="O841" s="41">
        <f>O842</f>
        <v>69019300</v>
      </c>
      <c r="P841" s="107">
        <v>6.3</v>
      </c>
      <c r="Q841" s="41">
        <f>Q842</f>
        <v>43495900</v>
      </c>
      <c r="R841" s="107"/>
      <c r="S841" s="41">
        <f>S842</f>
        <v>190904300</v>
      </c>
      <c r="T841" s="255">
        <v>6.48</v>
      </c>
      <c r="U841" s="57">
        <f>T841/J841*100</f>
        <v>100</v>
      </c>
      <c r="V841" s="58" t="s">
        <v>58</v>
      </c>
      <c r="W841" s="56">
        <f t="shared" si="164"/>
        <v>332384500</v>
      </c>
      <c r="X841" s="60">
        <f t="shared" si="165"/>
        <v>57.62912369132097</v>
      </c>
      <c r="Y841" s="48" t="s">
        <v>58</v>
      </c>
      <c r="Z841" s="57">
        <f>T841</f>
        <v>6.48</v>
      </c>
      <c r="AA841" s="56">
        <f t="shared" si="166"/>
        <v>932877750</v>
      </c>
      <c r="AB841" s="57"/>
      <c r="AC841" s="58" t="s">
        <v>58</v>
      </c>
      <c r="AD841" s="60"/>
      <c r="AE841" s="11"/>
      <c r="AH841" s="25"/>
    </row>
    <row r="842" spans="1:35" ht="174" customHeight="1">
      <c r="A842" s="16"/>
      <c r="B842" s="17"/>
      <c r="C842" s="18" t="s">
        <v>1086</v>
      </c>
      <c r="D842" s="19" t="s">
        <v>1087</v>
      </c>
      <c r="E842" s="103">
        <v>30</v>
      </c>
      <c r="F842" s="46" t="s">
        <v>1088</v>
      </c>
      <c r="G842" s="42">
        <f>SUM(G843:G844)</f>
        <v>4629084900</v>
      </c>
      <c r="H842" s="252">
        <v>15</v>
      </c>
      <c r="I842" s="42">
        <f>SUM(I843:I844)</f>
        <v>600493250</v>
      </c>
      <c r="J842" s="252">
        <v>8</v>
      </c>
      <c r="K842" s="42">
        <f>SUM(K843:K844)</f>
        <v>576764800</v>
      </c>
      <c r="L842" s="103">
        <v>0</v>
      </c>
      <c r="M842" s="42">
        <f>SUM(M843:M844)</f>
        <v>28965000</v>
      </c>
      <c r="N842" s="128">
        <v>0</v>
      </c>
      <c r="O842" s="42">
        <f>SUM(O843:O844)</f>
        <v>69019300</v>
      </c>
      <c r="P842" s="128">
        <v>0</v>
      </c>
      <c r="Q842" s="42">
        <f>SUM(Q843:Q844)</f>
        <v>43495900</v>
      </c>
      <c r="R842" s="128">
        <v>8</v>
      </c>
      <c r="S842" s="42">
        <f>SUM(S843:S844)</f>
        <v>190904300</v>
      </c>
      <c r="T842" s="57">
        <f>SUM(L842,N842,P842,R842)</f>
        <v>8</v>
      </c>
      <c r="U842" s="55">
        <f>Z842/J842*100</f>
        <v>100</v>
      </c>
      <c r="V842" s="58" t="s">
        <v>58</v>
      </c>
      <c r="W842" s="59">
        <f>SUM(M842,O842,Q842,S842)</f>
        <v>332384500</v>
      </c>
      <c r="X842" s="57">
        <f t="shared" si="165"/>
        <v>57.62912369132097</v>
      </c>
      <c r="Y842" s="58" t="s">
        <v>58</v>
      </c>
      <c r="Z842" s="57">
        <f>T842</f>
        <v>8</v>
      </c>
      <c r="AA842" s="59">
        <f t="shared" si="166"/>
        <v>932877750</v>
      </c>
      <c r="AB842" s="57"/>
      <c r="AC842" s="58" t="s">
        <v>58</v>
      </c>
      <c r="AD842" s="239"/>
      <c r="AE842" s="11"/>
      <c r="AG842" s="288"/>
      <c r="AH842" s="289"/>
    </row>
    <row r="843" spans="1:35" ht="206.25" customHeight="1">
      <c r="A843" s="72"/>
      <c r="B843" s="73"/>
      <c r="C843" s="26" t="s">
        <v>1089</v>
      </c>
      <c r="D843" s="29" t="s">
        <v>1090</v>
      </c>
      <c r="E843" s="104">
        <v>20</v>
      </c>
      <c r="F843" s="21" t="s">
        <v>1091</v>
      </c>
      <c r="G843" s="23">
        <v>1552089500</v>
      </c>
      <c r="H843" s="104">
        <v>12</v>
      </c>
      <c r="I843" s="23">
        <v>227483000</v>
      </c>
      <c r="J843" s="104">
        <v>16</v>
      </c>
      <c r="K843" s="23">
        <v>294059550</v>
      </c>
      <c r="L843" s="104">
        <v>0</v>
      </c>
      <c r="M843" s="23">
        <v>25680000</v>
      </c>
      <c r="N843" s="20">
        <v>0</v>
      </c>
      <c r="O843" s="28">
        <v>63759300</v>
      </c>
      <c r="P843" s="20">
        <v>0</v>
      </c>
      <c r="Q843" s="28">
        <v>35605900</v>
      </c>
      <c r="R843" s="20">
        <v>16</v>
      </c>
      <c r="S843" s="28">
        <v>115804300</v>
      </c>
      <c r="T843" s="54">
        <f>SUM(L843,N843,P843,R843)</f>
        <v>16</v>
      </c>
      <c r="U843" s="54">
        <f>T843/J843*100</f>
        <v>100</v>
      </c>
      <c r="V843" s="35" t="s">
        <v>58</v>
      </c>
      <c r="W843" s="40">
        <f>SUM(M843,O843,Q843,S843)</f>
        <v>240849500</v>
      </c>
      <c r="X843" s="53">
        <f t="shared" si="165"/>
        <v>81.905008696367801</v>
      </c>
      <c r="Y843" s="35" t="s">
        <v>58</v>
      </c>
      <c r="Z843" s="53">
        <f>SUM(H843,T843)</f>
        <v>28</v>
      </c>
      <c r="AA843" s="40">
        <f>SUM(I843,W843)</f>
        <v>468332500</v>
      </c>
      <c r="AB843" s="86"/>
      <c r="AC843" s="84" t="s">
        <v>58</v>
      </c>
      <c r="AD843" s="86"/>
      <c r="AE843" s="11"/>
      <c r="AG843" s="288"/>
      <c r="AH843" s="289">
        <v>238076500</v>
      </c>
      <c r="AI843" s="290">
        <f>AH843-W843</f>
        <v>-2773000</v>
      </c>
    </row>
    <row r="844" spans="1:35" ht="206.25" customHeight="1">
      <c r="A844" s="72"/>
      <c r="B844" s="73"/>
      <c r="C844" s="26" t="s">
        <v>1092</v>
      </c>
      <c r="D844" s="29" t="s">
        <v>1093</v>
      </c>
      <c r="E844" s="104">
        <v>12</v>
      </c>
      <c r="F844" s="21" t="s">
        <v>55</v>
      </c>
      <c r="G844" s="23">
        <v>3076995400</v>
      </c>
      <c r="H844" s="104">
        <v>4</v>
      </c>
      <c r="I844" s="23">
        <v>373010250</v>
      </c>
      <c r="J844" s="104">
        <v>4</v>
      </c>
      <c r="K844" s="23">
        <v>282705250</v>
      </c>
      <c r="L844" s="104">
        <v>1</v>
      </c>
      <c r="M844" s="23">
        <v>3285000</v>
      </c>
      <c r="N844" s="20">
        <v>1</v>
      </c>
      <c r="O844" s="28">
        <v>5260000</v>
      </c>
      <c r="P844" s="20">
        <v>1</v>
      </c>
      <c r="Q844" s="28">
        <v>7890000</v>
      </c>
      <c r="R844" s="20">
        <v>1</v>
      </c>
      <c r="S844" s="28">
        <v>75100000</v>
      </c>
      <c r="T844" s="54">
        <f>SUM(L844,N844,P844,R844)</f>
        <v>4</v>
      </c>
      <c r="U844" s="54">
        <f>T844/J844*100</f>
        <v>100</v>
      </c>
      <c r="V844" s="35" t="s">
        <v>58</v>
      </c>
      <c r="W844" s="40">
        <f>M844+O844+Q844+S844</f>
        <v>91535000</v>
      </c>
      <c r="X844" s="53">
        <f t="shared" si="165"/>
        <v>32.378245540187173</v>
      </c>
      <c r="Y844" s="35" t="s">
        <v>58</v>
      </c>
      <c r="Z844" s="53">
        <f>SUM(H844,T844)</f>
        <v>8</v>
      </c>
      <c r="AA844" s="40">
        <f t="shared" si="166"/>
        <v>464545250</v>
      </c>
      <c r="AB844" s="86"/>
      <c r="AC844" s="84" t="s">
        <v>58</v>
      </c>
      <c r="AD844" s="86"/>
      <c r="AE844" s="11"/>
      <c r="AG844" s="288"/>
      <c r="AH844" s="289">
        <f>K844-W844</f>
        <v>191170250</v>
      </c>
      <c r="AI844" s="290"/>
    </row>
    <row r="845" spans="1:35" ht="94.5">
      <c r="A845" s="16"/>
      <c r="B845" s="17"/>
      <c r="C845" s="18" t="s">
        <v>1094</v>
      </c>
      <c r="D845" s="19" t="s">
        <v>1085</v>
      </c>
      <c r="E845" s="107">
        <v>6.89</v>
      </c>
      <c r="F845" s="46" t="s">
        <v>58</v>
      </c>
      <c r="G845" s="41">
        <f>G846</f>
        <v>1006049000</v>
      </c>
      <c r="H845" s="107">
        <v>6.3</v>
      </c>
      <c r="I845" s="41">
        <f>I846</f>
        <v>84175000</v>
      </c>
      <c r="J845" s="107">
        <v>6.48</v>
      </c>
      <c r="K845" s="41">
        <f>K846</f>
        <v>196427000</v>
      </c>
      <c r="L845" s="107">
        <v>6.3</v>
      </c>
      <c r="M845" s="41">
        <f>M846</f>
        <v>0</v>
      </c>
      <c r="N845" s="107">
        <v>6.3</v>
      </c>
      <c r="O845" s="41">
        <f>O846</f>
        <v>0</v>
      </c>
      <c r="P845" s="107">
        <v>6.3</v>
      </c>
      <c r="Q845" s="41">
        <f>Q846</f>
        <v>88900000</v>
      </c>
      <c r="R845" s="107"/>
      <c r="S845" s="41">
        <f>S846</f>
        <v>1700000</v>
      </c>
      <c r="T845" s="255">
        <v>6.48</v>
      </c>
      <c r="U845" s="57">
        <f>T845/J845*100</f>
        <v>100</v>
      </c>
      <c r="V845" s="58" t="s">
        <v>58</v>
      </c>
      <c r="W845" s="59">
        <f t="shared" si="164"/>
        <v>90600000</v>
      </c>
      <c r="X845" s="57">
        <f t="shared" si="165"/>
        <v>46.124005355679209</v>
      </c>
      <c r="Y845" s="58" t="s">
        <v>58</v>
      </c>
      <c r="Z845" s="57">
        <f>AVERAGE(H845,T845)</f>
        <v>6.3900000000000006</v>
      </c>
      <c r="AA845" s="59">
        <f t="shared" si="166"/>
        <v>174775000</v>
      </c>
      <c r="AB845" s="57"/>
      <c r="AC845" s="58" t="s">
        <v>58</v>
      </c>
      <c r="AD845" s="57"/>
      <c r="AE845" s="11"/>
      <c r="AH845" s="25">
        <f>W844-Q844-O844-M844</f>
        <v>75100000</v>
      </c>
    </row>
    <row r="846" spans="1:35" ht="141.75">
      <c r="A846" s="16"/>
      <c r="B846" s="17"/>
      <c r="C846" s="18" t="s">
        <v>1095</v>
      </c>
      <c r="D846" s="19" t="s">
        <v>1096</v>
      </c>
      <c r="E846" s="266">
        <v>85</v>
      </c>
      <c r="F846" s="76" t="s">
        <v>1097</v>
      </c>
      <c r="G846" s="42">
        <f>SUM(G847)</f>
        <v>1006049000</v>
      </c>
      <c r="H846" s="128">
        <v>75</v>
      </c>
      <c r="I846" s="42">
        <f>SUM(I847)</f>
        <v>84175000</v>
      </c>
      <c r="J846" s="103">
        <v>80</v>
      </c>
      <c r="K846" s="42">
        <f>SUM(K847)</f>
        <v>196427000</v>
      </c>
      <c r="L846" s="249">
        <v>0</v>
      </c>
      <c r="M846" s="42">
        <f>SUM(M847)</f>
        <v>0</v>
      </c>
      <c r="N846" s="128">
        <v>0</v>
      </c>
      <c r="O846" s="42">
        <f>SUM(O847)</f>
        <v>0</v>
      </c>
      <c r="P846" s="128">
        <v>0</v>
      </c>
      <c r="Q846" s="42">
        <f>SUM(Q847)</f>
        <v>88900000</v>
      </c>
      <c r="R846" s="267"/>
      <c r="S846" s="42">
        <f>S847</f>
        <v>1700000</v>
      </c>
      <c r="T846" s="128">
        <v>5</v>
      </c>
      <c r="U846" s="57">
        <f>Z846/J846*100</f>
        <v>100</v>
      </c>
      <c r="V846" s="58" t="s">
        <v>58</v>
      </c>
      <c r="W846" s="59">
        <f t="shared" si="164"/>
        <v>90600000</v>
      </c>
      <c r="X846" s="57">
        <f t="shared" si="165"/>
        <v>46.124005355679209</v>
      </c>
      <c r="Y846" s="58" t="s">
        <v>58</v>
      </c>
      <c r="Z846" s="128">
        <f>SUM(H846,T846)</f>
        <v>80</v>
      </c>
      <c r="AA846" s="59">
        <f t="shared" si="166"/>
        <v>174775000</v>
      </c>
      <c r="AB846" s="57"/>
      <c r="AC846" s="58" t="s">
        <v>58</v>
      </c>
      <c r="AD846" s="57"/>
      <c r="AE846" s="11"/>
      <c r="AH846" s="25"/>
    </row>
    <row r="847" spans="1:35" ht="249.95" customHeight="1">
      <c r="A847" s="16"/>
      <c r="B847" s="17"/>
      <c r="C847" s="26" t="s">
        <v>1098</v>
      </c>
      <c r="D847" s="29" t="s">
        <v>1099</v>
      </c>
      <c r="E847" s="291">
        <v>90</v>
      </c>
      <c r="F847" s="47" t="s">
        <v>1100</v>
      </c>
      <c r="G847" s="23">
        <v>1006049000</v>
      </c>
      <c r="H847" s="104">
        <v>80</v>
      </c>
      <c r="I847" s="23">
        <v>84175000</v>
      </c>
      <c r="J847" s="104">
        <v>85</v>
      </c>
      <c r="K847" s="23">
        <v>196427000</v>
      </c>
      <c r="L847" s="104">
        <v>0</v>
      </c>
      <c r="M847" s="23">
        <v>0</v>
      </c>
      <c r="N847" s="104">
        <v>0</v>
      </c>
      <c r="O847" s="23">
        <v>0</v>
      </c>
      <c r="P847" s="104">
        <v>0</v>
      </c>
      <c r="Q847" s="23">
        <v>88900000</v>
      </c>
      <c r="R847" s="104"/>
      <c r="S847" s="23">
        <v>1700000</v>
      </c>
      <c r="T847" s="102">
        <v>5</v>
      </c>
      <c r="U847" s="53">
        <f>Z847/J847*100</f>
        <v>100</v>
      </c>
      <c r="V847" s="35" t="s">
        <v>58</v>
      </c>
      <c r="W847" s="40">
        <f t="shared" si="164"/>
        <v>90600000</v>
      </c>
      <c r="X847" s="53">
        <f t="shared" si="165"/>
        <v>46.124005355679209</v>
      </c>
      <c r="Y847" s="35" t="s">
        <v>58</v>
      </c>
      <c r="Z847" s="268">
        <f>SUM(H847,T847)</f>
        <v>85</v>
      </c>
      <c r="AA847" s="40">
        <f t="shared" si="166"/>
        <v>174775000</v>
      </c>
      <c r="AB847" s="53"/>
      <c r="AC847" s="35" t="s">
        <v>58</v>
      </c>
      <c r="AD847" s="53"/>
      <c r="AE847" s="11"/>
      <c r="AH847" s="25">
        <f>90600000</f>
        <v>90600000</v>
      </c>
      <c r="AI847" s="290">
        <f>AH847-Q847</f>
        <v>1700000</v>
      </c>
    </row>
    <row r="848" spans="1:35" ht="157.5">
      <c r="A848" s="16"/>
      <c r="B848" s="17"/>
      <c r="C848" s="18" t="s">
        <v>1101</v>
      </c>
      <c r="D848" s="19" t="s">
        <v>1102</v>
      </c>
      <c r="E848" s="108">
        <v>50</v>
      </c>
      <c r="F848" s="46" t="s">
        <v>58</v>
      </c>
      <c r="G848" s="41">
        <f>G849</f>
        <v>97625000</v>
      </c>
      <c r="H848" s="107">
        <v>50</v>
      </c>
      <c r="I848" s="41">
        <f>I849</f>
        <v>2250000</v>
      </c>
      <c r="J848" s="108">
        <v>50</v>
      </c>
      <c r="K848" s="41">
        <f>K849</f>
        <v>47430000</v>
      </c>
      <c r="L848" s="108">
        <v>50</v>
      </c>
      <c r="M848" s="41">
        <f>M849</f>
        <v>0</v>
      </c>
      <c r="N848" s="108">
        <v>50</v>
      </c>
      <c r="O848" s="41">
        <f>O849</f>
        <v>2650000</v>
      </c>
      <c r="P848" s="108">
        <v>50</v>
      </c>
      <c r="Q848" s="41">
        <f>Q849</f>
        <v>4592500</v>
      </c>
      <c r="R848" s="108"/>
      <c r="S848" s="41">
        <f>S849</f>
        <v>0</v>
      </c>
      <c r="T848" s="55">
        <f>AVERAGE(L848,N848,P848,R848)</f>
        <v>50</v>
      </c>
      <c r="U848" s="55">
        <f>T848/J848*100</f>
        <v>100</v>
      </c>
      <c r="V848" s="58" t="s">
        <v>58</v>
      </c>
      <c r="W848" s="59">
        <f t="shared" si="164"/>
        <v>7242500</v>
      </c>
      <c r="X848" s="57">
        <f>W848/K848*100</f>
        <v>15.269871389415982</v>
      </c>
      <c r="Y848" s="58" t="s">
        <v>58</v>
      </c>
      <c r="Z848" s="57">
        <f>SUM(H848,T848)</f>
        <v>100</v>
      </c>
      <c r="AA848" s="59">
        <f t="shared" si="166"/>
        <v>9492500</v>
      </c>
      <c r="AB848" s="57"/>
      <c r="AC848" s="58" t="s">
        <v>58</v>
      </c>
      <c r="AD848" s="57"/>
      <c r="AE848" s="11"/>
      <c r="AH848" s="25"/>
    </row>
    <row r="849" spans="1:34" ht="196.5" customHeight="1">
      <c r="A849" s="16"/>
      <c r="B849" s="17"/>
      <c r="C849" s="18" t="s">
        <v>1103</v>
      </c>
      <c r="D849" s="19" t="s">
        <v>1104</v>
      </c>
      <c r="E849" s="108">
        <v>100</v>
      </c>
      <c r="F849" s="46" t="s">
        <v>58</v>
      </c>
      <c r="G849" s="42">
        <f>SUM(G850:G851)</f>
        <v>97625000</v>
      </c>
      <c r="H849" s="269">
        <v>100</v>
      </c>
      <c r="I849" s="42">
        <f>SUM(I850:I851)</f>
        <v>2250000</v>
      </c>
      <c r="J849" s="108">
        <v>100</v>
      </c>
      <c r="K849" s="42">
        <f>SUM(K850:K851)</f>
        <v>47430000</v>
      </c>
      <c r="L849" s="108">
        <v>0</v>
      </c>
      <c r="M849" s="42">
        <f>SUM(M850:M851)</f>
        <v>0</v>
      </c>
      <c r="N849" s="108">
        <v>50</v>
      </c>
      <c r="O849" s="42">
        <f>SUM(O850:O851)</f>
        <v>2650000</v>
      </c>
      <c r="P849" s="108">
        <v>50</v>
      </c>
      <c r="Q849" s="42">
        <f>SUM(Q850:Q851)</f>
        <v>4592500</v>
      </c>
      <c r="R849" s="108"/>
      <c r="S849" s="42">
        <f>S850+S851</f>
        <v>0</v>
      </c>
      <c r="T849" s="55">
        <f>SUM(L849,N849,P849,R849)</f>
        <v>100</v>
      </c>
      <c r="U849" s="55">
        <f t="shared" ref="U849:U851" si="168">T849/J849*100</f>
        <v>100</v>
      </c>
      <c r="V849" s="58" t="s">
        <v>58</v>
      </c>
      <c r="W849" s="276">
        <f t="shared" si="164"/>
        <v>7242500</v>
      </c>
      <c r="X849" s="241">
        <f t="shared" si="165"/>
        <v>15.269871389415982</v>
      </c>
      <c r="Y849" s="16" t="s">
        <v>58</v>
      </c>
      <c r="Z849" s="239">
        <f>AVERAGE(T849,J849)</f>
        <v>100</v>
      </c>
      <c r="AA849" s="276">
        <f t="shared" si="166"/>
        <v>9492500</v>
      </c>
      <c r="AB849" s="239"/>
      <c r="AC849" s="240" t="s">
        <v>58</v>
      </c>
      <c r="AD849" s="241"/>
      <c r="AE849" s="11"/>
      <c r="AH849" s="25"/>
    </row>
    <row r="850" spans="1:34" ht="135">
      <c r="A850" s="16"/>
      <c r="B850" s="17"/>
      <c r="C850" s="26" t="s">
        <v>1105</v>
      </c>
      <c r="D850" s="29" t="s">
        <v>1106</v>
      </c>
      <c r="E850" s="104">
        <f>J850*3</f>
        <v>3</v>
      </c>
      <c r="F850" s="47" t="s">
        <v>55</v>
      </c>
      <c r="G850" s="23">
        <v>65350000</v>
      </c>
      <c r="H850" s="104">
        <v>1</v>
      </c>
      <c r="I850" s="23">
        <v>150000</v>
      </c>
      <c r="J850" s="104">
        <v>1</v>
      </c>
      <c r="K850" s="23">
        <v>32427500</v>
      </c>
      <c r="L850" s="104">
        <v>0</v>
      </c>
      <c r="M850" s="23">
        <v>0</v>
      </c>
      <c r="N850" s="104">
        <v>0</v>
      </c>
      <c r="O850" s="28">
        <v>0</v>
      </c>
      <c r="P850" s="104">
        <v>0</v>
      </c>
      <c r="Q850" s="28">
        <v>1792500</v>
      </c>
      <c r="R850" s="20">
        <v>1</v>
      </c>
      <c r="S850" s="28">
        <v>0</v>
      </c>
      <c r="T850" s="54">
        <f>AVERAGE(L850,N850,P850,R850)</f>
        <v>0.25</v>
      </c>
      <c r="U850" s="54">
        <f t="shared" si="168"/>
        <v>25</v>
      </c>
      <c r="V850" s="35" t="s">
        <v>58</v>
      </c>
      <c r="W850" s="40">
        <f t="shared" si="164"/>
        <v>1792500</v>
      </c>
      <c r="X850" s="248">
        <f t="shared" si="165"/>
        <v>5.527715673425333</v>
      </c>
      <c r="Y850" s="253" t="s">
        <v>58</v>
      </c>
      <c r="Z850" s="54">
        <f>SUM(H850,T850)</f>
        <v>1.25</v>
      </c>
      <c r="AA850" s="40">
        <f t="shared" si="166"/>
        <v>1942500</v>
      </c>
      <c r="AB850" s="53"/>
      <c r="AC850" s="35" t="s">
        <v>58</v>
      </c>
      <c r="AD850" s="86"/>
      <c r="AE850" s="11"/>
      <c r="AH850" s="25"/>
    </row>
    <row r="851" spans="1:34" ht="270">
      <c r="A851" s="16"/>
      <c r="B851" s="17"/>
      <c r="C851" s="26" t="s">
        <v>1107</v>
      </c>
      <c r="D851" s="29" t="s">
        <v>1108</v>
      </c>
      <c r="E851" s="104">
        <v>1</v>
      </c>
      <c r="F851" s="47" t="s">
        <v>55</v>
      </c>
      <c r="G851" s="23">
        <v>32275000</v>
      </c>
      <c r="H851" s="104">
        <v>1</v>
      </c>
      <c r="I851" s="23">
        <v>2100000</v>
      </c>
      <c r="J851" s="104">
        <v>1</v>
      </c>
      <c r="K851" s="23">
        <v>15002500</v>
      </c>
      <c r="L851" s="104">
        <v>0</v>
      </c>
      <c r="M851" s="23">
        <v>0</v>
      </c>
      <c r="N851" s="20">
        <v>0</v>
      </c>
      <c r="O851" s="28">
        <v>2650000</v>
      </c>
      <c r="P851" s="20">
        <v>0</v>
      </c>
      <c r="Q851" s="28">
        <v>2800000</v>
      </c>
      <c r="R851" s="20">
        <v>1</v>
      </c>
      <c r="S851" s="28">
        <v>0</v>
      </c>
      <c r="T851" s="54">
        <f>SUM(L851,N851,P851,R851)</f>
        <v>1</v>
      </c>
      <c r="U851" s="54">
        <f t="shared" si="168"/>
        <v>100</v>
      </c>
      <c r="V851" s="35" t="s">
        <v>58</v>
      </c>
      <c r="W851" s="85">
        <f t="shared" si="164"/>
        <v>5450000</v>
      </c>
      <c r="X851" s="101">
        <f t="shared" si="165"/>
        <v>36.327278786868852</v>
      </c>
      <c r="Y851" s="72" t="s">
        <v>58</v>
      </c>
      <c r="Z851" s="54">
        <f t="shared" si="167"/>
        <v>2</v>
      </c>
      <c r="AA851" s="85">
        <f t="shared" si="166"/>
        <v>7550000</v>
      </c>
      <c r="AB851" s="53"/>
      <c r="AC851" s="35" t="s">
        <v>58</v>
      </c>
      <c r="AD851" s="86"/>
      <c r="AE851" s="11"/>
      <c r="AH851" s="25"/>
    </row>
    <row r="852" spans="1:34" ht="173.25">
      <c r="A852" s="16"/>
      <c r="B852" s="17"/>
      <c r="C852" s="49" t="s">
        <v>1109</v>
      </c>
      <c r="D852" s="19" t="s">
        <v>1110</v>
      </c>
      <c r="E852" s="107">
        <v>70</v>
      </c>
      <c r="F852" s="46" t="s">
        <v>58</v>
      </c>
      <c r="G852" s="52">
        <f>G853</f>
        <v>34338507680</v>
      </c>
      <c r="H852" s="292">
        <v>64.95</v>
      </c>
      <c r="I852" s="270">
        <f>I853</f>
        <v>8022211410</v>
      </c>
      <c r="J852" s="292">
        <v>68</v>
      </c>
      <c r="K852" s="270">
        <f>K853</f>
        <v>10000266600</v>
      </c>
      <c r="L852" s="292">
        <v>0.05</v>
      </c>
      <c r="M852" s="52">
        <f>M853</f>
        <v>1213440750</v>
      </c>
      <c r="N852" s="292">
        <v>1</v>
      </c>
      <c r="O852" s="271">
        <f>O853</f>
        <v>2237078202</v>
      </c>
      <c r="P852" s="292">
        <v>1</v>
      </c>
      <c r="Q852" s="270">
        <f>Q853</f>
        <v>1928697141</v>
      </c>
      <c r="R852" s="107"/>
      <c r="S852" s="52">
        <f>S853</f>
        <v>3499533979</v>
      </c>
      <c r="T852" s="293">
        <f>SUM(L852,N852,P852,R852)</f>
        <v>2.0499999999999998</v>
      </c>
      <c r="U852" s="57">
        <f>Z852/J852*100</f>
        <v>98.529411764705884</v>
      </c>
      <c r="V852" s="58" t="s">
        <v>58</v>
      </c>
      <c r="W852" s="56">
        <f t="shared" si="164"/>
        <v>8878750072</v>
      </c>
      <c r="X852" s="60">
        <f t="shared" si="165"/>
        <v>88.785133708335337</v>
      </c>
      <c r="Y852" s="48" t="s">
        <v>58</v>
      </c>
      <c r="Z852" s="57">
        <f>SUM(H852,T852)</f>
        <v>67</v>
      </c>
      <c r="AA852" s="56">
        <f t="shared" si="166"/>
        <v>16900961482</v>
      </c>
      <c r="AB852" s="57"/>
      <c r="AC852" s="58" t="s">
        <v>58</v>
      </c>
      <c r="AD852" s="60"/>
      <c r="AE852" s="11"/>
      <c r="AH852" s="25"/>
    </row>
    <row r="853" spans="1:34" ht="170.25" customHeight="1">
      <c r="A853" s="16"/>
      <c r="B853" s="17"/>
      <c r="C853" s="49" t="s">
        <v>1111</v>
      </c>
      <c r="D853" s="19" t="s">
        <v>1112</v>
      </c>
      <c r="E853" s="294">
        <v>1</v>
      </c>
      <c r="F853" s="76" t="s">
        <v>1113</v>
      </c>
      <c r="G853" s="52">
        <f>SUM(G854:G857)</f>
        <v>34338507680</v>
      </c>
      <c r="H853" s="295">
        <v>1</v>
      </c>
      <c r="I853" s="270">
        <f>SUM(I854:I857)</f>
        <v>8022211410</v>
      </c>
      <c r="J853" s="295">
        <v>1</v>
      </c>
      <c r="K853" s="270">
        <f>SUM(K854:K857)</f>
        <v>10000266600</v>
      </c>
      <c r="L853" s="295">
        <v>1</v>
      </c>
      <c r="M853" s="52">
        <f>SUM(M854:M857)</f>
        <v>1213440750</v>
      </c>
      <c r="N853" s="294">
        <v>1</v>
      </c>
      <c r="O853" s="52">
        <f>O854+O855+O856+O857</f>
        <v>2237078202</v>
      </c>
      <c r="P853" s="294">
        <v>1</v>
      </c>
      <c r="Q853" s="270">
        <f>SUM(Q854:Q857)</f>
        <v>1928697141</v>
      </c>
      <c r="R853" s="294"/>
      <c r="S853" s="52">
        <f>S854+S856+S855+S857</f>
        <v>3499533979</v>
      </c>
      <c r="T853" s="293">
        <f>AVERAGE(L853,N853,P853,R853)</f>
        <v>1</v>
      </c>
      <c r="U853" s="57">
        <f t="shared" ref="U853:U854" si="169">T853/J853*100</f>
        <v>100</v>
      </c>
      <c r="V853" s="58" t="s">
        <v>58</v>
      </c>
      <c r="W853" s="56">
        <f>SUM(M853,O853,Q853,S853)</f>
        <v>8878750072</v>
      </c>
      <c r="X853" s="60">
        <f t="shared" si="165"/>
        <v>88.785133708335337</v>
      </c>
      <c r="Y853" s="48" t="s">
        <v>58</v>
      </c>
      <c r="Z853" s="293">
        <f>AVERAGE(T853,J853)</f>
        <v>1</v>
      </c>
      <c r="AA853" s="56">
        <f>SUM(I853,W853)</f>
        <v>16900961482</v>
      </c>
      <c r="AB853" s="57"/>
      <c r="AC853" s="58" t="s">
        <v>58</v>
      </c>
      <c r="AD853" s="60"/>
      <c r="AE853" s="11"/>
      <c r="AH853" s="25"/>
    </row>
    <row r="854" spans="1:34" ht="180">
      <c r="A854" s="16"/>
      <c r="B854" s="17"/>
      <c r="C854" s="29" t="s">
        <v>1114</v>
      </c>
      <c r="D854" s="29" t="s">
        <v>1115</v>
      </c>
      <c r="E854" s="104">
        <v>1</v>
      </c>
      <c r="F854" s="47" t="s">
        <v>173</v>
      </c>
      <c r="G854" s="62">
        <v>4777927500</v>
      </c>
      <c r="H854" s="296">
        <v>1</v>
      </c>
      <c r="I854" s="272">
        <v>677779120</v>
      </c>
      <c r="J854" s="296">
        <v>1</v>
      </c>
      <c r="K854" s="272">
        <v>1307714600</v>
      </c>
      <c r="L854" s="296">
        <v>0</v>
      </c>
      <c r="M854" s="23">
        <v>180001280</v>
      </c>
      <c r="N854" s="104">
        <v>1</v>
      </c>
      <c r="O854" s="62">
        <v>202002872</v>
      </c>
      <c r="P854" s="296">
        <v>0</v>
      </c>
      <c r="Q854" s="62">
        <v>212910111</v>
      </c>
      <c r="R854" s="285">
        <v>1</v>
      </c>
      <c r="S854" s="62">
        <v>385431049</v>
      </c>
      <c r="T854" s="297">
        <f>SUM(L854,N854,P854)</f>
        <v>1</v>
      </c>
      <c r="U854" s="53">
        <f t="shared" si="169"/>
        <v>100</v>
      </c>
      <c r="V854" s="35" t="s">
        <v>58</v>
      </c>
      <c r="W854" s="80">
        <f>SUM(M854,O854,Q854,S854)</f>
        <v>980345312</v>
      </c>
      <c r="X854" s="248">
        <f t="shared" si="165"/>
        <v>74.966304727346468</v>
      </c>
      <c r="Y854" s="253" t="s">
        <v>58</v>
      </c>
      <c r="Z854" s="53">
        <f t="shared" si="167"/>
        <v>2</v>
      </c>
      <c r="AA854" s="98">
        <f>SUM(I854,W854)</f>
        <v>1658124432</v>
      </c>
      <c r="AB854" s="86"/>
      <c r="AC854" s="84" t="s">
        <v>58</v>
      </c>
      <c r="AD854" s="248"/>
      <c r="AE854" s="11"/>
      <c r="AH854" s="25"/>
    </row>
    <row r="855" spans="1:34" ht="255">
      <c r="A855" s="16"/>
      <c r="B855" s="17"/>
      <c r="C855" s="26" t="s">
        <v>1116</v>
      </c>
      <c r="D855" s="29" t="s">
        <v>1117</v>
      </c>
      <c r="E855" s="285">
        <v>16487.05</v>
      </c>
      <c r="F855" s="47" t="s">
        <v>1118</v>
      </c>
      <c r="G855" s="23">
        <v>21129341700</v>
      </c>
      <c r="H855" s="298">
        <v>16636.25</v>
      </c>
      <c r="I855" s="273">
        <v>5976778390</v>
      </c>
      <c r="J855" s="298">
        <v>16519.900000000001</v>
      </c>
      <c r="K855" s="273">
        <v>6317185500</v>
      </c>
      <c r="L855" s="298">
        <v>4150.5</v>
      </c>
      <c r="M855" s="23">
        <v>994341130</v>
      </c>
      <c r="N855" s="285">
        <v>4180</v>
      </c>
      <c r="O855" s="28">
        <v>1296274030</v>
      </c>
      <c r="P855" s="285">
        <v>4125</v>
      </c>
      <c r="Q855" s="28">
        <v>1414430730</v>
      </c>
      <c r="R855" s="285">
        <v>4070</v>
      </c>
      <c r="S855" s="28">
        <v>2048060880</v>
      </c>
      <c r="T855" s="297">
        <f>SUM(L855,N855,P855)</f>
        <v>12455.5</v>
      </c>
      <c r="U855" s="53">
        <f>T855/J855*100</f>
        <v>75.396945502091413</v>
      </c>
      <c r="V855" s="35" t="s">
        <v>58</v>
      </c>
      <c r="W855" s="85">
        <f>SUM(M855,O855,Q855,S855)</f>
        <v>5753106770</v>
      </c>
      <c r="X855" s="101">
        <f t="shared" si="165"/>
        <v>91.070727145815184</v>
      </c>
      <c r="Y855" s="72" t="s">
        <v>58</v>
      </c>
      <c r="Z855" s="86">
        <f t="shared" si="167"/>
        <v>29091.75</v>
      </c>
      <c r="AA855" s="85">
        <f>SUM(I855,W855)</f>
        <v>11729885160</v>
      </c>
      <c r="AB855" s="53"/>
      <c r="AC855" s="35" t="s">
        <v>58</v>
      </c>
      <c r="AD855" s="86"/>
      <c r="AE855" s="11"/>
      <c r="AH855" s="25"/>
    </row>
    <row r="856" spans="1:34" ht="210">
      <c r="A856" s="16"/>
      <c r="B856" s="17"/>
      <c r="C856" s="61" t="s">
        <v>1119</v>
      </c>
      <c r="D856" s="29" t="s">
        <v>1120</v>
      </c>
      <c r="E856" s="20">
        <v>1</v>
      </c>
      <c r="F856" s="47" t="s">
        <v>1121</v>
      </c>
      <c r="G856" s="62">
        <v>729575000</v>
      </c>
      <c r="H856" s="296">
        <v>1</v>
      </c>
      <c r="I856" s="272">
        <v>142156500</v>
      </c>
      <c r="J856" s="296">
        <v>1</v>
      </c>
      <c r="K856" s="272">
        <v>193700000</v>
      </c>
      <c r="L856" s="299">
        <v>0</v>
      </c>
      <c r="M856" s="62">
        <v>0</v>
      </c>
      <c r="N856" s="44">
        <v>0</v>
      </c>
      <c r="O856" s="62">
        <v>57350000</v>
      </c>
      <c r="P856" s="44">
        <v>1</v>
      </c>
      <c r="Q856" s="62">
        <v>57350000</v>
      </c>
      <c r="R856" s="44">
        <v>0</v>
      </c>
      <c r="S856" s="62">
        <v>69825000</v>
      </c>
      <c r="T856" s="54">
        <f>SUM(L856,N856,P856)</f>
        <v>1</v>
      </c>
      <c r="U856" s="54">
        <f>T856/J856*100</f>
        <v>100</v>
      </c>
      <c r="V856" s="35" t="s">
        <v>58</v>
      </c>
      <c r="W856" s="80">
        <f>SUM(M856,O856,Q856,S856)</f>
        <v>184525000</v>
      </c>
      <c r="X856" s="248">
        <f t="shared" si="165"/>
        <v>95.263293753226634</v>
      </c>
      <c r="Y856" s="253" t="s">
        <v>58</v>
      </c>
      <c r="Z856" s="54">
        <f t="shared" si="167"/>
        <v>2</v>
      </c>
      <c r="AA856" s="80">
        <f>SUM(I856,W856)</f>
        <v>326681500</v>
      </c>
      <c r="AB856" s="53"/>
      <c r="AC856" s="35" t="s">
        <v>58</v>
      </c>
      <c r="AD856" s="248"/>
      <c r="AE856" s="11"/>
      <c r="AH856" s="25"/>
    </row>
    <row r="857" spans="1:34" ht="240">
      <c r="A857" s="16"/>
      <c r="B857" s="17"/>
      <c r="C857" s="61" t="s">
        <v>1122</v>
      </c>
      <c r="D857" s="29" t="s">
        <v>1123</v>
      </c>
      <c r="E857" s="102">
        <v>19</v>
      </c>
      <c r="F857" s="47" t="s">
        <v>138</v>
      </c>
      <c r="G857" s="62">
        <v>7701663480</v>
      </c>
      <c r="H857" s="296">
        <v>18</v>
      </c>
      <c r="I857" s="272">
        <v>1225497400</v>
      </c>
      <c r="J857" s="300">
        <v>19</v>
      </c>
      <c r="K857" s="272">
        <v>2181666500</v>
      </c>
      <c r="L857" s="301">
        <v>0</v>
      </c>
      <c r="M857" s="23">
        <v>39098340</v>
      </c>
      <c r="N857" s="20">
        <v>0</v>
      </c>
      <c r="O857" s="62">
        <v>681451300</v>
      </c>
      <c r="P857" s="20">
        <v>0</v>
      </c>
      <c r="Q857" s="62">
        <v>244006300</v>
      </c>
      <c r="R857" s="20">
        <v>19</v>
      </c>
      <c r="S857" s="62">
        <v>996217050</v>
      </c>
      <c r="T857" s="54">
        <f>SUM(L857,N857,P857,R857)</f>
        <v>19</v>
      </c>
      <c r="U857" s="54">
        <f>T857/J857*100</f>
        <v>100</v>
      </c>
      <c r="V857" s="35" t="s">
        <v>58</v>
      </c>
      <c r="W857" s="80">
        <f>SUM(M857,O857,Q857,S857)</f>
        <v>1960772990</v>
      </c>
      <c r="X857" s="248">
        <f>W857/K857*100</f>
        <v>89.875010227273506</v>
      </c>
      <c r="Y857" s="253" t="s">
        <v>58</v>
      </c>
      <c r="Z857" s="274">
        <f t="shared" si="167"/>
        <v>37</v>
      </c>
      <c r="AA857" s="80">
        <f>SUM(I857,W857)</f>
        <v>3186270390</v>
      </c>
      <c r="AB857" s="53"/>
      <c r="AC857" s="35" t="s">
        <v>58</v>
      </c>
      <c r="AD857" s="248"/>
      <c r="AE857" s="11"/>
      <c r="AH857" s="25"/>
    </row>
    <row r="858" spans="1:34" s="499" customFormat="1" ht="75" customHeight="1">
      <c r="A858" s="48">
        <v>1</v>
      </c>
      <c r="B858" s="1065" t="s">
        <v>29</v>
      </c>
      <c r="C858" s="491" t="s">
        <v>68</v>
      </c>
      <c r="D858" s="491" t="s">
        <v>143</v>
      </c>
      <c r="E858" s="492">
        <v>100</v>
      </c>
      <c r="F858" s="493" t="s">
        <v>58</v>
      </c>
      <c r="G858" s="494">
        <f>G859+G862+G867+G869+G876+G878+G882</f>
        <v>23839354878</v>
      </c>
      <c r="H858" s="492">
        <v>100</v>
      </c>
      <c r="I858" s="494">
        <f>I859+I862+I867+I869+I876+I878+I882</f>
        <v>6886063306</v>
      </c>
      <c r="J858" s="492">
        <v>100</v>
      </c>
      <c r="K858" s="494">
        <f>K859+K862+K867+K869+K876+K878+K882</f>
        <v>7891498256</v>
      </c>
      <c r="L858" s="492">
        <v>100</v>
      </c>
      <c r="M858" s="494">
        <f>M859+M862+M867+M869+M876+M880</f>
        <v>926335808</v>
      </c>
      <c r="N858" s="492">
        <v>100</v>
      </c>
      <c r="O858" s="494">
        <v>2730681735</v>
      </c>
      <c r="P858" s="492">
        <v>100</v>
      </c>
      <c r="Q858" s="494">
        <v>1819402977</v>
      </c>
      <c r="R858" s="495">
        <v>100</v>
      </c>
      <c r="S858" s="494">
        <v>1813390947</v>
      </c>
      <c r="T858" s="496">
        <f>AVERAGE(L858,N858,P858,R858)</f>
        <v>100</v>
      </c>
      <c r="U858" s="497">
        <f t="shared" ref="U858:U876" si="170">T858/J858*100</f>
        <v>100</v>
      </c>
      <c r="V858" s="492" t="s">
        <v>58</v>
      </c>
      <c r="W858" s="498">
        <f>M858+O858+Q858+S858</f>
        <v>7289811467</v>
      </c>
      <c r="X858" s="497">
        <f t="shared" ref="X858:X902" si="171">W858/K858*100</f>
        <v>92.375506279273012</v>
      </c>
      <c r="Y858" s="492" t="s">
        <v>58</v>
      </c>
      <c r="Z858" s="497">
        <f t="shared" ref="Z858:Z902" si="172">H858+T858</f>
        <v>200</v>
      </c>
      <c r="AA858" s="498">
        <f t="shared" ref="AA858:AA902" si="173">I858+W858</f>
        <v>14175874773</v>
      </c>
      <c r="AB858" s="497"/>
      <c r="AC858" s="492" t="str">
        <f>V858</f>
        <v>%</v>
      </c>
      <c r="AD858" s="107"/>
      <c r="AE858" s="1147" t="s">
        <v>1678</v>
      </c>
    </row>
    <row r="859" spans="1:34" s="501" customFormat="1" ht="75" customHeight="1">
      <c r="A859" s="16"/>
      <c r="B859" s="1066"/>
      <c r="C859" s="500" t="s">
        <v>172</v>
      </c>
      <c r="D859" s="491" t="s">
        <v>139</v>
      </c>
      <c r="E859" s="492">
        <f>SUM(E860:E861)</f>
        <v>45</v>
      </c>
      <c r="F859" s="493" t="s">
        <v>55</v>
      </c>
      <c r="G859" s="494">
        <f>SUM(G860:G861)</f>
        <v>28500000</v>
      </c>
      <c r="H859" s="492">
        <v>15</v>
      </c>
      <c r="I859" s="494">
        <f>SUM(I860:I861)</f>
        <v>9490000</v>
      </c>
      <c r="J859" s="492">
        <f>SUM(J860:J861)</f>
        <v>15</v>
      </c>
      <c r="K859" s="494">
        <f>SUM(K860:K861)</f>
        <v>9499750</v>
      </c>
      <c r="L859" s="492">
        <f>SUM(L860:L861)</f>
        <v>1</v>
      </c>
      <c r="M859" s="494">
        <f>M860+M861</f>
        <v>375000</v>
      </c>
      <c r="N859" s="492">
        <f>SUM(N860:N861)</f>
        <v>4</v>
      </c>
      <c r="O859" s="494">
        <f>O860+O861</f>
        <v>0</v>
      </c>
      <c r="P859" s="492">
        <v>6</v>
      </c>
      <c r="Q859" s="494">
        <v>1350000</v>
      </c>
      <c r="R859" s="492">
        <v>4</v>
      </c>
      <c r="S859" s="494">
        <v>7771400</v>
      </c>
      <c r="T859" s="496">
        <f t="shared" ref="T859:T866" si="174">SUM(L859,N859,P859,R859)</f>
        <v>15</v>
      </c>
      <c r="U859" s="497">
        <f t="shared" si="170"/>
        <v>100</v>
      </c>
      <c r="V859" s="492" t="s">
        <v>58</v>
      </c>
      <c r="W859" s="498">
        <f t="shared" ref="W859:W902" si="175">SUM(M859,O859,Q859,S859)</f>
        <v>9496400</v>
      </c>
      <c r="X859" s="497">
        <f t="shared" si="171"/>
        <v>99.964735914103002</v>
      </c>
      <c r="Y859" s="492" t="s">
        <v>58</v>
      </c>
      <c r="Z859" s="497">
        <f t="shared" si="172"/>
        <v>30</v>
      </c>
      <c r="AA859" s="498">
        <f t="shared" si="173"/>
        <v>18986400</v>
      </c>
      <c r="AB859" s="497"/>
      <c r="AC859" s="492" t="s">
        <v>58</v>
      </c>
      <c r="AD859" s="107"/>
      <c r="AE859" s="1147"/>
    </row>
    <row r="860" spans="1:34" s="516" customFormat="1" ht="75" customHeight="1">
      <c r="A860" s="16"/>
      <c r="B860" s="1066"/>
      <c r="C860" s="502" t="s">
        <v>69</v>
      </c>
      <c r="D860" s="503" t="s">
        <v>211</v>
      </c>
      <c r="E860" s="504">
        <f>J860*3</f>
        <v>15</v>
      </c>
      <c r="F860" s="505" t="s">
        <v>55</v>
      </c>
      <c r="G860" s="506">
        <v>24000000</v>
      </c>
      <c r="H860" s="504">
        <v>5</v>
      </c>
      <c r="I860" s="484">
        <v>7992750</v>
      </c>
      <c r="J860" s="504">
        <v>5</v>
      </c>
      <c r="K860" s="507">
        <v>7999900</v>
      </c>
      <c r="L860" s="504">
        <v>0</v>
      </c>
      <c r="M860" s="486">
        <v>375000</v>
      </c>
      <c r="N860" s="504">
        <v>2</v>
      </c>
      <c r="O860" s="508">
        <v>0</v>
      </c>
      <c r="P860" s="504">
        <v>2</v>
      </c>
      <c r="Q860" s="508">
        <v>1350000</v>
      </c>
      <c r="R860" s="504">
        <v>1</v>
      </c>
      <c r="S860" s="509">
        <v>6272000</v>
      </c>
      <c r="T860" s="510">
        <f t="shared" si="174"/>
        <v>5</v>
      </c>
      <c r="U860" s="511">
        <f t="shared" si="170"/>
        <v>100</v>
      </c>
      <c r="V860" s="504" t="s">
        <v>58</v>
      </c>
      <c r="W860" s="512">
        <f t="shared" si="175"/>
        <v>7997000</v>
      </c>
      <c r="X860" s="511">
        <f t="shared" si="171"/>
        <v>99.963749546869337</v>
      </c>
      <c r="Y860" s="504" t="s">
        <v>58</v>
      </c>
      <c r="Z860" s="513">
        <f t="shared" si="172"/>
        <v>10</v>
      </c>
      <c r="AA860" s="512">
        <f t="shared" si="173"/>
        <v>15989750</v>
      </c>
      <c r="AB860" s="511"/>
      <c r="AC860" s="504" t="s">
        <v>58</v>
      </c>
      <c r="AD860" s="514"/>
      <c r="AE860" s="515"/>
    </row>
    <row r="861" spans="1:34" s="516" customFormat="1" ht="75" customHeight="1">
      <c r="A861" s="16"/>
      <c r="B861" s="1066"/>
      <c r="C861" s="502" t="s">
        <v>70</v>
      </c>
      <c r="D861" s="503" t="s">
        <v>212</v>
      </c>
      <c r="E861" s="504">
        <f>J861*3</f>
        <v>30</v>
      </c>
      <c r="F861" s="505" t="s">
        <v>173</v>
      </c>
      <c r="G861" s="506">
        <v>4500000</v>
      </c>
      <c r="H861" s="504">
        <v>10</v>
      </c>
      <c r="I861" s="484">
        <v>1497250</v>
      </c>
      <c r="J861" s="504">
        <v>10</v>
      </c>
      <c r="K861" s="509">
        <v>1499850</v>
      </c>
      <c r="L861" s="504">
        <v>1</v>
      </c>
      <c r="M861" s="486">
        <v>0</v>
      </c>
      <c r="N861" s="504">
        <v>2</v>
      </c>
      <c r="O861" s="508">
        <v>0</v>
      </c>
      <c r="P861" s="504">
        <v>4</v>
      </c>
      <c r="Q861" s="508">
        <v>0</v>
      </c>
      <c r="R861" s="504">
        <v>3</v>
      </c>
      <c r="S861" s="509">
        <v>1499400</v>
      </c>
      <c r="T861" s="510">
        <f t="shared" si="174"/>
        <v>10</v>
      </c>
      <c r="U861" s="511">
        <f t="shared" si="170"/>
        <v>100</v>
      </c>
      <c r="V861" s="504" t="s">
        <v>58</v>
      </c>
      <c r="W861" s="512">
        <f t="shared" si="175"/>
        <v>1499400</v>
      </c>
      <c r="X861" s="511">
        <f t="shared" si="171"/>
        <v>99.969996999699973</v>
      </c>
      <c r="Y861" s="504" t="s">
        <v>58</v>
      </c>
      <c r="Z861" s="513">
        <f t="shared" si="172"/>
        <v>20</v>
      </c>
      <c r="AA861" s="512">
        <f t="shared" si="173"/>
        <v>2996650</v>
      </c>
      <c r="AB861" s="511"/>
      <c r="AC861" s="504" t="s">
        <v>58</v>
      </c>
      <c r="AD861" s="514"/>
      <c r="AE861" s="515"/>
    </row>
    <row r="862" spans="1:34" s="501" customFormat="1" ht="75" customHeight="1">
      <c r="A862" s="16"/>
      <c r="B862" s="1066"/>
      <c r="C862" s="500" t="s">
        <v>71</v>
      </c>
      <c r="D862" s="491" t="s">
        <v>140</v>
      </c>
      <c r="E862" s="517">
        <f>J862*3</f>
        <v>36</v>
      </c>
      <c r="F862" s="518" t="s">
        <v>55</v>
      </c>
      <c r="G862" s="494">
        <f>SUM(G863:G866)</f>
        <v>20760865987</v>
      </c>
      <c r="H862" s="492">
        <v>14</v>
      </c>
      <c r="I862" s="494">
        <f>SUM(I863:I866)</f>
        <v>5961761435</v>
      </c>
      <c r="J862" s="517">
        <v>12</v>
      </c>
      <c r="K862" s="494">
        <f>SUM(K863:K866)</f>
        <v>7052218756</v>
      </c>
      <c r="L862" s="517">
        <f>SUM(L864:L866)</f>
        <v>3</v>
      </c>
      <c r="M862" s="494">
        <f>SUM(M863:M866)</f>
        <v>798515562</v>
      </c>
      <c r="N862" s="517">
        <f>SUM(N864:N866)</f>
        <v>3</v>
      </c>
      <c r="O862" s="494">
        <f>SUM(O863:O866)</f>
        <v>2566363667</v>
      </c>
      <c r="P862" s="517">
        <f>SUM(P864:P866)</f>
        <v>4</v>
      </c>
      <c r="Q862" s="494">
        <v>1505561760</v>
      </c>
      <c r="R862" s="495">
        <v>3</v>
      </c>
      <c r="S862" s="494">
        <v>1428167597</v>
      </c>
      <c r="T862" s="496">
        <f t="shared" si="174"/>
        <v>13</v>
      </c>
      <c r="U862" s="497">
        <f t="shared" si="170"/>
        <v>108.33333333333333</v>
      </c>
      <c r="V862" s="492" t="s">
        <v>58</v>
      </c>
      <c r="W862" s="498">
        <f t="shared" si="175"/>
        <v>6298608586</v>
      </c>
      <c r="X862" s="497">
        <f t="shared" si="171"/>
        <v>89.313857155114036</v>
      </c>
      <c r="Y862" s="492" t="s">
        <v>58</v>
      </c>
      <c r="Z862" s="495">
        <f t="shared" si="172"/>
        <v>27</v>
      </c>
      <c r="AA862" s="498">
        <f t="shared" si="173"/>
        <v>12260370021</v>
      </c>
      <c r="AB862" s="497"/>
      <c r="AC862" s="492" t="s">
        <v>58</v>
      </c>
      <c r="AD862" s="107"/>
      <c r="AE862" s="515"/>
    </row>
    <row r="863" spans="1:34" s="516" customFormat="1" ht="75" customHeight="1">
      <c r="A863" s="16"/>
      <c r="B863" s="1066"/>
      <c r="C863" s="502" t="s">
        <v>72</v>
      </c>
      <c r="D863" s="519" t="s">
        <v>213</v>
      </c>
      <c r="E863" s="520">
        <f t="shared" ref="E863:E866" si="176">J863*3</f>
        <v>291</v>
      </c>
      <c r="F863" s="521" t="s">
        <v>57</v>
      </c>
      <c r="G863" s="522">
        <v>20745865987</v>
      </c>
      <c r="H863" s="513"/>
      <c r="I863" s="484">
        <v>5956764185</v>
      </c>
      <c r="J863" s="520">
        <v>97</v>
      </c>
      <c r="K863" s="509">
        <v>7047228856</v>
      </c>
      <c r="L863" s="513">
        <v>97</v>
      </c>
      <c r="M863" s="486">
        <v>798515562</v>
      </c>
      <c r="N863" s="513">
        <v>97</v>
      </c>
      <c r="O863" s="508">
        <v>2566363667</v>
      </c>
      <c r="P863" s="513">
        <v>97</v>
      </c>
      <c r="Q863" s="508">
        <v>1494961760</v>
      </c>
      <c r="R863" s="513">
        <v>97</v>
      </c>
      <c r="S863" s="509">
        <v>1433784697</v>
      </c>
      <c r="T863" s="510">
        <f>AVERAGE(L863,N863,P863,R863)</f>
        <v>97</v>
      </c>
      <c r="U863" s="511">
        <f t="shared" si="170"/>
        <v>100</v>
      </c>
      <c r="V863" s="504" t="s">
        <v>58</v>
      </c>
      <c r="W863" s="512">
        <f t="shared" si="175"/>
        <v>6293625686</v>
      </c>
      <c r="X863" s="511">
        <f t="shared" si="171"/>
        <v>89.306389995290374</v>
      </c>
      <c r="Y863" s="504" t="s">
        <v>58</v>
      </c>
      <c r="Z863" s="513">
        <f t="shared" si="172"/>
        <v>97</v>
      </c>
      <c r="AA863" s="512">
        <f t="shared" si="173"/>
        <v>12250389871</v>
      </c>
      <c r="AB863" s="511"/>
      <c r="AC863" s="504" t="s">
        <v>58</v>
      </c>
      <c r="AD863" s="514"/>
      <c r="AE863" s="515"/>
    </row>
    <row r="864" spans="1:34" s="516" customFormat="1" ht="75" customHeight="1">
      <c r="A864" s="16"/>
      <c r="B864" s="1066"/>
      <c r="C864" s="502" t="s">
        <v>73</v>
      </c>
      <c r="D864" s="503" t="s">
        <v>214</v>
      </c>
      <c r="E864" s="520">
        <f t="shared" si="176"/>
        <v>3</v>
      </c>
      <c r="F864" s="521" t="s">
        <v>173</v>
      </c>
      <c r="G864" s="506">
        <v>5000000</v>
      </c>
      <c r="H864" s="513">
        <v>1</v>
      </c>
      <c r="I864" s="484">
        <v>1997250</v>
      </c>
      <c r="J864" s="520">
        <v>1</v>
      </c>
      <c r="K864" s="509">
        <v>2000000</v>
      </c>
      <c r="L864" s="513">
        <v>0</v>
      </c>
      <c r="M864" s="486">
        <v>0</v>
      </c>
      <c r="N864" s="513">
        <v>0</v>
      </c>
      <c r="O864" s="508">
        <v>0</v>
      </c>
      <c r="P864" s="513">
        <v>1</v>
      </c>
      <c r="Q864" s="508">
        <v>0</v>
      </c>
      <c r="R864" s="513"/>
      <c r="S864" s="509">
        <v>2000000</v>
      </c>
      <c r="T864" s="510">
        <f t="shared" si="174"/>
        <v>1</v>
      </c>
      <c r="U864" s="511">
        <f t="shared" si="170"/>
        <v>100</v>
      </c>
      <c r="V864" s="504" t="s">
        <v>58</v>
      </c>
      <c r="W864" s="512">
        <f t="shared" si="175"/>
        <v>2000000</v>
      </c>
      <c r="X864" s="511">
        <f t="shared" si="171"/>
        <v>100</v>
      </c>
      <c r="Y864" s="504" t="s">
        <v>58</v>
      </c>
      <c r="Z864" s="513">
        <f t="shared" si="172"/>
        <v>2</v>
      </c>
      <c r="AA864" s="512">
        <f t="shared" si="173"/>
        <v>3997250</v>
      </c>
      <c r="AB864" s="511"/>
      <c r="AC864" s="504" t="s">
        <v>58</v>
      </c>
      <c r="AD864" s="514"/>
      <c r="AE864" s="515"/>
    </row>
    <row r="865" spans="1:31" s="516" customFormat="1" ht="75" customHeight="1">
      <c r="A865" s="16"/>
      <c r="B865" s="17"/>
      <c r="C865" s="502" t="s">
        <v>74</v>
      </c>
      <c r="D865" s="503" t="s">
        <v>215</v>
      </c>
      <c r="E865" s="520">
        <f t="shared" si="176"/>
        <v>36</v>
      </c>
      <c r="F865" s="521" t="s">
        <v>173</v>
      </c>
      <c r="G865" s="506">
        <v>4500000</v>
      </c>
      <c r="H865" s="513">
        <v>12</v>
      </c>
      <c r="I865" s="484">
        <v>1500000</v>
      </c>
      <c r="J865" s="520">
        <v>12</v>
      </c>
      <c r="K865" s="509">
        <v>1499900</v>
      </c>
      <c r="L865" s="513">
        <v>3</v>
      </c>
      <c r="M865" s="486">
        <v>0</v>
      </c>
      <c r="N865" s="513">
        <v>3</v>
      </c>
      <c r="O865" s="508">
        <v>0</v>
      </c>
      <c r="P865" s="513">
        <v>3</v>
      </c>
      <c r="Q865" s="508">
        <v>10000000</v>
      </c>
      <c r="R865" s="513">
        <v>3</v>
      </c>
      <c r="S865" s="509">
        <v>8501500</v>
      </c>
      <c r="T865" s="510">
        <f t="shared" si="174"/>
        <v>12</v>
      </c>
      <c r="U865" s="511">
        <f t="shared" si="170"/>
        <v>100</v>
      </c>
      <c r="V865" s="504" t="s">
        <v>58</v>
      </c>
      <c r="W865" s="512">
        <f t="shared" si="175"/>
        <v>18501500</v>
      </c>
      <c r="X865" s="511">
        <f t="shared" si="171"/>
        <v>1233.5155677045136</v>
      </c>
      <c r="Y865" s="504" t="s">
        <v>58</v>
      </c>
      <c r="Z865" s="513">
        <f t="shared" si="172"/>
        <v>24</v>
      </c>
      <c r="AA865" s="512">
        <f t="shared" si="173"/>
        <v>20001500</v>
      </c>
      <c r="AB865" s="511"/>
      <c r="AC865" s="504" t="s">
        <v>58</v>
      </c>
      <c r="AD865" s="514"/>
      <c r="AE865" s="515"/>
    </row>
    <row r="866" spans="1:31" s="516" customFormat="1" ht="75" customHeight="1">
      <c r="A866" s="16"/>
      <c r="B866" s="17"/>
      <c r="C866" s="502" t="s">
        <v>75</v>
      </c>
      <c r="D866" s="503" t="s">
        <v>216</v>
      </c>
      <c r="E866" s="520">
        <f t="shared" si="176"/>
        <v>3</v>
      </c>
      <c r="F866" s="521" t="s">
        <v>55</v>
      </c>
      <c r="G866" s="506">
        <v>5500000</v>
      </c>
      <c r="H866" s="513">
        <v>1</v>
      </c>
      <c r="I866" s="484">
        <v>1500000</v>
      </c>
      <c r="J866" s="520">
        <v>1</v>
      </c>
      <c r="K866" s="509">
        <v>1490000</v>
      </c>
      <c r="L866" s="513">
        <v>0</v>
      </c>
      <c r="M866" s="486">
        <v>0</v>
      </c>
      <c r="N866" s="513">
        <v>0</v>
      </c>
      <c r="O866" s="508">
        <v>0</v>
      </c>
      <c r="P866" s="513">
        <v>0</v>
      </c>
      <c r="Q866" s="508">
        <v>600000</v>
      </c>
      <c r="R866" s="513">
        <v>1</v>
      </c>
      <c r="S866" s="509">
        <v>884400</v>
      </c>
      <c r="T866" s="510">
        <f t="shared" si="174"/>
        <v>1</v>
      </c>
      <c r="U866" s="511">
        <f t="shared" si="170"/>
        <v>100</v>
      </c>
      <c r="V866" s="504" t="s">
        <v>58</v>
      </c>
      <c r="W866" s="512">
        <f t="shared" si="175"/>
        <v>1484400</v>
      </c>
      <c r="X866" s="511">
        <f t="shared" si="171"/>
        <v>99.624161073825505</v>
      </c>
      <c r="Y866" s="504" t="s">
        <v>58</v>
      </c>
      <c r="Z866" s="513">
        <f t="shared" si="172"/>
        <v>2</v>
      </c>
      <c r="AA866" s="512">
        <f t="shared" si="173"/>
        <v>2984400</v>
      </c>
      <c r="AB866" s="511"/>
      <c r="AC866" s="504" t="s">
        <v>58</v>
      </c>
      <c r="AD866" s="514"/>
      <c r="AE866" s="515"/>
    </row>
    <row r="867" spans="1:31" s="501" customFormat="1" ht="75" customHeight="1">
      <c r="A867" s="16"/>
      <c r="B867" s="17"/>
      <c r="C867" s="500" t="s">
        <v>1595</v>
      </c>
      <c r="D867" s="491" t="s">
        <v>1679</v>
      </c>
      <c r="E867" s="492">
        <v>100</v>
      </c>
      <c r="F867" s="493" t="s">
        <v>58</v>
      </c>
      <c r="G867" s="494">
        <f>SUM(G868)</f>
        <v>474775000</v>
      </c>
      <c r="H867" s="495">
        <v>100</v>
      </c>
      <c r="I867" s="494">
        <f>SUM(I868)</f>
        <v>196175000</v>
      </c>
      <c r="J867" s="492">
        <v>100</v>
      </c>
      <c r="K867" s="494">
        <f>SUM(K868)</f>
        <v>137350000</v>
      </c>
      <c r="L867" s="495">
        <v>100</v>
      </c>
      <c r="M867" s="494">
        <f>M868</f>
        <v>0</v>
      </c>
      <c r="N867" s="495">
        <v>100</v>
      </c>
      <c r="O867" s="494">
        <f>SUM(O868)</f>
        <v>0</v>
      </c>
      <c r="P867" s="495">
        <v>100</v>
      </c>
      <c r="Q867" s="494">
        <v>137350000</v>
      </c>
      <c r="R867" s="495">
        <v>100</v>
      </c>
      <c r="S867" s="494">
        <v>1219600</v>
      </c>
      <c r="T867" s="496">
        <f>AVERAGE(L867,N867,P867,R867)</f>
        <v>100</v>
      </c>
      <c r="U867" s="497">
        <f t="shared" si="170"/>
        <v>100</v>
      </c>
      <c r="V867" s="492" t="s">
        <v>58</v>
      </c>
      <c r="W867" s="498">
        <f t="shared" si="175"/>
        <v>138569600</v>
      </c>
      <c r="X867" s="497">
        <f t="shared" si="171"/>
        <v>100.88795049144521</v>
      </c>
      <c r="Y867" s="492" t="s">
        <v>58</v>
      </c>
      <c r="Z867" s="495">
        <f t="shared" si="172"/>
        <v>200</v>
      </c>
      <c r="AA867" s="498">
        <f t="shared" si="173"/>
        <v>334744600</v>
      </c>
      <c r="AB867" s="497"/>
      <c r="AC867" s="492" t="s">
        <v>58</v>
      </c>
      <c r="AD867" s="107"/>
      <c r="AE867" s="515"/>
    </row>
    <row r="868" spans="1:31" s="516" customFormat="1" ht="75" customHeight="1">
      <c r="A868" s="16"/>
      <c r="B868" s="17"/>
      <c r="C868" s="502" t="s">
        <v>1680</v>
      </c>
      <c r="D868" s="503" t="s">
        <v>1598</v>
      </c>
      <c r="E868" s="504">
        <f>J868+105*2</f>
        <v>325</v>
      </c>
      <c r="F868" s="505" t="s">
        <v>59</v>
      </c>
      <c r="G868" s="506">
        <v>474775000</v>
      </c>
      <c r="H868" s="504">
        <v>115</v>
      </c>
      <c r="I868" s="484">
        <v>196175000</v>
      </c>
      <c r="J868" s="504">
        <v>115</v>
      </c>
      <c r="K868" s="509">
        <v>137350000</v>
      </c>
      <c r="L868" s="504">
        <v>0</v>
      </c>
      <c r="M868" s="486">
        <v>0</v>
      </c>
      <c r="N868" s="504"/>
      <c r="O868" s="508">
        <v>0</v>
      </c>
      <c r="P868" s="504">
        <v>115</v>
      </c>
      <c r="Q868" s="508">
        <v>137350000</v>
      </c>
      <c r="R868" s="504">
        <v>0</v>
      </c>
      <c r="S868" s="509">
        <v>1219600</v>
      </c>
      <c r="T868" s="510">
        <f t="shared" ref="T868:T877" si="177">SUM(L868,N868,P868,R868)</f>
        <v>115</v>
      </c>
      <c r="U868" s="513">
        <f t="shared" si="170"/>
        <v>100</v>
      </c>
      <c r="V868" s="504" t="s">
        <v>58</v>
      </c>
      <c r="W868" s="512">
        <f t="shared" si="175"/>
        <v>138569600</v>
      </c>
      <c r="X868" s="511">
        <f t="shared" si="171"/>
        <v>100.88795049144521</v>
      </c>
      <c r="Y868" s="504" t="s">
        <v>58</v>
      </c>
      <c r="Z868" s="513">
        <f t="shared" si="172"/>
        <v>230</v>
      </c>
      <c r="AA868" s="512">
        <f t="shared" si="173"/>
        <v>334744600</v>
      </c>
      <c r="AB868" s="511"/>
      <c r="AC868" s="504" t="s">
        <v>58</v>
      </c>
      <c r="AD868" s="514"/>
      <c r="AE868" s="515"/>
    </row>
    <row r="869" spans="1:31" s="501" customFormat="1" ht="75" customHeight="1">
      <c r="A869" s="16"/>
      <c r="B869" s="17"/>
      <c r="C869" s="500" t="s">
        <v>76</v>
      </c>
      <c r="D869" s="523" t="s">
        <v>1493</v>
      </c>
      <c r="E869" s="517">
        <v>100</v>
      </c>
      <c r="F869" s="518" t="s">
        <v>58</v>
      </c>
      <c r="G869" s="485">
        <f>SUM(G870:G875)</f>
        <v>2306663464</v>
      </c>
      <c r="H869" s="495">
        <v>100</v>
      </c>
      <c r="I869" s="485">
        <f>SUM(I870:I875)</f>
        <v>637329121</v>
      </c>
      <c r="J869" s="517">
        <v>100</v>
      </c>
      <c r="K869" s="485">
        <f>SUM(K870:K875)</f>
        <v>462035750</v>
      </c>
      <c r="L869" s="517">
        <v>100</v>
      </c>
      <c r="M869" s="485">
        <f>SUM(M870:M875)</f>
        <v>102859600</v>
      </c>
      <c r="N869" s="517">
        <v>100</v>
      </c>
      <c r="O869" s="494">
        <f>SUM(O870:O875)</f>
        <v>134263500</v>
      </c>
      <c r="P869" s="517">
        <v>100</v>
      </c>
      <c r="Q869" s="494">
        <v>140168980</v>
      </c>
      <c r="R869" s="492">
        <v>100</v>
      </c>
      <c r="S869" s="494">
        <v>286999100</v>
      </c>
      <c r="T869" s="496">
        <f>AVERAGE(L869,N869,P869,R869)</f>
        <v>100</v>
      </c>
      <c r="U869" s="497">
        <f t="shared" si="170"/>
        <v>100</v>
      </c>
      <c r="V869" s="492" t="s">
        <v>58</v>
      </c>
      <c r="W869" s="498">
        <f t="shared" si="175"/>
        <v>664291180</v>
      </c>
      <c r="X869" s="497">
        <f t="shared" si="171"/>
        <v>143.77484426259224</v>
      </c>
      <c r="Y869" s="492" t="s">
        <v>58</v>
      </c>
      <c r="Z869" s="495">
        <f t="shared" si="172"/>
        <v>200</v>
      </c>
      <c r="AA869" s="498">
        <f t="shared" si="173"/>
        <v>1301620301</v>
      </c>
      <c r="AB869" s="497"/>
      <c r="AC869" s="492" t="s">
        <v>58</v>
      </c>
      <c r="AD869" s="107"/>
      <c r="AE869" s="515"/>
    </row>
    <row r="870" spans="1:31" s="516" customFormat="1" ht="75" customHeight="1">
      <c r="A870" s="16"/>
      <c r="B870" s="17"/>
      <c r="C870" s="502" t="s">
        <v>342</v>
      </c>
      <c r="D870" s="503" t="s">
        <v>343</v>
      </c>
      <c r="E870" s="520">
        <f t="shared" ref="E870:E875" si="178">J870*3</f>
        <v>36</v>
      </c>
      <c r="F870" s="505" t="s">
        <v>59</v>
      </c>
      <c r="G870" s="506">
        <v>37267940</v>
      </c>
      <c r="H870" s="513">
        <v>12</v>
      </c>
      <c r="I870" s="484">
        <v>17417678</v>
      </c>
      <c r="J870" s="520">
        <v>12</v>
      </c>
      <c r="K870" s="509">
        <v>9476800</v>
      </c>
      <c r="L870" s="513">
        <v>3</v>
      </c>
      <c r="M870" s="486">
        <v>0</v>
      </c>
      <c r="N870" s="513">
        <v>3</v>
      </c>
      <c r="O870" s="508">
        <v>9333300</v>
      </c>
      <c r="P870" s="513">
        <v>3</v>
      </c>
      <c r="Q870" s="508">
        <v>0</v>
      </c>
      <c r="R870" s="513">
        <v>3</v>
      </c>
      <c r="S870" s="509">
        <v>0</v>
      </c>
      <c r="T870" s="510">
        <f t="shared" si="177"/>
        <v>12</v>
      </c>
      <c r="U870" s="511">
        <f t="shared" si="170"/>
        <v>100</v>
      </c>
      <c r="V870" s="504" t="s">
        <v>58</v>
      </c>
      <c r="W870" s="512">
        <f t="shared" si="175"/>
        <v>9333300</v>
      </c>
      <c r="X870" s="511">
        <f t="shared" si="171"/>
        <v>98.485775789295957</v>
      </c>
      <c r="Y870" s="504" t="s">
        <v>58</v>
      </c>
      <c r="Z870" s="513">
        <f t="shared" si="172"/>
        <v>24</v>
      </c>
      <c r="AA870" s="512">
        <f t="shared" si="173"/>
        <v>26750978</v>
      </c>
      <c r="AB870" s="511"/>
      <c r="AC870" s="504" t="s">
        <v>58</v>
      </c>
      <c r="AD870" s="514"/>
      <c r="AE870" s="515"/>
    </row>
    <row r="871" spans="1:31" s="516" customFormat="1" ht="75" customHeight="1">
      <c r="A871" s="16"/>
      <c r="B871" s="17"/>
      <c r="C871" s="502" t="s">
        <v>345</v>
      </c>
      <c r="D871" s="503" t="s">
        <v>217</v>
      </c>
      <c r="E871" s="520">
        <f t="shared" si="178"/>
        <v>36</v>
      </c>
      <c r="F871" s="505" t="s">
        <v>59</v>
      </c>
      <c r="G871" s="506">
        <v>196328783</v>
      </c>
      <c r="H871" s="504">
        <v>12</v>
      </c>
      <c r="I871" s="486">
        <v>86588097</v>
      </c>
      <c r="J871" s="520">
        <v>12</v>
      </c>
      <c r="K871" s="509">
        <v>51669900</v>
      </c>
      <c r="L871" s="513">
        <v>3</v>
      </c>
      <c r="M871" s="486">
        <v>17688300</v>
      </c>
      <c r="N871" s="513">
        <v>3</v>
      </c>
      <c r="O871" s="508">
        <v>16634200</v>
      </c>
      <c r="P871" s="513">
        <v>3</v>
      </c>
      <c r="Q871" s="508">
        <v>11261300</v>
      </c>
      <c r="R871" s="513">
        <v>3</v>
      </c>
      <c r="S871" s="509">
        <v>3202900</v>
      </c>
      <c r="T871" s="510">
        <f t="shared" si="177"/>
        <v>12</v>
      </c>
      <c r="U871" s="511">
        <f t="shared" si="170"/>
        <v>100</v>
      </c>
      <c r="V871" s="504" t="s">
        <v>58</v>
      </c>
      <c r="W871" s="512">
        <f t="shared" si="175"/>
        <v>48786700</v>
      </c>
      <c r="X871" s="511">
        <f t="shared" si="171"/>
        <v>94.419962105597264</v>
      </c>
      <c r="Y871" s="504" t="s">
        <v>58</v>
      </c>
      <c r="Z871" s="513">
        <f t="shared" si="172"/>
        <v>24</v>
      </c>
      <c r="AA871" s="512">
        <f t="shared" si="173"/>
        <v>135374797</v>
      </c>
      <c r="AB871" s="511"/>
      <c r="AC871" s="504" t="s">
        <v>58</v>
      </c>
      <c r="AD871" s="514"/>
      <c r="AE871" s="515"/>
    </row>
    <row r="872" spans="1:31" s="516" customFormat="1" ht="75" customHeight="1">
      <c r="A872" s="16"/>
      <c r="B872" s="17"/>
      <c r="C872" s="502" t="s">
        <v>347</v>
      </c>
      <c r="D872" s="519" t="s">
        <v>218</v>
      </c>
      <c r="E872" s="520">
        <f t="shared" si="178"/>
        <v>36</v>
      </c>
      <c r="F872" s="505" t="s">
        <v>59</v>
      </c>
      <c r="G872" s="506">
        <v>217075000</v>
      </c>
      <c r="H872" s="513">
        <v>12</v>
      </c>
      <c r="I872" s="484">
        <v>20010000</v>
      </c>
      <c r="J872" s="520">
        <v>12</v>
      </c>
      <c r="K872" s="509">
        <v>39025000</v>
      </c>
      <c r="L872" s="513">
        <v>3</v>
      </c>
      <c r="M872" s="486">
        <v>3300000</v>
      </c>
      <c r="N872" s="513">
        <v>3</v>
      </c>
      <c r="O872" s="508">
        <v>4400000</v>
      </c>
      <c r="P872" s="513">
        <v>3</v>
      </c>
      <c r="Q872" s="508">
        <v>6700000</v>
      </c>
      <c r="R872" s="513">
        <v>3</v>
      </c>
      <c r="S872" s="509">
        <v>25390500</v>
      </c>
      <c r="T872" s="510">
        <f t="shared" si="177"/>
        <v>12</v>
      </c>
      <c r="U872" s="511">
        <f t="shared" si="170"/>
        <v>100</v>
      </c>
      <c r="V872" s="504" t="s">
        <v>58</v>
      </c>
      <c r="W872" s="512">
        <f t="shared" si="175"/>
        <v>39790500</v>
      </c>
      <c r="X872" s="511">
        <f t="shared" si="171"/>
        <v>101.96156310057656</v>
      </c>
      <c r="Y872" s="504" t="s">
        <v>58</v>
      </c>
      <c r="Z872" s="513">
        <f t="shared" si="172"/>
        <v>24</v>
      </c>
      <c r="AA872" s="512">
        <f t="shared" si="173"/>
        <v>59800500</v>
      </c>
      <c r="AB872" s="511"/>
      <c r="AC872" s="504" t="s">
        <v>58</v>
      </c>
      <c r="AD872" s="514"/>
      <c r="AE872" s="515"/>
    </row>
    <row r="873" spans="1:31" s="516" customFormat="1" ht="75" customHeight="1">
      <c r="A873" s="16"/>
      <c r="B873" s="17"/>
      <c r="C873" s="502" t="s">
        <v>349</v>
      </c>
      <c r="D873" s="519" t="s">
        <v>219</v>
      </c>
      <c r="E873" s="520">
        <f t="shared" si="178"/>
        <v>36</v>
      </c>
      <c r="F873" s="505" t="s">
        <v>59</v>
      </c>
      <c r="G873" s="506">
        <v>117693350</v>
      </c>
      <c r="H873" s="513">
        <v>12</v>
      </c>
      <c r="I873" s="484">
        <v>24569564</v>
      </c>
      <c r="J873" s="520">
        <v>12</v>
      </c>
      <c r="K873" s="509">
        <v>38564050</v>
      </c>
      <c r="L873" s="513">
        <v>3</v>
      </c>
      <c r="M873" s="486">
        <v>6446500</v>
      </c>
      <c r="N873" s="513">
        <v>3</v>
      </c>
      <c r="O873" s="508">
        <v>3150000</v>
      </c>
      <c r="P873" s="513">
        <v>3</v>
      </c>
      <c r="Q873" s="508">
        <v>4775000</v>
      </c>
      <c r="R873" s="513">
        <v>3</v>
      </c>
      <c r="S873" s="509">
        <v>16846000</v>
      </c>
      <c r="T873" s="510">
        <f t="shared" si="177"/>
        <v>12</v>
      </c>
      <c r="U873" s="511">
        <f t="shared" si="170"/>
        <v>100</v>
      </c>
      <c r="V873" s="504" t="s">
        <v>58</v>
      </c>
      <c r="W873" s="512">
        <f t="shared" si="175"/>
        <v>31217500</v>
      </c>
      <c r="X873" s="511">
        <f t="shared" si="171"/>
        <v>80.949744645596084</v>
      </c>
      <c r="Y873" s="504" t="s">
        <v>58</v>
      </c>
      <c r="Z873" s="513">
        <f t="shared" si="172"/>
        <v>24</v>
      </c>
      <c r="AA873" s="512">
        <f t="shared" si="173"/>
        <v>55787064</v>
      </c>
      <c r="AB873" s="511"/>
      <c r="AC873" s="504" t="s">
        <v>58</v>
      </c>
      <c r="AD873" s="514"/>
      <c r="AE873" s="515"/>
    </row>
    <row r="874" spans="1:31" s="516" customFormat="1" ht="75" customHeight="1">
      <c r="A874" s="16"/>
      <c r="B874" s="17"/>
      <c r="C874" s="502" t="s">
        <v>963</v>
      </c>
      <c r="D874" s="487" t="s">
        <v>1179</v>
      </c>
      <c r="E874" s="520">
        <f t="shared" si="178"/>
        <v>36</v>
      </c>
      <c r="F874" s="505" t="s">
        <v>55</v>
      </c>
      <c r="G874" s="506">
        <v>10800000</v>
      </c>
      <c r="H874" s="513">
        <v>12</v>
      </c>
      <c r="I874" s="484">
        <v>1320000</v>
      </c>
      <c r="J874" s="520">
        <v>12</v>
      </c>
      <c r="K874" s="509">
        <v>3300000</v>
      </c>
      <c r="L874" s="513">
        <v>3</v>
      </c>
      <c r="M874" s="486">
        <v>240000</v>
      </c>
      <c r="N874" s="504">
        <v>3</v>
      </c>
      <c r="O874" s="508">
        <v>360000</v>
      </c>
      <c r="P874" s="504">
        <v>3</v>
      </c>
      <c r="Q874" s="508">
        <v>240000</v>
      </c>
      <c r="R874" s="504">
        <v>3</v>
      </c>
      <c r="S874" s="509">
        <v>660000</v>
      </c>
      <c r="T874" s="510">
        <f t="shared" si="177"/>
        <v>12</v>
      </c>
      <c r="U874" s="511">
        <f t="shared" si="170"/>
        <v>100</v>
      </c>
      <c r="V874" s="504" t="s">
        <v>58</v>
      </c>
      <c r="W874" s="512">
        <f t="shared" si="175"/>
        <v>1500000</v>
      </c>
      <c r="X874" s="511">
        <f t="shared" si="171"/>
        <v>45.454545454545453</v>
      </c>
      <c r="Y874" s="504" t="s">
        <v>58</v>
      </c>
      <c r="Z874" s="513">
        <f t="shared" si="172"/>
        <v>24</v>
      </c>
      <c r="AA874" s="512">
        <f t="shared" si="173"/>
        <v>2820000</v>
      </c>
      <c r="AB874" s="511"/>
      <c r="AC874" s="504" t="s">
        <v>58</v>
      </c>
      <c r="AD874" s="514"/>
      <c r="AE874" s="515"/>
    </row>
    <row r="875" spans="1:31" s="516" customFormat="1" ht="75" customHeight="1">
      <c r="A875" s="16"/>
      <c r="B875" s="17"/>
      <c r="C875" s="502" t="s">
        <v>77</v>
      </c>
      <c r="D875" s="487" t="s">
        <v>220</v>
      </c>
      <c r="E875" s="520">
        <f t="shared" si="178"/>
        <v>36</v>
      </c>
      <c r="F875" s="505" t="s">
        <v>173</v>
      </c>
      <c r="G875" s="506">
        <v>1727498391</v>
      </c>
      <c r="H875" s="513">
        <v>12</v>
      </c>
      <c r="I875" s="484">
        <v>487423782</v>
      </c>
      <c r="J875" s="520">
        <v>12</v>
      </c>
      <c r="K875" s="509">
        <v>320000000</v>
      </c>
      <c r="L875" s="513">
        <v>3</v>
      </c>
      <c r="M875" s="486">
        <v>75184800</v>
      </c>
      <c r="N875" s="504">
        <v>3</v>
      </c>
      <c r="O875" s="508">
        <v>100386000</v>
      </c>
      <c r="P875" s="504">
        <v>3</v>
      </c>
      <c r="Q875" s="508">
        <v>117192680</v>
      </c>
      <c r="R875" s="504">
        <v>3</v>
      </c>
      <c r="S875" s="509">
        <v>240899700</v>
      </c>
      <c r="T875" s="510">
        <f t="shared" si="177"/>
        <v>12</v>
      </c>
      <c r="U875" s="511">
        <f t="shared" si="170"/>
        <v>100</v>
      </c>
      <c r="V875" s="504" t="s">
        <v>58</v>
      </c>
      <c r="W875" s="512">
        <f t="shared" si="175"/>
        <v>533663180</v>
      </c>
      <c r="X875" s="511">
        <f t="shared" si="171"/>
        <v>166.76974375</v>
      </c>
      <c r="Y875" s="504" t="s">
        <v>58</v>
      </c>
      <c r="Z875" s="513">
        <f t="shared" si="172"/>
        <v>24</v>
      </c>
      <c r="AA875" s="512">
        <f t="shared" si="173"/>
        <v>1021086962</v>
      </c>
      <c r="AB875" s="511"/>
      <c r="AC875" s="504" t="s">
        <v>58</v>
      </c>
      <c r="AD875" s="514"/>
      <c r="AE875" s="515"/>
    </row>
    <row r="876" spans="1:31" s="501" customFormat="1" ht="75" customHeight="1">
      <c r="A876" s="16"/>
      <c r="B876" s="17"/>
      <c r="C876" s="500" t="s">
        <v>78</v>
      </c>
      <c r="D876" s="523" t="s">
        <v>1681</v>
      </c>
      <c r="E876" s="517">
        <v>100</v>
      </c>
      <c r="F876" s="518" t="s">
        <v>58</v>
      </c>
      <c r="G876" s="494">
        <f>SUM(G877)</f>
        <v>5000000</v>
      </c>
      <c r="H876" s="495">
        <v>100</v>
      </c>
      <c r="I876" s="494">
        <f>SUM(I877)</f>
        <v>5000000</v>
      </c>
      <c r="J876" s="517">
        <v>100</v>
      </c>
      <c r="K876" s="524">
        <v>0</v>
      </c>
      <c r="L876" s="495">
        <v>0</v>
      </c>
      <c r="M876" s="494">
        <f>SUM(M877:M879)</f>
        <v>7648146</v>
      </c>
      <c r="N876" s="495">
        <v>0</v>
      </c>
      <c r="O876" s="494">
        <f>SUM(O877:O879)</f>
        <v>10845568</v>
      </c>
      <c r="P876" s="495">
        <v>0</v>
      </c>
      <c r="Q876" s="494">
        <v>6124487</v>
      </c>
      <c r="R876" s="492"/>
      <c r="S876" s="494">
        <v>12800450</v>
      </c>
      <c r="T876" s="496">
        <f t="shared" si="177"/>
        <v>0</v>
      </c>
      <c r="U876" s="497">
        <f t="shared" si="170"/>
        <v>0</v>
      </c>
      <c r="V876" s="492"/>
      <c r="W876" s="498">
        <f t="shared" si="175"/>
        <v>37418651</v>
      </c>
      <c r="X876" s="497" t="e">
        <f t="shared" si="171"/>
        <v>#DIV/0!</v>
      </c>
      <c r="Y876" s="492"/>
      <c r="Z876" s="495">
        <f t="shared" si="172"/>
        <v>100</v>
      </c>
      <c r="AA876" s="498">
        <f t="shared" si="173"/>
        <v>42418651</v>
      </c>
      <c r="AB876" s="497"/>
      <c r="AC876" s="492" t="s">
        <v>58</v>
      </c>
      <c r="AD876" s="107"/>
      <c r="AE876" s="515"/>
    </row>
    <row r="877" spans="1:31" s="516" customFormat="1" ht="75" customHeight="1">
      <c r="A877" s="16"/>
      <c r="B877" s="17"/>
      <c r="C877" s="502" t="s">
        <v>1682</v>
      </c>
      <c r="D877" s="503" t="s">
        <v>1683</v>
      </c>
      <c r="E877" s="513">
        <v>1</v>
      </c>
      <c r="F877" s="505" t="s">
        <v>138</v>
      </c>
      <c r="G877" s="506">
        <v>5000000</v>
      </c>
      <c r="H877" s="513">
        <v>1</v>
      </c>
      <c r="I877" s="486">
        <v>5000000</v>
      </c>
      <c r="J877" s="513"/>
      <c r="K877" s="525">
        <v>0</v>
      </c>
      <c r="L877" s="513">
        <v>0</v>
      </c>
      <c r="M877" s="486">
        <v>0</v>
      </c>
      <c r="N877" s="513">
        <v>0</v>
      </c>
      <c r="O877" s="508">
        <v>0</v>
      </c>
      <c r="P877" s="513">
        <v>0</v>
      </c>
      <c r="Q877" s="508">
        <v>0</v>
      </c>
      <c r="R877" s="513">
        <v>0</v>
      </c>
      <c r="S877" s="509">
        <v>1000000</v>
      </c>
      <c r="T877" s="510">
        <f t="shared" si="177"/>
        <v>0</v>
      </c>
      <c r="U877" s="511"/>
      <c r="V877" s="504"/>
      <c r="W877" s="512">
        <f t="shared" si="175"/>
        <v>1000000</v>
      </c>
      <c r="X877" s="511" t="e">
        <f t="shared" si="171"/>
        <v>#DIV/0!</v>
      </c>
      <c r="Y877" s="504"/>
      <c r="Z877" s="513">
        <f t="shared" si="172"/>
        <v>1</v>
      </c>
      <c r="AA877" s="512">
        <f t="shared" si="173"/>
        <v>6000000</v>
      </c>
      <c r="AB877" s="511"/>
      <c r="AC877" s="504" t="s">
        <v>58</v>
      </c>
      <c r="AD877" s="514"/>
      <c r="AE877" s="515"/>
    </row>
    <row r="878" spans="1:31" s="501" customFormat="1" ht="75" customHeight="1">
      <c r="A878" s="16"/>
      <c r="B878" s="17"/>
      <c r="C878" s="500" t="s">
        <v>79</v>
      </c>
      <c r="D878" s="445" t="s">
        <v>1494</v>
      </c>
      <c r="E878" s="517">
        <v>100</v>
      </c>
      <c r="F878" s="518" t="s">
        <v>58</v>
      </c>
      <c r="G878" s="494">
        <f>SUM(G879:G881)</f>
        <v>178750427</v>
      </c>
      <c r="H878" s="492">
        <v>100</v>
      </c>
      <c r="I878" s="494">
        <f>SUM(I879:I881)</f>
        <v>41535750</v>
      </c>
      <c r="J878" s="517">
        <v>100</v>
      </c>
      <c r="K878" s="494">
        <f>SUM(K879:K881)</f>
        <v>58044000</v>
      </c>
      <c r="L878" s="517">
        <v>100</v>
      </c>
      <c r="M878" s="485">
        <v>2799369</v>
      </c>
      <c r="N878" s="517">
        <v>100</v>
      </c>
      <c r="O878" s="526">
        <v>4363432</v>
      </c>
      <c r="P878" s="517">
        <v>100</v>
      </c>
      <c r="Q878" s="526">
        <v>2875769</v>
      </c>
      <c r="R878" s="495">
        <v>100</v>
      </c>
      <c r="S878" s="494">
        <v>4777432</v>
      </c>
      <c r="T878" s="496">
        <f>AVERAGE(L878,N878,P878,R878)</f>
        <v>100</v>
      </c>
      <c r="U878" s="497">
        <f t="shared" ref="U878:U902" si="179">T878/J878*100</f>
        <v>100</v>
      </c>
      <c r="V878" s="492" t="s">
        <v>58</v>
      </c>
      <c r="W878" s="498">
        <f t="shared" si="175"/>
        <v>14816002</v>
      </c>
      <c r="X878" s="497">
        <f t="shared" si="171"/>
        <v>25.52546688718903</v>
      </c>
      <c r="Y878" s="492" t="s">
        <v>58</v>
      </c>
      <c r="Z878" s="495">
        <f t="shared" si="172"/>
        <v>200</v>
      </c>
      <c r="AA878" s="498">
        <f t="shared" si="173"/>
        <v>56351752</v>
      </c>
      <c r="AB878" s="497"/>
      <c r="AC878" s="492" t="s">
        <v>58</v>
      </c>
      <c r="AD878" s="107"/>
      <c r="AE878" s="515"/>
    </row>
    <row r="879" spans="1:31" s="516" customFormat="1" ht="75" customHeight="1">
      <c r="A879" s="16"/>
      <c r="B879" s="17"/>
      <c r="C879" s="502" t="s">
        <v>86</v>
      </c>
      <c r="D879" s="503" t="s">
        <v>222</v>
      </c>
      <c r="E879" s="513">
        <f t="shared" ref="E879:E881" si="180">J879*3</f>
        <v>36</v>
      </c>
      <c r="F879" s="505" t="s">
        <v>173</v>
      </c>
      <c r="G879" s="506">
        <v>3018427</v>
      </c>
      <c r="H879" s="513">
        <v>12</v>
      </c>
      <c r="I879" s="484">
        <v>0</v>
      </c>
      <c r="J879" s="513">
        <v>12</v>
      </c>
      <c r="K879" s="509">
        <v>1000000</v>
      </c>
      <c r="L879" s="513">
        <v>3</v>
      </c>
      <c r="M879" s="486">
        <v>4848777</v>
      </c>
      <c r="N879" s="513">
        <v>3</v>
      </c>
      <c r="O879" s="508">
        <v>6482136</v>
      </c>
      <c r="P879" s="513">
        <v>3</v>
      </c>
      <c r="Q879" s="508">
        <v>3248718</v>
      </c>
      <c r="R879" s="513">
        <v>3</v>
      </c>
      <c r="S879" s="509">
        <v>7023018</v>
      </c>
      <c r="T879" s="510">
        <f t="shared" ref="T879:T885" si="181">SUM(L879,N879,P879,R879)</f>
        <v>12</v>
      </c>
      <c r="U879" s="511">
        <f t="shared" si="179"/>
        <v>100</v>
      </c>
      <c r="V879" s="504" t="s">
        <v>58</v>
      </c>
      <c r="W879" s="512">
        <f t="shared" si="175"/>
        <v>21602649</v>
      </c>
      <c r="X879" s="511">
        <f t="shared" si="171"/>
        <v>2160.2649000000001</v>
      </c>
      <c r="Y879" s="504" t="s">
        <v>58</v>
      </c>
      <c r="Z879" s="513">
        <f t="shared" si="172"/>
        <v>24</v>
      </c>
      <c r="AA879" s="512">
        <f t="shared" si="173"/>
        <v>21602649</v>
      </c>
      <c r="AB879" s="511"/>
      <c r="AC879" s="504" t="s">
        <v>58</v>
      </c>
      <c r="AD879" s="514"/>
      <c r="AE879" s="515"/>
    </row>
    <row r="880" spans="1:31" s="516" customFormat="1" ht="75" customHeight="1">
      <c r="A880" s="16"/>
      <c r="B880" s="17"/>
      <c r="C880" s="502" t="s">
        <v>357</v>
      </c>
      <c r="D880" s="503" t="s">
        <v>223</v>
      </c>
      <c r="E880" s="513">
        <f t="shared" si="180"/>
        <v>36</v>
      </c>
      <c r="F880" s="505" t="s">
        <v>173</v>
      </c>
      <c r="G880" s="506">
        <v>108000000</v>
      </c>
      <c r="H880" s="513">
        <v>12</v>
      </c>
      <c r="I880" s="484">
        <v>22073586</v>
      </c>
      <c r="J880" s="513">
        <v>12</v>
      </c>
      <c r="K880" s="509">
        <v>33000000</v>
      </c>
      <c r="L880" s="513">
        <v>3</v>
      </c>
      <c r="M880" s="494">
        <f>SUM(M881:M883)</f>
        <v>16937500</v>
      </c>
      <c r="N880" s="513">
        <v>3</v>
      </c>
      <c r="O880" s="494">
        <f>SUM(O881:O883)</f>
        <v>19209000</v>
      </c>
      <c r="P880" s="513">
        <v>3</v>
      </c>
      <c r="Q880" s="494">
        <v>28874750</v>
      </c>
      <c r="R880" s="513">
        <v>3</v>
      </c>
      <c r="S880" s="494">
        <v>78872000</v>
      </c>
      <c r="T880" s="510">
        <f t="shared" si="181"/>
        <v>12</v>
      </c>
      <c r="U880" s="511">
        <f t="shared" si="179"/>
        <v>100</v>
      </c>
      <c r="V880" s="504" t="s">
        <v>58</v>
      </c>
      <c r="W880" s="512">
        <f t="shared" si="175"/>
        <v>143893250</v>
      </c>
      <c r="X880" s="511">
        <f t="shared" si="171"/>
        <v>436.04015151515148</v>
      </c>
      <c r="Y880" s="504" t="s">
        <v>58</v>
      </c>
      <c r="Z880" s="513">
        <f t="shared" si="172"/>
        <v>24</v>
      </c>
      <c r="AA880" s="512">
        <f t="shared" si="173"/>
        <v>165966836</v>
      </c>
      <c r="AB880" s="511"/>
      <c r="AC880" s="504" t="s">
        <v>58</v>
      </c>
      <c r="AD880" s="514"/>
      <c r="AE880" s="515"/>
    </row>
    <row r="881" spans="1:31" s="516" customFormat="1" ht="75" customHeight="1">
      <c r="A881" s="16"/>
      <c r="B881" s="17"/>
      <c r="C881" s="502" t="s">
        <v>1684</v>
      </c>
      <c r="D881" s="503" t="s">
        <v>224</v>
      </c>
      <c r="E881" s="513">
        <f t="shared" si="180"/>
        <v>36</v>
      </c>
      <c r="F881" s="505" t="s">
        <v>173</v>
      </c>
      <c r="G881" s="506">
        <v>67732000</v>
      </c>
      <c r="H881" s="513">
        <v>12</v>
      </c>
      <c r="I881" s="484">
        <v>19462164</v>
      </c>
      <c r="J881" s="513">
        <v>12</v>
      </c>
      <c r="K881" s="509">
        <v>24044000</v>
      </c>
      <c r="L881" s="513">
        <v>3</v>
      </c>
      <c r="M881" s="486">
        <v>16937500</v>
      </c>
      <c r="N881" s="513">
        <v>3</v>
      </c>
      <c r="O881" s="508">
        <v>18204000</v>
      </c>
      <c r="P881" s="513">
        <v>3</v>
      </c>
      <c r="Q881" s="508">
        <v>28397750</v>
      </c>
      <c r="R881" s="513">
        <v>3</v>
      </c>
      <c r="S881" s="509">
        <v>66897500</v>
      </c>
      <c r="T881" s="510">
        <f t="shared" si="181"/>
        <v>12</v>
      </c>
      <c r="U881" s="511">
        <f t="shared" si="179"/>
        <v>100</v>
      </c>
      <c r="V881" s="504" t="s">
        <v>58</v>
      </c>
      <c r="W881" s="512">
        <f t="shared" si="175"/>
        <v>130436750</v>
      </c>
      <c r="X881" s="511">
        <f t="shared" si="171"/>
        <v>542.49188986857428</v>
      </c>
      <c r="Y881" s="504" t="s">
        <v>58</v>
      </c>
      <c r="Z881" s="513">
        <f t="shared" si="172"/>
        <v>24</v>
      </c>
      <c r="AA881" s="512">
        <f t="shared" si="173"/>
        <v>149898914</v>
      </c>
      <c r="AB881" s="511"/>
      <c r="AC881" s="504" t="s">
        <v>58</v>
      </c>
      <c r="AD881" s="514"/>
      <c r="AE881" s="515"/>
    </row>
    <row r="882" spans="1:31" s="501" customFormat="1" ht="75" customHeight="1">
      <c r="A882" s="16"/>
      <c r="B882" s="17"/>
      <c r="C882" s="500" t="s">
        <v>81</v>
      </c>
      <c r="D882" s="491" t="s">
        <v>1495</v>
      </c>
      <c r="E882" s="517">
        <v>100</v>
      </c>
      <c r="F882" s="518" t="s">
        <v>58</v>
      </c>
      <c r="G882" s="494">
        <f>SUM(G883:G885)</f>
        <v>84800000</v>
      </c>
      <c r="H882" s="495">
        <v>100</v>
      </c>
      <c r="I882" s="494">
        <f>SUM(I883:I885)</f>
        <v>34772000</v>
      </c>
      <c r="J882" s="517">
        <v>100</v>
      </c>
      <c r="K882" s="494">
        <f>SUM(K883:K885)</f>
        <v>172350000</v>
      </c>
      <c r="L882" s="517">
        <v>100</v>
      </c>
      <c r="M882" s="485">
        <v>0</v>
      </c>
      <c r="N882" s="517">
        <v>100</v>
      </c>
      <c r="O882" s="526">
        <v>0</v>
      </c>
      <c r="P882" s="517">
        <v>100</v>
      </c>
      <c r="Q882" s="526">
        <v>0</v>
      </c>
      <c r="R882" s="495">
        <v>100</v>
      </c>
      <c r="S882" s="494">
        <v>4993500</v>
      </c>
      <c r="T882" s="496">
        <f>AVERAGE(L882,N882,P882,R882)</f>
        <v>100</v>
      </c>
      <c r="U882" s="497">
        <f t="shared" si="179"/>
        <v>100</v>
      </c>
      <c r="V882" s="492" t="s">
        <v>58</v>
      </c>
      <c r="W882" s="498">
        <f t="shared" si="175"/>
        <v>4993500</v>
      </c>
      <c r="X882" s="497">
        <f t="shared" si="171"/>
        <v>2.8973020017406439</v>
      </c>
      <c r="Y882" s="492" t="s">
        <v>58</v>
      </c>
      <c r="Z882" s="495">
        <f t="shared" si="172"/>
        <v>200</v>
      </c>
      <c r="AA882" s="498">
        <f t="shared" si="173"/>
        <v>39765500</v>
      </c>
      <c r="AB882" s="497"/>
      <c r="AC882" s="492" t="s">
        <v>58</v>
      </c>
      <c r="AD882" s="107"/>
      <c r="AE882" s="515"/>
    </row>
    <row r="883" spans="1:31" s="516" customFormat="1" ht="75" customHeight="1">
      <c r="A883" s="16"/>
      <c r="B883" s="17"/>
      <c r="C883" s="502" t="s">
        <v>89</v>
      </c>
      <c r="D883" s="527" t="s">
        <v>229</v>
      </c>
      <c r="E883" s="513"/>
      <c r="F883" s="505" t="s">
        <v>138</v>
      </c>
      <c r="G883" s="506"/>
      <c r="H883" s="488"/>
      <c r="I883" s="484"/>
      <c r="J883" s="513">
        <v>12</v>
      </c>
      <c r="K883" s="509">
        <v>158350000</v>
      </c>
      <c r="L883" s="513">
        <v>3</v>
      </c>
      <c r="M883" s="486">
        <v>0</v>
      </c>
      <c r="N883" s="513">
        <v>3</v>
      </c>
      <c r="O883" s="508">
        <v>1005000</v>
      </c>
      <c r="P883" s="513">
        <v>3</v>
      </c>
      <c r="Q883" s="508">
        <v>450000</v>
      </c>
      <c r="R883" s="513">
        <v>3</v>
      </c>
      <c r="S883" s="509">
        <v>6981000</v>
      </c>
      <c r="T883" s="510">
        <f t="shared" si="181"/>
        <v>12</v>
      </c>
      <c r="U883" s="511">
        <f t="shared" si="179"/>
        <v>100</v>
      </c>
      <c r="V883" s="504" t="s">
        <v>58</v>
      </c>
      <c r="W883" s="512">
        <f t="shared" si="175"/>
        <v>8436000</v>
      </c>
      <c r="X883" s="511">
        <f t="shared" si="171"/>
        <v>5.3274392169245344</v>
      </c>
      <c r="Y883" s="504" t="s">
        <v>58</v>
      </c>
      <c r="Z883" s="513">
        <f t="shared" si="172"/>
        <v>12</v>
      </c>
      <c r="AA883" s="512">
        <f t="shared" si="173"/>
        <v>8436000</v>
      </c>
      <c r="AB883" s="511"/>
      <c r="AC883" s="504" t="s">
        <v>58</v>
      </c>
      <c r="AD883" s="514"/>
      <c r="AE883" s="515"/>
    </row>
    <row r="884" spans="1:31" s="516" customFormat="1" ht="75" customHeight="1">
      <c r="A884" s="16"/>
      <c r="B884" s="17"/>
      <c r="C884" s="502" t="s">
        <v>83</v>
      </c>
      <c r="D884" s="503" t="s">
        <v>365</v>
      </c>
      <c r="E884" s="513">
        <f t="shared" ref="E884:E885" si="182">J884*3</f>
        <v>36</v>
      </c>
      <c r="F884" s="505" t="s">
        <v>138</v>
      </c>
      <c r="G884" s="506">
        <v>56000000</v>
      </c>
      <c r="H884" s="488">
        <v>12</v>
      </c>
      <c r="I884" s="484">
        <v>25902000</v>
      </c>
      <c r="J884" s="513">
        <v>12</v>
      </c>
      <c r="K884" s="509">
        <v>5000000</v>
      </c>
      <c r="L884" s="513">
        <v>3</v>
      </c>
      <c r="M884" s="494">
        <f>M885+M890+M893</f>
        <v>220005109</v>
      </c>
      <c r="N884" s="513">
        <v>3</v>
      </c>
      <c r="O884" s="494"/>
      <c r="P884" s="513">
        <v>3</v>
      </c>
      <c r="Q884" s="494">
        <v>142250688</v>
      </c>
      <c r="R884" s="513">
        <v>3</v>
      </c>
      <c r="S884" s="494">
        <v>456418155</v>
      </c>
      <c r="T884" s="510">
        <f t="shared" si="181"/>
        <v>12</v>
      </c>
      <c r="U884" s="511">
        <f t="shared" si="179"/>
        <v>100</v>
      </c>
      <c r="V884" s="504" t="s">
        <v>58</v>
      </c>
      <c r="W884" s="512">
        <f t="shared" si="175"/>
        <v>818673952</v>
      </c>
      <c r="X884" s="511">
        <f t="shared" si="171"/>
        <v>16373.47904</v>
      </c>
      <c r="Y884" s="504" t="s">
        <v>58</v>
      </c>
      <c r="Z884" s="513">
        <f t="shared" si="172"/>
        <v>24</v>
      </c>
      <c r="AA884" s="512">
        <f t="shared" si="173"/>
        <v>844575952</v>
      </c>
      <c r="AB884" s="511"/>
      <c r="AC884" s="504" t="s">
        <v>58</v>
      </c>
      <c r="AD884" s="514"/>
      <c r="AE884" s="515"/>
    </row>
    <row r="885" spans="1:31" s="516" customFormat="1" ht="75" customHeight="1">
      <c r="A885" s="16"/>
      <c r="B885" s="17"/>
      <c r="C885" s="502" t="s">
        <v>84</v>
      </c>
      <c r="D885" s="487" t="s">
        <v>228</v>
      </c>
      <c r="E885" s="513">
        <f t="shared" si="182"/>
        <v>36</v>
      </c>
      <c r="F885" s="505" t="s">
        <v>138</v>
      </c>
      <c r="G885" s="506">
        <v>28800000</v>
      </c>
      <c r="H885" s="513">
        <v>12</v>
      </c>
      <c r="I885" s="484">
        <v>8870000</v>
      </c>
      <c r="J885" s="513">
        <v>12</v>
      </c>
      <c r="K885" s="509">
        <v>9000000</v>
      </c>
      <c r="L885" s="513">
        <v>3</v>
      </c>
      <c r="M885" s="494">
        <f>SUM(M886:M889)</f>
        <v>220005109</v>
      </c>
      <c r="N885" s="513">
        <v>3</v>
      </c>
      <c r="O885" s="494">
        <v>319353176</v>
      </c>
      <c r="P885" s="513">
        <v>3</v>
      </c>
      <c r="Q885" s="494">
        <v>138550688</v>
      </c>
      <c r="R885" s="513">
        <v>3</v>
      </c>
      <c r="S885" s="494">
        <v>422018155</v>
      </c>
      <c r="T885" s="510">
        <f t="shared" si="181"/>
        <v>12</v>
      </c>
      <c r="U885" s="511">
        <f t="shared" si="179"/>
        <v>100</v>
      </c>
      <c r="V885" s="504" t="s">
        <v>58</v>
      </c>
      <c r="W885" s="512">
        <f t="shared" si="175"/>
        <v>1099927128</v>
      </c>
      <c r="X885" s="511">
        <f t="shared" si="171"/>
        <v>12221.412533333332</v>
      </c>
      <c r="Y885" s="504" t="s">
        <v>58</v>
      </c>
      <c r="Z885" s="513">
        <f t="shared" si="172"/>
        <v>24</v>
      </c>
      <c r="AA885" s="512">
        <f t="shared" si="173"/>
        <v>1108797128</v>
      </c>
      <c r="AB885" s="511"/>
      <c r="AC885" s="504" t="s">
        <v>58</v>
      </c>
      <c r="AD885" s="514"/>
      <c r="AE885" s="515"/>
    </row>
    <row r="886" spans="1:31" s="528" customFormat="1" ht="75" customHeight="1">
      <c r="A886" s="16"/>
      <c r="B886" s="17"/>
      <c r="C886" s="491" t="s">
        <v>1685</v>
      </c>
      <c r="D886" s="491" t="s">
        <v>1686</v>
      </c>
      <c r="E886" s="492">
        <v>100</v>
      </c>
      <c r="F886" s="493" t="s">
        <v>58</v>
      </c>
      <c r="G886" s="494">
        <f>G887+G892+G895</f>
        <v>3581196266</v>
      </c>
      <c r="H886" s="492">
        <v>200</v>
      </c>
      <c r="I886" s="494">
        <f>I887+I892+I895</f>
        <v>939035821</v>
      </c>
      <c r="J886" s="492">
        <v>100</v>
      </c>
      <c r="K886" s="494">
        <f>K887+K892+K895</f>
        <v>1404703570</v>
      </c>
      <c r="L886" s="492">
        <f>12/12*100</f>
        <v>100</v>
      </c>
      <c r="M886" s="485">
        <v>12000000</v>
      </c>
      <c r="N886" s="492">
        <v>100</v>
      </c>
      <c r="O886" s="526">
        <v>7660000</v>
      </c>
      <c r="P886" s="492">
        <v>100</v>
      </c>
      <c r="Q886" s="526">
        <v>720000</v>
      </c>
      <c r="R886" s="492">
        <v>100</v>
      </c>
      <c r="S886" s="494">
        <v>4900000</v>
      </c>
      <c r="T886" s="496">
        <f t="shared" ref="T886:T892" si="183">AVERAGE(L886,N886,P886,R886)</f>
        <v>100</v>
      </c>
      <c r="U886" s="495">
        <f t="shared" si="179"/>
        <v>100</v>
      </c>
      <c r="V886" s="492" t="s">
        <v>58</v>
      </c>
      <c r="W886" s="498">
        <f t="shared" si="175"/>
        <v>25280000</v>
      </c>
      <c r="X886" s="497">
        <f t="shared" si="171"/>
        <v>1.7996679541435208</v>
      </c>
      <c r="Y886" s="492" t="s">
        <v>58</v>
      </c>
      <c r="Z886" s="495">
        <f t="shared" si="172"/>
        <v>300</v>
      </c>
      <c r="AA886" s="498">
        <f t="shared" si="173"/>
        <v>964315821</v>
      </c>
      <c r="AB886" s="497"/>
      <c r="AC886" s="492" t="s">
        <v>58</v>
      </c>
      <c r="AD886" s="107"/>
      <c r="AE886" s="515"/>
    </row>
    <row r="887" spans="1:31" s="501" customFormat="1" ht="75" customHeight="1">
      <c r="A887" s="16"/>
      <c r="B887" s="17"/>
      <c r="C887" s="500" t="s">
        <v>1687</v>
      </c>
      <c r="D887" s="491" t="s">
        <v>1688</v>
      </c>
      <c r="E887" s="492">
        <v>100</v>
      </c>
      <c r="F887" s="493" t="s">
        <v>58</v>
      </c>
      <c r="G887" s="494">
        <f>SUM(G888:G891)</f>
        <v>3326133009</v>
      </c>
      <c r="H887" s="492">
        <v>200</v>
      </c>
      <c r="I887" s="494">
        <f>SUM(I888:I891)</f>
        <v>926620821</v>
      </c>
      <c r="J887" s="492">
        <v>100</v>
      </c>
      <c r="K887" s="494">
        <f>SUM(K888:K891)</f>
        <v>1315874520</v>
      </c>
      <c r="L887" s="492">
        <v>100</v>
      </c>
      <c r="M887" s="485">
        <v>208005109</v>
      </c>
      <c r="N887" s="492">
        <v>100</v>
      </c>
      <c r="O887" s="529">
        <v>262213176</v>
      </c>
      <c r="P887" s="492">
        <v>100</v>
      </c>
      <c r="Q887" s="529">
        <v>137830688</v>
      </c>
      <c r="R887" s="492">
        <v>100</v>
      </c>
      <c r="S887" s="494">
        <v>374998155</v>
      </c>
      <c r="T887" s="496">
        <f t="shared" si="183"/>
        <v>100</v>
      </c>
      <c r="U887" s="495">
        <f t="shared" si="179"/>
        <v>100</v>
      </c>
      <c r="V887" s="492" t="s">
        <v>58</v>
      </c>
      <c r="W887" s="498">
        <f t="shared" si="175"/>
        <v>983047128</v>
      </c>
      <c r="X887" s="497">
        <f t="shared" si="171"/>
        <v>74.706753042075775</v>
      </c>
      <c r="Y887" s="492" t="s">
        <v>58</v>
      </c>
      <c r="Z887" s="495">
        <f t="shared" si="172"/>
        <v>300</v>
      </c>
      <c r="AA887" s="498">
        <f t="shared" si="173"/>
        <v>1909667949</v>
      </c>
      <c r="AB887" s="497"/>
      <c r="AC887" s="492" t="s">
        <v>58</v>
      </c>
      <c r="AD887" s="107"/>
      <c r="AE887" s="515"/>
    </row>
    <row r="888" spans="1:31" s="516" customFormat="1" ht="75" customHeight="1">
      <c r="A888" s="16"/>
      <c r="B888" s="17"/>
      <c r="C888" s="502" t="s">
        <v>1689</v>
      </c>
      <c r="D888" s="530" t="s">
        <v>1690</v>
      </c>
      <c r="E888" s="504">
        <v>100</v>
      </c>
      <c r="F888" s="505" t="s">
        <v>1691</v>
      </c>
      <c r="G888" s="509">
        <f>10000000+10000000+10000000</f>
        <v>30000000</v>
      </c>
      <c r="H888" s="504">
        <v>100</v>
      </c>
      <c r="I888" s="486">
        <v>2800000</v>
      </c>
      <c r="J888" s="504">
        <v>0</v>
      </c>
      <c r="K888" s="509">
        <v>10000000</v>
      </c>
      <c r="L888" s="504">
        <v>100</v>
      </c>
      <c r="M888" s="486">
        <v>0</v>
      </c>
      <c r="N888" s="504">
        <v>100</v>
      </c>
      <c r="O888" s="508">
        <v>55000000</v>
      </c>
      <c r="P888" s="504">
        <v>100</v>
      </c>
      <c r="Q888" s="508">
        <v>0</v>
      </c>
      <c r="R888" s="504">
        <v>100</v>
      </c>
      <c r="S888" s="509">
        <v>39400000</v>
      </c>
      <c r="T888" s="510">
        <f t="shared" si="183"/>
        <v>100</v>
      </c>
      <c r="U888" s="513">
        <v>0</v>
      </c>
      <c r="V888" s="504" t="s">
        <v>58</v>
      </c>
      <c r="W888" s="512">
        <f t="shared" si="175"/>
        <v>94400000</v>
      </c>
      <c r="X888" s="511">
        <f t="shared" si="171"/>
        <v>944</v>
      </c>
      <c r="Y888" s="504" t="s">
        <v>58</v>
      </c>
      <c r="Z888" s="513">
        <f t="shared" si="172"/>
        <v>200</v>
      </c>
      <c r="AA888" s="512">
        <f t="shared" si="173"/>
        <v>97200000</v>
      </c>
      <c r="AB888" s="511"/>
      <c r="AC888" s="504" t="s">
        <v>58</v>
      </c>
      <c r="AD888" s="514"/>
      <c r="AE888" s="515"/>
    </row>
    <row r="889" spans="1:31" s="516" customFormat="1" ht="75" customHeight="1">
      <c r="A889" s="16"/>
      <c r="B889" s="17"/>
      <c r="C889" s="531" t="s">
        <v>1692</v>
      </c>
      <c r="D889" s="530" t="s">
        <v>1693</v>
      </c>
      <c r="E889" s="504">
        <f t="shared" ref="E889" si="184">J889*3</f>
        <v>291</v>
      </c>
      <c r="F889" s="505" t="s">
        <v>57</v>
      </c>
      <c r="G889" s="509">
        <f>860351009+973541000*2</f>
        <v>2807433009</v>
      </c>
      <c r="H889" s="504">
        <v>10</v>
      </c>
      <c r="I889" s="489">
        <v>782070385</v>
      </c>
      <c r="J889" s="504">
        <v>97</v>
      </c>
      <c r="K889" s="532">
        <v>1197860750</v>
      </c>
      <c r="L889" s="504">
        <v>97</v>
      </c>
      <c r="M889" s="486">
        <v>0</v>
      </c>
      <c r="N889" s="504">
        <v>97</v>
      </c>
      <c r="O889" s="508">
        <v>9800000</v>
      </c>
      <c r="P889" s="504">
        <v>100</v>
      </c>
      <c r="Q889" s="508">
        <v>0</v>
      </c>
      <c r="R889" s="504">
        <v>100</v>
      </c>
      <c r="S889" s="509">
        <v>2720000</v>
      </c>
      <c r="T889" s="510">
        <f t="shared" si="183"/>
        <v>98.5</v>
      </c>
      <c r="U889" s="513">
        <f t="shared" si="179"/>
        <v>101.54639175257731</v>
      </c>
      <c r="V889" s="504" t="s">
        <v>58</v>
      </c>
      <c r="W889" s="533">
        <f t="shared" si="175"/>
        <v>12520000</v>
      </c>
      <c r="X889" s="534">
        <f t="shared" si="171"/>
        <v>1.0451966140471671</v>
      </c>
      <c r="Y889" s="535" t="s">
        <v>58</v>
      </c>
      <c r="Z889" s="513">
        <f t="shared" si="172"/>
        <v>108.5</v>
      </c>
      <c r="AA889" s="533">
        <f t="shared" si="173"/>
        <v>794590385</v>
      </c>
      <c r="AB889" s="511"/>
      <c r="AC889" s="504" t="s">
        <v>58</v>
      </c>
      <c r="AD889" s="536"/>
      <c r="AE889" s="515"/>
    </row>
    <row r="890" spans="1:31" s="516" customFormat="1" ht="75" customHeight="1">
      <c r="A890" s="16"/>
      <c r="B890" s="17"/>
      <c r="C890" s="502" t="s">
        <v>1694</v>
      </c>
      <c r="D890" s="530" t="s">
        <v>1695</v>
      </c>
      <c r="E890" s="504">
        <v>100</v>
      </c>
      <c r="F890" s="505" t="s">
        <v>55</v>
      </c>
      <c r="G890" s="537">
        <f>143400000+143400000+143400000</f>
        <v>430200000</v>
      </c>
      <c r="H890" s="538">
        <v>200</v>
      </c>
      <c r="I890" s="490">
        <v>127800000</v>
      </c>
      <c r="J890" s="538">
        <v>2</v>
      </c>
      <c r="K890" s="539">
        <v>94400000</v>
      </c>
      <c r="L890" s="504">
        <v>0</v>
      </c>
      <c r="M890" s="540">
        <f>SUM(M891:M892)</f>
        <v>0</v>
      </c>
      <c r="N890" s="504">
        <v>1</v>
      </c>
      <c r="O890" s="494">
        <f>O891+O892</f>
        <v>2400000</v>
      </c>
      <c r="P890" s="504">
        <v>100</v>
      </c>
      <c r="Q890" s="494">
        <v>3700000</v>
      </c>
      <c r="R890" s="504">
        <v>100</v>
      </c>
      <c r="S890" s="494">
        <v>22670000</v>
      </c>
      <c r="T890" s="510">
        <f t="shared" si="183"/>
        <v>50.25</v>
      </c>
      <c r="U890" s="511">
        <f t="shared" si="179"/>
        <v>2512.5</v>
      </c>
      <c r="V890" s="504" t="s">
        <v>58</v>
      </c>
      <c r="W890" s="512">
        <f t="shared" si="175"/>
        <v>28770000</v>
      </c>
      <c r="X890" s="511">
        <f t="shared" si="171"/>
        <v>30.476694915254239</v>
      </c>
      <c r="Y890" s="504" t="s">
        <v>58</v>
      </c>
      <c r="Z890" s="513">
        <f t="shared" si="172"/>
        <v>250.25</v>
      </c>
      <c r="AA890" s="512">
        <f t="shared" si="173"/>
        <v>156570000</v>
      </c>
      <c r="AB890" s="511"/>
      <c r="AC890" s="504" t="s">
        <v>58</v>
      </c>
      <c r="AD890" s="514"/>
      <c r="AE890" s="515"/>
    </row>
    <row r="891" spans="1:31" s="516" customFormat="1" ht="75" customHeight="1">
      <c r="A891" s="16"/>
      <c r="B891" s="17"/>
      <c r="C891" s="502" t="s">
        <v>1696</v>
      </c>
      <c r="D891" s="530" t="s">
        <v>1697</v>
      </c>
      <c r="E891" s="504">
        <v>100</v>
      </c>
      <c r="F891" s="505" t="s">
        <v>138</v>
      </c>
      <c r="G891" s="509">
        <f>19500000+19500000+19500000</f>
        <v>58500000</v>
      </c>
      <c r="H891" s="504">
        <v>200</v>
      </c>
      <c r="I891" s="484">
        <v>13950436</v>
      </c>
      <c r="J891" s="504">
        <v>34</v>
      </c>
      <c r="K891" s="532">
        <v>13613770</v>
      </c>
      <c r="L891" s="504">
        <v>34</v>
      </c>
      <c r="M891" s="486">
        <v>0</v>
      </c>
      <c r="N891" s="513">
        <v>34</v>
      </c>
      <c r="O891" s="508">
        <v>2400000</v>
      </c>
      <c r="P891" s="504">
        <v>100</v>
      </c>
      <c r="Q891" s="508">
        <v>0</v>
      </c>
      <c r="R891" s="504">
        <v>100</v>
      </c>
      <c r="S891" s="509">
        <v>9000000</v>
      </c>
      <c r="T891" s="510">
        <f t="shared" si="183"/>
        <v>67</v>
      </c>
      <c r="U891" s="511">
        <f t="shared" si="179"/>
        <v>197.05882352941177</v>
      </c>
      <c r="V891" s="504" t="s">
        <v>58</v>
      </c>
      <c r="W891" s="512">
        <f t="shared" si="175"/>
        <v>11400000</v>
      </c>
      <c r="X891" s="511">
        <f t="shared" si="171"/>
        <v>83.738743933532007</v>
      </c>
      <c r="Y891" s="504" t="s">
        <v>58</v>
      </c>
      <c r="Z891" s="513">
        <f t="shared" si="172"/>
        <v>267</v>
      </c>
      <c r="AA891" s="512">
        <f t="shared" si="173"/>
        <v>25350436</v>
      </c>
      <c r="AB891" s="511"/>
      <c r="AC891" s="504" t="s">
        <v>58</v>
      </c>
      <c r="AD891" s="514"/>
      <c r="AE891" s="515"/>
    </row>
    <row r="892" spans="1:31" s="501" customFormat="1" ht="75" customHeight="1">
      <c r="A892" s="16"/>
      <c r="B892" s="17"/>
      <c r="C892" s="500" t="s">
        <v>1698</v>
      </c>
      <c r="D892" s="491" t="s">
        <v>1699</v>
      </c>
      <c r="E892" s="492">
        <v>100</v>
      </c>
      <c r="F892" s="493" t="s">
        <v>58</v>
      </c>
      <c r="G892" s="494">
        <f>SUM(G893:G894)</f>
        <v>124229000</v>
      </c>
      <c r="H892" s="492">
        <v>200</v>
      </c>
      <c r="I892" s="494">
        <f>SUM(I893:I894)</f>
        <v>11415000</v>
      </c>
      <c r="J892" s="492">
        <f>7/7*100</f>
        <v>100</v>
      </c>
      <c r="K892" s="540">
        <f>SUM(K893:K894)</f>
        <v>45219500</v>
      </c>
      <c r="L892" s="492">
        <v>100</v>
      </c>
      <c r="M892" s="485">
        <v>0</v>
      </c>
      <c r="N892" s="492">
        <v>100</v>
      </c>
      <c r="O892" s="526">
        <v>0</v>
      </c>
      <c r="P892" s="492">
        <v>100</v>
      </c>
      <c r="Q892" s="526">
        <v>3700000</v>
      </c>
      <c r="R892" s="492">
        <v>100</v>
      </c>
      <c r="S892" s="494">
        <v>13670000</v>
      </c>
      <c r="T892" s="496">
        <f t="shared" si="183"/>
        <v>100</v>
      </c>
      <c r="U892" s="497">
        <f t="shared" si="179"/>
        <v>100</v>
      </c>
      <c r="V892" s="492" t="s">
        <v>58</v>
      </c>
      <c r="W892" s="498">
        <f t="shared" si="175"/>
        <v>17370000</v>
      </c>
      <c r="X892" s="497">
        <f t="shared" si="171"/>
        <v>38.412631718616971</v>
      </c>
      <c r="Y892" s="492" t="s">
        <v>58</v>
      </c>
      <c r="Z892" s="495">
        <f t="shared" si="172"/>
        <v>300</v>
      </c>
      <c r="AA892" s="498">
        <f t="shared" si="173"/>
        <v>28785000</v>
      </c>
      <c r="AB892" s="497"/>
      <c r="AC892" s="492" t="s">
        <v>58</v>
      </c>
      <c r="AD892" s="107"/>
      <c r="AE892" s="515"/>
    </row>
    <row r="893" spans="1:31" s="516" customFormat="1" ht="75" customHeight="1">
      <c r="A893" s="16"/>
      <c r="B893" s="17"/>
      <c r="C893" s="502" t="s">
        <v>1700</v>
      </c>
      <c r="D893" s="530" t="s">
        <v>1701</v>
      </c>
      <c r="E893" s="504">
        <v>7</v>
      </c>
      <c r="F893" s="505" t="s">
        <v>173</v>
      </c>
      <c r="G893" s="506">
        <v>35250000</v>
      </c>
      <c r="H893" s="504">
        <v>14</v>
      </c>
      <c r="I893" s="484">
        <v>11415000</v>
      </c>
      <c r="J893" s="504">
        <v>2</v>
      </c>
      <c r="K893" s="532">
        <v>11742500</v>
      </c>
      <c r="L893" s="504">
        <v>0</v>
      </c>
      <c r="M893" s="540">
        <f>SUM(M894)</f>
        <v>0</v>
      </c>
      <c r="N893" s="504">
        <v>1</v>
      </c>
      <c r="O893" s="494">
        <f>SUM(O894)</f>
        <v>0</v>
      </c>
      <c r="P893" s="504">
        <v>100</v>
      </c>
      <c r="Q893" s="494">
        <v>0</v>
      </c>
      <c r="R893" s="504">
        <v>100</v>
      </c>
      <c r="S893" s="494">
        <v>11730000</v>
      </c>
      <c r="T893" s="510">
        <f>SUM(L893,N893,P893,R893)</f>
        <v>201</v>
      </c>
      <c r="U893" s="511">
        <f t="shared" si="179"/>
        <v>10050</v>
      </c>
      <c r="V893" s="504" t="s">
        <v>58</v>
      </c>
      <c r="W893" s="512">
        <f t="shared" si="175"/>
        <v>11730000</v>
      </c>
      <c r="X893" s="511">
        <f t="shared" si="171"/>
        <v>99.89354907387694</v>
      </c>
      <c r="Y893" s="504" t="s">
        <v>58</v>
      </c>
      <c r="Z893" s="513">
        <f t="shared" si="172"/>
        <v>215</v>
      </c>
      <c r="AA893" s="512">
        <f t="shared" si="173"/>
        <v>23145000</v>
      </c>
      <c r="AB893" s="511"/>
      <c r="AC893" s="504" t="s">
        <v>58</v>
      </c>
      <c r="AD893" s="514"/>
      <c r="AE893" s="515"/>
    </row>
    <row r="894" spans="1:31" s="516" customFormat="1" ht="75" customHeight="1">
      <c r="A894" s="16"/>
      <c r="B894" s="17"/>
      <c r="C894" s="502" t="s">
        <v>1702</v>
      </c>
      <c r="D894" s="530" t="s">
        <v>1703</v>
      </c>
      <c r="E894" s="504">
        <v>100</v>
      </c>
      <c r="F894" s="505" t="s">
        <v>173</v>
      </c>
      <c r="G894" s="509">
        <f>25979000+31500000*2</f>
        <v>88979000</v>
      </c>
      <c r="H894" s="504">
        <v>200</v>
      </c>
      <c r="I894" s="484">
        <v>0</v>
      </c>
      <c r="J894" s="504">
        <v>2</v>
      </c>
      <c r="K894" s="532">
        <v>33477000</v>
      </c>
      <c r="L894" s="504">
        <v>0</v>
      </c>
      <c r="M894" s="486">
        <v>0</v>
      </c>
      <c r="N894" s="504">
        <v>1</v>
      </c>
      <c r="O894" s="508">
        <v>0</v>
      </c>
      <c r="P894" s="504">
        <v>100</v>
      </c>
      <c r="Q894" s="508">
        <v>0</v>
      </c>
      <c r="R894" s="504">
        <v>100</v>
      </c>
      <c r="S894" s="509">
        <v>11730000</v>
      </c>
      <c r="T894" s="510">
        <f>AVERAGE(L894,N894,P894,R894)</f>
        <v>50.25</v>
      </c>
      <c r="U894" s="511">
        <f t="shared" si="179"/>
        <v>2512.5</v>
      </c>
      <c r="V894" s="504" t="s">
        <v>58</v>
      </c>
      <c r="W894" s="512">
        <f t="shared" si="175"/>
        <v>11730000</v>
      </c>
      <c r="X894" s="511">
        <f t="shared" si="171"/>
        <v>35.038981987633299</v>
      </c>
      <c r="Y894" s="504" t="s">
        <v>58</v>
      </c>
      <c r="Z894" s="513">
        <f t="shared" si="172"/>
        <v>250.25</v>
      </c>
      <c r="AA894" s="512">
        <f t="shared" si="173"/>
        <v>11730000</v>
      </c>
      <c r="AB894" s="511"/>
      <c r="AC894" s="504" t="s">
        <v>58</v>
      </c>
      <c r="AD894" s="514"/>
      <c r="AE894" s="515"/>
    </row>
    <row r="895" spans="1:31" s="501" customFormat="1" ht="75" customHeight="1">
      <c r="A895" s="16"/>
      <c r="B895" s="17"/>
      <c r="C895" s="500" t="s">
        <v>1704</v>
      </c>
      <c r="D895" s="541" t="s">
        <v>1705</v>
      </c>
      <c r="E895" s="492">
        <v>100</v>
      </c>
      <c r="F895" s="493" t="s">
        <v>58</v>
      </c>
      <c r="G895" s="494">
        <f>SUM(G896)</f>
        <v>130834257</v>
      </c>
      <c r="H895" s="492">
        <v>200</v>
      </c>
      <c r="I895" s="494">
        <f>SUM(I896)</f>
        <v>1000000</v>
      </c>
      <c r="J895" s="492">
        <v>100</v>
      </c>
      <c r="K895" s="540">
        <f>SUM(K896)</f>
        <v>43609550</v>
      </c>
      <c r="L895" s="492">
        <v>100</v>
      </c>
      <c r="M895" s="540">
        <f>M896+M899</f>
        <v>1377000</v>
      </c>
      <c r="N895" s="492">
        <v>100</v>
      </c>
      <c r="O895" s="494"/>
      <c r="P895" s="492">
        <v>100</v>
      </c>
      <c r="Q895" s="494">
        <v>5930000</v>
      </c>
      <c r="R895" s="492">
        <v>100</v>
      </c>
      <c r="S895" s="494">
        <v>35612573</v>
      </c>
      <c r="T895" s="496">
        <f>AVERAGE(L895,N895,P895,R895)</f>
        <v>100</v>
      </c>
      <c r="U895" s="497">
        <f t="shared" si="179"/>
        <v>100</v>
      </c>
      <c r="V895" s="492" t="s">
        <v>58</v>
      </c>
      <c r="W895" s="498">
        <f t="shared" si="175"/>
        <v>42919573</v>
      </c>
      <c r="X895" s="497">
        <f t="shared" si="171"/>
        <v>98.417830498136311</v>
      </c>
      <c r="Y895" s="492" t="s">
        <v>58</v>
      </c>
      <c r="Z895" s="495">
        <f t="shared" si="172"/>
        <v>300</v>
      </c>
      <c r="AA895" s="498">
        <f t="shared" si="173"/>
        <v>43919573</v>
      </c>
      <c r="AB895" s="497"/>
      <c r="AC895" s="492" t="s">
        <v>58</v>
      </c>
      <c r="AD895" s="107"/>
      <c r="AE895" s="515"/>
    </row>
    <row r="896" spans="1:31" s="516" customFormat="1" ht="75" customHeight="1">
      <c r="A896" s="16"/>
      <c r="B896" s="17"/>
      <c r="C896" s="502" t="s">
        <v>1706</v>
      </c>
      <c r="D896" s="530" t="s">
        <v>1707</v>
      </c>
      <c r="E896" s="504">
        <v>100</v>
      </c>
      <c r="F896" s="505" t="s">
        <v>173</v>
      </c>
      <c r="G896" s="506">
        <v>130834257</v>
      </c>
      <c r="H896" s="504">
        <v>200</v>
      </c>
      <c r="I896" s="484">
        <v>1000000</v>
      </c>
      <c r="J896" s="504">
        <v>7</v>
      </c>
      <c r="K896" s="532">
        <v>43609550</v>
      </c>
      <c r="L896" s="504">
        <v>0</v>
      </c>
      <c r="M896" s="540">
        <f>SUM(M897:M898)</f>
        <v>1377000</v>
      </c>
      <c r="N896" s="504">
        <v>0</v>
      </c>
      <c r="O896" s="494">
        <f>SUM(O897:O898)</f>
        <v>840000</v>
      </c>
      <c r="P896" s="504">
        <v>100</v>
      </c>
      <c r="Q896" s="494">
        <v>3670000</v>
      </c>
      <c r="R896" s="504">
        <v>100</v>
      </c>
      <c r="S896" s="494">
        <v>29147573</v>
      </c>
      <c r="T896" s="510">
        <f>SUM(L896,N896,P896,R896)</f>
        <v>200</v>
      </c>
      <c r="U896" s="511">
        <f t="shared" si="179"/>
        <v>2857.1428571428573</v>
      </c>
      <c r="V896" s="504" t="s">
        <v>58</v>
      </c>
      <c r="W896" s="512">
        <f t="shared" si="175"/>
        <v>35034573</v>
      </c>
      <c r="X896" s="511">
        <f t="shared" si="171"/>
        <v>80.336928493873472</v>
      </c>
      <c r="Y896" s="504" t="s">
        <v>58</v>
      </c>
      <c r="Z896" s="513">
        <f t="shared" si="172"/>
        <v>400</v>
      </c>
      <c r="AA896" s="512">
        <f t="shared" si="173"/>
        <v>36034573</v>
      </c>
      <c r="AB896" s="511"/>
      <c r="AC896" s="504" t="s">
        <v>58</v>
      </c>
      <c r="AD896" s="514"/>
      <c r="AE896" s="515"/>
    </row>
    <row r="897" spans="1:34" s="501" customFormat="1" ht="75" customHeight="1">
      <c r="A897" s="16"/>
      <c r="B897" s="17"/>
      <c r="C897" s="500" t="s">
        <v>1708</v>
      </c>
      <c r="D897" s="491" t="s">
        <v>1709</v>
      </c>
      <c r="E897" s="492">
        <v>100</v>
      </c>
      <c r="F897" s="493" t="s">
        <v>58</v>
      </c>
      <c r="G897" s="494">
        <f>G898+G901</f>
        <v>1238249500</v>
      </c>
      <c r="H897" s="492">
        <v>200</v>
      </c>
      <c r="I897" s="494">
        <f>I898+I901</f>
        <v>701316000</v>
      </c>
      <c r="J897" s="492">
        <v>100</v>
      </c>
      <c r="K897" s="540">
        <f>K898+K901</f>
        <v>264816200</v>
      </c>
      <c r="L897" s="492">
        <f>L898</f>
        <v>0</v>
      </c>
      <c r="M897" s="485">
        <v>1377000</v>
      </c>
      <c r="N897" s="492"/>
      <c r="O897" s="526">
        <v>840000</v>
      </c>
      <c r="P897" s="492">
        <v>100</v>
      </c>
      <c r="Q897" s="526">
        <v>3670000</v>
      </c>
      <c r="R897" s="492">
        <v>100</v>
      </c>
      <c r="S897" s="494">
        <v>8747573</v>
      </c>
      <c r="T897" s="496">
        <f>AVERAGE(L897,N897,P897,R897)</f>
        <v>66.666666666666671</v>
      </c>
      <c r="U897" s="497">
        <f t="shared" si="179"/>
        <v>66.666666666666671</v>
      </c>
      <c r="V897" s="492" t="s">
        <v>58</v>
      </c>
      <c r="W897" s="498">
        <f t="shared" si="175"/>
        <v>14634573</v>
      </c>
      <c r="X897" s="497">
        <f t="shared" si="171"/>
        <v>5.5263133448784485</v>
      </c>
      <c r="Y897" s="492" t="s">
        <v>58</v>
      </c>
      <c r="Z897" s="495">
        <f t="shared" si="172"/>
        <v>266.66666666666669</v>
      </c>
      <c r="AA897" s="498">
        <f t="shared" si="173"/>
        <v>715950573</v>
      </c>
      <c r="AB897" s="497"/>
      <c r="AC897" s="492" t="s">
        <v>58</v>
      </c>
      <c r="AD897" s="107"/>
      <c r="AE897" s="515"/>
    </row>
    <row r="898" spans="1:34" s="501" customFormat="1" ht="75" customHeight="1">
      <c r="A898" s="16"/>
      <c r="B898" s="17"/>
      <c r="C898" s="500" t="s">
        <v>1710</v>
      </c>
      <c r="D898" s="491" t="s">
        <v>1711</v>
      </c>
      <c r="E898" s="492">
        <v>100</v>
      </c>
      <c r="F898" s="493" t="s">
        <v>58</v>
      </c>
      <c r="G898" s="494">
        <f>SUM(G899:G900)</f>
        <v>130739500</v>
      </c>
      <c r="H898" s="492">
        <v>200</v>
      </c>
      <c r="I898" s="494">
        <f>SUM(I899:I900)</f>
        <v>47816000</v>
      </c>
      <c r="J898" s="492">
        <v>100</v>
      </c>
      <c r="K898" s="540">
        <f>SUM(K899:K900)</f>
        <v>37821400</v>
      </c>
      <c r="L898" s="492">
        <f>L900</f>
        <v>0</v>
      </c>
      <c r="M898" s="485">
        <v>0</v>
      </c>
      <c r="N898" s="492"/>
      <c r="O898" s="526">
        <v>0</v>
      </c>
      <c r="P898" s="492">
        <v>100</v>
      </c>
      <c r="Q898" s="526">
        <v>0</v>
      </c>
      <c r="R898" s="492">
        <v>100</v>
      </c>
      <c r="S898" s="494">
        <v>20400000</v>
      </c>
      <c r="T898" s="496">
        <f>AVERAGE(L898,N898,P898,R898)</f>
        <v>66.666666666666671</v>
      </c>
      <c r="U898" s="497">
        <f t="shared" si="179"/>
        <v>66.666666666666671</v>
      </c>
      <c r="V898" s="492" t="s">
        <v>58</v>
      </c>
      <c r="W898" s="498">
        <f t="shared" si="175"/>
        <v>20400000</v>
      </c>
      <c r="X898" s="497">
        <f t="shared" si="171"/>
        <v>53.937717799975673</v>
      </c>
      <c r="Y898" s="492" t="s">
        <v>58</v>
      </c>
      <c r="Z898" s="495">
        <f t="shared" si="172"/>
        <v>266.66666666666669</v>
      </c>
      <c r="AA898" s="498">
        <f t="shared" si="173"/>
        <v>68216000</v>
      </c>
      <c r="AB898" s="497"/>
      <c r="AC898" s="492" t="s">
        <v>58</v>
      </c>
      <c r="AD898" s="107"/>
      <c r="AE898" s="515"/>
    </row>
    <row r="899" spans="1:34" s="516" customFormat="1" ht="75" customHeight="1">
      <c r="A899" s="16"/>
      <c r="B899" s="17"/>
      <c r="C899" s="502" t="s">
        <v>1712</v>
      </c>
      <c r="D899" s="542" t="s">
        <v>1713</v>
      </c>
      <c r="E899" s="504">
        <v>100</v>
      </c>
      <c r="F899" s="505" t="s">
        <v>173</v>
      </c>
      <c r="G899" s="506">
        <v>130739500</v>
      </c>
      <c r="H899" s="504">
        <v>200</v>
      </c>
      <c r="I899" s="484">
        <v>47816000</v>
      </c>
      <c r="J899" s="504">
        <v>4</v>
      </c>
      <c r="K899" s="532">
        <v>30131200</v>
      </c>
      <c r="L899" s="504">
        <v>1</v>
      </c>
      <c r="M899" s="543">
        <f>SUM(M900)</f>
        <v>0</v>
      </c>
      <c r="N899" s="504">
        <v>1</v>
      </c>
      <c r="O899" s="494">
        <f>SUM(O900)</f>
        <v>159220000</v>
      </c>
      <c r="P899" s="504">
        <v>100</v>
      </c>
      <c r="Q899" s="494">
        <v>2260000</v>
      </c>
      <c r="R899" s="504">
        <v>100</v>
      </c>
      <c r="S899" s="494">
        <v>6456000</v>
      </c>
      <c r="T899" s="510">
        <f>AVERAGE(L899,N899,P899,R899)</f>
        <v>50.5</v>
      </c>
      <c r="U899" s="511">
        <f t="shared" si="179"/>
        <v>1262.5</v>
      </c>
      <c r="V899" s="504" t="s">
        <v>58</v>
      </c>
      <c r="W899" s="512">
        <f t="shared" si="175"/>
        <v>167936000</v>
      </c>
      <c r="X899" s="511">
        <f t="shared" si="171"/>
        <v>557.34919286321156</v>
      </c>
      <c r="Y899" s="504" t="s">
        <v>58</v>
      </c>
      <c r="Z899" s="513">
        <f t="shared" si="172"/>
        <v>250.5</v>
      </c>
      <c r="AA899" s="512">
        <f t="shared" si="173"/>
        <v>215752000</v>
      </c>
      <c r="AB899" s="511"/>
      <c r="AC899" s="504" t="s">
        <v>58</v>
      </c>
      <c r="AD899" s="514"/>
      <c r="AE899" s="515"/>
    </row>
    <row r="900" spans="1:34" s="516" customFormat="1" ht="75" customHeight="1">
      <c r="A900" s="16"/>
      <c r="B900" s="17"/>
      <c r="C900" s="502" t="s">
        <v>1714</v>
      </c>
      <c r="D900" s="542" t="s">
        <v>1715</v>
      </c>
      <c r="E900" s="504"/>
      <c r="F900" s="505" t="s">
        <v>138</v>
      </c>
      <c r="G900" s="506"/>
      <c r="H900" s="504"/>
      <c r="I900" s="484"/>
      <c r="J900" s="504">
        <v>6</v>
      </c>
      <c r="K900" s="532">
        <v>7690200</v>
      </c>
      <c r="L900" s="504">
        <v>0</v>
      </c>
      <c r="M900" s="486">
        <v>0</v>
      </c>
      <c r="N900" s="504">
        <v>0</v>
      </c>
      <c r="O900" s="508">
        <v>159220000</v>
      </c>
      <c r="P900" s="504">
        <v>100</v>
      </c>
      <c r="Q900" s="508">
        <v>2260000</v>
      </c>
      <c r="R900" s="504">
        <v>100</v>
      </c>
      <c r="S900" s="509">
        <v>6456000</v>
      </c>
      <c r="T900" s="510">
        <f>AVERAGE(L900,N900,P900,R900)</f>
        <v>50</v>
      </c>
      <c r="U900" s="511">
        <f t="shared" si="179"/>
        <v>833.33333333333337</v>
      </c>
      <c r="V900" s="504" t="s">
        <v>58</v>
      </c>
      <c r="W900" s="512">
        <f t="shared" si="175"/>
        <v>167936000</v>
      </c>
      <c r="X900" s="511">
        <f t="shared" si="171"/>
        <v>2183.7663519804428</v>
      </c>
      <c r="Y900" s="504" t="s">
        <v>58</v>
      </c>
      <c r="Z900" s="513">
        <f t="shared" si="172"/>
        <v>50</v>
      </c>
      <c r="AA900" s="512">
        <f t="shared" si="173"/>
        <v>167936000</v>
      </c>
      <c r="AB900" s="511"/>
      <c r="AC900" s="504" t="s">
        <v>58</v>
      </c>
      <c r="AD900" s="514"/>
      <c r="AE900" s="515"/>
    </row>
    <row r="901" spans="1:34" s="501" customFormat="1" ht="75" customHeight="1">
      <c r="A901" s="16"/>
      <c r="B901" s="17"/>
      <c r="C901" s="500" t="s">
        <v>1716</v>
      </c>
      <c r="D901" s="491" t="s">
        <v>1717</v>
      </c>
      <c r="E901" s="492">
        <f>E902</f>
        <v>13</v>
      </c>
      <c r="F901" s="493" t="s">
        <v>56</v>
      </c>
      <c r="G901" s="494">
        <f>SUM(G902)</f>
        <v>1107510000</v>
      </c>
      <c r="H901" s="495">
        <v>3</v>
      </c>
      <c r="I901" s="494">
        <f>SUM(I902)</f>
        <v>653500000</v>
      </c>
      <c r="J901" s="492">
        <f>J902</f>
        <v>1003</v>
      </c>
      <c r="K901" s="540">
        <f>SUM(K902)</f>
        <v>226994800</v>
      </c>
      <c r="L901" s="492">
        <v>0</v>
      </c>
      <c r="M901" s="543">
        <v>0</v>
      </c>
      <c r="N901" s="492"/>
      <c r="O901" s="544">
        <f>O902</f>
        <v>158755000</v>
      </c>
      <c r="P901" s="492">
        <v>100</v>
      </c>
      <c r="Q901" s="544">
        <f>Q902</f>
        <v>0</v>
      </c>
      <c r="R901" s="492">
        <v>100</v>
      </c>
      <c r="S901" s="543">
        <f>S902</f>
        <v>167945000</v>
      </c>
      <c r="T901" s="496">
        <f>SUM(L901,N901,P901,R901)</f>
        <v>200</v>
      </c>
      <c r="U901" s="497">
        <f t="shared" si="179"/>
        <v>19.940179461615156</v>
      </c>
      <c r="V901" s="492" t="s">
        <v>58</v>
      </c>
      <c r="W901" s="498">
        <f t="shared" si="175"/>
        <v>326700000</v>
      </c>
      <c r="X901" s="495">
        <f t="shared" si="171"/>
        <v>143.92400178330075</v>
      </c>
      <c r="Y901" s="492" t="s">
        <v>58</v>
      </c>
      <c r="Z901" s="495">
        <f t="shared" si="172"/>
        <v>203</v>
      </c>
      <c r="AA901" s="498">
        <f t="shared" si="173"/>
        <v>980200000</v>
      </c>
      <c r="AB901" s="497"/>
      <c r="AC901" s="492" t="s">
        <v>58</v>
      </c>
      <c r="AD901" s="107"/>
      <c r="AE901" s="515"/>
    </row>
    <row r="902" spans="1:34" s="516" customFormat="1" ht="75" customHeight="1">
      <c r="A902" s="16"/>
      <c r="B902" s="17"/>
      <c r="C902" s="502" t="s">
        <v>1718</v>
      </c>
      <c r="D902" s="503" t="s">
        <v>1719</v>
      </c>
      <c r="E902" s="504">
        <f>3+5+5</f>
        <v>13</v>
      </c>
      <c r="F902" s="505" t="s">
        <v>57</v>
      </c>
      <c r="G902" s="506">
        <v>1107510000</v>
      </c>
      <c r="H902" s="513">
        <v>3</v>
      </c>
      <c r="I902" s="484">
        <v>653500000</v>
      </c>
      <c r="J902" s="504">
        <v>1003</v>
      </c>
      <c r="K902" s="532">
        <v>226994800</v>
      </c>
      <c r="L902" s="504">
        <v>0</v>
      </c>
      <c r="M902" s="486">
        <v>0</v>
      </c>
      <c r="N902" s="504">
        <v>1003</v>
      </c>
      <c r="O902" s="545">
        <v>158755000</v>
      </c>
      <c r="P902" s="504">
        <v>100</v>
      </c>
      <c r="Q902" s="545">
        <v>0</v>
      </c>
      <c r="R902" s="504">
        <v>100</v>
      </c>
      <c r="S902" s="486">
        <v>167945000</v>
      </c>
      <c r="T902" s="510">
        <f>SUM(L902,N902,P902,R902)</f>
        <v>1203</v>
      </c>
      <c r="U902" s="511">
        <f t="shared" si="179"/>
        <v>119.94017946161514</v>
      </c>
      <c r="V902" s="504" t="s">
        <v>58</v>
      </c>
      <c r="W902" s="512">
        <f t="shared" si="175"/>
        <v>326700000</v>
      </c>
      <c r="X902" s="513">
        <f t="shared" si="171"/>
        <v>143.92400178330075</v>
      </c>
      <c r="Y902" s="504" t="s">
        <v>58</v>
      </c>
      <c r="Z902" s="513">
        <f t="shared" si="172"/>
        <v>1206</v>
      </c>
      <c r="AA902" s="512">
        <f t="shared" si="173"/>
        <v>980200000</v>
      </c>
      <c r="AB902" s="511"/>
      <c r="AC902" s="504" t="s">
        <v>58</v>
      </c>
      <c r="AD902" s="514"/>
      <c r="AE902" s="515"/>
    </row>
    <row r="903" spans="1:34" s="323" customFormat="1" ht="132" customHeight="1">
      <c r="A903" s="309">
        <v>1</v>
      </c>
      <c r="B903" s="310" t="s">
        <v>29</v>
      </c>
      <c r="C903" s="311" t="s">
        <v>68</v>
      </c>
      <c r="D903" s="312" t="s">
        <v>143</v>
      </c>
      <c r="E903" s="313">
        <v>100</v>
      </c>
      <c r="F903" s="314" t="s">
        <v>58</v>
      </c>
      <c r="G903" s="315">
        <f>G904+G907+G912+G918+G922</f>
        <v>3845724954</v>
      </c>
      <c r="H903" s="313"/>
      <c r="I903" s="315"/>
      <c r="J903" s="313">
        <v>100</v>
      </c>
      <c r="K903" s="315">
        <f>K904+K907+K912+K918+K922</f>
        <v>1939154373</v>
      </c>
      <c r="L903" s="313">
        <v>25</v>
      </c>
      <c r="M903" s="316">
        <f>M904+M907+M918+M922</f>
        <v>205351427</v>
      </c>
      <c r="N903" s="313">
        <v>25</v>
      </c>
      <c r="O903" s="315">
        <f>O904+O907+O912+O918+O922</f>
        <v>443886849</v>
      </c>
      <c r="P903" s="313">
        <v>25</v>
      </c>
      <c r="Q903" s="315">
        <f>Q904+Q907+Q912+Q918+Q922</f>
        <v>531921070</v>
      </c>
      <c r="R903" s="313"/>
      <c r="S903" s="315">
        <f>S904+S907+S912+S918+S922</f>
        <v>557856105</v>
      </c>
      <c r="T903" s="317">
        <f t="shared" ref="T903:T936" si="185">SUM(L903,N903,P903,R903)</f>
        <v>75</v>
      </c>
      <c r="U903" s="317">
        <f t="shared" ref="U903:U936" si="186">T903/J903*100</f>
        <v>75</v>
      </c>
      <c r="V903" s="318" t="s">
        <v>58</v>
      </c>
      <c r="W903" s="319">
        <f t="shared" ref="W903:W928" si="187">SUM(M903,O903,Q903,S903)</f>
        <v>1739015451</v>
      </c>
      <c r="X903" s="320">
        <f t="shared" ref="X903:X928" si="188">W903/K903*100</f>
        <v>89.6790619258243</v>
      </c>
      <c r="Y903" s="309" t="s">
        <v>58</v>
      </c>
      <c r="Z903" s="317"/>
      <c r="AA903" s="319"/>
      <c r="AB903" s="321"/>
      <c r="AC903" s="309" t="s">
        <v>58</v>
      </c>
      <c r="AD903" s="320"/>
      <c r="AE903" s="322" t="s">
        <v>1124</v>
      </c>
      <c r="AH903" s="303">
        <f>M903+O903+Q903+S903</f>
        <v>1739015451</v>
      </c>
    </row>
    <row r="904" spans="1:34" s="323" customFormat="1" ht="136.5" customHeight="1">
      <c r="A904" s="309">
        <v>2</v>
      </c>
      <c r="B904" s="311" t="s">
        <v>30</v>
      </c>
      <c r="C904" s="312" t="s">
        <v>309</v>
      </c>
      <c r="D904" s="312" t="s">
        <v>139</v>
      </c>
      <c r="E904" s="313">
        <f>SUM(E905:E906)</f>
        <v>45</v>
      </c>
      <c r="F904" s="314" t="s">
        <v>55</v>
      </c>
      <c r="G904" s="324">
        <f t="shared" ref="G904" si="189">SUM(G905:G906)</f>
        <v>9657500</v>
      </c>
      <c r="H904" s="313"/>
      <c r="I904" s="324"/>
      <c r="J904" s="313">
        <f t="shared" ref="J904:Q904" si="190">SUM(J905:J906)</f>
        <v>15</v>
      </c>
      <c r="K904" s="324">
        <f t="shared" si="190"/>
        <v>5677500</v>
      </c>
      <c r="L904" s="313">
        <f t="shared" si="190"/>
        <v>5</v>
      </c>
      <c r="M904" s="324">
        <f t="shared" si="190"/>
        <v>0</v>
      </c>
      <c r="N904" s="313">
        <f t="shared" si="190"/>
        <v>4</v>
      </c>
      <c r="O904" s="324">
        <f t="shared" si="190"/>
        <v>450000</v>
      </c>
      <c r="P904" s="313">
        <f t="shared" si="190"/>
        <v>4</v>
      </c>
      <c r="Q904" s="324">
        <f t="shared" si="190"/>
        <v>2415000</v>
      </c>
      <c r="R904" s="313"/>
      <c r="S904" s="324">
        <f>SUM(S905:S906)</f>
        <v>2750000</v>
      </c>
      <c r="T904" s="317">
        <f t="shared" si="185"/>
        <v>13</v>
      </c>
      <c r="U904" s="317">
        <f t="shared" si="186"/>
        <v>86.666666666666671</v>
      </c>
      <c r="V904" s="318" t="s">
        <v>58</v>
      </c>
      <c r="W904" s="325">
        <f t="shared" si="187"/>
        <v>5615000</v>
      </c>
      <c r="X904" s="321">
        <f t="shared" si="188"/>
        <v>98.899163364156763</v>
      </c>
      <c r="Y904" s="318" t="s">
        <v>58</v>
      </c>
      <c r="Z904" s="317"/>
      <c r="AA904" s="325"/>
      <c r="AB904" s="321"/>
      <c r="AC904" s="318" t="s">
        <v>58</v>
      </c>
      <c r="AD904" s="321"/>
      <c r="AE904" s="326"/>
      <c r="AH904" s="303"/>
    </row>
    <row r="905" spans="1:34" s="337" customFormat="1" ht="75">
      <c r="A905" s="327"/>
      <c r="B905" s="310"/>
      <c r="C905" s="328" t="s">
        <v>69</v>
      </c>
      <c r="D905" s="329" t="s">
        <v>211</v>
      </c>
      <c r="E905" s="330">
        <f>5*3</f>
        <v>15</v>
      </c>
      <c r="F905" s="331" t="s">
        <v>55</v>
      </c>
      <c r="G905" s="304">
        <v>7027500</v>
      </c>
      <c r="H905" s="330"/>
      <c r="I905" s="304"/>
      <c r="J905" s="330">
        <v>5</v>
      </c>
      <c r="K905" s="304">
        <v>4362500</v>
      </c>
      <c r="L905" s="330">
        <v>1</v>
      </c>
      <c r="M905" s="304">
        <v>0</v>
      </c>
      <c r="N905" s="330">
        <v>3</v>
      </c>
      <c r="O905" s="304">
        <v>450000</v>
      </c>
      <c r="P905" s="330">
        <v>3</v>
      </c>
      <c r="Q905" s="304">
        <v>2415000</v>
      </c>
      <c r="R905" s="330"/>
      <c r="S905" s="304">
        <v>1435000</v>
      </c>
      <c r="T905" s="332">
        <f t="shared" si="185"/>
        <v>7</v>
      </c>
      <c r="U905" s="332">
        <f t="shared" si="186"/>
        <v>140</v>
      </c>
      <c r="V905" s="333" t="s">
        <v>58</v>
      </c>
      <c r="W905" s="334">
        <f t="shared" si="187"/>
        <v>4300000</v>
      </c>
      <c r="X905" s="335">
        <f t="shared" si="188"/>
        <v>98.567335243553018</v>
      </c>
      <c r="Y905" s="333" t="s">
        <v>58</v>
      </c>
      <c r="Z905" s="332"/>
      <c r="AA905" s="334"/>
      <c r="AB905" s="335"/>
      <c r="AC905" s="333" t="s">
        <v>58</v>
      </c>
      <c r="AD905" s="335"/>
      <c r="AE905" s="336"/>
      <c r="AH905" s="305"/>
    </row>
    <row r="906" spans="1:34" s="337" customFormat="1" ht="90">
      <c r="A906" s="327"/>
      <c r="B906" s="310"/>
      <c r="C906" s="328" t="s">
        <v>70</v>
      </c>
      <c r="D906" s="329" t="s">
        <v>212</v>
      </c>
      <c r="E906" s="330">
        <f>10*3</f>
        <v>30</v>
      </c>
      <c r="F906" s="331" t="s">
        <v>173</v>
      </c>
      <c r="G906" s="304">
        <v>2630000</v>
      </c>
      <c r="H906" s="330"/>
      <c r="I906" s="306"/>
      <c r="J906" s="330">
        <v>10</v>
      </c>
      <c r="K906" s="306">
        <v>1315000</v>
      </c>
      <c r="L906" s="330">
        <v>4</v>
      </c>
      <c r="M906" s="306">
        <v>0</v>
      </c>
      <c r="N906" s="330">
        <v>1</v>
      </c>
      <c r="O906" s="306">
        <v>0</v>
      </c>
      <c r="P906" s="330">
        <v>1</v>
      </c>
      <c r="Q906" s="306">
        <v>0</v>
      </c>
      <c r="R906" s="330"/>
      <c r="S906" s="306">
        <v>1315000</v>
      </c>
      <c r="T906" s="332">
        <f t="shared" si="185"/>
        <v>6</v>
      </c>
      <c r="U906" s="332">
        <f t="shared" si="186"/>
        <v>60</v>
      </c>
      <c r="V906" s="333" t="s">
        <v>58</v>
      </c>
      <c r="W906" s="334">
        <f t="shared" si="187"/>
        <v>1315000</v>
      </c>
      <c r="X906" s="335">
        <f t="shared" si="188"/>
        <v>100</v>
      </c>
      <c r="Y906" s="333" t="s">
        <v>58</v>
      </c>
      <c r="Z906" s="332"/>
      <c r="AA906" s="334"/>
      <c r="AB906" s="335"/>
      <c r="AC906" s="333" t="s">
        <v>58</v>
      </c>
      <c r="AD906" s="335"/>
      <c r="AE906" s="336"/>
      <c r="AH906" s="305"/>
    </row>
    <row r="907" spans="1:34" s="323" customFormat="1" ht="106.5" customHeight="1">
      <c r="A907" s="327"/>
      <c r="B907" s="310"/>
      <c r="C907" s="338" t="s">
        <v>71</v>
      </c>
      <c r="D907" s="312" t="s">
        <v>140</v>
      </c>
      <c r="E907" s="339">
        <f>SUM(E909:E911)</f>
        <v>42</v>
      </c>
      <c r="F907" s="340" t="s">
        <v>55</v>
      </c>
      <c r="G907" s="129">
        <f>SUM(G908:G911)</f>
        <v>2978915136</v>
      </c>
      <c r="H907" s="339"/>
      <c r="I907" s="129"/>
      <c r="J907" s="339">
        <f>SUM(J909:J911)</f>
        <v>14</v>
      </c>
      <c r="K907" s="129">
        <f>SUM(K908:K911)</f>
        <v>1436199400</v>
      </c>
      <c r="L907" s="339">
        <f>SUM(L909:L911)</f>
        <v>3</v>
      </c>
      <c r="M907" s="129">
        <f>SUM(M908:M911)</f>
        <v>200851427</v>
      </c>
      <c r="N907" s="339">
        <f>SUM(N909:N911)</f>
        <v>4</v>
      </c>
      <c r="O907" s="129">
        <f>SUM(O908:O911)</f>
        <v>373137431</v>
      </c>
      <c r="P907" s="339">
        <f>SUM(P909:P911)</f>
        <v>3</v>
      </c>
      <c r="Q907" s="129">
        <f>SUM(Q908:Q911)</f>
        <v>382715093</v>
      </c>
      <c r="R907" s="339"/>
      <c r="S907" s="129">
        <f>SUM(S908:S911)</f>
        <v>329176458</v>
      </c>
      <c r="T907" s="317">
        <f t="shared" si="185"/>
        <v>10</v>
      </c>
      <c r="U907" s="317">
        <f t="shared" si="186"/>
        <v>71.428571428571431</v>
      </c>
      <c r="V907" s="318" t="s">
        <v>58</v>
      </c>
      <c r="W907" s="325">
        <f t="shared" si="187"/>
        <v>1285880409</v>
      </c>
      <c r="X907" s="321">
        <f t="shared" si="188"/>
        <v>89.533557039503009</v>
      </c>
      <c r="Y907" s="318" t="s">
        <v>58</v>
      </c>
      <c r="Z907" s="317"/>
      <c r="AA907" s="325"/>
      <c r="AB907" s="321"/>
      <c r="AC907" s="318" t="s">
        <v>58</v>
      </c>
      <c r="AD907" s="321"/>
      <c r="AE907" s="341"/>
      <c r="AH907" s="303">
        <f>M907+O907+Q907+S907</f>
        <v>1285880409</v>
      </c>
    </row>
    <row r="908" spans="1:34" s="337" customFormat="1" ht="96" customHeight="1">
      <c r="A908" s="327"/>
      <c r="B908" s="310"/>
      <c r="C908" s="328" t="s">
        <v>72</v>
      </c>
      <c r="D908" s="328" t="s">
        <v>213</v>
      </c>
      <c r="E908" s="342">
        <f>13+13+15</f>
        <v>41</v>
      </c>
      <c r="F908" s="343" t="s">
        <v>57</v>
      </c>
      <c r="G908" s="304">
        <v>2969175136</v>
      </c>
      <c r="H908" s="342"/>
      <c r="I908" s="304"/>
      <c r="J908" s="342">
        <v>13</v>
      </c>
      <c r="K908" s="304">
        <v>1431329400</v>
      </c>
      <c r="L908" s="342">
        <v>13</v>
      </c>
      <c r="M908" s="304">
        <v>200851427</v>
      </c>
      <c r="N908" s="342">
        <v>13</v>
      </c>
      <c r="O908" s="304">
        <v>373137431</v>
      </c>
      <c r="P908" s="342">
        <v>13</v>
      </c>
      <c r="Q908" s="304">
        <v>382715093</v>
      </c>
      <c r="R908" s="342"/>
      <c r="S908" s="304">
        <v>324306458</v>
      </c>
      <c r="T908" s="332">
        <f>AVERAGE(L908,N908,P908,R908)</f>
        <v>13</v>
      </c>
      <c r="U908" s="332">
        <f t="shared" si="186"/>
        <v>100</v>
      </c>
      <c r="V908" s="333" t="s">
        <v>58</v>
      </c>
      <c r="W908" s="334">
        <f t="shared" si="187"/>
        <v>1281010409</v>
      </c>
      <c r="X908" s="335">
        <f t="shared" si="188"/>
        <v>89.497945686017488</v>
      </c>
      <c r="Y908" s="333" t="s">
        <v>58</v>
      </c>
      <c r="Z908" s="332"/>
      <c r="AA908" s="334"/>
      <c r="AB908" s="335"/>
      <c r="AC908" s="333" t="s">
        <v>58</v>
      </c>
      <c r="AD908" s="335"/>
      <c r="AE908" s="336"/>
      <c r="AH908" s="305">
        <f>M908+O908+Q908+S908</f>
        <v>1281010409</v>
      </c>
    </row>
    <row r="909" spans="1:34" s="337" customFormat="1" ht="195">
      <c r="A909" s="327"/>
      <c r="B909" s="310"/>
      <c r="C909" s="328" t="s">
        <v>73</v>
      </c>
      <c r="D909" s="329" t="s">
        <v>214</v>
      </c>
      <c r="E909" s="342">
        <f>1*3</f>
        <v>3</v>
      </c>
      <c r="F909" s="343" t="s">
        <v>173</v>
      </c>
      <c r="G909" s="304">
        <v>3780000</v>
      </c>
      <c r="H909" s="342"/>
      <c r="I909" s="304"/>
      <c r="J909" s="342">
        <v>1</v>
      </c>
      <c r="K909" s="304">
        <v>1890000</v>
      </c>
      <c r="L909" s="342">
        <v>0</v>
      </c>
      <c r="M909" s="304">
        <v>0</v>
      </c>
      <c r="N909" s="342">
        <v>0</v>
      </c>
      <c r="O909" s="304">
        <v>0</v>
      </c>
      <c r="P909" s="342">
        <v>0</v>
      </c>
      <c r="Q909" s="304">
        <v>0</v>
      </c>
      <c r="R909" s="342"/>
      <c r="S909" s="304">
        <v>1890000</v>
      </c>
      <c r="T909" s="332">
        <f t="shared" si="185"/>
        <v>0</v>
      </c>
      <c r="U909" s="332">
        <f t="shared" si="186"/>
        <v>0</v>
      </c>
      <c r="V909" s="333" t="s">
        <v>58</v>
      </c>
      <c r="W909" s="334">
        <f t="shared" si="187"/>
        <v>1890000</v>
      </c>
      <c r="X909" s="335">
        <f t="shared" si="188"/>
        <v>100</v>
      </c>
      <c r="Y909" s="333" t="s">
        <v>58</v>
      </c>
      <c r="Z909" s="332"/>
      <c r="AA909" s="334"/>
      <c r="AB909" s="335"/>
      <c r="AC909" s="333" t="s">
        <v>58</v>
      </c>
      <c r="AD909" s="335"/>
      <c r="AE909" s="336"/>
      <c r="AH909" s="305">
        <f>M909+O909+Q909+S909</f>
        <v>1890000</v>
      </c>
    </row>
    <row r="910" spans="1:34" s="337" customFormat="1" ht="210">
      <c r="A910" s="327"/>
      <c r="B910" s="310"/>
      <c r="C910" s="328" t="s">
        <v>74</v>
      </c>
      <c r="D910" s="329" t="s">
        <v>215</v>
      </c>
      <c r="E910" s="342">
        <f>12*3</f>
        <v>36</v>
      </c>
      <c r="F910" s="343" t="s">
        <v>173</v>
      </c>
      <c r="G910" s="304">
        <v>2980000</v>
      </c>
      <c r="H910" s="342"/>
      <c r="I910" s="304"/>
      <c r="J910" s="342">
        <v>12</v>
      </c>
      <c r="K910" s="304">
        <v>1490000</v>
      </c>
      <c r="L910" s="342">
        <v>3</v>
      </c>
      <c r="M910" s="304">
        <v>0</v>
      </c>
      <c r="N910" s="342">
        <v>3</v>
      </c>
      <c r="O910" s="304">
        <v>0</v>
      </c>
      <c r="P910" s="342">
        <v>3</v>
      </c>
      <c r="Q910" s="304">
        <v>0</v>
      </c>
      <c r="R910" s="342"/>
      <c r="S910" s="304">
        <v>1490000</v>
      </c>
      <c r="T910" s="332">
        <f t="shared" si="185"/>
        <v>9</v>
      </c>
      <c r="U910" s="332">
        <f t="shared" si="186"/>
        <v>75</v>
      </c>
      <c r="V910" s="333" t="s">
        <v>58</v>
      </c>
      <c r="W910" s="334">
        <f t="shared" si="187"/>
        <v>1490000</v>
      </c>
      <c r="X910" s="335">
        <f t="shared" si="188"/>
        <v>100</v>
      </c>
      <c r="Y910" s="333" t="s">
        <v>58</v>
      </c>
      <c r="Z910" s="332"/>
      <c r="AA910" s="334"/>
      <c r="AB910" s="335"/>
      <c r="AC910" s="333" t="s">
        <v>58</v>
      </c>
      <c r="AD910" s="335"/>
      <c r="AE910" s="336"/>
      <c r="AH910" s="305">
        <f>M910+O910+Q910+S910</f>
        <v>1490000</v>
      </c>
    </row>
    <row r="911" spans="1:34" s="337" customFormat="1" ht="105">
      <c r="A911" s="327"/>
      <c r="B911" s="310"/>
      <c r="C911" s="328" t="s">
        <v>75</v>
      </c>
      <c r="D911" s="329" t="s">
        <v>216</v>
      </c>
      <c r="E911" s="342">
        <f>1*3</f>
        <v>3</v>
      </c>
      <c r="F911" s="343" t="s">
        <v>55</v>
      </c>
      <c r="G911" s="304">
        <v>2980000</v>
      </c>
      <c r="H911" s="342"/>
      <c r="I911" s="304"/>
      <c r="J911" s="342">
        <v>1</v>
      </c>
      <c r="K911" s="304">
        <v>1490000</v>
      </c>
      <c r="L911" s="342">
        <v>0</v>
      </c>
      <c r="M911" s="304">
        <v>0</v>
      </c>
      <c r="N911" s="342">
        <v>1</v>
      </c>
      <c r="O911" s="304">
        <v>0</v>
      </c>
      <c r="P911" s="342">
        <v>0</v>
      </c>
      <c r="Q911" s="304">
        <v>0</v>
      </c>
      <c r="R911" s="342"/>
      <c r="S911" s="304">
        <v>1490000</v>
      </c>
      <c r="T911" s="332">
        <f t="shared" si="185"/>
        <v>1</v>
      </c>
      <c r="U911" s="332">
        <f t="shared" si="186"/>
        <v>100</v>
      </c>
      <c r="V911" s="333" t="s">
        <v>58</v>
      </c>
      <c r="W911" s="334">
        <f t="shared" si="187"/>
        <v>1490000</v>
      </c>
      <c r="X911" s="335">
        <f t="shared" si="188"/>
        <v>100</v>
      </c>
      <c r="Y911" s="333" t="s">
        <v>58</v>
      </c>
      <c r="Z911" s="332"/>
      <c r="AA911" s="334"/>
      <c r="AB911" s="335"/>
      <c r="AC911" s="333" t="s">
        <v>58</v>
      </c>
      <c r="AD911" s="335"/>
      <c r="AE911" s="336"/>
      <c r="AH911" s="305">
        <f>M911+O911+Q911+S911</f>
        <v>1490000</v>
      </c>
    </row>
    <row r="912" spans="1:34" s="323" customFormat="1" ht="94.5">
      <c r="A912" s="327"/>
      <c r="B912" s="310"/>
      <c r="C912" s="310" t="s">
        <v>76</v>
      </c>
      <c r="D912" s="312" t="s">
        <v>141</v>
      </c>
      <c r="E912" s="339">
        <f>1*3</f>
        <v>3</v>
      </c>
      <c r="F912" s="340" t="s">
        <v>55</v>
      </c>
      <c r="G912" s="129">
        <f>SUM(G913:G917)</f>
        <v>284500318</v>
      </c>
      <c r="H912" s="339"/>
      <c r="I912" s="129"/>
      <c r="J912" s="339">
        <v>1</v>
      </c>
      <c r="K912" s="129">
        <f>SUM(K913:K917)</f>
        <v>243111473</v>
      </c>
      <c r="L912" s="339">
        <v>0</v>
      </c>
      <c r="M912" s="129">
        <f>SUM(M913:M917)</f>
        <v>0</v>
      </c>
      <c r="N912" s="339">
        <v>0</v>
      </c>
      <c r="O912" s="129">
        <f>SUM(O913:O917)</f>
        <v>32065086</v>
      </c>
      <c r="P912" s="339">
        <v>0</v>
      </c>
      <c r="Q912" s="129">
        <f>SUM(Q913:Q917)</f>
        <v>64335345</v>
      </c>
      <c r="R912" s="339"/>
      <c r="S912" s="129">
        <f>SUM(S913:S917)</f>
        <v>144317450</v>
      </c>
      <c r="T912" s="317">
        <f t="shared" si="185"/>
        <v>0</v>
      </c>
      <c r="U912" s="317">
        <f t="shared" si="186"/>
        <v>0</v>
      </c>
      <c r="V912" s="318" t="s">
        <v>58</v>
      </c>
      <c r="W912" s="325">
        <f t="shared" si="187"/>
        <v>240717881</v>
      </c>
      <c r="X912" s="321">
        <f t="shared" si="188"/>
        <v>99.015434372363003</v>
      </c>
      <c r="Y912" s="318" t="s">
        <v>58</v>
      </c>
      <c r="Z912" s="317"/>
      <c r="AA912" s="325"/>
      <c r="AB912" s="321"/>
      <c r="AC912" s="318" t="s">
        <v>58</v>
      </c>
      <c r="AD912" s="321"/>
      <c r="AE912" s="326"/>
      <c r="AH912" s="303"/>
    </row>
    <row r="913" spans="1:34" s="337" customFormat="1" ht="120">
      <c r="A913" s="327"/>
      <c r="B913" s="310"/>
      <c r="C913" s="329" t="s">
        <v>342</v>
      </c>
      <c r="D913" s="329" t="s">
        <v>343</v>
      </c>
      <c r="E913" s="330">
        <f t="shared" ref="E913:E917" si="191">12*3</f>
        <v>36</v>
      </c>
      <c r="F913" s="331" t="s">
        <v>59</v>
      </c>
      <c r="G913" s="304">
        <f>K913+Q913</f>
        <v>10944000</v>
      </c>
      <c r="H913" s="330"/>
      <c r="I913" s="304"/>
      <c r="J913" s="330">
        <v>12</v>
      </c>
      <c r="K913" s="304">
        <v>10204000</v>
      </c>
      <c r="L913" s="330">
        <v>3</v>
      </c>
      <c r="M913" s="304">
        <v>0</v>
      </c>
      <c r="N913" s="330">
        <v>3</v>
      </c>
      <c r="O913" s="304">
        <v>2113630</v>
      </c>
      <c r="P913" s="330">
        <v>3</v>
      </c>
      <c r="Q913" s="304">
        <v>740000</v>
      </c>
      <c r="R913" s="330"/>
      <c r="S913" s="304">
        <v>7335500</v>
      </c>
      <c r="T913" s="332">
        <f t="shared" si="185"/>
        <v>9</v>
      </c>
      <c r="U913" s="332">
        <f t="shared" si="186"/>
        <v>75</v>
      </c>
      <c r="V913" s="333" t="s">
        <v>58</v>
      </c>
      <c r="W913" s="334">
        <f t="shared" si="187"/>
        <v>10189130</v>
      </c>
      <c r="X913" s="335">
        <f t="shared" si="188"/>
        <v>99.85427283418268</v>
      </c>
      <c r="Y913" s="333" t="s">
        <v>58</v>
      </c>
      <c r="Z913" s="332"/>
      <c r="AA913" s="334"/>
      <c r="AB913" s="335"/>
      <c r="AC913" s="333" t="s">
        <v>58</v>
      </c>
      <c r="AD913" s="335"/>
      <c r="AE913" s="336"/>
      <c r="AH913" s="305"/>
    </row>
    <row r="914" spans="1:34" s="337" customFormat="1" ht="90">
      <c r="A914" s="327"/>
      <c r="B914" s="310"/>
      <c r="C914" s="329" t="s">
        <v>345</v>
      </c>
      <c r="D914" s="329" t="s">
        <v>217</v>
      </c>
      <c r="E914" s="330">
        <f t="shared" si="191"/>
        <v>36</v>
      </c>
      <c r="F914" s="331" t="s">
        <v>59</v>
      </c>
      <c r="G914" s="304">
        <f t="shared" ref="G914:G917" si="192">K914+Q914</f>
        <v>56056973</v>
      </c>
      <c r="H914" s="330"/>
      <c r="I914" s="304"/>
      <c r="J914" s="330">
        <v>12</v>
      </c>
      <c r="K914" s="304">
        <v>49059473</v>
      </c>
      <c r="L914" s="330">
        <v>3</v>
      </c>
      <c r="M914" s="304">
        <v>0</v>
      </c>
      <c r="N914" s="330">
        <v>3</v>
      </c>
      <c r="O914" s="304">
        <v>4904300</v>
      </c>
      <c r="P914" s="330">
        <v>3</v>
      </c>
      <c r="Q914" s="304">
        <v>6997500</v>
      </c>
      <c r="R914" s="330"/>
      <c r="S914" s="304">
        <v>36925400</v>
      </c>
      <c r="T914" s="332">
        <f t="shared" si="185"/>
        <v>9</v>
      </c>
      <c r="U914" s="332">
        <f t="shared" si="186"/>
        <v>75</v>
      </c>
      <c r="V914" s="333" t="s">
        <v>58</v>
      </c>
      <c r="W914" s="334">
        <f t="shared" si="187"/>
        <v>48827200</v>
      </c>
      <c r="X914" s="335">
        <f t="shared" si="188"/>
        <v>99.52654811436723</v>
      </c>
      <c r="Y914" s="333" t="s">
        <v>58</v>
      </c>
      <c r="Z914" s="332"/>
      <c r="AA914" s="334"/>
      <c r="AB914" s="335"/>
      <c r="AC914" s="333" t="s">
        <v>58</v>
      </c>
      <c r="AD914" s="335"/>
      <c r="AE914" s="336"/>
      <c r="AH914" s="305"/>
    </row>
    <row r="915" spans="1:34" s="337" customFormat="1" ht="80.25" customHeight="1">
      <c r="A915" s="327"/>
      <c r="B915" s="310"/>
      <c r="C915" s="329" t="s">
        <v>347</v>
      </c>
      <c r="D915" s="328" t="s">
        <v>218</v>
      </c>
      <c r="E915" s="330">
        <f t="shared" si="191"/>
        <v>36</v>
      </c>
      <c r="F915" s="331" t="s">
        <v>59</v>
      </c>
      <c r="G915" s="304">
        <f t="shared" si="192"/>
        <v>65823000</v>
      </c>
      <c r="H915" s="330"/>
      <c r="I915" s="304"/>
      <c r="J915" s="330">
        <v>12</v>
      </c>
      <c r="K915" s="304">
        <v>54523000</v>
      </c>
      <c r="L915" s="330">
        <v>3</v>
      </c>
      <c r="M915" s="304">
        <v>0</v>
      </c>
      <c r="N915" s="330">
        <v>3</v>
      </c>
      <c r="O915" s="304">
        <v>3890000</v>
      </c>
      <c r="P915" s="330">
        <v>3</v>
      </c>
      <c r="Q915" s="304">
        <v>11300000</v>
      </c>
      <c r="R915" s="330"/>
      <c r="S915" s="304">
        <v>39302000</v>
      </c>
      <c r="T915" s="332">
        <f t="shared" si="185"/>
        <v>9</v>
      </c>
      <c r="U915" s="332">
        <f t="shared" si="186"/>
        <v>75</v>
      </c>
      <c r="V915" s="333" t="s">
        <v>58</v>
      </c>
      <c r="W915" s="334">
        <f t="shared" si="187"/>
        <v>54492000</v>
      </c>
      <c r="X915" s="335">
        <f t="shared" si="188"/>
        <v>99.943143260642302</v>
      </c>
      <c r="Y915" s="333" t="s">
        <v>58</v>
      </c>
      <c r="Z915" s="332"/>
      <c r="AA915" s="334"/>
      <c r="AB915" s="335"/>
      <c r="AC915" s="333" t="s">
        <v>58</v>
      </c>
      <c r="AD915" s="335"/>
      <c r="AE915" s="336"/>
      <c r="AH915" s="305"/>
    </row>
    <row r="916" spans="1:34" s="337" customFormat="1" ht="90">
      <c r="A916" s="327"/>
      <c r="B916" s="310"/>
      <c r="C916" s="329" t="s">
        <v>349</v>
      </c>
      <c r="D916" s="328" t="s">
        <v>219</v>
      </c>
      <c r="E916" s="330">
        <f t="shared" si="191"/>
        <v>36</v>
      </c>
      <c r="F916" s="331" t="s">
        <v>59</v>
      </c>
      <c r="G916" s="304"/>
      <c r="H916" s="330"/>
      <c r="I916" s="304"/>
      <c r="J916" s="330">
        <v>12</v>
      </c>
      <c r="K916" s="304">
        <v>17825000</v>
      </c>
      <c r="L916" s="330">
        <v>3</v>
      </c>
      <c r="M916" s="304">
        <v>0</v>
      </c>
      <c r="N916" s="330">
        <v>3</v>
      </c>
      <c r="O916" s="304">
        <v>851250</v>
      </c>
      <c r="P916" s="330">
        <v>3</v>
      </c>
      <c r="Q916" s="304">
        <v>5121500</v>
      </c>
      <c r="R916" s="330"/>
      <c r="S916" s="304">
        <v>11800750</v>
      </c>
      <c r="T916" s="332">
        <f t="shared" si="185"/>
        <v>9</v>
      </c>
      <c r="U916" s="332">
        <f t="shared" si="186"/>
        <v>75</v>
      </c>
      <c r="V916" s="333" t="s">
        <v>58</v>
      </c>
      <c r="W916" s="334">
        <f t="shared" si="187"/>
        <v>17773500</v>
      </c>
      <c r="X916" s="335">
        <f t="shared" si="188"/>
        <v>99.711079943899023</v>
      </c>
      <c r="Y916" s="333" t="s">
        <v>58</v>
      </c>
      <c r="Z916" s="332"/>
      <c r="AA916" s="334"/>
      <c r="AB916" s="335"/>
      <c r="AC916" s="333" t="s">
        <v>58</v>
      </c>
      <c r="AD916" s="335"/>
      <c r="AE916" s="336"/>
      <c r="AH916" s="305"/>
    </row>
    <row r="917" spans="1:34" s="337" customFormat="1" ht="120">
      <c r="A917" s="327"/>
      <c r="B917" s="310"/>
      <c r="C917" s="329" t="s">
        <v>77</v>
      </c>
      <c r="D917" s="328" t="s">
        <v>220</v>
      </c>
      <c r="E917" s="330">
        <f t="shared" si="191"/>
        <v>36</v>
      </c>
      <c r="F917" s="331" t="s">
        <v>173</v>
      </c>
      <c r="G917" s="304">
        <f t="shared" si="192"/>
        <v>151676345</v>
      </c>
      <c r="H917" s="330"/>
      <c r="I917" s="304"/>
      <c r="J917" s="330">
        <v>12</v>
      </c>
      <c r="K917" s="304">
        <v>111500000</v>
      </c>
      <c r="L917" s="330">
        <v>3</v>
      </c>
      <c r="M917" s="304">
        <v>0</v>
      </c>
      <c r="N917" s="330">
        <v>3</v>
      </c>
      <c r="O917" s="304">
        <v>20305906</v>
      </c>
      <c r="P917" s="330">
        <v>3</v>
      </c>
      <c r="Q917" s="304">
        <v>40176345</v>
      </c>
      <c r="R917" s="330"/>
      <c r="S917" s="304">
        <v>48953800</v>
      </c>
      <c r="T917" s="332">
        <f t="shared" si="185"/>
        <v>9</v>
      </c>
      <c r="U917" s="332">
        <f t="shared" si="186"/>
        <v>75</v>
      </c>
      <c r="V917" s="333" t="s">
        <v>58</v>
      </c>
      <c r="W917" s="334">
        <f t="shared" si="187"/>
        <v>109436051</v>
      </c>
      <c r="X917" s="335">
        <f t="shared" si="188"/>
        <v>98.148924663677121</v>
      </c>
      <c r="Y917" s="333" t="s">
        <v>58</v>
      </c>
      <c r="Z917" s="332"/>
      <c r="AA917" s="334"/>
      <c r="AB917" s="335"/>
      <c r="AC917" s="333" t="s">
        <v>58</v>
      </c>
      <c r="AD917" s="335"/>
      <c r="AE917" s="336"/>
      <c r="AH917" s="305"/>
    </row>
    <row r="918" spans="1:34" s="323" customFormat="1" ht="94.5">
      <c r="A918" s="327"/>
      <c r="B918" s="310"/>
      <c r="C918" s="312" t="s">
        <v>79</v>
      </c>
      <c r="D918" s="312" t="s">
        <v>142</v>
      </c>
      <c r="E918" s="339">
        <v>100</v>
      </c>
      <c r="F918" s="340" t="s">
        <v>58</v>
      </c>
      <c r="G918" s="129">
        <f>SUM(G919:G921)</f>
        <v>228632000</v>
      </c>
      <c r="H918" s="339"/>
      <c r="I918" s="129"/>
      <c r="J918" s="339">
        <v>100</v>
      </c>
      <c r="K918" s="129">
        <f>SUM(K919:K921)</f>
        <v>111766000</v>
      </c>
      <c r="L918" s="339">
        <v>100</v>
      </c>
      <c r="M918" s="129">
        <f>SUM(M919:M921)</f>
        <v>4500000</v>
      </c>
      <c r="N918" s="339">
        <v>100</v>
      </c>
      <c r="O918" s="129">
        <f>SUM(O919:O921)</f>
        <v>23415632</v>
      </c>
      <c r="P918" s="339">
        <v>100</v>
      </c>
      <c r="Q918" s="129">
        <f>SUM(Q919:Q921)</f>
        <v>30574551</v>
      </c>
      <c r="R918" s="339"/>
      <c r="S918" s="129">
        <f>SUM(S919:S921)</f>
        <v>31492297</v>
      </c>
      <c r="T918" s="317">
        <f>AVERAGE(L918,N918,P918,R918)</f>
        <v>100</v>
      </c>
      <c r="U918" s="317">
        <f t="shared" si="186"/>
        <v>100</v>
      </c>
      <c r="V918" s="318" t="s">
        <v>58</v>
      </c>
      <c r="W918" s="325">
        <f t="shared" si="187"/>
        <v>89982480</v>
      </c>
      <c r="X918" s="321">
        <f t="shared" si="188"/>
        <v>80.509707782330935</v>
      </c>
      <c r="Y918" s="318" t="s">
        <v>58</v>
      </c>
      <c r="Z918" s="317"/>
      <c r="AA918" s="325"/>
      <c r="AB918" s="321"/>
      <c r="AC918" s="318" t="s">
        <v>58</v>
      </c>
      <c r="AD918" s="321"/>
      <c r="AE918" s="326"/>
      <c r="AH918" s="303"/>
    </row>
    <row r="919" spans="1:34" s="337" customFormat="1" ht="75">
      <c r="A919" s="327"/>
      <c r="B919" s="310"/>
      <c r="C919" s="329" t="s">
        <v>86</v>
      </c>
      <c r="D919" s="329" t="s">
        <v>222</v>
      </c>
      <c r="E919" s="330">
        <f t="shared" ref="E919:E921" si="193">12*3</f>
        <v>36</v>
      </c>
      <c r="F919" s="331" t="s">
        <v>173</v>
      </c>
      <c r="G919" s="304">
        <v>3000000</v>
      </c>
      <c r="H919" s="330"/>
      <c r="I919" s="304"/>
      <c r="J919" s="330">
        <v>12</v>
      </c>
      <c r="K919" s="304">
        <v>1500000</v>
      </c>
      <c r="L919" s="330">
        <v>0</v>
      </c>
      <c r="M919" s="304">
        <v>0</v>
      </c>
      <c r="N919" s="330">
        <v>0</v>
      </c>
      <c r="O919" s="304">
        <v>0</v>
      </c>
      <c r="P919" s="330">
        <v>0</v>
      </c>
      <c r="Q919" s="304">
        <v>0</v>
      </c>
      <c r="R919" s="330"/>
      <c r="S919" s="304">
        <v>0</v>
      </c>
      <c r="T919" s="332">
        <f t="shared" si="185"/>
        <v>0</v>
      </c>
      <c r="U919" s="332">
        <f t="shared" si="186"/>
        <v>0</v>
      </c>
      <c r="V919" s="333" t="s">
        <v>58</v>
      </c>
      <c r="W919" s="334">
        <f t="shared" si="187"/>
        <v>0</v>
      </c>
      <c r="X919" s="335">
        <f t="shared" si="188"/>
        <v>0</v>
      </c>
      <c r="Y919" s="333" t="s">
        <v>58</v>
      </c>
      <c r="Z919" s="332"/>
      <c r="AA919" s="334"/>
      <c r="AB919" s="335"/>
      <c r="AC919" s="333" t="s">
        <v>58</v>
      </c>
      <c r="AD919" s="335"/>
      <c r="AE919" s="336"/>
      <c r="AH919" s="305"/>
    </row>
    <row r="920" spans="1:34" s="337" customFormat="1" ht="135">
      <c r="A920" s="327"/>
      <c r="B920" s="310"/>
      <c r="C920" s="329" t="s">
        <v>357</v>
      </c>
      <c r="D920" s="329" t="s">
        <v>223</v>
      </c>
      <c r="E920" s="344">
        <f t="shared" si="193"/>
        <v>36</v>
      </c>
      <c r="F920" s="331" t="s">
        <v>173</v>
      </c>
      <c r="G920" s="304">
        <v>71900000</v>
      </c>
      <c r="H920" s="344"/>
      <c r="I920" s="304"/>
      <c r="J920" s="344">
        <v>12</v>
      </c>
      <c r="K920" s="304">
        <v>33400000</v>
      </c>
      <c r="L920" s="344">
        <v>3</v>
      </c>
      <c r="M920" s="304">
        <v>0</v>
      </c>
      <c r="N920" s="344">
        <v>3</v>
      </c>
      <c r="O920" s="304">
        <v>9290632</v>
      </c>
      <c r="P920" s="344">
        <v>3</v>
      </c>
      <c r="Q920" s="304">
        <v>11824551</v>
      </c>
      <c r="R920" s="344"/>
      <c r="S920" s="304">
        <v>11446297</v>
      </c>
      <c r="T920" s="332">
        <f t="shared" si="185"/>
        <v>9</v>
      </c>
      <c r="U920" s="332">
        <f t="shared" si="186"/>
        <v>75</v>
      </c>
      <c r="V920" s="333" t="s">
        <v>58</v>
      </c>
      <c r="W920" s="334">
        <f t="shared" si="187"/>
        <v>32561480</v>
      </c>
      <c r="X920" s="335">
        <f t="shared" si="188"/>
        <v>97.489461077844311</v>
      </c>
      <c r="Y920" s="333" t="s">
        <v>58</v>
      </c>
      <c r="Z920" s="332"/>
      <c r="AA920" s="334"/>
      <c r="AB920" s="335"/>
      <c r="AC920" s="333" t="s">
        <v>58</v>
      </c>
      <c r="AD920" s="335"/>
      <c r="AE920" s="336"/>
      <c r="AH920" s="305"/>
    </row>
    <row r="921" spans="1:34" s="337" customFormat="1" ht="120">
      <c r="A921" s="327"/>
      <c r="B921" s="310"/>
      <c r="C921" s="329" t="s">
        <v>80</v>
      </c>
      <c r="D921" s="329" t="s">
        <v>224</v>
      </c>
      <c r="E921" s="330">
        <f t="shared" si="193"/>
        <v>36</v>
      </c>
      <c r="F921" s="331" t="s">
        <v>173</v>
      </c>
      <c r="G921" s="304">
        <v>153732000</v>
      </c>
      <c r="H921" s="330"/>
      <c r="I921" s="304"/>
      <c r="J921" s="330">
        <v>12</v>
      </c>
      <c r="K921" s="304">
        <v>76866000</v>
      </c>
      <c r="L921" s="330">
        <v>3</v>
      </c>
      <c r="M921" s="304">
        <v>4500000</v>
      </c>
      <c r="N921" s="330">
        <v>3</v>
      </c>
      <c r="O921" s="304">
        <v>14125000</v>
      </c>
      <c r="P921" s="330">
        <v>3</v>
      </c>
      <c r="Q921" s="304">
        <v>18750000</v>
      </c>
      <c r="R921" s="330"/>
      <c r="S921" s="304">
        <v>20046000</v>
      </c>
      <c r="T921" s="332">
        <f t="shared" si="185"/>
        <v>9</v>
      </c>
      <c r="U921" s="332">
        <f t="shared" si="186"/>
        <v>75</v>
      </c>
      <c r="V921" s="333" t="s">
        <v>58</v>
      </c>
      <c r="W921" s="334">
        <f t="shared" si="187"/>
        <v>57421000</v>
      </c>
      <c r="X921" s="335">
        <f t="shared" si="188"/>
        <v>74.702729425233528</v>
      </c>
      <c r="Y921" s="333" t="s">
        <v>58</v>
      </c>
      <c r="Z921" s="332"/>
      <c r="AA921" s="334"/>
      <c r="AB921" s="335"/>
      <c r="AC921" s="333" t="s">
        <v>58</v>
      </c>
      <c r="AD921" s="335"/>
      <c r="AE921" s="336"/>
      <c r="AH921" s="305"/>
    </row>
    <row r="922" spans="1:34" s="323" customFormat="1" ht="110.25">
      <c r="A922" s="327"/>
      <c r="B922" s="310"/>
      <c r="C922" s="312" t="s">
        <v>81</v>
      </c>
      <c r="D922" s="312" t="s">
        <v>142</v>
      </c>
      <c r="E922" s="339">
        <v>100</v>
      </c>
      <c r="F922" s="340" t="s">
        <v>58</v>
      </c>
      <c r="G922" s="129">
        <f>SUM(G923:G924)</f>
        <v>344020000</v>
      </c>
      <c r="H922" s="339"/>
      <c r="I922" s="129"/>
      <c r="J922" s="339">
        <v>100</v>
      </c>
      <c r="K922" s="129">
        <f>SUM(K923:K924)</f>
        <v>142400000</v>
      </c>
      <c r="L922" s="339">
        <v>25</v>
      </c>
      <c r="M922" s="129">
        <f>SUM(M923:M924)</f>
        <v>0</v>
      </c>
      <c r="N922" s="339">
        <v>25</v>
      </c>
      <c r="O922" s="129">
        <f>SUM(O923:O924)</f>
        <v>14818700</v>
      </c>
      <c r="P922" s="339">
        <v>25</v>
      </c>
      <c r="Q922" s="129">
        <f>SUM(Q923:Q924)</f>
        <v>51881081</v>
      </c>
      <c r="R922" s="339"/>
      <c r="S922" s="129">
        <f>SUM(S923:S924)</f>
        <v>50119900</v>
      </c>
      <c r="T922" s="317">
        <f t="shared" si="185"/>
        <v>75</v>
      </c>
      <c r="U922" s="317">
        <f t="shared" si="186"/>
        <v>75</v>
      </c>
      <c r="V922" s="318" t="s">
        <v>58</v>
      </c>
      <c r="W922" s="325">
        <f t="shared" si="187"/>
        <v>116819681</v>
      </c>
      <c r="X922" s="321">
        <f t="shared" si="188"/>
        <v>82.036292837078648</v>
      </c>
      <c r="Y922" s="318" t="s">
        <v>58</v>
      </c>
      <c r="Z922" s="317"/>
      <c r="AA922" s="325"/>
      <c r="AB922" s="321"/>
      <c r="AC922" s="318" t="s">
        <v>58</v>
      </c>
      <c r="AD922" s="321"/>
      <c r="AE922" s="326"/>
      <c r="AH922" s="303"/>
    </row>
    <row r="923" spans="1:34" s="337" customFormat="1" ht="180">
      <c r="A923" s="327"/>
      <c r="B923" s="310"/>
      <c r="C923" s="329" t="s">
        <v>82</v>
      </c>
      <c r="D923" s="329" t="s">
        <v>226</v>
      </c>
      <c r="E923" s="330">
        <f>8*3</f>
        <v>24</v>
      </c>
      <c r="F923" s="331" t="s">
        <v>138</v>
      </c>
      <c r="G923" s="304">
        <v>209220000</v>
      </c>
      <c r="H923" s="330"/>
      <c r="I923" s="304"/>
      <c r="J923" s="330">
        <v>7</v>
      </c>
      <c r="K923" s="304">
        <v>124300000</v>
      </c>
      <c r="L923" s="330">
        <v>0</v>
      </c>
      <c r="M923" s="304">
        <v>0</v>
      </c>
      <c r="N923" s="330">
        <v>1</v>
      </c>
      <c r="O923" s="304">
        <v>14408700</v>
      </c>
      <c r="P923" s="330">
        <v>3</v>
      </c>
      <c r="Q923" s="304">
        <v>47376081</v>
      </c>
      <c r="R923" s="330"/>
      <c r="S923" s="304">
        <v>37044900</v>
      </c>
      <c r="T923" s="332">
        <f t="shared" si="185"/>
        <v>4</v>
      </c>
      <c r="U923" s="332">
        <f t="shared" si="186"/>
        <v>57.142857142857139</v>
      </c>
      <c r="V923" s="333" t="s">
        <v>58</v>
      </c>
      <c r="W923" s="334">
        <f t="shared" si="187"/>
        <v>98829681</v>
      </c>
      <c r="X923" s="335">
        <f t="shared" si="188"/>
        <v>79.508995172968625</v>
      </c>
      <c r="Y923" s="333" t="s">
        <v>58</v>
      </c>
      <c r="Z923" s="332"/>
      <c r="AA923" s="334"/>
      <c r="AB923" s="335"/>
      <c r="AC923" s="333" t="s">
        <v>58</v>
      </c>
      <c r="AD923" s="335"/>
      <c r="AE923" s="336"/>
      <c r="AH923" s="305"/>
    </row>
    <row r="924" spans="1:34" s="337" customFormat="1" ht="75">
      <c r="A924" s="327"/>
      <c r="B924" s="310"/>
      <c r="C924" s="328" t="s">
        <v>1125</v>
      </c>
      <c r="D924" s="329" t="s">
        <v>1126</v>
      </c>
      <c r="E924" s="330">
        <f>10*3</f>
        <v>30</v>
      </c>
      <c r="F924" s="331" t="s">
        <v>138</v>
      </c>
      <c r="G924" s="304">
        <v>134800000</v>
      </c>
      <c r="H924" s="330">
        <v>12</v>
      </c>
      <c r="I924" s="304">
        <v>8000000</v>
      </c>
      <c r="J924" s="330">
        <v>10</v>
      </c>
      <c r="K924" s="304">
        <v>18100000</v>
      </c>
      <c r="L924" s="330">
        <v>1</v>
      </c>
      <c r="M924" s="304">
        <v>0</v>
      </c>
      <c r="N924" s="330">
        <v>1</v>
      </c>
      <c r="O924" s="304">
        <v>410000</v>
      </c>
      <c r="P924" s="330">
        <v>0</v>
      </c>
      <c r="Q924" s="304">
        <v>4505000</v>
      </c>
      <c r="R924" s="330"/>
      <c r="S924" s="304">
        <v>13075000</v>
      </c>
      <c r="T924" s="332">
        <f t="shared" si="185"/>
        <v>2</v>
      </c>
      <c r="U924" s="332">
        <f t="shared" si="186"/>
        <v>20</v>
      </c>
      <c r="V924" s="333" t="s">
        <v>58</v>
      </c>
      <c r="W924" s="334">
        <f t="shared" si="187"/>
        <v>17990000</v>
      </c>
      <c r="X924" s="335">
        <f t="shared" si="188"/>
        <v>99.392265193370164</v>
      </c>
      <c r="Y924" s="333" t="s">
        <v>58</v>
      </c>
      <c r="Z924" s="332"/>
      <c r="AA924" s="334"/>
      <c r="AB924" s="335"/>
      <c r="AC924" s="333" t="s">
        <v>58</v>
      </c>
      <c r="AD924" s="335"/>
      <c r="AE924" s="336"/>
      <c r="AH924" s="305"/>
    </row>
    <row r="925" spans="1:34" s="323" customFormat="1" ht="69.75" customHeight="1">
      <c r="A925" s="309">
        <v>30</v>
      </c>
      <c r="B925" s="311" t="s">
        <v>1127</v>
      </c>
      <c r="C925" s="338" t="s">
        <v>1128</v>
      </c>
      <c r="D925" s="312"/>
      <c r="E925" s="345"/>
      <c r="F925" s="314"/>
      <c r="G925" s="324">
        <f>G926+G928+G940</f>
        <v>1713385845</v>
      </c>
      <c r="H925" s="345"/>
      <c r="I925" s="324">
        <f>I926+I928+I940+I947</f>
        <v>913826068</v>
      </c>
      <c r="J925" s="313">
        <v>100</v>
      </c>
      <c r="K925" s="324">
        <f>K926+K928+K940+K947</f>
        <v>1173537568</v>
      </c>
      <c r="L925" s="313"/>
      <c r="M925" s="324">
        <f>M926+M928+M940+M947</f>
        <v>21000000</v>
      </c>
      <c r="N925" s="313"/>
      <c r="O925" s="324">
        <f>O926+O928+O940</f>
        <v>127610000</v>
      </c>
      <c r="P925" s="313"/>
      <c r="Q925" s="324">
        <f>Q926+Q928+Q940</f>
        <v>218736000</v>
      </c>
      <c r="R925" s="345"/>
      <c r="S925" s="324">
        <f>S926+S928+S940+S947</f>
        <v>400182000</v>
      </c>
      <c r="T925" s="317">
        <f t="shared" si="185"/>
        <v>0</v>
      </c>
      <c r="U925" s="317">
        <f t="shared" si="186"/>
        <v>0</v>
      </c>
      <c r="V925" s="318" t="s">
        <v>58</v>
      </c>
      <c r="W925" s="325">
        <f>SUM(M925,O925,Q925,S925)</f>
        <v>767528000</v>
      </c>
      <c r="X925" s="321">
        <f>W925/K925*100</f>
        <v>65.402933909313077</v>
      </c>
      <c r="Y925" s="318" t="s">
        <v>58</v>
      </c>
      <c r="Z925" s="317"/>
      <c r="AA925" s="325"/>
      <c r="AB925" s="321"/>
      <c r="AC925" s="318" t="s">
        <v>58</v>
      </c>
      <c r="AD925" s="321"/>
      <c r="AE925" s="326"/>
      <c r="AH925" s="303"/>
    </row>
    <row r="926" spans="1:34" s="323" customFormat="1" ht="94.5">
      <c r="A926" s="327"/>
      <c r="B926" s="310"/>
      <c r="C926" s="311" t="s">
        <v>1129</v>
      </c>
      <c r="D926" s="312"/>
      <c r="E926" s="313"/>
      <c r="F926" s="314"/>
      <c r="G926" s="315">
        <f>SUM(G927)</f>
        <v>17000000</v>
      </c>
      <c r="H926" s="313"/>
      <c r="I926" s="315">
        <f>SUM(I927)</f>
        <v>0</v>
      </c>
      <c r="J926" s="313">
        <v>100</v>
      </c>
      <c r="K926" s="315">
        <f>SUM(K927)</f>
        <v>17000000</v>
      </c>
      <c r="L926" s="313"/>
      <c r="M926" s="315">
        <f>SUM(M927)</f>
        <v>0</v>
      </c>
      <c r="N926" s="313"/>
      <c r="O926" s="315">
        <f>SUM(O927)</f>
        <v>11100000</v>
      </c>
      <c r="P926" s="313"/>
      <c r="Q926" s="315">
        <f>SUM(Q927)</f>
        <v>0</v>
      </c>
      <c r="R926" s="313"/>
      <c r="S926" s="315">
        <f>SUM(S927)</f>
        <v>5900000</v>
      </c>
      <c r="T926" s="317">
        <f t="shared" si="185"/>
        <v>0</v>
      </c>
      <c r="U926" s="346">
        <f t="shared" si="186"/>
        <v>0</v>
      </c>
      <c r="V926" s="309" t="s">
        <v>58</v>
      </c>
      <c r="W926" s="319">
        <f t="shared" si="187"/>
        <v>17000000</v>
      </c>
      <c r="X926" s="320">
        <f t="shared" si="188"/>
        <v>100</v>
      </c>
      <c r="Y926" s="309" t="s">
        <v>58</v>
      </c>
      <c r="Z926" s="317"/>
      <c r="AA926" s="319"/>
      <c r="AB926" s="321"/>
      <c r="AC926" s="318" t="s">
        <v>58</v>
      </c>
      <c r="AD926" s="320"/>
      <c r="AE926" s="326"/>
      <c r="AH926" s="303"/>
    </row>
    <row r="927" spans="1:34" s="337" customFormat="1" ht="390">
      <c r="A927" s="327"/>
      <c r="B927" s="310"/>
      <c r="C927" s="347" t="s">
        <v>1130</v>
      </c>
      <c r="D927" s="347" t="s">
        <v>1131</v>
      </c>
      <c r="E927" s="348"/>
      <c r="F927" s="349" t="s">
        <v>57</v>
      </c>
      <c r="G927" s="307">
        <v>17000000</v>
      </c>
      <c r="H927" s="348"/>
      <c r="I927" s="307"/>
      <c r="J927" s="348">
        <v>100</v>
      </c>
      <c r="K927" s="307">
        <v>17000000</v>
      </c>
      <c r="L927" s="348"/>
      <c r="M927" s="307">
        <v>0</v>
      </c>
      <c r="N927" s="348"/>
      <c r="O927" s="307">
        <v>11100000</v>
      </c>
      <c r="P927" s="348"/>
      <c r="Q927" s="307">
        <v>0</v>
      </c>
      <c r="R927" s="348"/>
      <c r="S927" s="307">
        <v>5900000</v>
      </c>
      <c r="T927" s="332">
        <f t="shared" si="185"/>
        <v>0</v>
      </c>
      <c r="U927" s="332">
        <f t="shared" si="186"/>
        <v>0</v>
      </c>
      <c r="V927" s="333" t="s">
        <v>58</v>
      </c>
      <c r="W927" s="334">
        <f t="shared" si="187"/>
        <v>17000000</v>
      </c>
      <c r="X927" s="335">
        <f t="shared" si="188"/>
        <v>100</v>
      </c>
      <c r="Y927" s="333" t="s">
        <v>58</v>
      </c>
      <c r="Z927" s="332"/>
      <c r="AA927" s="334"/>
      <c r="AB927" s="335"/>
      <c r="AC927" s="333" t="s">
        <v>58</v>
      </c>
      <c r="AD927" s="335"/>
      <c r="AE927" s="336"/>
      <c r="AH927" s="305"/>
    </row>
    <row r="928" spans="1:34" s="323" customFormat="1" ht="110.25">
      <c r="A928" s="318"/>
      <c r="B928" s="312"/>
      <c r="C928" s="312" t="s">
        <v>1132</v>
      </c>
      <c r="D928" s="312" t="s">
        <v>1133</v>
      </c>
      <c r="E928" s="313"/>
      <c r="F928" s="314"/>
      <c r="G928" s="324">
        <f>SUM(G932:G939)</f>
        <v>1079672500</v>
      </c>
      <c r="H928" s="313"/>
      <c r="I928" s="324">
        <f>SUM(I932:I939)</f>
        <v>412017000</v>
      </c>
      <c r="J928" s="313">
        <v>120</v>
      </c>
      <c r="K928" s="324">
        <f>SUM(K932:K939)</f>
        <v>899960000</v>
      </c>
      <c r="L928" s="313"/>
      <c r="M928" s="324">
        <f>SUM(M932:M939)</f>
        <v>21000000</v>
      </c>
      <c r="N928" s="313"/>
      <c r="O928" s="324">
        <f>SUM(O932:O939)</f>
        <v>101940000</v>
      </c>
      <c r="P928" s="313"/>
      <c r="Q928" s="324">
        <f>SUM(Q932:Q939)</f>
        <v>215263000</v>
      </c>
      <c r="R928" s="313"/>
      <c r="S928" s="324">
        <f>SUM(S929:S936)</f>
        <v>188717000</v>
      </c>
      <c r="T928" s="317">
        <f t="shared" si="185"/>
        <v>0</v>
      </c>
      <c r="U928" s="346">
        <f t="shared" si="186"/>
        <v>0</v>
      </c>
      <c r="V928" s="309" t="s">
        <v>58</v>
      </c>
      <c r="W928" s="319">
        <f t="shared" si="187"/>
        <v>526920000</v>
      </c>
      <c r="X928" s="320">
        <f t="shared" si="188"/>
        <v>58.549268856393624</v>
      </c>
      <c r="Y928" s="309" t="s">
        <v>58</v>
      </c>
      <c r="Z928" s="317"/>
      <c r="AA928" s="319"/>
      <c r="AB928" s="321"/>
      <c r="AC928" s="318" t="s">
        <v>58</v>
      </c>
      <c r="AD928" s="320"/>
      <c r="AE928" s="326"/>
      <c r="AH928" s="303"/>
    </row>
    <row r="929" spans="1:34" s="323" customFormat="1" ht="78.75">
      <c r="A929" s="327"/>
      <c r="B929" s="310"/>
      <c r="C929" s="310"/>
      <c r="D929" s="338" t="s">
        <v>1134</v>
      </c>
      <c r="E929" s="350"/>
      <c r="F929" s="340"/>
      <c r="G929" s="308"/>
      <c r="H929" s="350"/>
      <c r="I929" s="308"/>
      <c r="J929" s="350">
        <v>100</v>
      </c>
      <c r="K929" s="308"/>
      <c r="L929" s="350"/>
      <c r="M929" s="308"/>
      <c r="N929" s="350"/>
      <c r="O929" s="308"/>
      <c r="P929" s="350"/>
      <c r="Q929" s="308">
        <v>0</v>
      </c>
      <c r="R929" s="350"/>
      <c r="S929" s="308"/>
      <c r="T929" s="317">
        <f t="shared" si="185"/>
        <v>0</v>
      </c>
      <c r="U929" s="317">
        <f t="shared" si="186"/>
        <v>0</v>
      </c>
      <c r="V929" s="318" t="s">
        <v>58</v>
      </c>
      <c r="W929" s="351"/>
      <c r="X929" s="352"/>
      <c r="Y929" s="327"/>
      <c r="Z929" s="317"/>
      <c r="AA929" s="351"/>
      <c r="AB929" s="321"/>
      <c r="AC929" s="318" t="s">
        <v>58</v>
      </c>
      <c r="AD929" s="352"/>
      <c r="AE929" s="326"/>
      <c r="AH929" s="303"/>
    </row>
    <row r="930" spans="1:34" s="323" customFormat="1" ht="63">
      <c r="A930" s="327"/>
      <c r="B930" s="310"/>
      <c r="C930" s="310"/>
      <c r="D930" s="312" t="s">
        <v>1135</v>
      </c>
      <c r="E930" s="313"/>
      <c r="F930" s="314"/>
      <c r="G930" s="308"/>
      <c r="H930" s="313"/>
      <c r="I930" s="308"/>
      <c r="J930" s="313">
        <v>148</v>
      </c>
      <c r="K930" s="308"/>
      <c r="L930" s="313"/>
      <c r="M930" s="308"/>
      <c r="N930" s="313"/>
      <c r="O930" s="308"/>
      <c r="P930" s="313"/>
      <c r="Q930" s="308"/>
      <c r="R930" s="313"/>
      <c r="S930" s="308"/>
      <c r="T930" s="317">
        <f t="shared" si="185"/>
        <v>0</v>
      </c>
      <c r="U930" s="317">
        <f t="shared" si="186"/>
        <v>0</v>
      </c>
      <c r="V930" s="318" t="s">
        <v>58</v>
      </c>
      <c r="W930" s="351"/>
      <c r="X930" s="352"/>
      <c r="Y930" s="327"/>
      <c r="Z930" s="317"/>
      <c r="AA930" s="351"/>
      <c r="AB930" s="321"/>
      <c r="AC930" s="318" t="s">
        <v>58</v>
      </c>
      <c r="AD930" s="352"/>
      <c r="AE930" s="326"/>
      <c r="AH930" s="303"/>
    </row>
    <row r="931" spans="1:34" s="323" customFormat="1" ht="94.5">
      <c r="A931" s="327"/>
      <c r="B931" s="310"/>
      <c r="C931" s="338"/>
      <c r="D931" s="312" t="s">
        <v>1136</v>
      </c>
      <c r="E931" s="313"/>
      <c r="F931" s="314"/>
      <c r="G931" s="129"/>
      <c r="H931" s="313"/>
      <c r="I931" s="129"/>
      <c r="J931" s="313">
        <v>100</v>
      </c>
      <c r="K931" s="129"/>
      <c r="L931" s="313"/>
      <c r="M931" s="129"/>
      <c r="N931" s="313"/>
      <c r="O931" s="129"/>
      <c r="P931" s="313"/>
      <c r="Q931" s="129"/>
      <c r="R931" s="313"/>
      <c r="S931" s="129"/>
      <c r="T931" s="317">
        <f t="shared" si="185"/>
        <v>0</v>
      </c>
      <c r="U931" s="317">
        <f t="shared" si="186"/>
        <v>0</v>
      </c>
      <c r="V931" s="318" t="s">
        <v>58</v>
      </c>
      <c r="W931" s="353"/>
      <c r="X931" s="354"/>
      <c r="Y931" s="355"/>
      <c r="Z931" s="317"/>
      <c r="AA931" s="353"/>
      <c r="AB931" s="321"/>
      <c r="AC931" s="318" t="s">
        <v>58</v>
      </c>
      <c r="AD931" s="354"/>
      <c r="AE931" s="326"/>
      <c r="AH931" s="303"/>
    </row>
    <row r="932" spans="1:34" s="337" customFormat="1" ht="168.75" customHeight="1">
      <c r="A932" s="327"/>
      <c r="B932" s="310"/>
      <c r="C932" s="328" t="s">
        <v>1137</v>
      </c>
      <c r="D932" s="329" t="s">
        <v>1138</v>
      </c>
      <c r="E932" s="330"/>
      <c r="F932" s="331" t="s">
        <v>57</v>
      </c>
      <c r="G932" s="304">
        <v>33350000</v>
      </c>
      <c r="H932" s="330"/>
      <c r="I932" s="304">
        <v>5290000</v>
      </c>
      <c r="J932" s="330">
        <v>50</v>
      </c>
      <c r="K932" s="304">
        <v>33350000</v>
      </c>
      <c r="L932" s="330"/>
      <c r="M932" s="304">
        <v>0</v>
      </c>
      <c r="N932" s="330"/>
      <c r="O932" s="304">
        <v>0</v>
      </c>
      <c r="P932" s="330"/>
      <c r="Q932" s="304">
        <v>0</v>
      </c>
      <c r="R932" s="330"/>
      <c r="S932" s="304">
        <v>33350000</v>
      </c>
      <c r="T932" s="332">
        <f t="shared" si="185"/>
        <v>0</v>
      </c>
      <c r="U932" s="332">
        <f t="shared" si="186"/>
        <v>0</v>
      </c>
      <c r="V932" s="333" t="s">
        <v>58</v>
      </c>
      <c r="W932" s="334">
        <f>SUM(M932,O932,Q932,S932)</f>
        <v>33350000</v>
      </c>
      <c r="X932" s="335">
        <f>W932/K932*100</f>
        <v>100</v>
      </c>
      <c r="Y932" s="333" t="s">
        <v>58</v>
      </c>
      <c r="Z932" s="332"/>
      <c r="AA932" s="334"/>
      <c r="AB932" s="335"/>
      <c r="AC932" s="333" t="s">
        <v>58</v>
      </c>
      <c r="AD932" s="335"/>
      <c r="AE932" s="336"/>
      <c r="AH932" s="305"/>
    </row>
    <row r="933" spans="1:34" s="337" customFormat="1" ht="228" customHeight="1">
      <c r="A933" s="327"/>
      <c r="B933" s="310"/>
      <c r="C933" s="328" t="s">
        <v>1139</v>
      </c>
      <c r="D933" s="329" t="s">
        <v>1140</v>
      </c>
      <c r="E933" s="330">
        <v>3</v>
      </c>
      <c r="F933" s="331" t="s">
        <v>55</v>
      </c>
      <c r="G933" s="304">
        <v>281400000</v>
      </c>
      <c r="H933" s="330">
        <v>1</v>
      </c>
      <c r="I933" s="304">
        <v>63826000</v>
      </c>
      <c r="J933" s="330">
        <v>1</v>
      </c>
      <c r="K933" s="304">
        <v>104400000</v>
      </c>
      <c r="L933" s="330"/>
      <c r="M933" s="304">
        <v>0</v>
      </c>
      <c r="N933" s="330"/>
      <c r="O933" s="304">
        <v>0</v>
      </c>
      <c r="P933" s="330">
        <v>1</v>
      </c>
      <c r="Q933" s="304">
        <v>64480000</v>
      </c>
      <c r="R933" s="330"/>
      <c r="S933" s="304">
        <v>39920000</v>
      </c>
      <c r="T933" s="332">
        <f t="shared" si="185"/>
        <v>1</v>
      </c>
      <c r="U933" s="332">
        <f t="shared" si="186"/>
        <v>100</v>
      </c>
      <c r="V933" s="333" t="s">
        <v>58</v>
      </c>
      <c r="W933" s="334">
        <f>SUM(M933,O933,Q933,S933)</f>
        <v>104400000</v>
      </c>
      <c r="X933" s="335">
        <f>W933/K933*100</f>
        <v>100</v>
      </c>
      <c r="Y933" s="333" t="s">
        <v>58</v>
      </c>
      <c r="Z933" s="332"/>
      <c r="AA933" s="334"/>
      <c r="AB933" s="335"/>
      <c r="AC933" s="333" t="s">
        <v>58</v>
      </c>
      <c r="AD933" s="335"/>
      <c r="AE933" s="336"/>
      <c r="AH933" s="305"/>
    </row>
    <row r="934" spans="1:34" s="337" customFormat="1" ht="300">
      <c r="A934" s="327"/>
      <c r="B934" s="310"/>
      <c r="C934" s="328" t="s">
        <v>1141</v>
      </c>
      <c r="D934" s="329" t="s">
        <v>1142</v>
      </c>
      <c r="E934" s="330">
        <v>1</v>
      </c>
      <c r="F934" s="331" t="s">
        <v>55</v>
      </c>
      <c r="G934" s="304">
        <v>8700000</v>
      </c>
      <c r="H934" s="330">
        <v>1</v>
      </c>
      <c r="I934" s="304">
        <v>4260000</v>
      </c>
      <c r="J934" s="330">
        <v>1</v>
      </c>
      <c r="K934" s="304">
        <v>378700000</v>
      </c>
      <c r="L934" s="330"/>
      <c r="M934" s="304">
        <v>0</v>
      </c>
      <c r="N934" s="330"/>
      <c r="O934" s="304">
        <v>2450000</v>
      </c>
      <c r="P934" s="330"/>
      <c r="Q934" s="304">
        <v>6040000</v>
      </c>
      <c r="R934" s="330"/>
      <c r="S934" s="304">
        <v>210000</v>
      </c>
      <c r="T934" s="332">
        <f t="shared" si="185"/>
        <v>0</v>
      </c>
      <c r="U934" s="332">
        <f t="shared" si="186"/>
        <v>0</v>
      </c>
      <c r="V934" s="333" t="s">
        <v>58</v>
      </c>
      <c r="W934" s="334">
        <f>SUM(M934,O934,Q934,S934)</f>
        <v>8700000</v>
      </c>
      <c r="X934" s="335">
        <f>W934/K934*100</f>
        <v>2.2973329812516501</v>
      </c>
      <c r="Y934" s="333" t="s">
        <v>58</v>
      </c>
      <c r="Z934" s="332"/>
      <c r="AA934" s="334"/>
      <c r="AB934" s="335"/>
      <c r="AC934" s="333" t="s">
        <v>58</v>
      </c>
      <c r="AD934" s="335"/>
      <c r="AE934" s="336"/>
      <c r="AH934" s="305"/>
    </row>
    <row r="935" spans="1:34" s="337" customFormat="1" ht="120">
      <c r="A935" s="327"/>
      <c r="B935" s="310"/>
      <c r="C935" s="328" t="s">
        <v>1143</v>
      </c>
      <c r="D935" s="329" t="s">
        <v>1144</v>
      </c>
      <c r="E935" s="330"/>
      <c r="F935" s="331" t="s">
        <v>57</v>
      </c>
      <c r="G935" s="304">
        <v>400710000</v>
      </c>
      <c r="H935" s="330"/>
      <c r="I935" s="304">
        <v>31500000</v>
      </c>
      <c r="J935" s="330">
        <v>50</v>
      </c>
      <c r="K935" s="304">
        <v>363710000</v>
      </c>
      <c r="L935" s="330"/>
      <c r="M935" s="304">
        <v>21000000</v>
      </c>
      <c r="N935" s="330"/>
      <c r="O935" s="304">
        <v>99490000</v>
      </c>
      <c r="P935" s="330"/>
      <c r="Q935" s="304">
        <v>127983000</v>
      </c>
      <c r="R935" s="330"/>
      <c r="S935" s="304">
        <v>115237000</v>
      </c>
      <c r="T935" s="332">
        <f t="shared" si="185"/>
        <v>0</v>
      </c>
      <c r="U935" s="332">
        <f t="shared" si="186"/>
        <v>0</v>
      </c>
      <c r="V935" s="333" t="s">
        <v>58</v>
      </c>
      <c r="W935" s="334">
        <f>SUM(M935,O935,Q935,S935)</f>
        <v>363710000</v>
      </c>
      <c r="X935" s="335">
        <f>W935/K935*100</f>
        <v>100</v>
      </c>
      <c r="Y935" s="333" t="s">
        <v>58</v>
      </c>
      <c r="Z935" s="332"/>
      <c r="AA935" s="334"/>
      <c r="AB935" s="335"/>
      <c r="AC935" s="333" t="s">
        <v>58</v>
      </c>
      <c r="AD935" s="335"/>
      <c r="AE935" s="336"/>
      <c r="AH935" s="305"/>
    </row>
    <row r="936" spans="1:34" s="337" customFormat="1" ht="150" customHeight="1">
      <c r="A936" s="327"/>
      <c r="B936" s="310"/>
      <c r="C936" s="328" t="s">
        <v>1145</v>
      </c>
      <c r="D936" s="329" t="s">
        <v>1146</v>
      </c>
      <c r="E936" s="330"/>
      <c r="F936" s="331" t="s">
        <v>57</v>
      </c>
      <c r="G936" s="304">
        <v>31800000</v>
      </c>
      <c r="H936" s="330"/>
      <c r="I936" s="304"/>
      <c r="J936" s="330">
        <v>50</v>
      </c>
      <c r="K936" s="304">
        <v>19800000</v>
      </c>
      <c r="L936" s="330"/>
      <c r="M936" s="304">
        <v>0</v>
      </c>
      <c r="N936" s="330"/>
      <c r="O936" s="304">
        <v>0</v>
      </c>
      <c r="P936" s="330"/>
      <c r="Q936" s="304">
        <v>16760000</v>
      </c>
      <c r="R936" s="330"/>
      <c r="S936" s="304">
        <v>0</v>
      </c>
      <c r="T936" s="332">
        <f t="shared" si="185"/>
        <v>0</v>
      </c>
      <c r="U936" s="332">
        <f t="shared" si="186"/>
        <v>0</v>
      </c>
      <c r="V936" s="333" t="s">
        <v>58</v>
      </c>
      <c r="W936" s="334">
        <f>SUM(M936,O936,Q936,S936)</f>
        <v>16760000</v>
      </c>
      <c r="X936" s="335">
        <f>W936/K936*100</f>
        <v>84.646464646464651</v>
      </c>
      <c r="Y936" s="333" t="s">
        <v>58</v>
      </c>
      <c r="Z936" s="332"/>
      <c r="AA936" s="334"/>
      <c r="AB936" s="335"/>
      <c r="AC936" s="333" t="s">
        <v>58</v>
      </c>
      <c r="AD936" s="335"/>
      <c r="AE936" s="336"/>
      <c r="AH936" s="305"/>
    </row>
    <row r="937" spans="1:34" s="337" customFormat="1" ht="150">
      <c r="A937" s="327"/>
      <c r="B937" s="310"/>
      <c r="C937" s="328" t="s">
        <v>1147</v>
      </c>
      <c r="D937" s="329" t="s">
        <v>1148</v>
      </c>
      <c r="E937" s="330"/>
      <c r="F937" s="331" t="s">
        <v>138</v>
      </c>
      <c r="G937" s="304">
        <v>75750000</v>
      </c>
      <c r="H937" s="330"/>
      <c r="I937" s="304">
        <v>75637000</v>
      </c>
      <c r="J937" s="330"/>
      <c r="K937" s="304"/>
      <c r="L937" s="330"/>
      <c r="M937" s="304"/>
      <c r="N937" s="330"/>
      <c r="O937" s="304"/>
      <c r="P937" s="330"/>
      <c r="Q937" s="304"/>
      <c r="R937" s="330"/>
      <c r="S937" s="304"/>
      <c r="T937" s="332"/>
      <c r="U937" s="332"/>
      <c r="V937" s="333"/>
      <c r="W937" s="334"/>
      <c r="X937" s="335"/>
      <c r="Y937" s="333"/>
      <c r="Z937" s="332"/>
      <c r="AA937" s="334"/>
      <c r="AB937" s="335"/>
      <c r="AC937" s="333"/>
      <c r="AD937" s="335"/>
      <c r="AE937" s="336"/>
      <c r="AH937" s="305"/>
    </row>
    <row r="938" spans="1:34" s="337" customFormat="1" ht="173.25" customHeight="1">
      <c r="A938" s="327"/>
      <c r="B938" s="310"/>
      <c r="C938" s="328" t="s">
        <v>1149</v>
      </c>
      <c r="D938" s="329" t="s">
        <v>1150</v>
      </c>
      <c r="E938" s="330">
        <v>1</v>
      </c>
      <c r="F938" s="331" t="s">
        <v>55</v>
      </c>
      <c r="G938" s="304">
        <v>39400000</v>
      </c>
      <c r="H938" s="330">
        <v>1</v>
      </c>
      <c r="I938" s="304">
        <v>37440000</v>
      </c>
      <c r="J938" s="330"/>
      <c r="K938" s="304"/>
      <c r="L938" s="330"/>
      <c r="M938" s="304"/>
      <c r="N938" s="330"/>
      <c r="O938" s="304"/>
      <c r="P938" s="330"/>
      <c r="Q938" s="304"/>
      <c r="R938" s="330"/>
      <c r="S938" s="304"/>
      <c r="T938" s="332"/>
      <c r="U938" s="332"/>
      <c r="V938" s="333"/>
      <c r="W938" s="334"/>
      <c r="X938" s="335"/>
      <c r="Y938" s="333"/>
      <c r="Z938" s="332"/>
      <c r="AA938" s="334"/>
      <c r="AB938" s="335"/>
      <c r="AC938" s="333"/>
      <c r="AD938" s="335"/>
      <c r="AE938" s="336"/>
      <c r="AH938" s="305"/>
    </row>
    <row r="939" spans="1:34" s="337" customFormat="1" ht="150">
      <c r="A939" s="327"/>
      <c r="B939" s="310"/>
      <c r="C939" s="328" t="s">
        <v>1151</v>
      </c>
      <c r="D939" s="329" t="s">
        <v>1152</v>
      </c>
      <c r="E939" s="330">
        <v>1</v>
      </c>
      <c r="F939" s="356" t="s">
        <v>997</v>
      </c>
      <c r="G939" s="304">
        <v>208562500</v>
      </c>
      <c r="H939" s="330">
        <v>1</v>
      </c>
      <c r="I939" s="304">
        <v>194064000</v>
      </c>
      <c r="J939" s="330"/>
      <c r="K939" s="304"/>
      <c r="L939" s="330"/>
      <c r="M939" s="304"/>
      <c r="N939" s="330"/>
      <c r="O939" s="304"/>
      <c r="P939" s="330"/>
      <c r="Q939" s="304"/>
      <c r="R939" s="330"/>
      <c r="S939" s="304"/>
      <c r="T939" s="332"/>
      <c r="U939" s="332"/>
      <c r="V939" s="333"/>
      <c r="W939" s="334"/>
      <c r="X939" s="335"/>
      <c r="Y939" s="333"/>
      <c r="Z939" s="332"/>
      <c r="AA939" s="334"/>
      <c r="AB939" s="335"/>
      <c r="AC939" s="333" t="s">
        <v>58</v>
      </c>
      <c r="AD939" s="335"/>
      <c r="AE939" s="336"/>
      <c r="AH939" s="305"/>
    </row>
    <row r="940" spans="1:34" s="323" customFormat="1" ht="173.25">
      <c r="A940" s="327"/>
      <c r="B940" s="310"/>
      <c r="C940" s="311" t="s">
        <v>1153</v>
      </c>
      <c r="D940" s="312" t="s">
        <v>1154</v>
      </c>
      <c r="E940" s="313"/>
      <c r="F940" s="314"/>
      <c r="G940" s="315">
        <f>SUM(G943:G946)</f>
        <v>616713345</v>
      </c>
      <c r="H940" s="313"/>
      <c r="I940" s="315">
        <f>SUM(I943:I946)</f>
        <v>301812500</v>
      </c>
      <c r="J940" s="313">
        <v>100</v>
      </c>
      <c r="K940" s="315">
        <f>SUM(K943:K946)</f>
        <v>56581000</v>
      </c>
      <c r="L940" s="313"/>
      <c r="M940" s="315">
        <f>SUM(M941:M943)</f>
        <v>0</v>
      </c>
      <c r="N940" s="313"/>
      <c r="O940" s="315">
        <f>SUM(O943:O946)</f>
        <v>14570000</v>
      </c>
      <c r="P940" s="313"/>
      <c r="Q940" s="315">
        <f>SUM(Q943:Q946)</f>
        <v>3473000</v>
      </c>
      <c r="R940" s="313"/>
      <c r="S940" s="315">
        <f>SUM(S942:S944)</f>
        <v>6460000</v>
      </c>
      <c r="T940" s="317">
        <f>SUM(L940,N940,P940,R940)</f>
        <v>0</v>
      </c>
      <c r="U940" s="317">
        <f>T940/J940*100</f>
        <v>0</v>
      </c>
      <c r="V940" s="318" t="s">
        <v>58</v>
      </c>
      <c r="W940" s="319">
        <f>SUM(M940,O940,Q940,S940)</f>
        <v>24503000</v>
      </c>
      <c r="X940" s="320">
        <f>W940/K940*100</f>
        <v>43.306056803520612</v>
      </c>
      <c r="Y940" s="309" t="s">
        <v>58</v>
      </c>
      <c r="Z940" s="317"/>
      <c r="AA940" s="319"/>
      <c r="AB940" s="321"/>
      <c r="AC940" s="318" t="s">
        <v>58</v>
      </c>
      <c r="AD940" s="320"/>
      <c r="AE940" s="326"/>
      <c r="AH940" s="303"/>
    </row>
    <row r="941" spans="1:34" s="323" customFormat="1" ht="126">
      <c r="A941" s="327"/>
      <c r="B941" s="310"/>
      <c r="C941" s="310"/>
      <c r="D941" s="312" t="s">
        <v>1155</v>
      </c>
      <c r="E941" s="313"/>
      <c r="F941" s="314"/>
      <c r="G941" s="308"/>
      <c r="H941" s="313"/>
      <c r="I941" s="308"/>
      <c r="J941" s="313">
        <v>100</v>
      </c>
      <c r="K941" s="308"/>
      <c r="L941" s="313"/>
      <c r="M941" s="308"/>
      <c r="N941" s="313"/>
      <c r="O941" s="308"/>
      <c r="P941" s="313"/>
      <c r="Q941" s="308"/>
      <c r="R941" s="313"/>
      <c r="S941" s="308"/>
      <c r="T941" s="317">
        <f>SUM(L941,N941,P941,R941)</f>
        <v>0</v>
      </c>
      <c r="U941" s="317">
        <f>T941/J941*100</f>
        <v>0</v>
      </c>
      <c r="V941" s="318" t="s">
        <v>58</v>
      </c>
      <c r="W941" s="351"/>
      <c r="X941" s="352"/>
      <c r="Y941" s="327"/>
      <c r="Z941" s="317"/>
      <c r="AA941" s="351"/>
      <c r="AB941" s="321"/>
      <c r="AC941" s="318" t="s">
        <v>58</v>
      </c>
      <c r="AD941" s="352"/>
      <c r="AE941" s="326"/>
      <c r="AH941" s="303"/>
    </row>
    <row r="942" spans="1:34" s="323" customFormat="1" ht="110.25">
      <c r="A942" s="327"/>
      <c r="B942" s="310"/>
      <c r="C942" s="338"/>
      <c r="D942" s="312" t="s">
        <v>1156</v>
      </c>
      <c r="E942" s="313"/>
      <c r="F942" s="314"/>
      <c r="G942" s="129"/>
      <c r="H942" s="313"/>
      <c r="I942" s="129"/>
      <c r="J942" s="313">
        <v>100</v>
      </c>
      <c r="K942" s="129"/>
      <c r="L942" s="313"/>
      <c r="M942" s="129"/>
      <c r="N942" s="313"/>
      <c r="O942" s="129"/>
      <c r="P942" s="313"/>
      <c r="Q942" s="129"/>
      <c r="R942" s="313"/>
      <c r="S942" s="129"/>
      <c r="T942" s="317">
        <f>SUM(L942,N942,P942,R942)</f>
        <v>0</v>
      </c>
      <c r="U942" s="317">
        <f>T942/J942*100</f>
        <v>0</v>
      </c>
      <c r="V942" s="318" t="s">
        <v>58</v>
      </c>
      <c r="W942" s="353"/>
      <c r="X942" s="354"/>
      <c r="Y942" s="355"/>
      <c r="Z942" s="317"/>
      <c r="AA942" s="353"/>
      <c r="AB942" s="321"/>
      <c r="AC942" s="318" t="s">
        <v>58</v>
      </c>
      <c r="AD942" s="354"/>
      <c r="AE942" s="326"/>
      <c r="AH942" s="303"/>
    </row>
    <row r="943" spans="1:34" s="337" customFormat="1" ht="240" customHeight="1">
      <c r="A943" s="327"/>
      <c r="B943" s="310"/>
      <c r="C943" s="329" t="s">
        <v>1157</v>
      </c>
      <c r="D943" s="329" t="s">
        <v>1158</v>
      </c>
      <c r="E943" s="330">
        <v>6</v>
      </c>
      <c r="F943" s="331" t="s">
        <v>55</v>
      </c>
      <c r="G943" s="304">
        <v>402000000</v>
      </c>
      <c r="H943" s="330"/>
      <c r="I943" s="304">
        <v>216812500</v>
      </c>
      <c r="J943" s="330">
        <v>2</v>
      </c>
      <c r="K943" s="304">
        <v>18000000</v>
      </c>
      <c r="L943" s="330"/>
      <c r="M943" s="304">
        <v>0</v>
      </c>
      <c r="N943" s="330"/>
      <c r="O943" s="304">
        <v>7970000</v>
      </c>
      <c r="P943" s="330"/>
      <c r="Q943" s="304">
        <v>3473000</v>
      </c>
      <c r="R943" s="313"/>
      <c r="S943" s="304">
        <v>6460000</v>
      </c>
      <c r="T943" s="332">
        <f>SUM(L943,N943,P943,R943)</f>
        <v>0</v>
      </c>
      <c r="U943" s="332">
        <f>T943/J943*100</f>
        <v>0</v>
      </c>
      <c r="V943" s="333" t="s">
        <v>58</v>
      </c>
      <c r="W943" s="334">
        <f>SUM(M943,O943,Q943,S943)</f>
        <v>17903000</v>
      </c>
      <c r="X943" s="335">
        <f>W943/K943*100</f>
        <v>99.461111111111109</v>
      </c>
      <c r="Y943" s="333" t="s">
        <v>58</v>
      </c>
      <c r="Z943" s="332"/>
      <c r="AA943" s="334"/>
      <c r="AB943" s="335"/>
      <c r="AC943" s="333" t="s">
        <v>58</v>
      </c>
      <c r="AD943" s="335"/>
      <c r="AE943" s="336"/>
      <c r="AH943" s="305"/>
    </row>
    <row r="944" spans="1:34" s="337" customFormat="1" ht="286.5" customHeight="1">
      <c r="A944" s="327"/>
      <c r="B944" s="310"/>
      <c r="C944" s="329" t="s">
        <v>1159</v>
      </c>
      <c r="D944" s="329" t="s">
        <v>1160</v>
      </c>
      <c r="E944" s="330">
        <v>4</v>
      </c>
      <c r="F944" s="331" t="s">
        <v>55</v>
      </c>
      <c r="G944" s="304">
        <v>118431000</v>
      </c>
      <c r="H944" s="330"/>
      <c r="I944" s="304"/>
      <c r="J944" s="330">
        <v>2</v>
      </c>
      <c r="K944" s="304">
        <v>38581000</v>
      </c>
      <c r="L944" s="330"/>
      <c r="M944" s="304">
        <v>0</v>
      </c>
      <c r="N944" s="330"/>
      <c r="O944" s="304">
        <v>6600000</v>
      </c>
      <c r="P944" s="330"/>
      <c r="Q944" s="304">
        <v>0</v>
      </c>
      <c r="R944" s="313"/>
      <c r="S944" s="304">
        <v>0</v>
      </c>
      <c r="T944" s="332">
        <f>SUM(L944,N944,P944,R944)</f>
        <v>0</v>
      </c>
      <c r="U944" s="332">
        <f>T944/J944*100</f>
        <v>0</v>
      </c>
      <c r="V944" s="333" t="s">
        <v>58</v>
      </c>
      <c r="W944" s="334">
        <f>SUM(M944,O944,Q944,S944)</f>
        <v>6600000</v>
      </c>
      <c r="X944" s="335">
        <f>W944/K944*100</f>
        <v>17.106866073974235</v>
      </c>
      <c r="Y944" s="333" t="s">
        <v>58</v>
      </c>
      <c r="Z944" s="332"/>
      <c r="AA944" s="334"/>
      <c r="AB944" s="335"/>
      <c r="AC944" s="333" t="s">
        <v>58</v>
      </c>
      <c r="AD944" s="335"/>
      <c r="AE944" s="336"/>
      <c r="AH944" s="305"/>
    </row>
    <row r="945" spans="1:34" s="337" customFormat="1" ht="147" customHeight="1">
      <c r="A945" s="327"/>
      <c r="B945" s="310"/>
      <c r="C945" s="328" t="s">
        <v>1161</v>
      </c>
      <c r="D945" s="329" t="s">
        <v>1162</v>
      </c>
      <c r="E945" s="330">
        <v>1</v>
      </c>
      <c r="F945" s="331" t="s">
        <v>57</v>
      </c>
      <c r="G945" s="304">
        <v>5200000</v>
      </c>
      <c r="H945" s="330">
        <v>1</v>
      </c>
      <c r="I945" s="304">
        <v>2500000</v>
      </c>
      <c r="J945" s="330"/>
      <c r="K945" s="304"/>
      <c r="L945" s="330"/>
      <c r="M945" s="304"/>
      <c r="N945" s="330"/>
      <c r="O945" s="304"/>
      <c r="P945" s="330"/>
      <c r="Q945" s="304"/>
      <c r="R945" s="330"/>
      <c r="S945" s="304"/>
      <c r="T945" s="332"/>
      <c r="U945" s="332"/>
      <c r="V945" s="333"/>
      <c r="W945" s="334"/>
      <c r="X945" s="335"/>
      <c r="Y945" s="333"/>
      <c r="Z945" s="332"/>
      <c r="AA945" s="334"/>
      <c r="AB945" s="335"/>
      <c r="AC945" s="333" t="s">
        <v>58</v>
      </c>
      <c r="AD945" s="335"/>
      <c r="AE945" s="336"/>
      <c r="AH945" s="305"/>
    </row>
    <row r="946" spans="1:34" s="337" customFormat="1" ht="180">
      <c r="A946" s="327"/>
      <c r="B946" s="310"/>
      <c r="C946" s="357" t="s">
        <v>1163</v>
      </c>
      <c r="D946" s="347" t="s">
        <v>1164</v>
      </c>
      <c r="E946" s="330">
        <v>1</v>
      </c>
      <c r="F946" s="331" t="s">
        <v>57</v>
      </c>
      <c r="G946" s="304">
        <v>91082345</v>
      </c>
      <c r="H946" s="330">
        <v>1</v>
      </c>
      <c r="I946" s="304">
        <v>82500000</v>
      </c>
      <c r="J946" s="330"/>
      <c r="K946" s="304"/>
      <c r="L946" s="330"/>
      <c r="M946" s="304"/>
      <c r="N946" s="330"/>
      <c r="O946" s="304"/>
      <c r="P946" s="330"/>
      <c r="Q946" s="304"/>
      <c r="R946" s="330"/>
      <c r="S946" s="304"/>
      <c r="T946" s="332"/>
      <c r="U946" s="332"/>
      <c r="V946" s="333"/>
      <c r="W946" s="334"/>
      <c r="X946" s="335"/>
      <c r="Y946" s="333"/>
      <c r="Z946" s="332"/>
      <c r="AA946" s="334"/>
      <c r="AB946" s="335"/>
      <c r="AC946" s="333" t="s">
        <v>58</v>
      </c>
      <c r="AD946" s="335"/>
      <c r="AE946" s="336"/>
      <c r="AH946" s="305"/>
    </row>
    <row r="947" spans="1:34" s="337" customFormat="1" ht="70.5" customHeight="1">
      <c r="A947" s="318"/>
      <c r="B947" s="312"/>
      <c r="C947" s="329" t="s">
        <v>1165</v>
      </c>
      <c r="D947" s="329" t="s">
        <v>1166</v>
      </c>
      <c r="E947" s="330"/>
      <c r="F947" s="331"/>
      <c r="G947" s="304"/>
      <c r="H947" s="330"/>
      <c r="I947" s="304">
        <f>SUM(I948)</f>
        <v>199996568</v>
      </c>
      <c r="J947" s="330"/>
      <c r="K947" s="304">
        <f>SUM(K948)</f>
        <v>199996568</v>
      </c>
      <c r="L947" s="330"/>
      <c r="M947" s="304">
        <f>SUM(M948)</f>
        <v>0</v>
      </c>
      <c r="N947" s="330"/>
      <c r="O947" s="304"/>
      <c r="P947" s="330"/>
      <c r="Q947" s="304"/>
      <c r="R947" s="330"/>
      <c r="S947" s="304">
        <f>SUM(S948)</f>
        <v>199105000</v>
      </c>
      <c r="T947" s="332"/>
      <c r="U947" s="332"/>
      <c r="V947" s="333"/>
      <c r="W947" s="334">
        <f>SUM(M947:S947)</f>
        <v>199105000</v>
      </c>
      <c r="X947" s="335"/>
      <c r="Y947" s="333"/>
      <c r="Z947" s="332"/>
      <c r="AA947" s="334"/>
      <c r="AB947" s="335"/>
      <c r="AC947" s="333"/>
      <c r="AD947" s="335"/>
      <c r="AE947" s="336"/>
      <c r="AH947" s="305"/>
    </row>
    <row r="948" spans="1:34" s="337" customFormat="1" ht="127.5" customHeight="1">
      <c r="A948" s="318"/>
      <c r="B948" s="312"/>
      <c r="C948" s="329" t="s">
        <v>1167</v>
      </c>
      <c r="D948" s="329"/>
      <c r="E948" s="330"/>
      <c r="F948" s="331"/>
      <c r="G948" s="304"/>
      <c r="H948" s="330"/>
      <c r="I948" s="304">
        <v>199996568</v>
      </c>
      <c r="J948" s="330"/>
      <c r="K948" s="304">
        <v>199996568</v>
      </c>
      <c r="L948" s="330"/>
      <c r="M948" s="304"/>
      <c r="N948" s="330"/>
      <c r="O948" s="304"/>
      <c r="P948" s="330"/>
      <c r="Q948" s="304"/>
      <c r="R948" s="330"/>
      <c r="S948" s="304">
        <v>199105000</v>
      </c>
      <c r="T948" s="332"/>
      <c r="U948" s="332"/>
      <c r="V948" s="333"/>
      <c r="W948" s="334">
        <f>SUM(M948:S948)</f>
        <v>199105000</v>
      </c>
      <c r="X948" s="331">
        <f>W948/K948*100%</f>
        <v>0.9955420835021529</v>
      </c>
      <c r="Y948" s="333"/>
      <c r="Z948" s="332"/>
      <c r="AA948" s="334"/>
      <c r="AB948" s="335"/>
      <c r="AC948" s="333"/>
      <c r="AD948" s="335"/>
      <c r="AE948" s="336"/>
      <c r="AH948" s="305"/>
    </row>
    <row r="949" spans="1:34" ht="110.25">
      <c r="A949" s="48">
        <v>1</v>
      </c>
      <c r="B949" s="17" t="s">
        <v>29</v>
      </c>
      <c r="C949" s="49" t="s">
        <v>68</v>
      </c>
      <c r="D949" s="358" t="s">
        <v>1168</v>
      </c>
      <c r="E949" s="45">
        <f>300/3</f>
        <v>100</v>
      </c>
      <c r="F949" s="46" t="s">
        <v>58</v>
      </c>
      <c r="G949" s="52">
        <f>SUM(G951,G954,G959,G966,G970)</f>
        <v>14625212102</v>
      </c>
      <c r="H949" s="45">
        <v>100</v>
      </c>
      <c r="I949" s="52">
        <f>SUM(I951,I954,I959,I966,I970)</f>
        <v>4011748034</v>
      </c>
      <c r="J949" s="45">
        <v>100</v>
      </c>
      <c r="K949" s="52">
        <f>SUM(K951,K954,K959,K966,K970)</f>
        <v>4647545511</v>
      </c>
      <c r="L949" s="108">
        <f>100/4</f>
        <v>25</v>
      </c>
      <c r="M949" s="52">
        <f>SUM(M951,M954,M959,M966,M970)</f>
        <v>838372771</v>
      </c>
      <c r="N949" s="108">
        <f>100/4</f>
        <v>25</v>
      </c>
      <c r="O949" s="52">
        <f>SUM(O951,O954,O959,O966,O970)</f>
        <v>1057277336</v>
      </c>
      <c r="P949" s="108">
        <f>100/4</f>
        <v>25</v>
      </c>
      <c r="Q949" s="52">
        <f>SUM(Q951,Q954,Q959,Q966,Q970)</f>
        <v>995684809</v>
      </c>
      <c r="R949" s="108">
        <v>25</v>
      </c>
      <c r="S949" s="52">
        <f>SUM(S951,S954,S959,S966,S970)</f>
        <v>1556094431</v>
      </c>
      <c r="T949" s="55">
        <f t="shared" ref="T949:T954" si="194">SUM(L949,N949,P949,R949)</f>
        <v>100</v>
      </c>
      <c r="U949" s="57">
        <f t="shared" ref="U949:U957" si="195">T949/J949*100</f>
        <v>100</v>
      </c>
      <c r="V949" s="58" t="s">
        <v>58</v>
      </c>
      <c r="W949" s="372">
        <f>SUM(M949,O949,Q949,S949)</f>
        <v>4447429347</v>
      </c>
      <c r="X949" s="57">
        <f t="shared" ref="X949:X957" si="196">W949/K949*100</f>
        <v>95.694153752204102</v>
      </c>
      <c r="Y949" s="58" t="s">
        <v>58</v>
      </c>
      <c r="Z949" s="55">
        <f t="shared" ref="Z949:Z1011" si="197">SUM(H949,T949)</f>
        <v>200</v>
      </c>
      <c r="AA949" s="56">
        <f t="shared" ref="AA949:AA1004" si="198">SUM(I949,W949)</f>
        <v>8459177381</v>
      </c>
      <c r="AB949" s="57"/>
      <c r="AC949" s="46" t="s">
        <v>58</v>
      </c>
      <c r="AD949" s="60"/>
      <c r="AE949" s="24" t="s">
        <v>1169</v>
      </c>
      <c r="AH949" s="25"/>
    </row>
    <row r="950" spans="1:34" ht="47.25">
      <c r="A950" s="16"/>
      <c r="B950" s="17"/>
      <c r="C950" s="18"/>
      <c r="D950" s="358" t="s">
        <v>1170</v>
      </c>
      <c r="E950" s="45">
        <f>300/3</f>
        <v>100</v>
      </c>
      <c r="F950" s="46" t="s">
        <v>58</v>
      </c>
      <c r="G950" s="41"/>
      <c r="H950" s="45">
        <v>100</v>
      </c>
      <c r="I950" s="41"/>
      <c r="J950" s="45">
        <v>100</v>
      </c>
      <c r="K950" s="41"/>
      <c r="L950" s="108">
        <f>100/4</f>
        <v>25</v>
      </c>
      <c r="M950" s="41"/>
      <c r="N950" s="108">
        <f>100/4</f>
        <v>25</v>
      </c>
      <c r="O950" s="41"/>
      <c r="P950" s="108">
        <f>100/4</f>
        <v>25</v>
      </c>
      <c r="Q950" s="41"/>
      <c r="R950" s="108">
        <v>25</v>
      </c>
      <c r="S950" s="41"/>
      <c r="T950" s="55">
        <f t="shared" si="194"/>
        <v>100</v>
      </c>
      <c r="U950" s="57">
        <f t="shared" si="195"/>
        <v>100</v>
      </c>
      <c r="V950" s="58" t="s">
        <v>58</v>
      </c>
      <c r="W950" s="373"/>
      <c r="X950" s="60"/>
      <c r="Y950" s="58"/>
      <c r="Z950" s="55">
        <f t="shared" si="197"/>
        <v>200</v>
      </c>
      <c r="AA950" s="94"/>
      <c r="AB950" s="57"/>
      <c r="AC950" s="46"/>
      <c r="AD950" s="239"/>
      <c r="AE950" s="24"/>
      <c r="AH950" s="25"/>
    </row>
    <row r="951" spans="1:34" s="78" customFormat="1" ht="141.75">
      <c r="A951" s="16"/>
      <c r="B951" s="17"/>
      <c r="C951" s="18" t="s">
        <v>309</v>
      </c>
      <c r="D951" s="19" t="s">
        <v>1171</v>
      </c>
      <c r="E951" s="45">
        <v>45</v>
      </c>
      <c r="F951" s="46" t="s">
        <v>55</v>
      </c>
      <c r="G951" s="42">
        <f>SUM(G952:G953)</f>
        <v>21379200</v>
      </c>
      <c r="H951" s="45">
        <v>15</v>
      </c>
      <c r="I951" s="42">
        <f t="shared" ref="I951:Q951" si="199">SUM(I952:I953)</f>
        <v>3570550</v>
      </c>
      <c r="J951" s="45">
        <f t="shared" si="199"/>
        <v>15</v>
      </c>
      <c r="K951" s="42">
        <f>SUM(K952:K953)</f>
        <v>5639550</v>
      </c>
      <c r="L951" s="45">
        <f t="shared" si="199"/>
        <v>8</v>
      </c>
      <c r="M951" s="42">
        <f t="shared" si="199"/>
        <v>438750</v>
      </c>
      <c r="N951" s="45">
        <f t="shared" si="199"/>
        <v>0</v>
      </c>
      <c r="O951" s="42">
        <f t="shared" si="199"/>
        <v>494500</v>
      </c>
      <c r="P951" s="45">
        <f t="shared" si="199"/>
        <v>0</v>
      </c>
      <c r="Q951" s="42">
        <f t="shared" si="199"/>
        <v>1079000</v>
      </c>
      <c r="R951" s="45">
        <v>7</v>
      </c>
      <c r="S951" s="42">
        <f t="shared" ref="S951" si="200">SUM(S952:S953)</f>
        <v>2061400</v>
      </c>
      <c r="T951" s="55">
        <f t="shared" si="194"/>
        <v>15</v>
      </c>
      <c r="U951" s="57">
        <f t="shared" si="195"/>
        <v>100</v>
      </c>
      <c r="V951" s="46" t="s">
        <v>58</v>
      </c>
      <c r="W951" s="56">
        <f t="shared" ref="W951:W957" si="201">SUM(M951,O951,Q951,S951)</f>
        <v>4073650</v>
      </c>
      <c r="X951" s="60">
        <f t="shared" si="196"/>
        <v>72.233600198597401</v>
      </c>
      <c r="Y951" s="46" t="s">
        <v>58</v>
      </c>
      <c r="Z951" s="55">
        <f t="shared" si="197"/>
        <v>30</v>
      </c>
      <c r="AA951" s="59">
        <f t="shared" si="198"/>
        <v>7644200</v>
      </c>
      <c r="AB951" s="57"/>
      <c r="AC951" s="46" t="s">
        <v>58</v>
      </c>
      <c r="AD951" s="57"/>
      <c r="AE951" s="77"/>
      <c r="AH951" s="79"/>
    </row>
    <row r="952" spans="1:34" ht="75">
      <c r="A952" s="16"/>
      <c r="B952" s="17"/>
      <c r="C952" s="29" t="s">
        <v>69</v>
      </c>
      <c r="D952" s="29" t="s">
        <v>211</v>
      </c>
      <c r="E952" s="20">
        <v>30</v>
      </c>
      <c r="F952" s="21" t="s">
        <v>55</v>
      </c>
      <c r="G952" s="50">
        <v>18177000</v>
      </c>
      <c r="H952" s="20">
        <v>10</v>
      </c>
      <c r="I952" s="22">
        <v>2859450</v>
      </c>
      <c r="J952" s="20">
        <v>10</v>
      </c>
      <c r="K952" s="23">
        <v>4601100</v>
      </c>
      <c r="L952" s="20">
        <v>7</v>
      </c>
      <c r="M952" s="23">
        <v>438750</v>
      </c>
      <c r="N952" s="20">
        <v>0</v>
      </c>
      <c r="O952" s="23">
        <v>494500</v>
      </c>
      <c r="P952" s="20">
        <v>0</v>
      </c>
      <c r="Q952" s="23">
        <v>664500</v>
      </c>
      <c r="R952" s="20">
        <v>3</v>
      </c>
      <c r="S952" s="23">
        <v>2061400</v>
      </c>
      <c r="T952" s="54">
        <f t="shared" si="194"/>
        <v>10</v>
      </c>
      <c r="U952" s="53">
        <f t="shared" si="195"/>
        <v>100</v>
      </c>
      <c r="V952" s="35" t="s">
        <v>58</v>
      </c>
      <c r="W952" s="374">
        <f t="shared" si="201"/>
        <v>3659150</v>
      </c>
      <c r="X952" s="53">
        <f t="shared" si="196"/>
        <v>79.527721631783692</v>
      </c>
      <c r="Y952" s="35" t="s">
        <v>58</v>
      </c>
      <c r="Z952" s="54">
        <f t="shared" si="197"/>
        <v>20</v>
      </c>
      <c r="AA952" s="40">
        <f t="shared" si="198"/>
        <v>6518600</v>
      </c>
      <c r="AB952" s="53"/>
      <c r="AC952" s="21" t="s">
        <v>58</v>
      </c>
      <c r="AD952" s="53"/>
      <c r="AE952" s="11"/>
      <c r="AH952" s="25"/>
    </row>
    <row r="953" spans="1:34" ht="90">
      <c r="A953" s="16"/>
      <c r="B953" s="17"/>
      <c r="C953" s="29" t="s">
        <v>70</v>
      </c>
      <c r="D953" s="29" t="s">
        <v>212</v>
      </c>
      <c r="E953" s="20">
        <v>15</v>
      </c>
      <c r="F953" s="21" t="s">
        <v>173</v>
      </c>
      <c r="G953" s="50">
        <v>3202200</v>
      </c>
      <c r="H953" s="20">
        <v>5</v>
      </c>
      <c r="I953" s="22">
        <v>711100</v>
      </c>
      <c r="J953" s="20">
        <v>5</v>
      </c>
      <c r="K953" s="23">
        <v>1038450</v>
      </c>
      <c r="L953" s="20">
        <v>1</v>
      </c>
      <c r="M953" s="23">
        <v>0</v>
      </c>
      <c r="N953" s="20">
        <v>0</v>
      </c>
      <c r="O953" s="23">
        <v>0</v>
      </c>
      <c r="P953" s="20">
        <v>0</v>
      </c>
      <c r="Q953" s="23">
        <v>414500</v>
      </c>
      <c r="R953" s="20">
        <v>4</v>
      </c>
      <c r="S953" s="23">
        <v>0</v>
      </c>
      <c r="T953" s="54">
        <f t="shared" si="194"/>
        <v>5</v>
      </c>
      <c r="U953" s="53">
        <f t="shared" si="195"/>
        <v>100</v>
      </c>
      <c r="V953" s="35" t="s">
        <v>58</v>
      </c>
      <c r="W953" s="374">
        <f t="shared" si="201"/>
        <v>414500</v>
      </c>
      <c r="X953" s="53">
        <f t="shared" si="196"/>
        <v>39.915258317685009</v>
      </c>
      <c r="Y953" s="35" t="s">
        <v>58</v>
      </c>
      <c r="Z953" s="54">
        <f t="shared" si="197"/>
        <v>10</v>
      </c>
      <c r="AA953" s="40">
        <f t="shared" si="198"/>
        <v>1125600</v>
      </c>
      <c r="AB953" s="53"/>
      <c r="AC953" s="21" t="s">
        <v>58</v>
      </c>
      <c r="AD953" s="53"/>
      <c r="AE953" s="11"/>
      <c r="AH953" s="25"/>
    </row>
    <row r="954" spans="1:34" ht="94.5">
      <c r="A954" s="48">
        <v>2</v>
      </c>
      <c r="B954" s="49" t="s">
        <v>30</v>
      </c>
      <c r="C954" s="19" t="s">
        <v>71</v>
      </c>
      <c r="D954" s="19" t="s">
        <v>1172</v>
      </c>
      <c r="E954" s="45">
        <f>14*3</f>
        <v>42</v>
      </c>
      <c r="F954" s="46" t="s">
        <v>55</v>
      </c>
      <c r="G954" s="375">
        <f>SUM(G955:G958)</f>
        <v>10000239500</v>
      </c>
      <c r="H954" s="45">
        <v>14</v>
      </c>
      <c r="I954" s="375">
        <f>SUM(I955:I958)</f>
        <v>2805694438</v>
      </c>
      <c r="J954" s="45">
        <v>14</v>
      </c>
      <c r="K954" s="375">
        <f>SUM(K955:K958)</f>
        <v>3228342727</v>
      </c>
      <c r="L954" s="74">
        <v>3</v>
      </c>
      <c r="M954" s="359">
        <f>SUM(M955:M958)</f>
        <v>690060209</v>
      </c>
      <c r="N954" s="74">
        <v>3</v>
      </c>
      <c r="O954" s="359">
        <f>SUM(O955:O958)</f>
        <v>889302853</v>
      </c>
      <c r="P954" s="74">
        <v>3</v>
      </c>
      <c r="Q954" s="359">
        <f>SUM(Q955:Q958)</f>
        <v>812565551</v>
      </c>
      <c r="R954" s="74">
        <v>5</v>
      </c>
      <c r="S954" s="359">
        <f>SUM(S955:S958)</f>
        <v>735292210</v>
      </c>
      <c r="T954" s="55">
        <f t="shared" si="194"/>
        <v>14</v>
      </c>
      <c r="U954" s="57">
        <f t="shared" si="195"/>
        <v>100</v>
      </c>
      <c r="V954" s="58" t="s">
        <v>58</v>
      </c>
      <c r="W954" s="376">
        <f t="shared" si="201"/>
        <v>3127220823</v>
      </c>
      <c r="X954" s="57">
        <f t="shared" si="196"/>
        <v>96.867683745152746</v>
      </c>
      <c r="Y954" s="58" t="s">
        <v>58</v>
      </c>
      <c r="Z954" s="55">
        <f t="shared" si="197"/>
        <v>28</v>
      </c>
      <c r="AA954" s="59">
        <f t="shared" si="198"/>
        <v>5932915261</v>
      </c>
      <c r="AB954" s="57"/>
      <c r="AC954" s="46" t="s">
        <v>58</v>
      </c>
      <c r="AD954" s="57"/>
      <c r="AE954" s="11"/>
      <c r="AH954" s="25"/>
    </row>
    <row r="955" spans="1:34" ht="90">
      <c r="A955" s="16"/>
      <c r="B955" s="17"/>
      <c r="C955" s="29" t="s">
        <v>1173</v>
      </c>
      <c r="D955" s="26" t="s">
        <v>213</v>
      </c>
      <c r="E955" s="20">
        <v>27</v>
      </c>
      <c r="F955" s="27" t="s">
        <v>57</v>
      </c>
      <c r="G955" s="50">
        <v>9987659600</v>
      </c>
      <c r="H955" s="20">
        <v>25</v>
      </c>
      <c r="I955" s="22">
        <v>2802489838</v>
      </c>
      <c r="J955" s="44">
        <v>27</v>
      </c>
      <c r="K955" s="23">
        <v>3225418377</v>
      </c>
      <c r="L955" s="44">
        <v>27</v>
      </c>
      <c r="M955" s="23">
        <v>689389459</v>
      </c>
      <c r="N955" s="44">
        <v>27</v>
      </c>
      <c r="O955" s="23">
        <v>889302853</v>
      </c>
      <c r="P955" s="44">
        <v>27</v>
      </c>
      <c r="Q955" s="23">
        <v>812249051</v>
      </c>
      <c r="R955" s="44">
        <v>27</v>
      </c>
      <c r="S955" s="23">
        <v>733518060</v>
      </c>
      <c r="T955" s="54">
        <f>AVERAGE(L955,N955,P955,R955)</f>
        <v>27</v>
      </c>
      <c r="U955" s="54">
        <f t="shared" si="195"/>
        <v>100</v>
      </c>
      <c r="V955" s="35" t="s">
        <v>58</v>
      </c>
      <c r="W955" s="374">
        <f t="shared" si="201"/>
        <v>3124459423</v>
      </c>
      <c r="X955" s="53">
        <f t="shared" si="196"/>
        <v>96.8698958646753</v>
      </c>
      <c r="Y955" s="35" t="s">
        <v>58</v>
      </c>
      <c r="Z955" s="54">
        <f t="shared" si="197"/>
        <v>52</v>
      </c>
      <c r="AA955" s="40">
        <f t="shared" si="198"/>
        <v>5926949261</v>
      </c>
      <c r="AB955" s="53"/>
      <c r="AC955" s="21" t="s">
        <v>58</v>
      </c>
      <c r="AD955" s="53"/>
      <c r="AE955" s="30"/>
      <c r="AH955" s="25"/>
    </row>
    <row r="956" spans="1:34" ht="195">
      <c r="A956" s="16"/>
      <c r="B956" s="17"/>
      <c r="C956" s="29" t="s">
        <v>73</v>
      </c>
      <c r="D956" s="29" t="s">
        <v>214</v>
      </c>
      <c r="E956" s="20">
        <v>3</v>
      </c>
      <c r="F956" s="27" t="s">
        <v>173</v>
      </c>
      <c r="G956" s="50">
        <v>4174900</v>
      </c>
      <c r="H956" s="20">
        <v>1</v>
      </c>
      <c r="I956" s="22">
        <v>633300</v>
      </c>
      <c r="J956" s="44">
        <v>1</v>
      </c>
      <c r="K956" s="23">
        <v>1062350</v>
      </c>
      <c r="L956" s="44">
        <v>1</v>
      </c>
      <c r="M956" s="23">
        <v>222500</v>
      </c>
      <c r="N956" s="44">
        <v>0</v>
      </c>
      <c r="O956" s="23">
        <v>0</v>
      </c>
      <c r="P956" s="44">
        <v>0</v>
      </c>
      <c r="Q956" s="23">
        <v>0</v>
      </c>
      <c r="R956" s="44">
        <v>0</v>
      </c>
      <c r="S956" s="23">
        <v>676900</v>
      </c>
      <c r="T956" s="54">
        <f>SUM(L956,N956,P956,R956)</f>
        <v>1</v>
      </c>
      <c r="U956" s="54">
        <f t="shared" si="195"/>
        <v>100</v>
      </c>
      <c r="V956" s="35" t="s">
        <v>58</v>
      </c>
      <c r="W956" s="374">
        <f t="shared" si="201"/>
        <v>899400</v>
      </c>
      <c r="X956" s="53">
        <f t="shared" si="196"/>
        <v>84.661363957264555</v>
      </c>
      <c r="Y956" s="35" t="s">
        <v>58</v>
      </c>
      <c r="Z956" s="54">
        <f t="shared" si="197"/>
        <v>2</v>
      </c>
      <c r="AA956" s="40">
        <f t="shared" si="198"/>
        <v>1532700</v>
      </c>
      <c r="AB956" s="53"/>
      <c r="AC956" s="21" t="s">
        <v>58</v>
      </c>
      <c r="AD956" s="53"/>
      <c r="AE956" s="11"/>
      <c r="AH956" s="25"/>
    </row>
    <row r="957" spans="1:34" ht="210">
      <c r="A957" s="16"/>
      <c r="B957" s="17"/>
      <c r="C957" s="29" t="s">
        <v>1174</v>
      </c>
      <c r="D957" s="29" t="s">
        <v>215</v>
      </c>
      <c r="E957" s="20">
        <v>37</v>
      </c>
      <c r="F957" s="27" t="s">
        <v>173</v>
      </c>
      <c r="G957" s="50">
        <v>6155000</v>
      </c>
      <c r="H957" s="20">
        <v>12</v>
      </c>
      <c r="I957" s="22">
        <v>1499800</v>
      </c>
      <c r="J957" s="20">
        <v>13</v>
      </c>
      <c r="K957" s="23">
        <v>1862000</v>
      </c>
      <c r="L957" s="44">
        <v>3</v>
      </c>
      <c r="M957" s="23">
        <v>448250</v>
      </c>
      <c r="N957" s="44">
        <v>3</v>
      </c>
      <c r="O957" s="23">
        <v>0</v>
      </c>
      <c r="P957" s="44">
        <v>3</v>
      </c>
      <c r="Q957" s="23">
        <v>316500</v>
      </c>
      <c r="R957" s="44">
        <v>4</v>
      </c>
      <c r="S957" s="23">
        <v>1097250</v>
      </c>
      <c r="T957" s="54">
        <f>SUM(L957,N957,P957,R957)</f>
        <v>13</v>
      </c>
      <c r="U957" s="54">
        <f t="shared" si="195"/>
        <v>100</v>
      </c>
      <c r="V957" s="35" t="s">
        <v>58</v>
      </c>
      <c r="W957" s="374">
        <f t="shared" si="201"/>
        <v>1862000</v>
      </c>
      <c r="X957" s="53">
        <f t="shared" si="196"/>
        <v>100</v>
      </c>
      <c r="Y957" s="35" t="s">
        <v>58</v>
      </c>
      <c r="Z957" s="54">
        <f t="shared" si="197"/>
        <v>25</v>
      </c>
      <c r="AA957" s="40">
        <f t="shared" si="198"/>
        <v>3361800</v>
      </c>
      <c r="AB957" s="53"/>
      <c r="AC957" s="21" t="s">
        <v>58</v>
      </c>
      <c r="AD957" s="53"/>
      <c r="AE957" s="11"/>
      <c r="AH957" s="25"/>
    </row>
    <row r="958" spans="1:34" ht="96.75" customHeight="1">
      <c r="A958" s="16"/>
      <c r="B958" s="17"/>
      <c r="C958" s="29" t="s">
        <v>75</v>
      </c>
      <c r="D958" s="29" t="s">
        <v>216</v>
      </c>
      <c r="E958" s="20">
        <v>2</v>
      </c>
      <c r="F958" s="27" t="s">
        <v>55</v>
      </c>
      <c r="G958" s="50">
        <v>2250000</v>
      </c>
      <c r="H958" s="20">
        <v>1</v>
      </c>
      <c r="I958" s="22">
        <v>1071500</v>
      </c>
      <c r="J958" s="44"/>
      <c r="K958" s="23"/>
      <c r="L958" s="44"/>
      <c r="M958" s="23"/>
      <c r="N958" s="44"/>
      <c r="O958" s="23"/>
      <c r="P958" s="44"/>
      <c r="Q958" s="23"/>
      <c r="R958" s="44"/>
      <c r="S958" s="23"/>
      <c r="T958" s="54"/>
      <c r="U958" s="54"/>
      <c r="V958" s="35"/>
      <c r="W958" s="374"/>
      <c r="X958" s="53"/>
      <c r="Y958" s="35"/>
      <c r="Z958" s="54">
        <f t="shared" si="197"/>
        <v>1</v>
      </c>
      <c r="AA958" s="40">
        <f t="shared" si="198"/>
        <v>1071500</v>
      </c>
      <c r="AB958" s="53"/>
      <c r="AC958" s="21" t="s">
        <v>58</v>
      </c>
      <c r="AD958" s="53"/>
      <c r="AE958" s="11"/>
      <c r="AH958" s="25"/>
    </row>
    <row r="959" spans="1:34" ht="97.5" customHeight="1">
      <c r="A959" s="16"/>
      <c r="B959" s="17"/>
      <c r="C959" s="19" t="s">
        <v>76</v>
      </c>
      <c r="D959" s="19" t="s">
        <v>1175</v>
      </c>
      <c r="E959" s="45">
        <v>36</v>
      </c>
      <c r="F959" s="46" t="s">
        <v>1176</v>
      </c>
      <c r="G959" s="42">
        <f>SUM(G960:G965)</f>
        <v>1414259876</v>
      </c>
      <c r="H959" s="45">
        <v>12</v>
      </c>
      <c r="I959" s="42">
        <f>SUM(I960:I965)</f>
        <v>498772902</v>
      </c>
      <c r="J959" s="45">
        <v>12</v>
      </c>
      <c r="K959" s="42">
        <f>SUM(K960:K965)</f>
        <v>614243234</v>
      </c>
      <c r="L959" s="74">
        <v>3</v>
      </c>
      <c r="M959" s="42">
        <f>SUM(M960:M965)</f>
        <v>89954906</v>
      </c>
      <c r="N959" s="74">
        <v>3</v>
      </c>
      <c r="O959" s="42">
        <f>SUM(O960:O965)</f>
        <v>92632200</v>
      </c>
      <c r="P959" s="74">
        <v>3</v>
      </c>
      <c r="Q959" s="42">
        <f>SUM(Q960:Q965)</f>
        <v>57669750</v>
      </c>
      <c r="R959" s="74">
        <v>3</v>
      </c>
      <c r="S959" s="42">
        <f>SUM(S960:S965)</f>
        <v>358819800</v>
      </c>
      <c r="T959" s="55">
        <f t="shared" ref="T959:T995" si="202">SUM(L959,N959,P959,R959)</f>
        <v>12</v>
      </c>
      <c r="U959" s="57">
        <f t="shared" ref="U959:U995" si="203">T959/J959*100</f>
        <v>100</v>
      </c>
      <c r="V959" s="58" t="s">
        <v>58</v>
      </c>
      <c r="W959" s="376">
        <f t="shared" ref="W959:W995" si="204">SUM(M959,O959,Q959,S959)</f>
        <v>599076656</v>
      </c>
      <c r="X959" s="57">
        <f t="shared" ref="X959:X995" si="205">W959/K959*100</f>
        <v>97.530851434661471</v>
      </c>
      <c r="Y959" s="58" t="s">
        <v>58</v>
      </c>
      <c r="Z959" s="55">
        <f t="shared" si="197"/>
        <v>24</v>
      </c>
      <c r="AA959" s="59">
        <f t="shared" si="198"/>
        <v>1097849558</v>
      </c>
      <c r="AB959" s="57"/>
      <c r="AC959" s="46" t="s">
        <v>58</v>
      </c>
      <c r="AD959" s="57"/>
      <c r="AE959" s="11"/>
      <c r="AH959" s="25"/>
    </row>
    <row r="960" spans="1:34" ht="120">
      <c r="A960" s="16"/>
      <c r="B960" s="17"/>
      <c r="C960" s="29" t="s">
        <v>1177</v>
      </c>
      <c r="D960" s="29" t="s">
        <v>343</v>
      </c>
      <c r="E960" s="20">
        <v>36</v>
      </c>
      <c r="F960" s="21" t="s">
        <v>59</v>
      </c>
      <c r="G960" s="50">
        <v>14041168</v>
      </c>
      <c r="H960" s="20">
        <v>12</v>
      </c>
      <c r="I960" s="22">
        <v>3164844</v>
      </c>
      <c r="J960" s="20">
        <v>12</v>
      </c>
      <c r="K960" s="23">
        <v>3245000</v>
      </c>
      <c r="L960" s="44">
        <v>3</v>
      </c>
      <c r="M960" s="23">
        <v>1370000</v>
      </c>
      <c r="N960" s="44">
        <v>3</v>
      </c>
      <c r="O960" s="23">
        <v>1800000</v>
      </c>
      <c r="P960" s="44">
        <v>3</v>
      </c>
      <c r="Q960" s="23">
        <v>0</v>
      </c>
      <c r="R960" s="44">
        <v>3</v>
      </c>
      <c r="S960" s="23">
        <v>0</v>
      </c>
      <c r="T960" s="54">
        <f t="shared" si="202"/>
        <v>12</v>
      </c>
      <c r="U960" s="53">
        <f t="shared" si="203"/>
        <v>100</v>
      </c>
      <c r="V960" s="35" t="s">
        <v>58</v>
      </c>
      <c r="W960" s="374">
        <f t="shared" si="204"/>
        <v>3170000</v>
      </c>
      <c r="X960" s="53">
        <f t="shared" si="205"/>
        <v>97.688751926040069</v>
      </c>
      <c r="Y960" s="35" t="s">
        <v>58</v>
      </c>
      <c r="Z960" s="54">
        <f t="shared" si="197"/>
        <v>24</v>
      </c>
      <c r="AA960" s="40">
        <f t="shared" si="198"/>
        <v>6334844</v>
      </c>
      <c r="AB960" s="53"/>
      <c r="AC960" s="21" t="s">
        <v>58</v>
      </c>
      <c r="AD960" s="53"/>
      <c r="AE960" s="11"/>
      <c r="AH960" s="25"/>
    </row>
    <row r="961" spans="1:34" ht="90">
      <c r="A961" s="16"/>
      <c r="B961" s="17"/>
      <c r="C961" s="29" t="s">
        <v>285</v>
      </c>
      <c r="D961" s="29" t="s">
        <v>217</v>
      </c>
      <c r="E961" s="20">
        <v>36</v>
      </c>
      <c r="F961" s="21" t="s">
        <v>59</v>
      </c>
      <c r="G961" s="23">
        <v>502363308</v>
      </c>
      <c r="H961" s="20">
        <v>12</v>
      </c>
      <c r="I961" s="23">
        <v>290211025</v>
      </c>
      <c r="J961" s="20">
        <v>12</v>
      </c>
      <c r="K961" s="23">
        <v>331524634</v>
      </c>
      <c r="L961" s="44">
        <v>3</v>
      </c>
      <c r="M961" s="23">
        <v>21322000</v>
      </c>
      <c r="N961" s="44">
        <v>3</v>
      </c>
      <c r="O961" s="23">
        <v>38061500</v>
      </c>
      <c r="P961" s="44">
        <v>3</v>
      </c>
      <c r="Q961" s="23">
        <v>19420000</v>
      </c>
      <c r="R961" s="44">
        <v>3</v>
      </c>
      <c r="S961" s="23">
        <v>238831500</v>
      </c>
      <c r="T961" s="54">
        <f t="shared" si="202"/>
        <v>12</v>
      </c>
      <c r="U961" s="53">
        <f t="shared" si="203"/>
        <v>100</v>
      </c>
      <c r="V961" s="35" t="s">
        <v>58</v>
      </c>
      <c r="W961" s="374">
        <f>SUM(M961,O961,Q961,S961)</f>
        <v>317635000</v>
      </c>
      <c r="X961" s="53">
        <f t="shared" si="205"/>
        <v>95.810376492263913</v>
      </c>
      <c r="Y961" s="35" t="s">
        <v>58</v>
      </c>
      <c r="Z961" s="54">
        <f t="shared" si="197"/>
        <v>24</v>
      </c>
      <c r="AA961" s="40">
        <f t="shared" si="198"/>
        <v>607846025</v>
      </c>
      <c r="AB961" s="53"/>
      <c r="AC961" s="21" t="s">
        <v>58</v>
      </c>
      <c r="AD961" s="53"/>
      <c r="AE961" s="11"/>
      <c r="AH961" s="25"/>
    </row>
    <row r="962" spans="1:34" ht="75">
      <c r="A962" s="16"/>
      <c r="B962" s="17"/>
      <c r="C962" s="29" t="s">
        <v>287</v>
      </c>
      <c r="D962" s="29" t="s">
        <v>218</v>
      </c>
      <c r="E962" s="20">
        <v>36</v>
      </c>
      <c r="F962" s="21" t="s">
        <v>59</v>
      </c>
      <c r="G962" s="50">
        <v>148640500</v>
      </c>
      <c r="H962" s="20">
        <v>12</v>
      </c>
      <c r="I962" s="22">
        <v>22849250</v>
      </c>
      <c r="J962" s="20">
        <v>12</v>
      </c>
      <c r="K962" s="23">
        <v>55013250</v>
      </c>
      <c r="L962" s="44">
        <v>3</v>
      </c>
      <c r="M962" s="23">
        <v>6900000</v>
      </c>
      <c r="N962" s="44">
        <v>3</v>
      </c>
      <c r="O962" s="23">
        <v>11195000</v>
      </c>
      <c r="P962" s="44">
        <v>3</v>
      </c>
      <c r="Q962" s="23">
        <v>11195000</v>
      </c>
      <c r="R962" s="44">
        <v>3</v>
      </c>
      <c r="S962" s="23">
        <v>25500000</v>
      </c>
      <c r="T962" s="54">
        <f t="shared" si="202"/>
        <v>12</v>
      </c>
      <c r="U962" s="53">
        <f t="shared" si="203"/>
        <v>100</v>
      </c>
      <c r="V962" s="35" t="s">
        <v>58</v>
      </c>
      <c r="W962" s="374">
        <f t="shared" si="204"/>
        <v>54790000</v>
      </c>
      <c r="X962" s="53">
        <f t="shared" si="205"/>
        <v>99.594188672728848</v>
      </c>
      <c r="Y962" s="35" t="s">
        <v>58</v>
      </c>
      <c r="Z962" s="54">
        <f t="shared" si="197"/>
        <v>24</v>
      </c>
      <c r="AA962" s="40">
        <f t="shared" si="198"/>
        <v>77639250</v>
      </c>
      <c r="AB962" s="53"/>
      <c r="AC962" s="21" t="s">
        <v>58</v>
      </c>
      <c r="AD962" s="53"/>
      <c r="AE962" s="11"/>
      <c r="AH962" s="25"/>
    </row>
    <row r="963" spans="1:34" ht="75.75" customHeight="1">
      <c r="A963" s="16"/>
      <c r="B963" s="17"/>
      <c r="C963" s="29" t="s">
        <v>286</v>
      </c>
      <c r="D963" s="29" t="s">
        <v>219</v>
      </c>
      <c r="E963" s="20">
        <v>36</v>
      </c>
      <c r="F963" s="21" t="s">
        <v>59</v>
      </c>
      <c r="G963" s="50">
        <v>44814900</v>
      </c>
      <c r="H963" s="20">
        <v>12</v>
      </c>
      <c r="I963" s="22">
        <v>13970300</v>
      </c>
      <c r="J963" s="20">
        <v>12</v>
      </c>
      <c r="K963" s="23">
        <v>12060350</v>
      </c>
      <c r="L963" s="44">
        <v>3</v>
      </c>
      <c r="M963" s="23">
        <v>3645600</v>
      </c>
      <c r="N963" s="44">
        <v>3</v>
      </c>
      <c r="O963" s="23">
        <v>5225300</v>
      </c>
      <c r="P963" s="44">
        <v>3</v>
      </c>
      <c r="Q963" s="23">
        <v>3168750</v>
      </c>
      <c r="R963" s="44">
        <v>3</v>
      </c>
      <c r="S963" s="23">
        <v>0</v>
      </c>
      <c r="T963" s="54">
        <f t="shared" si="202"/>
        <v>12</v>
      </c>
      <c r="U963" s="53">
        <f t="shared" si="203"/>
        <v>100</v>
      </c>
      <c r="V963" s="35" t="s">
        <v>58</v>
      </c>
      <c r="W963" s="374">
        <f t="shared" si="204"/>
        <v>12039650</v>
      </c>
      <c r="X963" s="53">
        <f t="shared" si="205"/>
        <v>99.828363190123</v>
      </c>
      <c r="Y963" s="35" t="s">
        <v>58</v>
      </c>
      <c r="Z963" s="54">
        <f t="shared" si="197"/>
        <v>24</v>
      </c>
      <c r="AA963" s="40">
        <f t="shared" si="198"/>
        <v>26009950</v>
      </c>
      <c r="AB963" s="53"/>
      <c r="AC963" s="21" t="s">
        <v>58</v>
      </c>
      <c r="AD963" s="53"/>
      <c r="AE963" s="11"/>
      <c r="AH963" s="25"/>
    </row>
    <row r="964" spans="1:34" ht="90.75" customHeight="1">
      <c r="A964" s="16"/>
      <c r="B964" s="17"/>
      <c r="C964" s="29" t="s">
        <v>1178</v>
      </c>
      <c r="D964" s="360" t="s">
        <v>1179</v>
      </c>
      <c r="E964" s="20">
        <v>36</v>
      </c>
      <c r="F964" s="27" t="s">
        <v>55</v>
      </c>
      <c r="G964" s="50">
        <v>14400000</v>
      </c>
      <c r="H964" s="20">
        <v>12</v>
      </c>
      <c r="I964" s="22">
        <v>2900000</v>
      </c>
      <c r="J964" s="20">
        <v>12</v>
      </c>
      <c r="K964" s="23">
        <v>4400000</v>
      </c>
      <c r="L964" s="44">
        <v>3</v>
      </c>
      <c r="M964" s="23">
        <v>580000</v>
      </c>
      <c r="N964" s="44">
        <v>3</v>
      </c>
      <c r="O964" s="23">
        <v>910000</v>
      </c>
      <c r="P964" s="44">
        <v>3</v>
      </c>
      <c r="Q964" s="23">
        <v>930000</v>
      </c>
      <c r="R964" s="44">
        <v>3</v>
      </c>
      <c r="S964" s="23">
        <v>1320000</v>
      </c>
      <c r="T964" s="54">
        <f t="shared" si="202"/>
        <v>12</v>
      </c>
      <c r="U964" s="53">
        <f t="shared" si="203"/>
        <v>100</v>
      </c>
      <c r="V964" s="35" t="s">
        <v>58</v>
      </c>
      <c r="W964" s="374">
        <f t="shared" si="204"/>
        <v>3740000</v>
      </c>
      <c r="X964" s="53">
        <f t="shared" si="205"/>
        <v>85</v>
      </c>
      <c r="Y964" s="35" t="s">
        <v>58</v>
      </c>
      <c r="Z964" s="54">
        <f t="shared" si="197"/>
        <v>24</v>
      </c>
      <c r="AA964" s="40">
        <f t="shared" si="198"/>
        <v>6640000</v>
      </c>
      <c r="AB964" s="53"/>
      <c r="AC964" s="21" t="s">
        <v>58</v>
      </c>
      <c r="AD964" s="53"/>
      <c r="AE964" s="11"/>
      <c r="AH964" s="25"/>
    </row>
    <row r="965" spans="1:34" ht="82.5" customHeight="1">
      <c r="A965" s="16"/>
      <c r="B965" s="17"/>
      <c r="C965" s="29" t="s">
        <v>77</v>
      </c>
      <c r="D965" s="61" t="s">
        <v>220</v>
      </c>
      <c r="E965" s="20">
        <v>36</v>
      </c>
      <c r="F965" s="27" t="s">
        <v>173</v>
      </c>
      <c r="G965" s="50">
        <v>690000000</v>
      </c>
      <c r="H965" s="20">
        <v>12</v>
      </c>
      <c r="I965" s="22">
        <v>165677483</v>
      </c>
      <c r="J965" s="20">
        <v>12</v>
      </c>
      <c r="K965" s="23">
        <v>208000000</v>
      </c>
      <c r="L965" s="44">
        <v>3</v>
      </c>
      <c r="M965" s="23">
        <v>56137306</v>
      </c>
      <c r="N965" s="44">
        <v>3</v>
      </c>
      <c r="O965" s="23">
        <v>35440400</v>
      </c>
      <c r="P965" s="44">
        <v>3</v>
      </c>
      <c r="Q965" s="23">
        <v>22956000</v>
      </c>
      <c r="R965" s="44">
        <v>3</v>
      </c>
      <c r="S965" s="23">
        <v>93168300</v>
      </c>
      <c r="T965" s="54">
        <f t="shared" si="202"/>
        <v>12</v>
      </c>
      <c r="U965" s="53">
        <f t="shared" si="203"/>
        <v>100</v>
      </c>
      <c r="V965" s="35" t="s">
        <v>58</v>
      </c>
      <c r="W965" s="374">
        <f t="shared" si="204"/>
        <v>207702006</v>
      </c>
      <c r="X965" s="53">
        <f t="shared" si="205"/>
        <v>99.856733653846149</v>
      </c>
      <c r="Y965" s="35" t="s">
        <v>58</v>
      </c>
      <c r="Z965" s="54">
        <f t="shared" si="197"/>
        <v>24</v>
      </c>
      <c r="AA965" s="40">
        <f t="shared" si="198"/>
        <v>373379489</v>
      </c>
      <c r="AB965" s="53"/>
      <c r="AC965" s="21" t="s">
        <v>58</v>
      </c>
      <c r="AD965" s="53"/>
      <c r="AE965" s="11"/>
      <c r="AH965" s="25"/>
    </row>
    <row r="966" spans="1:34" ht="117.75" customHeight="1">
      <c r="A966" s="16"/>
      <c r="B966" s="17"/>
      <c r="C966" s="19" t="s">
        <v>79</v>
      </c>
      <c r="D966" s="19" t="s">
        <v>1180</v>
      </c>
      <c r="E966" s="45">
        <v>36</v>
      </c>
      <c r="F966" s="46" t="s">
        <v>1176</v>
      </c>
      <c r="G966" s="42">
        <f>SUM(G967:G969)</f>
        <v>339593800</v>
      </c>
      <c r="H966" s="45">
        <v>12</v>
      </c>
      <c r="I966" s="42">
        <f>SUM(I967:I969)</f>
        <v>106756979</v>
      </c>
      <c r="J966" s="74">
        <v>12</v>
      </c>
      <c r="K966" s="42">
        <f>SUM(K967:K969)</f>
        <v>194327250</v>
      </c>
      <c r="L966" s="74">
        <v>3</v>
      </c>
      <c r="M966" s="42">
        <f>SUM(M967:M969)</f>
        <v>41058205</v>
      </c>
      <c r="N966" s="74">
        <v>3</v>
      </c>
      <c r="O966" s="42">
        <f>SUM(O967:O969)</f>
        <v>27389065</v>
      </c>
      <c r="P966" s="74">
        <v>3</v>
      </c>
      <c r="Q966" s="42">
        <f>SUM(Q967:Q969)</f>
        <v>58651115</v>
      </c>
      <c r="R966" s="74">
        <v>3</v>
      </c>
      <c r="S966" s="42">
        <f>SUM(S967:S969)</f>
        <v>37991637</v>
      </c>
      <c r="T966" s="55">
        <f t="shared" si="202"/>
        <v>12</v>
      </c>
      <c r="U966" s="57">
        <f t="shared" si="203"/>
        <v>100</v>
      </c>
      <c r="V966" s="58" t="s">
        <v>58</v>
      </c>
      <c r="W966" s="376">
        <f t="shared" si="204"/>
        <v>165090022</v>
      </c>
      <c r="X966" s="57">
        <f t="shared" si="205"/>
        <v>84.95464326284656</v>
      </c>
      <c r="Y966" s="58" t="s">
        <v>58</v>
      </c>
      <c r="Z966" s="55">
        <f t="shared" si="197"/>
        <v>24</v>
      </c>
      <c r="AA966" s="59">
        <f t="shared" si="198"/>
        <v>271847001</v>
      </c>
      <c r="AB966" s="57"/>
      <c r="AC966" s="46" t="s">
        <v>58</v>
      </c>
      <c r="AD966" s="57"/>
      <c r="AE966" s="11"/>
      <c r="AH966" s="25"/>
    </row>
    <row r="967" spans="1:34" ht="50.25" customHeight="1">
      <c r="A967" s="16"/>
      <c r="B967" s="17"/>
      <c r="C967" s="29" t="s">
        <v>86</v>
      </c>
      <c r="D967" s="29" t="s">
        <v>222</v>
      </c>
      <c r="E967" s="20">
        <v>36</v>
      </c>
      <c r="F967" s="21" t="s">
        <v>173</v>
      </c>
      <c r="G967" s="50">
        <v>11100000</v>
      </c>
      <c r="H967" s="20">
        <v>12</v>
      </c>
      <c r="I967" s="22">
        <v>2190000</v>
      </c>
      <c r="J967" s="44">
        <v>12</v>
      </c>
      <c r="K967" s="23">
        <v>2960000</v>
      </c>
      <c r="L967" s="44">
        <v>3</v>
      </c>
      <c r="M967" s="23">
        <v>1000000</v>
      </c>
      <c r="N967" s="44">
        <v>3</v>
      </c>
      <c r="O967" s="23">
        <v>1960000</v>
      </c>
      <c r="P967" s="44">
        <v>3</v>
      </c>
      <c r="Q967" s="23">
        <v>0</v>
      </c>
      <c r="R967" s="44">
        <v>3</v>
      </c>
      <c r="S967" s="23">
        <v>0</v>
      </c>
      <c r="T967" s="54">
        <f t="shared" si="202"/>
        <v>12</v>
      </c>
      <c r="U967" s="53">
        <f t="shared" si="203"/>
        <v>100</v>
      </c>
      <c r="V967" s="35" t="s">
        <v>58</v>
      </c>
      <c r="W967" s="374">
        <f t="shared" si="204"/>
        <v>2960000</v>
      </c>
      <c r="X967" s="53">
        <f t="shared" si="205"/>
        <v>100</v>
      </c>
      <c r="Y967" s="35" t="s">
        <v>58</v>
      </c>
      <c r="Z967" s="54">
        <f t="shared" si="197"/>
        <v>24</v>
      </c>
      <c r="AA967" s="40">
        <f t="shared" si="198"/>
        <v>5150000</v>
      </c>
      <c r="AB967" s="53"/>
      <c r="AC967" s="21" t="s">
        <v>58</v>
      </c>
      <c r="AD967" s="53"/>
      <c r="AE967" s="11"/>
      <c r="AH967" s="25"/>
    </row>
    <row r="968" spans="1:34" ht="94.5" customHeight="1">
      <c r="A968" s="16"/>
      <c r="B968" s="17"/>
      <c r="C968" s="29" t="s">
        <v>357</v>
      </c>
      <c r="D968" s="29" t="s">
        <v>223</v>
      </c>
      <c r="E968" s="20">
        <v>36</v>
      </c>
      <c r="F968" s="21" t="s">
        <v>173</v>
      </c>
      <c r="G968" s="50">
        <v>119277800</v>
      </c>
      <c r="H968" s="20">
        <v>12</v>
      </c>
      <c r="I968" s="22">
        <v>63182379</v>
      </c>
      <c r="J968" s="44">
        <v>12</v>
      </c>
      <c r="K968" s="23">
        <v>108166250</v>
      </c>
      <c r="L968" s="44">
        <v>3</v>
      </c>
      <c r="M968" s="23">
        <v>13864355</v>
      </c>
      <c r="N968" s="44">
        <v>3</v>
      </c>
      <c r="O968" s="23">
        <v>11931865</v>
      </c>
      <c r="P968" s="44">
        <v>3</v>
      </c>
      <c r="Q968" s="23">
        <v>38203915</v>
      </c>
      <c r="R968" s="44">
        <v>3</v>
      </c>
      <c r="S968" s="23">
        <v>17294437</v>
      </c>
      <c r="T968" s="54">
        <f t="shared" si="202"/>
        <v>12</v>
      </c>
      <c r="U968" s="53">
        <f t="shared" si="203"/>
        <v>100</v>
      </c>
      <c r="V968" s="35" t="s">
        <v>58</v>
      </c>
      <c r="W968" s="374">
        <f t="shared" si="204"/>
        <v>81294572</v>
      </c>
      <c r="X968" s="53">
        <f t="shared" si="205"/>
        <v>75.157058694370932</v>
      </c>
      <c r="Y968" s="35" t="s">
        <v>58</v>
      </c>
      <c r="Z968" s="54">
        <f t="shared" si="197"/>
        <v>24</v>
      </c>
      <c r="AA968" s="40">
        <f t="shared" si="198"/>
        <v>144476951</v>
      </c>
      <c r="AB968" s="53"/>
      <c r="AC968" s="21" t="s">
        <v>58</v>
      </c>
      <c r="AD968" s="53"/>
      <c r="AE968" s="11"/>
      <c r="AH968" s="25"/>
    </row>
    <row r="969" spans="1:34" ht="81.75" customHeight="1">
      <c r="A969" s="16"/>
      <c r="B969" s="17"/>
      <c r="C969" s="29" t="s">
        <v>80</v>
      </c>
      <c r="D969" s="29" t="s">
        <v>224</v>
      </c>
      <c r="E969" s="20">
        <v>36</v>
      </c>
      <c r="F969" s="21" t="s">
        <v>173</v>
      </c>
      <c r="G969" s="50">
        <v>209216000</v>
      </c>
      <c r="H969" s="20">
        <v>12</v>
      </c>
      <c r="I969" s="22">
        <v>41384600</v>
      </c>
      <c r="J969" s="44">
        <v>12</v>
      </c>
      <c r="K969" s="23">
        <v>83201000</v>
      </c>
      <c r="L969" s="44">
        <v>3</v>
      </c>
      <c r="M969" s="23">
        <v>26193850</v>
      </c>
      <c r="N969" s="44">
        <v>3</v>
      </c>
      <c r="O969" s="23">
        <v>13497200</v>
      </c>
      <c r="P969" s="44">
        <v>3</v>
      </c>
      <c r="Q969" s="23">
        <v>20447200</v>
      </c>
      <c r="R969" s="44">
        <v>3</v>
      </c>
      <c r="S969" s="23">
        <v>20697200</v>
      </c>
      <c r="T969" s="54">
        <f t="shared" si="202"/>
        <v>12</v>
      </c>
      <c r="U969" s="53">
        <f t="shared" si="203"/>
        <v>100</v>
      </c>
      <c r="V969" s="35" t="s">
        <v>58</v>
      </c>
      <c r="W969" s="374">
        <f t="shared" si="204"/>
        <v>80835450</v>
      </c>
      <c r="X969" s="53">
        <f t="shared" si="205"/>
        <v>97.156825038160605</v>
      </c>
      <c r="Y969" s="35" t="s">
        <v>58</v>
      </c>
      <c r="Z969" s="54">
        <f t="shared" si="197"/>
        <v>24</v>
      </c>
      <c r="AA969" s="40">
        <f t="shared" si="198"/>
        <v>122220050</v>
      </c>
      <c r="AB969" s="53"/>
      <c r="AC969" s="21" t="s">
        <v>58</v>
      </c>
      <c r="AD969" s="53"/>
      <c r="AE969" s="11"/>
      <c r="AH969" s="25"/>
    </row>
    <row r="970" spans="1:34" ht="157.5">
      <c r="A970" s="16"/>
      <c r="B970" s="17"/>
      <c r="C970" s="19" t="s">
        <v>1181</v>
      </c>
      <c r="D970" s="19" t="s">
        <v>1182</v>
      </c>
      <c r="E970" s="45">
        <v>36</v>
      </c>
      <c r="F970" s="46" t="s">
        <v>1176</v>
      </c>
      <c r="G970" s="42">
        <f>SUM(G971:G973)</f>
        <v>2849739726</v>
      </c>
      <c r="H970" s="45">
        <v>12</v>
      </c>
      <c r="I970" s="42">
        <f>SUM(I971:I973)</f>
        <v>596953165</v>
      </c>
      <c r="J970" s="74">
        <v>12</v>
      </c>
      <c r="K970" s="42">
        <f>SUM(K971:K973)</f>
        <v>604992750</v>
      </c>
      <c r="L970" s="74">
        <v>3</v>
      </c>
      <c r="M970" s="42">
        <f>SUM(M971:M973)</f>
        <v>16860701</v>
      </c>
      <c r="N970" s="74">
        <v>3</v>
      </c>
      <c r="O970" s="42">
        <f>SUM(O971:O973)</f>
        <v>47458718</v>
      </c>
      <c r="P970" s="74">
        <v>3</v>
      </c>
      <c r="Q970" s="42">
        <f>SUM(Q971:Q973)</f>
        <v>65719393</v>
      </c>
      <c r="R970" s="74">
        <v>3</v>
      </c>
      <c r="S970" s="42">
        <f>SUM(S971:S973)</f>
        <v>421929384</v>
      </c>
      <c r="T970" s="55">
        <f t="shared" si="202"/>
        <v>12</v>
      </c>
      <c r="U970" s="57">
        <f t="shared" si="203"/>
        <v>100</v>
      </c>
      <c r="V970" s="58" t="s">
        <v>58</v>
      </c>
      <c r="W970" s="376">
        <f t="shared" si="204"/>
        <v>551968196</v>
      </c>
      <c r="X970" s="57">
        <f t="shared" si="205"/>
        <v>91.235505880029137</v>
      </c>
      <c r="Y970" s="58" t="s">
        <v>58</v>
      </c>
      <c r="Z970" s="55">
        <f t="shared" si="197"/>
        <v>24</v>
      </c>
      <c r="AA970" s="59">
        <f t="shared" si="198"/>
        <v>1148921361</v>
      </c>
      <c r="AB970" s="57"/>
      <c r="AC970" s="46" t="s">
        <v>58</v>
      </c>
      <c r="AD970" s="57"/>
      <c r="AE970" s="11"/>
      <c r="AH970" s="25"/>
    </row>
    <row r="971" spans="1:34" ht="137.25" customHeight="1">
      <c r="A971" s="16"/>
      <c r="B971" s="17"/>
      <c r="C971" s="29" t="s">
        <v>82</v>
      </c>
      <c r="D971" s="29" t="s">
        <v>226</v>
      </c>
      <c r="E971" s="20">
        <f>34*3</f>
        <v>102</v>
      </c>
      <c r="F971" s="21" t="s">
        <v>138</v>
      </c>
      <c r="G971" s="50">
        <v>628500000</v>
      </c>
      <c r="H971" s="20">
        <v>34</v>
      </c>
      <c r="I971" s="22">
        <v>155231633</v>
      </c>
      <c r="J971" s="20">
        <v>34</v>
      </c>
      <c r="K971" s="377">
        <v>246685000</v>
      </c>
      <c r="L971" s="104">
        <v>5</v>
      </c>
      <c r="M971" s="23">
        <v>11740701</v>
      </c>
      <c r="N971" s="104">
        <v>10</v>
      </c>
      <c r="O971" s="23">
        <v>37618718</v>
      </c>
      <c r="P971" s="104">
        <v>10</v>
      </c>
      <c r="Q971" s="23">
        <v>44104393</v>
      </c>
      <c r="R971" s="104">
        <v>9</v>
      </c>
      <c r="S971" s="23">
        <v>110165532</v>
      </c>
      <c r="T971" s="54">
        <f t="shared" si="202"/>
        <v>34</v>
      </c>
      <c r="U971" s="53">
        <f t="shared" si="203"/>
        <v>100</v>
      </c>
      <c r="V971" s="35" t="s">
        <v>58</v>
      </c>
      <c r="W971" s="374">
        <f t="shared" si="204"/>
        <v>203629344</v>
      </c>
      <c r="X971" s="53">
        <f t="shared" si="205"/>
        <v>82.546301558667935</v>
      </c>
      <c r="Y971" s="35" t="s">
        <v>58</v>
      </c>
      <c r="Z971" s="54">
        <f t="shared" si="197"/>
        <v>68</v>
      </c>
      <c r="AA971" s="40">
        <f t="shared" si="198"/>
        <v>358860977</v>
      </c>
      <c r="AB971" s="53"/>
      <c r="AC971" s="21" t="s">
        <v>58</v>
      </c>
      <c r="AD971" s="53"/>
      <c r="AE971" s="11"/>
      <c r="AH971" s="25"/>
    </row>
    <row r="972" spans="1:34" ht="105">
      <c r="A972" s="16"/>
      <c r="B972" s="17"/>
      <c r="C972" s="29" t="s">
        <v>1183</v>
      </c>
      <c r="D972" s="29" t="s">
        <v>227</v>
      </c>
      <c r="E972" s="20">
        <f>2+1+1</f>
        <v>4</v>
      </c>
      <c r="F972" s="21" t="s">
        <v>138</v>
      </c>
      <c r="G972" s="50">
        <v>2144374726</v>
      </c>
      <c r="H972" s="20">
        <v>2</v>
      </c>
      <c r="I972" s="22">
        <v>421971532</v>
      </c>
      <c r="J972" s="20">
        <v>1</v>
      </c>
      <c r="K972" s="23">
        <v>330574000</v>
      </c>
      <c r="L972" s="104">
        <v>0</v>
      </c>
      <c r="M972" s="23">
        <v>0</v>
      </c>
      <c r="N972" s="104">
        <v>0</v>
      </c>
      <c r="O972" s="23">
        <v>0</v>
      </c>
      <c r="P972" s="104">
        <v>0</v>
      </c>
      <c r="Q972" s="23">
        <v>13815000</v>
      </c>
      <c r="R972" s="104">
        <v>1</v>
      </c>
      <c r="S972" s="23">
        <v>307113852</v>
      </c>
      <c r="T972" s="54">
        <f t="shared" si="202"/>
        <v>1</v>
      </c>
      <c r="U972" s="53">
        <f t="shared" si="203"/>
        <v>100</v>
      </c>
      <c r="V972" s="35" t="s">
        <v>58</v>
      </c>
      <c r="W972" s="374">
        <f t="shared" si="204"/>
        <v>320928852</v>
      </c>
      <c r="X972" s="53">
        <f t="shared" si="205"/>
        <v>97.082302903434638</v>
      </c>
      <c r="Y972" s="35" t="s">
        <v>58</v>
      </c>
      <c r="Z972" s="54">
        <f t="shared" si="197"/>
        <v>3</v>
      </c>
      <c r="AA972" s="40">
        <f t="shared" si="198"/>
        <v>742900384</v>
      </c>
      <c r="AB972" s="53"/>
      <c r="AC972" s="21" t="s">
        <v>58</v>
      </c>
      <c r="AD972" s="53"/>
      <c r="AE972" s="11"/>
      <c r="AH972" s="25"/>
    </row>
    <row r="973" spans="1:34" ht="135">
      <c r="A973" s="16"/>
      <c r="B973" s="17"/>
      <c r="C973" s="29" t="s">
        <v>1184</v>
      </c>
      <c r="D973" s="360" t="s">
        <v>228</v>
      </c>
      <c r="E973" s="20">
        <f>56*3</f>
        <v>168</v>
      </c>
      <c r="F973" s="21" t="s">
        <v>138</v>
      </c>
      <c r="G973" s="50">
        <v>76865000</v>
      </c>
      <c r="H973" s="20">
        <v>56</v>
      </c>
      <c r="I973" s="22">
        <v>19750000</v>
      </c>
      <c r="J973" s="20">
        <v>56</v>
      </c>
      <c r="K973" s="23">
        <v>27733750</v>
      </c>
      <c r="L973" s="104">
        <v>13</v>
      </c>
      <c r="M973" s="23">
        <v>5120000</v>
      </c>
      <c r="N973" s="104">
        <v>20</v>
      </c>
      <c r="O973" s="23">
        <v>9840000</v>
      </c>
      <c r="P973" s="104">
        <v>15</v>
      </c>
      <c r="Q973" s="23">
        <v>7800000</v>
      </c>
      <c r="R973" s="104">
        <v>8</v>
      </c>
      <c r="S973" s="23">
        <v>4650000</v>
      </c>
      <c r="T973" s="54">
        <f t="shared" si="202"/>
        <v>56</v>
      </c>
      <c r="U973" s="53">
        <f t="shared" si="203"/>
        <v>100</v>
      </c>
      <c r="V973" s="35" t="s">
        <v>58</v>
      </c>
      <c r="W973" s="374">
        <f t="shared" si="204"/>
        <v>27410000</v>
      </c>
      <c r="X973" s="53">
        <f t="shared" si="205"/>
        <v>98.832649749853516</v>
      </c>
      <c r="Y973" s="35" t="s">
        <v>58</v>
      </c>
      <c r="Z973" s="54">
        <f t="shared" si="197"/>
        <v>112</v>
      </c>
      <c r="AA973" s="40">
        <f t="shared" si="198"/>
        <v>47160000</v>
      </c>
      <c r="AB973" s="53"/>
      <c r="AC973" s="21" t="s">
        <v>58</v>
      </c>
      <c r="AD973" s="53"/>
      <c r="AE973" s="11"/>
      <c r="AH973" s="25"/>
    </row>
    <row r="974" spans="1:34" ht="117.75" customHeight="1">
      <c r="A974" s="48">
        <v>13</v>
      </c>
      <c r="B974" s="49" t="s">
        <v>1185</v>
      </c>
      <c r="C974" s="19" t="s">
        <v>1186</v>
      </c>
      <c r="D974" s="19" t="s">
        <v>1187</v>
      </c>
      <c r="E974" s="107">
        <f>302/478*100</f>
        <v>63.179916317991633</v>
      </c>
      <c r="F974" s="46" t="s">
        <v>58</v>
      </c>
      <c r="G974" s="42">
        <f>SUM(G975)</f>
        <v>14543430350</v>
      </c>
      <c r="H974" s="107">
        <f>155/478*100</f>
        <v>32.42677824267782</v>
      </c>
      <c r="I974" s="42">
        <f>SUM(I975)</f>
        <v>4445586784</v>
      </c>
      <c r="J974" s="107">
        <f>293/478*100</f>
        <v>61.297071129707113</v>
      </c>
      <c r="K974" s="42">
        <f>SUM(K975)</f>
        <v>4925289150</v>
      </c>
      <c r="L974" s="107">
        <f>147/394*100</f>
        <v>37.309644670050766</v>
      </c>
      <c r="M974" s="42">
        <f>SUM(M975)</f>
        <v>1458226242</v>
      </c>
      <c r="N974" s="107"/>
      <c r="O974" s="42">
        <f>SUM(O975)</f>
        <v>797817742</v>
      </c>
      <c r="P974" s="107"/>
      <c r="Q974" s="42">
        <f>SUM(Q975)</f>
        <v>1148986542</v>
      </c>
      <c r="R974" s="107">
        <f>155/394*100</f>
        <v>39.340101522842644</v>
      </c>
      <c r="S974" s="42">
        <f>SUM(S975)</f>
        <v>1387670637</v>
      </c>
      <c r="T974" s="57">
        <f>SUM(L974,N974,P974,R974)</f>
        <v>76.649746192893417</v>
      </c>
      <c r="U974" s="57">
        <f t="shared" si="203"/>
        <v>125.04634361844045</v>
      </c>
      <c r="V974" s="58" t="s">
        <v>58</v>
      </c>
      <c r="W974" s="376">
        <f t="shared" si="204"/>
        <v>4792701163</v>
      </c>
      <c r="X974" s="57">
        <f t="shared" si="205"/>
        <v>97.308016180126202</v>
      </c>
      <c r="Y974" s="58" t="s">
        <v>58</v>
      </c>
      <c r="Z974" s="57">
        <f>SUM(H974,T974)</f>
        <v>109.07652443557123</v>
      </c>
      <c r="AA974" s="59">
        <f t="shared" si="198"/>
        <v>9238287947</v>
      </c>
      <c r="AB974" s="57"/>
      <c r="AC974" s="46" t="s">
        <v>58</v>
      </c>
      <c r="AD974" s="57"/>
      <c r="AE974" s="11"/>
      <c r="AH974" s="25"/>
    </row>
    <row r="975" spans="1:34" ht="132" customHeight="1">
      <c r="A975" s="16"/>
      <c r="B975" s="17"/>
      <c r="C975" s="19" t="s">
        <v>1188</v>
      </c>
      <c r="D975" s="19" t="s">
        <v>1189</v>
      </c>
      <c r="E975" s="107">
        <f>352/478*100</f>
        <v>73.640167364016733</v>
      </c>
      <c r="F975" s="46" t="s">
        <v>58</v>
      </c>
      <c r="G975" s="42">
        <f>SUM(G976:G980)</f>
        <v>14543430350</v>
      </c>
      <c r="H975" s="107">
        <f>319/478*100</f>
        <v>66.73640167364016</v>
      </c>
      <c r="I975" s="42">
        <f>SUM(I976:I980)</f>
        <v>4445586784</v>
      </c>
      <c r="J975" s="107">
        <f>347/478*100</f>
        <v>72.594142259414227</v>
      </c>
      <c r="K975" s="42">
        <f>SUM(K976:K980)</f>
        <v>4925289150</v>
      </c>
      <c r="L975" s="107">
        <f>302/394*100</f>
        <v>76.649746192893403</v>
      </c>
      <c r="M975" s="42">
        <f>SUM(M976:M980)</f>
        <v>1458226242</v>
      </c>
      <c r="N975" s="107">
        <v>0</v>
      </c>
      <c r="O975" s="42">
        <f>SUM(O976:O980)</f>
        <v>797817742</v>
      </c>
      <c r="P975" s="107">
        <v>0</v>
      </c>
      <c r="Q975" s="42">
        <f>SUM(Q976:Q980)</f>
        <v>1148986542</v>
      </c>
      <c r="R975" s="107">
        <v>0</v>
      </c>
      <c r="S975" s="42">
        <f>SUM(S976:S980)</f>
        <v>1387670637</v>
      </c>
      <c r="T975" s="57">
        <f t="shared" si="202"/>
        <v>76.649746192893403</v>
      </c>
      <c r="U975" s="57">
        <f t="shared" si="203"/>
        <v>105.5866820755131</v>
      </c>
      <c r="V975" s="58" t="s">
        <v>58</v>
      </c>
      <c r="W975" s="376">
        <f t="shared" si="204"/>
        <v>4792701163</v>
      </c>
      <c r="X975" s="57">
        <f t="shared" si="205"/>
        <v>97.308016180126202</v>
      </c>
      <c r="Y975" s="58" t="s">
        <v>58</v>
      </c>
      <c r="Z975" s="55">
        <f t="shared" si="197"/>
        <v>143.38614786653358</v>
      </c>
      <c r="AA975" s="59">
        <f t="shared" si="198"/>
        <v>9238287947</v>
      </c>
      <c r="AB975" s="57"/>
      <c r="AC975" s="46" t="s">
        <v>58</v>
      </c>
      <c r="AD975" s="57"/>
      <c r="AE975" s="11"/>
      <c r="AH975" s="25"/>
    </row>
    <row r="976" spans="1:34" ht="120" customHeight="1">
      <c r="A976" s="16"/>
      <c r="B976" s="17"/>
      <c r="C976" s="29" t="s">
        <v>1190</v>
      </c>
      <c r="D976" s="29" t="s">
        <v>1191</v>
      </c>
      <c r="E976" s="20">
        <v>35</v>
      </c>
      <c r="F976" s="21" t="s">
        <v>57</v>
      </c>
      <c r="G976" s="50">
        <v>339949800</v>
      </c>
      <c r="H976" s="44">
        <v>25</v>
      </c>
      <c r="I976" s="22">
        <v>99750000</v>
      </c>
      <c r="J976" s="20">
        <v>25</v>
      </c>
      <c r="K976" s="23">
        <v>99200000</v>
      </c>
      <c r="L976" s="20">
        <v>25</v>
      </c>
      <c r="M976" s="23">
        <v>30000000</v>
      </c>
      <c r="N976" s="20">
        <v>0</v>
      </c>
      <c r="O976" s="23">
        <v>17187500</v>
      </c>
      <c r="P976" s="20">
        <v>0</v>
      </c>
      <c r="Q976" s="23">
        <v>30000000</v>
      </c>
      <c r="R976" s="20">
        <v>0</v>
      </c>
      <c r="S976" s="23">
        <v>22012500</v>
      </c>
      <c r="T976" s="54">
        <f t="shared" si="202"/>
        <v>25</v>
      </c>
      <c r="U976" s="54">
        <f t="shared" si="203"/>
        <v>100</v>
      </c>
      <c r="V976" s="35" t="s">
        <v>58</v>
      </c>
      <c r="W976" s="374">
        <f t="shared" si="204"/>
        <v>99200000</v>
      </c>
      <c r="X976" s="53">
        <f t="shared" si="205"/>
        <v>100</v>
      </c>
      <c r="Y976" s="35" t="s">
        <v>58</v>
      </c>
      <c r="Z976" s="54">
        <f t="shared" si="197"/>
        <v>50</v>
      </c>
      <c r="AA976" s="40">
        <f t="shared" si="198"/>
        <v>198950000</v>
      </c>
      <c r="AB976" s="53"/>
      <c r="AC976" s="21" t="s">
        <v>58</v>
      </c>
      <c r="AD976" s="53"/>
      <c r="AE976" s="11"/>
      <c r="AH976" s="25"/>
    </row>
    <row r="977" spans="1:34" ht="195">
      <c r="A977" s="16"/>
      <c r="B977" s="17"/>
      <c r="C977" s="29" t="s">
        <v>1192</v>
      </c>
      <c r="D977" s="361" t="s">
        <v>1193</v>
      </c>
      <c r="E977" s="20">
        <v>11</v>
      </c>
      <c r="F977" s="21" t="s">
        <v>57</v>
      </c>
      <c r="G977" s="50">
        <v>562757100</v>
      </c>
      <c r="H977" s="44">
        <v>11</v>
      </c>
      <c r="I977" s="22">
        <v>177527300</v>
      </c>
      <c r="J977" s="20">
        <v>11</v>
      </c>
      <c r="K977" s="23">
        <v>174387500</v>
      </c>
      <c r="L977" s="20">
        <v>11</v>
      </c>
      <c r="M977" s="23">
        <v>57200000</v>
      </c>
      <c r="N977" s="20">
        <v>0</v>
      </c>
      <c r="O977" s="23">
        <v>29712500</v>
      </c>
      <c r="P977" s="20">
        <v>0</v>
      </c>
      <c r="Q977" s="23">
        <v>44012500</v>
      </c>
      <c r="R977" s="20">
        <v>0</v>
      </c>
      <c r="S977" s="23">
        <v>42900000</v>
      </c>
      <c r="T977" s="54">
        <f t="shared" si="202"/>
        <v>11</v>
      </c>
      <c r="U977" s="54">
        <f t="shared" si="203"/>
        <v>100</v>
      </c>
      <c r="V977" s="35" t="s">
        <v>58</v>
      </c>
      <c r="W977" s="374">
        <f t="shared" si="204"/>
        <v>173825000</v>
      </c>
      <c r="X977" s="53">
        <f t="shared" si="205"/>
        <v>99.677442477241769</v>
      </c>
      <c r="Y977" s="35" t="s">
        <v>58</v>
      </c>
      <c r="Z977" s="54">
        <f t="shared" si="197"/>
        <v>22</v>
      </c>
      <c r="AA977" s="40">
        <f t="shared" si="198"/>
        <v>351352300</v>
      </c>
      <c r="AB977" s="53"/>
      <c r="AC977" s="21" t="s">
        <v>58</v>
      </c>
      <c r="AD977" s="53"/>
      <c r="AE977" s="11"/>
      <c r="AH977" s="25"/>
    </row>
    <row r="978" spans="1:34" ht="165">
      <c r="A978" s="16"/>
      <c r="B978" s="17"/>
      <c r="C978" s="29" t="s">
        <v>1194</v>
      </c>
      <c r="D978" s="361" t="s">
        <v>1195</v>
      </c>
      <c r="E978" s="20">
        <v>42</v>
      </c>
      <c r="F978" s="21" t="s">
        <v>57</v>
      </c>
      <c r="G978" s="50"/>
      <c r="H978" s="44"/>
      <c r="I978" s="22"/>
      <c r="J978" s="20">
        <v>42</v>
      </c>
      <c r="K978" s="23">
        <v>11376000</v>
      </c>
      <c r="L978" s="20">
        <v>42</v>
      </c>
      <c r="M978" s="23">
        <v>0</v>
      </c>
      <c r="N978" s="20">
        <v>0</v>
      </c>
      <c r="O978" s="23">
        <v>0</v>
      </c>
      <c r="P978" s="20">
        <v>0</v>
      </c>
      <c r="Q978" s="23">
        <v>10476000</v>
      </c>
      <c r="R978" s="20">
        <v>0</v>
      </c>
      <c r="S978" s="23">
        <v>0</v>
      </c>
      <c r="T978" s="54">
        <f t="shared" si="202"/>
        <v>42</v>
      </c>
      <c r="U978" s="54">
        <f t="shared" si="203"/>
        <v>100</v>
      </c>
      <c r="V978" s="35" t="s">
        <v>58</v>
      </c>
      <c r="W978" s="374">
        <f t="shared" si="204"/>
        <v>10476000</v>
      </c>
      <c r="X978" s="53">
        <f t="shared" si="205"/>
        <v>92.088607594936718</v>
      </c>
      <c r="Y978" s="35" t="s">
        <v>58</v>
      </c>
      <c r="Z978" s="54">
        <f t="shared" si="197"/>
        <v>42</v>
      </c>
      <c r="AA978" s="40">
        <f t="shared" si="198"/>
        <v>10476000</v>
      </c>
      <c r="AB978" s="53"/>
      <c r="AC978" s="21" t="s">
        <v>58</v>
      </c>
      <c r="AD978" s="53"/>
      <c r="AE978" s="11"/>
      <c r="AH978" s="25"/>
    </row>
    <row r="979" spans="1:34" ht="165">
      <c r="A979" s="16"/>
      <c r="B979" s="17"/>
      <c r="C979" s="29" t="s">
        <v>1196</v>
      </c>
      <c r="D979" s="29" t="s">
        <v>1197</v>
      </c>
      <c r="E979" s="20">
        <f>17+46+44</f>
        <v>107</v>
      </c>
      <c r="F979" s="47" t="s">
        <v>1091</v>
      </c>
      <c r="G979" s="362">
        <v>13585068500</v>
      </c>
      <c r="H979" s="20">
        <v>17</v>
      </c>
      <c r="I979" s="22">
        <v>4157509484</v>
      </c>
      <c r="J979" s="20">
        <v>46</v>
      </c>
      <c r="K979" s="23">
        <v>4626274100</v>
      </c>
      <c r="L979" s="20">
        <v>2</v>
      </c>
      <c r="M979" s="23">
        <f>1329750000+41276242</f>
        <v>1371026242</v>
      </c>
      <c r="N979" s="20">
        <v>17</v>
      </c>
      <c r="O979" s="23">
        <v>750917742</v>
      </c>
      <c r="P979" s="20">
        <v>18</v>
      </c>
      <c r="Q979" s="378">
        <v>1064038042</v>
      </c>
      <c r="R979" s="20">
        <v>9</v>
      </c>
      <c r="S979" s="23">
        <v>1322758137</v>
      </c>
      <c r="T979" s="54">
        <f t="shared" si="202"/>
        <v>46</v>
      </c>
      <c r="U979" s="53">
        <f t="shared" si="203"/>
        <v>100</v>
      </c>
      <c r="V979" s="35" t="s">
        <v>58</v>
      </c>
      <c r="W979" s="374">
        <f t="shared" si="204"/>
        <v>4508740163</v>
      </c>
      <c r="X979" s="53">
        <f t="shared" si="205"/>
        <v>97.45942556667795</v>
      </c>
      <c r="Y979" s="35" t="s">
        <v>58</v>
      </c>
      <c r="Z979" s="54">
        <f t="shared" si="197"/>
        <v>63</v>
      </c>
      <c r="AA979" s="40">
        <f t="shared" si="198"/>
        <v>8666249647</v>
      </c>
      <c r="AB979" s="53"/>
      <c r="AC979" s="21" t="s">
        <v>58</v>
      </c>
      <c r="AD979" s="53"/>
      <c r="AE979" s="11"/>
      <c r="AH979" s="25"/>
    </row>
    <row r="980" spans="1:34" ht="240">
      <c r="A980" s="16"/>
      <c r="B980" s="17"/>
      <c r="C980" s="29" t="s">
        <v>1198</v>
      </c>
      <c r="D980" s="29" t="s">
        <v>1199</v>
      </c>
      <c r="E980" s="20">
        <f>J980*3</f>
        <v>3</v>
      </c>
      <c r="F980" s="47" t="s">
        <v>1200</v>
      </c>
      <c r="G980" s="50">
        <v>55654950</v>
      </c>
      <c r="H980" s="44">
        <v>1</v>
      </c>
      <c r="I980" s="22">
        <v>10800000</v>
      </c>
      <c r="J980" s="20">
        <v>1</v>
      </c>
      <c r="K980" s="23">
        <v>14051550</v>
      </c>
      <c r="L980" s="20">
        <v>0</v>
      </c>
      <c r="M980" s="23">
        <v>0</v>
      </c>
      <c r="N980" s="20">
        <v>0</v>
      </c>
      <c r="O980" s="23">
        <v>0</v>
      </c>
      <c r="P980" s="20">
        <v>1</v>
      </c>
      <c r="Q980" s="23">
        <v>460000</v>
      </c>
      <c r="R980" s="20">
        <v>0</v>
      </c>
      <c r="S980" s="23">
        <v>0</v>
      </c>
      <c r="T980" s="54">
        <f t="shared" si="202"/>
        <v>1</v>
      </c>
      <c r="U980" s="53">
        <f t="shared" si="203"/>
        <v>100</v>
      </c>
      <c r="V980" s="35" t="s">
        <v>58</v>
      </c>
      <c r="W980" s="374">
        <f t="shared" si="204"/>
        <v>460000</v>
      </c>
      <c r="X980" s="53">
        <f t="shared" si="205"/>
        <v>3.2736602011877691</v>
      </c>
      <c r="Y980" s="35" t="s">
        <v>58</v>
      </c>
      <c r="Z980" s="54">
        <f t="shared" si="197"/>
        <v>2</v>
      </c>
      <c r="AA980" s="40">
        <f t="shared" si="198"/>
        <v>11260000</v>
      </c>
      <c r="AB980" s="53"/>
      <c r="AC980" s="21" t="s">
        <v>58</v>
      </c>
      <c r="AD980" s="53"/>
      <c r="AE980" s="11"/>
      <c r="AH980" s="25"/>
    </row>
    <row r="981" spans="1:34" ht="104.25" customHeight="1">
      <c r="A981" s="16"/>
      <c r="B981" s="17" t="s">
        <v>1201</v>
      </c>
      <c r="C981" s="19" t="s">
        <v>1202</v>
      </c>
      <c r="D981" s="358" t="s">
        <v>1203</v>
      </c>
      <c r="E981" s="107">
        <f>226/985*100</f>
        <v>22.944162436548226</v>
      </c>
      <c r="F981" s="46" t="s">
        <v>58</v>
      </c>
      <c r="G981" s="52">
        <f>SUM(G985,G992)</f>
        <v>39547663840</v>
      </c>
      <c r="H981" s="107">
        <f>171/985*100</f>
        <v>17.36040609137056</v>
      </c>
      <c r="I981" s="52">
        <f>SUM(I985,I992)</f>
        <v>17321487125</v>
      </c>
      <c r="J981" s="379">
        <f>2572/2572*100</f>
        <v>100</v>
      </c>
      <c r="K981" s="52">
        <f>SUM(K985,K992)</f>
        <v>7553729700</v>
      </c>
      <c r="L981" s="107">
        <f>171/808*100</f>
        <v>21.163366336633661</v>
      </c>
      <c r="M981" s="52">
        <f>SUM(M985,M992)</f>
        <v>860585600</v>
      </c>
      <c r="N981" s="107">
        <v>0</v>
      </c>
      <c r="O981" s="52">
        <f>SUM(O985,O992)</f>
        <v>3078804300</v>
      </c>
      <c r="P981" s="107">
        <v>0</v>
      </c>
      <c r="Q981" s="52">
        <f>SUM(Q985,Q992)</f>
        <v>295053500</v>
      </c>
      <c r="R981" s="292">
        <f>1562/2572*100</f>
        <v>60.730948678071542</v>
      </c>
      <c r="S981" s="52">
        <f>SUM(S985,S992)</f>
        <v>1923798800</v>
      </c>
      <c r="T981" s="57">
        <f t="shared" si="202"/>
        <v>81.894315014705199</v>
      </c>
      <c r="U981" s="57">
        <f t="shared" si="203"/>
        <v>81.894315014705199</v>
      </c>
      <c r="V981" s="58" t="s">
        <v>58</v>
      </c>
      <c r="W981" s="372">
        <f t="shared" si="204"/>
        <v>6158242200</v>
      </c>
      <c r="X981" s="57">
        <f t="shared" si="205"/>
        <v>81.525848085350475</v>
      </c>
      <c r="Y981" s="58" t="s">
        <v>58</v>
      </c>
      <c r="Z981" s="57">
        <f t="shared" si="197"/>
        <v>99.254721106075763</v>
      </c>
      <c r="AA981" s="56">
        <f t="shared" si="198"/>
        <v>23479729325</v>
      </c>
      <c r="AB981" s="57"/>
      <c r="AC981" s="46" t="s">
        <v>58</v>
      </c>
      <c r="AD981" s="57"/>
      <c r="AE981" s="11"/>
      <c r="AH981" s="25"/>
    </row>
    <row r="982" spans="1:34" ht="48.75" customHeight="1">
      <c r="A982" s="16"/>
      <c r="B982" s="17"/>
      <c r="C982" s="19"/>
      <c r="D982" s="358" t="s">
        <v>1204</v>
      </c>
      <c r="E982" s="45">
        <f>265/767*100</f>
        <v>34.550195567144719</v>
      </c>
      <c r="F982" s="46" t="s">
        <v>58</v>
      </c>
      <c r="G982" s="97"/>
      <c r="H982" s="107">
        <f>186/767*100</f>
        <v>24.250325945241201</v>
      </c>
      <c r="I982" s="97"/>
      <c r="J982" s="107">
        <f>225/767*100</f>
        <v>29.335071707953063</v>
      </c>
      <c r="K982" s="97"/>
      <c r="L982" s="107">
        <f>186/396*100</f>
        <v>46.969696969696969</v>
      </c>
      <c r="M982" s="97"/>
      <c r="N982" s="107">
        <v>0</v>
      </c>
      <c r="O982" s="97"/>
      <c r="P982" s="107">
        <v>0</v>
      </c>
      <c r="Q982" s="97"/>
      <c r="R982" s="107">
        <v>0</v>
      </c>
      <c r="S982" s="97"/>
      <c r="T982" s="57">
        <f t="shared" si="202"/>
        <v>46.969696969696969</v>
      </c>
      <c r="U982" s="57">
        <f t="shared" si="203"/>
        <v>160.11447811447812</v>
      </c>
      <c r="V982" s="58" t="s">
        <v>58</v>
      </c>
      <c r="W982" s="373"/>
      <c r="X982" s="57"/>
      <c r="Y982" s="58"/>
      <c r="Z982" s="57">
        <f t="shared" si="197"/>
        <v>71.22002291493817</v>
      </c>
      <c r="AA982" s="276"/>
      <c r="AB982" s="57"/>
      <c r="AC982" s="46"/>
      <c r="AD982" s="57"/>
      <c r="AE982" s="11"/>
      <c r="AH982" s="25"/>
    </row>
    <row r="983" spans="1:34" ht="110.25">
      <c r="A983" s="16"/>
      <c r="B983" s="17"/>
      <c r="C983" s="19"/>
      <c r="D983" s="358" t="s">
        <v>1205</v>
      </c>
      <c r="E983" s="107">
        <f>120/1770*100</f>
        <v>6.7796610169491522</v>
      </c>
      <c r="F983" s="46" t="s">
        <v>58</v>
      </c>
      <c r="G983" s="97"/>
      <c r="H983" s="107">
        <f>69/1770*100</f>
        <v>3.898305084745763</v>
      </c>
      <c r="I983" s="97"/>
      <c r="J983" s="107">
        <f>100/1770*100</f>
        <v>5.6497175141242941</v>
      </c>
      <c r="K983" s="97"/>
      <c r="L983" s="107">
        <f>70/2588*100</f>
        <v>2.7047913446676968</v>
      </c>
      <c r="M983" s="97"/>
      <c r="N983" s="107">
        <v>0</v>
      </c>
      <c r="O983" s="97"/>
      <c r="P983" s="107">
        <v>0</v>
      </c>
      <c r="Q983" s="97"/>
      <c r="R983" s="107">
        <v>0</v>
      </c>
      <c r="S983" s="97"/>
      <c r="T983" s="57">
        <f t="shared" si="202"/>
        <v>2.7047913446676968</v>
      </c>
      <c r="U983" s="57">
        <f t="shared" si="203"/>
        <v>47.874806800618231</v>
      </c>
      <c r="V983" s="58" t="s">
        <v>58</v>
      </c>
      <c r="W983" s="373"/>
      <c r="X983" s="57"/>
      <c r="Y983" s="58"/>
      <c r="Z983" s="57">
        <f t="shared" si="197"/>
        <v>6.6030964294134602</v>
      </c>
      <c r="AA983" s="276"/>
      <c r="AB983" s="57"/>
      <c r="AC983" s="46"/>
      <c r="AD983" s="57"/>
      <c r="AE983" s="11"/>
      <c r="AH983" s="25"/>
    </row>
    <row r="984" spans="1:34" ht="119.25" customHeight="1">
      <c r="A984" s="16"/>
      <c r="B984" s="17"/>
      <c r="C984" s="19"/>
      <c r="D984" s="358" t="s">
        <v>1206</v>
      </c>
      <c r="E984" s="107">
        <f>3091/7660*100</f>
        <v>40.35248041775457</v>
      </c>
      <c r="F984" s="46" t="s">
        <v>58</v>
      </c>
      <c r="G984" s="41"/>
      <c r="H984" s="107">
        <f>2398/7660*100</f>
        <v>31.305483028720626</v>
      </c>
      <c r="I984" s="245"/>
      <c r="J984" s="107">
        <f>2272/7660*100</f>
        <v>29.660574412532636</v>
      </c>
      <c r="K984" s="41"/>
      <c r="L984" s="107">
        <f>806/10622*100</f>
        <v>7.5880248540764441</v>
      </c>
      <c r="M984" s="41"/>
      <c r="N984" s="107">
        <v>0</v>
      </c>
      <c r="O984" s="41"/>
      <c r="P984" s="107">
        <v>0</v>
      </c>
      <c r="Q984" s="41"/>
      <c r="R984" s="107">
        <v>0</v>
      </c>
      <c r="S984" s="41"/>
      <c r="T984" s="57">
        <f t="shared" si="202"/>
        <v>7.5880248540764441</v>
      </c>
      <c r="U984" s="57">
        <f t="shared" si="203"/>
        <v>25.582865485134494</v>
      </c>
      <c r="V984" s="58" t="s">
        <v>58</v>
      </c>
      <c r="W984" s="380"/>
      <c r="X984" s="57"/>
      <c r="Y984" s="58"/>
      <c r="Z984" s="57">
        <f t="shared" si="197"/>
        <v>38.893507882797067</v>
      </c>
      <c r="AA984" s="94"/>
      <c r="AB984" s="57"/>
      <c r="AC984" s="46"/>
      <c r="AD984" s="57"/>
      <c r="AE984" s="11"/>
      <c r="AH984" s="25"/>
    </row>
    <row r="985" spans="1:34" ht="201" customHeight="1">
      <c r="A985" s="16"/>
      <c r="B985" s="17"/>
      <c r="C985" s="19" t="s">
        <v>1207</v>
      </c>
      <c r="D985" s="19" t="s">
        <v>1208</v>
      </c>
      <c r="E985" s="107">
        <f>2962/5632*100</f>
        <v>52.59232954545454</v>
      </c>
      <c r="F985" s="46" t="s">
        <v>58</v>
      </c>
      <c r="G985" s="42">
        <f>SUM(G986:G991)</f>
        <v>27032841245</v>
      </c>
      <c r="H985" s="107">
        <f>2206/5632*100</f>
        <v>39.169034090909086</v>
      </c>
      <c r="I985" s="42">
        <f>SUM(I986:I991)</f>
        <v>7045844800</v>
      </c>
      <c r="J985" s="107">
        <f>2173/5632*100</f>
        <v>38.583096590909086</v>
      </c>
      <c r="K985" s="42">
        <f>SUM(K986:K991)</f>
        <v>7107287100</v>
      </c>
      <c r="L985" s="107">
        <f>780/7628*100</f>
        <v>10.225485055060304</v>
      </c>
      <c r="M985" s="42">
        <f>SUM(M986:M991)</f>
        <v>790460600</v>
      </c>
      <c r="N985" s="107">
        <f>606/7628*100</f>
        <v>7.94441531200839</v>
      </c>
      <c r="O985" s="42">
        <f>SUM(O986:O991)</f>
        <v>2984376500</v>
      </c>
      <c r="P985" s="107">
        <v>0</v>
      </c>
      <c r="Q985" s="42">
        <f>SUM(Q986:Q991)</f>
        <v>219999750</v>
      </c>
      <c r="R985" s="107">
        <f>1093/7628*100</f>
        <v>14.328788673308862</v>
      </c>
      <c r="S985" s="42">
        <f>SUM(S986:S991)</f>
        <v>1789171400</v>
      </c>
      <c r="T985" s="57">
        <f t="shared" si="202"/>
        <v>32.498689040377556</v>
      </c>
      <c r="U985" s="57">
        <f t="shared" si="203"/>
        <v>84.230380430467747</v>
      </c>
      <c r="V985" s="58" t="s">
        <v>58</v>
      </c>
      <c r="W985" s="376">
        <f t="shared" si="204"/>
        <v>5784008250</v>
      </c>
      <c r="X985" s="57">
        <f t="shared" si="205"/>
        <v>81.38137897932954</v>
      </c>
      <c r="Y985" s="58" t="s">
        <v>58</v>
      </c>
      <c r="Z985" s="55">
        <f t="shared" si="197"/>
        <v>71.667723131286635</v>
      </c>
      <c r="AA985" s="59">
        <f t="shared" si="198"/>
        <v>12829853050</v>
      </c>
      <c r="AB985" s="57"/>
      <c r="AC985" s="46" t="s">
        <v>58</v>
      </c>
      <c r="AD985" s="57"/>
      <c r="AE985" s="11"/>
      <c r="AH985" s="25"/>
    </row>
    <row r="986" spans="1:34" ht="195">
      <c r="A986" s="16"/>
      <c r="B986" s="17"/>
      <c r="C986" s="29" t="s">
        <v>1209</v>
      </c>
      <c r="D986" s="381" t="s">
        <v>1210</v>
      </c>
      <c r="E986" s="104">
        <f>H986+1890+2679</f>
        <v>6606</v>
      </c>
      <c r="F986" s="21" t="s">
        <v>57</v>
      </c>
      <c r="G986" s="50">
        <v>24774156095</v>
      </c>
      <c r="H986" s="104">
        <v>2037</v>
      </c>
      <c r="I986" s="22">
        <v>6873459800</v>
      </c>
      <c r="J986" s="104">
        <v>1890</v>
      </c>
      <c r="K986" s="23">
        <v>6156466300</v>
      </c>
      <c r="L986" s="104">
        <v>748</v>
      </c>
      <c r="M986" s="23">
        <v>736610600</v>
      </c>
      <c r="N986" s="104">
        <v>538</v>
      </c>
      <c r="O986" s="23">
        <v>2883080000</v>
      </c>
      <c r="P986" s="104">
        <v>0</v>
      </c>
      <c r="Q986" s="23">
        <v>0</v>
      </c>
      <c r="R986" s="104">
        <v>477</v>
      </c>
      <c r="S986" s="23">
        <v>1486049500</v>
      </c>
      <c r="T986" s="106">
        <f t="shared" si="202"/>
        <v>1763</v>
      </c>
      <c r="U986" s="53">
        <f t="shared" si="203"/>
        <v>93.280423280423292</v>
      </c>
      <c r="V986" s="35" t="s">
        <v>58</v>
      </c>
      <c r="W986" s="374">
        <f t="shared" si="204"/>
        <v>5105740100</v>
      </c>
      <c r="X986" s="53">
        <f t="shared" si="205"/>
        <v>82.932965945090942</v>
      </c>
      <c r="Y986" s="35" t="s">
        <v>58</v>
      </c>
      <c r="Z986" s="106">
        <f t="shared" si="197"/>
        <v>3800</v>
      </c>
      <c r="AA986" s="40">
        <f t="shared" si="198"/>
        <v>11979199900</v>
      </c>
      <c r="AB986" s="53"/>
      <c r="AC986" s="21" t="s">
        <v>58</v>
      </c>
      <c r="AD986" s="53"/>
      <c r="AE986" s="11"/>
      <c r="AH986" s="25"/>
    </row>
    <row r="987" spans="1:34" ht="180">
      <c r="A987" s="16"/>
      <c r="B987" s="17"/>
      <c r="C987" s="29" t="s">
        <v>1211</v>
      </c>
      <c r="D987" s="381" t="s">
        <v>1212</v>
      </c>
      <c r="E987" s="104">
        <f>15*2</f>
        <v>30</v>
      </c>
      <c r="F987" s="21" t="s">
        <v>57</v>
      </c>
      <c r="G987" s="50">
        <f>K987*2</f>
        <v>93200000</v>
      </c>
      <c r="H987" s="104"/>
      <c r="I987" s="22"/>
      <c r="J987" s="104">
        <v>15</v>
      </c>
      <c r="K987" s="23">
        <v>46600000</v>
      </c>
      <c r="L987" s="104">
        <v>0</v>
      </c>
      <c r="M987" s="23">
        <v>0</v>
      </c>
      <c r="N987" s="104">
        <v>0</v>
      </c>
      <c r="O987" s="23">
        <v>0</v>
      </c>
      <c r="P987" s="104">
        <v>15</v>
      </c>
      <c r="Q987" s="23">
        <v>46600000</v>
      </c>
      <c r="R987" s="104">
        <v>0</v>
      </c>
      <c r="S987" s="23">
        <v>0</v>
      </c>
      <c r="T987" s="106">
        <f t="shared" si="202"/>
        <v>15</v>
      </c>
      <c r="U987" s="53">
        <f t="shared" si="203"/>
        <v>100</v>
      </c>
      <c r="V987" s="35" t="s">
        <v>58</v>
      </c>
      <c r="W987" s="374">
        <f t="shared" si="204"/>
        <v>46600000</v>
      </c>
      <c r="X987" s="53">
        <f t="shared" si="205"/>
        <v>100</v>
      </c>
      <c r="Y987" s="35" t="s">
        <v>58</v>
      </c>
      <c r="Z987" s="106">
        <f t="shared" si="197"/>
        <v>15</v>
      </c>
      <c r="AA987" s="40">
        <f t="shared" si="198"/>
        <v>46600000</v>
      </c>
      <c r="AB987" s="53"/>
      <c r="AC987" s="21" t="s">
        <v>58</v>
      </c>
      <c r="AD987" s="53"/>
      <c r="AE987" s="11"/>
      <c r="AH987" s="25"/>
    </row>
    <row r="988" spans="1:34" ht="135">
      <c r="A988" s="16"/>
      <c r="B988" s="17"/>
      <c r="C988" s="29" t="s">
        <v>1213</v>
      </c>
      <c r="D988" s="381" t="s">
        <v>1214</v>
      </c>
      <c r="E988" s="104">
        <f>120*2</f>
        <v>240</v>
      </c>
      <c r="F988" s="21" t="s">
        <v>57</v>
      </c>
      <c r="G988" s="50">
        <f>K988*2</f>
        <v>216153900</v>
      </c>
      <c r="H988" s="104"/>
      <c r="I988" s="22"/>
      <c r="J988" s="104">
        <v>90</v>
      </c>
      <c r="K988" s="23">
        <v>108076950</v>
      </c>
      <c r="L988" s="104">
        <v>0</v>
      </c>
      <c r="M988" s="23">
        <v>3250000</v>
      </c>
      <c r="N988" s="104">
        <v>26</v>
      </c>
      <c r="O988" s="23">
        <v>27934000</v>
      </c>
      <c r="P988" s="104">
        <v>0</v>
      </c>
      <c r="Q988" s="23">
        <v>2720000</v>
      </c>
      <c r="R988" s="104">
        <v>60</v>
      </c>
      <c r="S988" s="23">
        <v>73990200</v>
      </c>
      <c r="T988" s="106">
        <f t="shared" si="202"/>
        <v>86</v>
      </c>
      <c r="U988" s="53">
        <f t="shared" si="203"/>
        <v>95.555555555555557</v>
      </c>
      <c r="V988" s="35" t="s">
        <v>58</v>
      </c>
      <c r="W988" s="374">
        <f t="shared" si="204"/>
        <v>107894200</v>
      </c>
      <c r="X988" s="53">
        <f t="shared" si="205"/>
        <v>99.830907515432287</v>
      </c>
      <c r="Y988" s="35" t="s">
        <v>58</v>
      </c>
      <c r="Z988" s="106">
        <f t="shared" si="197"/>
        <v>86</v>
      </c>
      <c r="AA988" s="40">
        <f t="shared" si="198"/>
        <v>107894200</v>
      </c>
      <c r="AB988" s="53"/>
      <c r="AC988" s="21" t="s">
        <v>58</v>
      </c>
      <c r="AD988" s="53"/>
      <c r="AE988" s="11"/>
      <c r="AH988" s="25"/>
    </row>
    <row r="989" spans="1:34" ht="315">
      <c r="A989" s="16"/>
      <c r="B989" s="17" t="s">
        <v>1215</v>
      </c>
      <c r="C989" s="29" t="s">
        <v>1216</v>
      </c>
      <c r="D989" s="381" t="s">
        <v>1217</v>
      </c>
      <c r="E989" s="44">
        <v>300</v>
      </c>
      <c r="F989" s="21" t="s">
        <v>57</v>
      </c>
      <c r="G989" s="23">
        <v>50079500</v>
      </c>
      <c r="H989" s="382">
        <v>100</v>
      </c>
      <c r="I989" s="23">
        <v>8910000</v>
      </c>
      <c r="J989" s="20">
        <v>280</v>
      </c>
      <c r="K989" s="23">
        <v>32472250</v>
      </c>
      <c r="L989" s="20">
        <v>0</v>
      </c>
      <c r="M989" s="23">
        <v>0</v>
      </c>
      <c r="N989" s="20">
        <v>0</v>
      </c>
      <c r="O989" s="23">
        <v>1875000</v>
      </c>
      <c r="P989" s="20">
        <v>90</v>
      </c>
      <c r="Q989" s="23">
        <v>11684750</v>
      </c>
      <c r="R989" s="20">
        <v>190</v>
      </c>
      <c r="S989" s="23">
        <v>13862500</v>
      </c>
      <c r="T989" s="54">
        <f t="shared" si="202"/>
        <v>280</v>
      </c>
      <c r="U989" s="53">
        <f t="shared" si="203"/>
        <v>100</v>
      </c>
      <c r="V989" s="35" t="s">
        <v>58</v>
      </c>
      <c r="W989" s="374">
        <f t="shared" si="204"/>
        <v>27422250</v>
      </c>
      <c r="X989" s="53">
        <f t="shared" si="205"/>
        <v>84.448259667870261</v>
      </c>
      <c r="Y989" s="35" t="s">
        <v>58</v>
      </c>
      <c r="Z989" s="54">
        <f t="shared" si="197"/>
        <v>380</v>
      </c>
      <c r="AA989" s="40">
        <f t="shared" si="198"/>
        <v>36332250</v>
      </c>
      <c r="AB989" s="53"/>
      <c r="AC989" s="21" t="s">
        <v>58</v>
      </c>
      <c r="AD989" s="53"/>
      <c r="AE989" s="11"/>
      <c r="AH989" s="25"/>
    </row>
    <row r="990" spans="1:34" ht="180">
      <c r="A990" s="16"/>
      <c r="B990" s="17"/>
      <c r="C990" s="29" t="s">
        <v>1218</v>
      </c>
      <c r="D990" s="381" t="s">
        <v>1219</v>
      </c>
      <c r="E990" s="363">
        <f>68+351+436</f>
        <v>855</v>
      </c>
      <c r="F990" s="21" t="s">
        <v>57</v>
      </c>
      <c r="G990" s="50">
        <v>1380387850</v>
      </c>
      <c r="H990" s="364">
        <v>69</v>
      </c>
      <c r="I990" s="22">
        <v>163475000</v>
      </c>
      <c r="J990" s="104">
        <v>320</v>
      </c>
      <c r="K990" s="23">
        <v>504239650</v>
      </c>
      <c r="L990" s="104">
        <v>0</v>
      </c>
      <c r="M990" s="23">
        <v>0</v>
      </c>
      <c r="N990" s="104">
        <v>0</v>
      </c>
      <c r="O990" s="23">
        <v>30025000</v>
      </c>
      <c r="P990" s="104">
        <v>87</v>
      </c>
      <c r="Q990" s="23">
        <v>120195000</v>
      </c>
      <c r="R990" s="104">
        <v>110</v>
      </c>
      <c r="S990" s="23">
        <v>173779650</v>
      </c>
      <c r="T990" s="242">
        <f t="shared" si="202"/>
        <v>197</v>
      </c>
      <c r="U990" s="53">
        <f t="shared" si="203"/>
        <v>61.5625</v>
      </c>
      <c r="V990" s="35" t="s">
        <v>58</v>
      </c>
      <c r="W990" s="374">
        <f t="shared" si="204"/>
        <v>323999650</v>
      </c>
      <c r="X990" s="53">
        <f t="shared" si="205"/>
        <v>64.255091800099422</v>
      </c>
      <c r="Y990" s="35" t="s">
        <v>58</v>
      </c>
      <c r="Z990" s="54">
        <f t="shared" si="197"/>
        <v>266</v>
      </c>
      <c r="AA990" s="40">
        <f t="shared" si="198"/>
        <v>487474650</v>
      </c>
      <c r="AB990" s="53"/>
      <c r="AC990" s="21" t="s">
        <v>58</v>
      </c>
      <c r="AD990" s="53"/>
      <c r="AE990" s="11"/>
      <c r="AH990" s="25"/>
    </row>
    <row r="991" spans="1:34" ht="120">
      <c r="A991" s="16"/>
      <c r="B991" s="17"/>
      <c r="C991" s="29" t="s">
        <v>1220</v>
      </c>
      <c r="D991" s="381" t="s">
        <v>1221</v>
      </c>
      <c r="E991" s="363">
        <f>48*2</f>
        <v>96</v>
      </c>
      <c r="F991" s="21" t="s">
        <v>57</v>
      </c>
      <c r="G991" s="50">
        <f>K991*2</f>
        <v>518863900</v>
      </c>
      <c r="H991" s="364"/>
      <c r="I991" s="22"/>
      <c r="J991" s="104">
        <v>188</v>
      </c>
      <c r="K991" s="23">
        <v>259431950</v>
      </c>
      <c r="L991" s="104">
        <v>41</v>
      </c>
      <c r="M991" s="23">
        <v>50600000</v>
      </c>
      <c r="N991" s="104">
        <v>23</v>
      </c>
      <c r="O991" s="23">
        <v>41462500</v>
      </c>
      <c r="P991" s="104">
        <v>38</v>
      </c>
      <c r="Q991" s="23">
        <v>38800000</v>
      </c>
      <c r="R991" s="104">
        <v>95</v>
      </c>
      <c r="S991" s="23">
        <v>41489550</v>
      </c>
      <c r="T991" s="242">
        <f t="shared" si="202"/>
        <v>197</v>
      </c>
      <c r="U991" s="53">
        <f t="shared" si="203"/>
        <v>104.78723404255319</v>
      </c>
      <c r="V991" s="35" t="s">
        <v>58</v>
      </c>
      <c r="W991" s="374">
        <f t="shared" si="204"/>
        <v>172352050</v>
      </c>
      <c r="X991" s="53">
        <f t="shared" si="205"/>
        <v>66.434396380245374</v>
      </c>
      <c r="Y991" s="35" t="s">
        <v>58</v>
      </c>
      <c r="Z991" s="54">
        <f t="shared" si="197"/>
        <v>197</v>
      </c>
      <c r="AA991" s="40">
        <f t="shared" si="198"/>
        <v>172352050</v>
      </c>
      <c r="AB991" s="53"/>
      <c r="AC991" s="21" t="s">
        <v>58</v>
      </c>
      <c r="AD991" s="53"/>
      <c r="AE991" s="11"/>
      <c r="AH991" s="25"/>
    </row>
    <row r="992" spans="1:34" ht="202.5" customHeight="1">
      <c r="A992" s="16"/>
      <c r="B992" s="17"/>
      <c r="C992" s="19" t="s">
        <v>1222</v>
      </c>
      <c r="D992" s="49" t="s">
        <v>1223</v>
      </c>
      <c r="E992" s="107">
        <f>217/2028*100</f>
        <v>10.700197238658777</v>
      </c>
      <c r="F992" s="46" t="s">
        <v>58</v>
      </c>
      <c r="G992" s="383">
        <f>SUM(G993:G997)</f>
        <v>12514822595</v>
      </c>
      <c r="H992" s="107">
        <f>276/2028*100</f>
        <v>13.609467455621301</v>
      </c>
      <c r="I992" s="383">
        <f>SUM(I993:I997)</f>
        <v>10275642325</v>
      </c>
      <c r="J992" s="107">
        <f>SUM(J993:J997)/2028*100</f>
        <v>6.0157790927021697</v>
      </c>
      <c r="K992" s="383">
        <f>SUM(K993:K997)</f>
        <v>446442600</v>
      </c>
      <c r="L992" s="107">
        <f>SUM(L993:L997)/2028*100</f>
        <v>0.9368836291913214</v>
      </c>
      <c r="M992" s="365">
        <f>SUM(M993:M997)</f>
        <v>70125000</v>
      </c>
      <c r="N992" s="107">
        <f>SUM(N993:N997)/2028*100</f>
        <v>1.1341222879684418</v>
      </c>
      <c r="O992" s="365">
        <f>SUM(O993:O997)</f>
        <v>94427800</v>
      </c>
      <c r="P992" s="107">
        <f>SUM(P993:P997)/2028*100</f>
        <v>1.4299802761341223</v>
      </c>
      <c r="Q992" s="365">
        <f>SUM(Q993:Q997)</f>
        <v>75053750</v>
      </c>
      <c r="R992" s="107">
        <f>SUM(R993:R997)/2028*100</f>
        <v>2.5147928994082842</v>
      </c>
      <c r="S992" s="365">
        <f>SUM(S993:S997)</f>
        <v>134627400</v>
      </c>
      <c r="T992" s="57">
        <f t="shared" si="202"/>
        <v>6.0157790927021697</v>
      </c>
      <c r="U992" s="57">
        <f t="shared" si="203"/>
        <v>100</v>
      </c>
      <c r="V992" s="58" t="s">
        <v>58</v>
      </c>
      <c r="W992" s="376">
        <f t="shared" si="204"/>
        <v>374233950</v>
      </c>
      <c r="X992" s="57">
        <f t="shared" si="205"/>
        <v>83.825770658982819</v>
      </c>
      <c r="Y992" s="58" t="s">
        <v>58</v>
      </c>
      <c r="Z992" s="55">
        <f t="shared" si="197"/>
        <v>19.625246548323471</v>
      </c>
      <c r="AA992" s="59">
        <f t="shared" si="198"/>
        <v>10649876275</v>
      </c>
      <c r="AB992" s="57"/>
      <c r="AC992" s="46" t="s">
        <v>58</v>
      </c>
      <c r="AD992" s="57"/>
      <c r="AE992" s="11"/>
      <c r="AH992" s="25"/>
    </row>
    <row r="993" spans="1:34" ht="120">
      <c r="A993" s="16"/>
      <c r="B993" s="17"/>
      <c r="C993" s="29" t="s">
        <v>1224</v>
      </c>
      <c r="D993" s="366" t="s">
        <v>1225</v>
      </c>
      <c r="E993" s="20">
        <f>97*3</f>
        <v>291</v>
      </c>
      <c r="F993" s="21" t="s">
        <v>57</v>
      </c>
      <c r="G993" s="362">
        <v>11665977100</v>
      </c>
      <c r="H993" s="382">
        <v>177</v>
      </c>
      <c r="I993" s="22">
        <v>9755219200</v>
      </c>
      <c r="J993" s="20">
        <v>42</v>
      </c>
      <c r="K993" s="23">
        <v>367029900</v>
      </c>
      <c r="L993" s="20">
        <v>14</v>
      </c>
      <c r="M993" s="23">
        <v>64675000</v>
      </c>
      <c r="N993" s="20">
        <f>25-L993</f>
        <v>11</v>
      </c>
      <c r="O993" s="23">
        <v>80773600</v>
      </c>
      <c r="P993" s="20">
        <v>3</v>
      </c>
      <c r="Q993" s="23">
        <v>58569100</v>
      </c>
      <c r="R993" s="20">
        <f>42-28</f>
        <v>14</v>
      </c>
      <c r="S993" s="23">
        <v>102285400</v>
      </c>
      <c r="T993" s="54">
        <f t="shared" si="202"/>
        <v>42</v>
      </c>
      <c r="U993" s="53">
        <f t="shared" si="203"/>
        <v>100</v>
      </c>
      <c r="V993" s="35" t="s">
        <v>58</v>
      </c>
      <c r="W993" s="374">
        <f t="shared" si="204"/>
        <v>306303100</v>
      </c>
      <c r="X993" s="53">
        <f t="shared" si="205"/>
        <v>83.454535992844185</v>
      </c>
      <c r="Y993" s="35" t="s">
        <v>58</v>
      </c>
      <c r="Z993" s="54">
        <f t="shared" si="197"/>
        <v>219</v>
      </c>
      <c r="AA993" s="40">
        <f t="shared" si="198"/>
        <v>10061522300</v>
      </c>
      <c r="AB993" s="53"/>
      <c r="AC993" s="21" t="s">
        <v>58</v>
      </c>
      <c r="AD993" s="53"/>
      <c r="AE993" s="11"/>
      <c r="AH993" s="25"/>
    </row>
    <row r="994" spans="1:34" ht="135">
      <c r="A994" s="16"/>
      <c r="B994" s="17"/>
      <c r="C994" s="29" t="s">
        <v>1213</v>
      </c>
      <c r="D994" s="381" t="s">
        <v>1214</v>
      </c>
      <c r="E994" s="20">
        <f>25+70+70</f>
        <v>165</v>
      </c>
      <c r="F994" s="21" t="s">
        <v>57</v>
      </c>
      <c r="G994" s="50">
        <v>244291150</v>
      </c>
      <c r="H994" s="384">
        <v>75</v>
      </c>
      <c r="I994" s="22">
        <v>73240600</v>
      </c>
      <c r="J994" s="20">
        <v>70</v>
      </c>
      <c r="K994" s="23">
        <v>53680350</v>
      </c>
      <c r="L994" s="20">
        <v>0</v>
      </c>
      <c r="M994" s="23">
        <v>0</v>
      </c>
      <c r="N994" s="20">
        <v>12</v>
      </c>
      <c r="O994" s="23">
        <v>8429200</v>
      </c>
      <c r="P994" s="20">
        <v>21</v>
      </c>
      <c r="Q994" s="23">
        <v>6049650</v>
      </c>
      <c r="R994" s="20">
        <f>70-33</f>
        <v>37</v>
      </c>
      <c r="S994" s="23">
        <v>28895000</v>
      </c>
      <c r="T994" s="54">
        <f t="shared" si="202"/>
        <v>70</v>
      </c>
      <c r="U994" s="53">
        <f t="shared" si="203"/>
        <v>100</v>
      </c>
      <c r="V994" s="35" t="s">
        <v>58</v>
      </c>
      <c r="W994" s="374">
        <f t="shared" si="204"/>
        <v>43373850</v>
      </c>
      <c r="X994" s="53">
        <f t="shared" si="205"/>
        <v>80.800236958216558</v>
      </c>
      <c r="Y994" s="35" t="s">
        <v>58</v>
      </c>
      <c r="Z994" s="54">
        <f t="shared" si="197"/>
        <v>145</v>
      </c>
      <c r="AA994" s="40">
        <f t="shared" si="198"/>
        <v>116614450</v>
      </c>
      <c r="AB994" s="53"/>
      <c r="AC994" s="21" t="s">
        <v>58</v>
      </c>
      <c r="AD994" s="53"/>
      <c r="AE994" s="11"/>
      <c r="AH994" s="25"/>
    </row>
    <row r="995" spans="1:34" ht="120">
      <c r="A995" s="16"/>
      <c r="B995" s="17"/>
      <c r="C995" s="29" t="s">
        <v>1226</v>
      </c>
      <c r="D995" s="381" t="s">
        <v>1221</v>
      </c>
      <c r="E995" s="367">
        <v>40</v>
      </c>
      <c r="F995" s="21" t="s">
        <v>57</v>
      </c>
      <c r="G995" s="50"/>
      <c r="H995" s="367"/>
      <c r="I995" s="22"/>
      <c r="J995" s="104">
        <v>10</v>
      </c>
      <c r="K995" s="23">
        <v>25732350</v>
      </c>
      <c r="L995" s="20">
        <v>5</v>
      </c>
      <c r="M995" s="23">
        <v>5450000</v>
      </c>
      <c r="N995" s="20">
        <v>0</v>
      </c>
      <c r="O995" s="23">
        <v>5225000</v>
      </c>
      <c r="P995" s="20">
        <v>5</v>
      </c>
      <c r="Q995" s="23">
        <v>10435000</v>
      </c>
      <c r="R995" s="20">
        <v>0</v>
      </c>
      <c r="S995" s="23">
        <v>3447000</v>
      </c>
      <c r="T995" s="102">
        <f t="shared" si="202"/>
        <v>10</v>
      </c>
      <c r="U995" s="54">
        <f t="shared" si="203"/>
        <v>100</v>
      </c>
      <c r="V995" s="35" t="s">
        <v>58</v>
      </c>
      <c r="W995" s="374">
        <f t="shared" si="204"/>
        <v>24557000</v>
      </c>
      <c r="X995" s="53">
        <f t="shared" si="205"/>
        <v>95.432403181209651</v>
      </c>
      <c r="Y995" s="35" t="s">
        <v>58</v>
      </c>
      <c r="Z995" s="54">
        <f t="shared" si="197"/>
        <v>10</v>
      </c>
      <c r="AA995" s="40">
        <f t="shared" si="198"/>
        <v>24557000</v>
      </c>
      <c r="AB995" s="53"/>
      <c r="AC995" s="21" t="s">
        <v>58</v>
      </c>
      <c r="AD995" s="53"/>
      <c r="AE995" s="11"/>
      <c r="AH995" s="25"/>
    </row>
    <row r="996" spans="1:34" ht="180">
      <c r="A996" s="16"/>
      <c r="B996" s="17"/>
      <c r="C996" s="29" t="s">
        <v>1211</v>
      </c>
      <c r="D996" s="381" t="s">
        <v>1212</v>
      </c>
      <c r="E996" s="367">
        <v>15</v>
      </c>
      <c r="F996" s="21" t="s">
        <v>57</v>
      </c>
      <c r="G996" s="50">
        <v>46600000</v>
      </c>
      <c r="H996" s="367">
        <v>15</v>
      </c>
      <c r="I996" s="22">
        <v>46375000</v>
      </c>
      <c r="J996" s="104"/>
      <c r="K996" s="23"/>
      <c r="L996" s="20"/>
      <c r="M996" s="23"/>
      <c r="N996" s="20"/>
      <c r="O996" s="23"/>
      <c r="P996" s="20"/>
      <c r="Q996" s="23"/>
      <c r="R996" s="20"/>
      <c r="S996" s="23"/>
      <c r="T996" s="102"/>
      <c r="U996" s="54"/>
      <c r="V996" s="35"/>
      <c r="W996" s="374"/>
      <c r="X996" s="53"/>
      <c r="Y996" s="35"/>
      <c r="Z996" s="54">
        <f t="shared" si="197"/>
        <v>15</v>
      </c>
      <c r="AA996" s="40">
        <f t="shared" si="198"/>
        <v>46375000</v>
      </c>
      <c r="AB996" s="53"/>
      <c r="AC996" s="21" t="s">
        <v>58</v>
      </c>
      <c r="AD996" s="53"/>
      <c r="AE996" s="11"/>
      <c r="AH996" s="25"/>
    </row>
    <row r="997" spans="1:34" ht="207" customHeight="1">
      <c r="A997" s="16"/>
      <c r="B997" s="17"/>
      <c r="C997" s="29" t="s">
        <v>1227</v>
      </c>
      <c r="D997" s="381" t="s">
        <v>1228</v>
      </c>
      <c r="E997" s="364">
        <v>20</v>
      </c>
      <c r="F997" s="21" t="s">
        <v>57</v>
      </c>
      <c r="G997" s="23">
        <v>557954345</v>
      </c>
      <c r="H997" s="44">
        <v>9</v>
      </c>
      <c r="I997" s="22">
        <v>400807525</v>
      </c>
      <c r="J997" s="104"/>
      <c r="K997" s="23"/>
      <c r="L997" s="20"/>
      <c r="M997" s="23"/>
      <c r="N997" s="20"/>
      <c r="O997" s="23"/>
      <c r="P997" s="20"/>
      <c r="Q997" s="23"/>
      <c r="R997" s="20"/>
      <c r="S997" s="23"/>
      <c r="T997" s="54"/>
      <c r="U997" s="53"/>
      <c r="V997" s="35"/>
      <c r="W997" s="374"/>
      <c r="X997" s="53"/>
      <c r="Y997" s="35"/>
      <c r="Z997" s="54">
        <f t="shared" si="197"/>
        <v>9</v>
      </c>
      <c r="AA997" s="40">
        <f t="shared" si="198"/>
        <v>400807525</v>
      </c>
      <c r="AB997" s="53"/>
      <c r="AC997" s="21" t="s">
        <v>58</v>
      </c>
      <c r="AD997" s="53"/>
      <c r="AE997" s="11"/>
      <c r="AH997" s="25"/>
    </row>
    <row r="998" spans="1:34" ht="72.75" customHeight="1">
      <c r="A998" s="16"/>
      <c r="B998" s="17" t="s">
        <v>1229</v>
      </c>
      <c r="C998" s="19" t="s">
        <v>1230</v>
      </c>
      <c r="D998" s="358" t="s">
        <v>1231</v>
      </c>
      <c r="E998" s="128">
        <f>1255/8766*100</f>
        <v>14.316678074378281</v>
      </c>
      <c r="F998" s="76" t="s">
        <v>58</v>
      </c>
      <c r="G998" s="52">
        <f>SUM(G1000,G1004)</f>
        <v>2878770900</v>
      </c>
      <c r="H998" s="254">
        <f>762/8766*100</f>
        <v>8.6926762491444212</v>
      </c>
      <c r="I998" s="52">
        <f>SUM(I1000,I1004)</f>
        <v>1454114600</v>
      </c>
      <c r="J998" s="107">
        <f>1015/8766*100</f>
        <v>11.578827287246177</v>
      </c>
      <c r="K998" s="52">
        <f>SUM(K1000,K1004)</f>
        <v>13688146400</v>
      </c>
      <c r="L998" s="107">
        <f>762/7555*100</f>
        <v>10.086035737921906</v>
      </c>
      <c r="M998" s="52">
        <f>SUM(M1000,M1004)</f>
        <v>730030450</v>
      </c>
      <c r="N998" s="107">
        <v>0</v>
      </c>
      <c r="O998" s="52">
        <f>SUM(O1000,O1004)</f>
        <v>1094262400</v>
      </c>
      <c r="P998" s="107">
        <v>0</v>
      </c>
      <c r="Q998" s="52">
        <f>SUM(Q1000,Q1004)</f>
        <v>3790645600</v>
      </c>
      <c r="R998" s="107"/>
      <c r="S998" s="52">
        <f>SUM(S1000,S1004)</f>
        <v>7649312350</v>
      </c>
      <c r="T998" s="57">
        <f>SUM(L998,N998,P998,R998)</f>
        <v>10.086035737921906</v>
      </c>
      <c r="U998" s="57">
        <f>T998/J998*100</f>
        <v>87.107575643963969</v>
      </c>
      <c r="V998" s="58" t="s">
        <v>58</v>
      </c>
      <c r="W998" s="372">
        <f>SUM(M998,O998,Q998,S998)</f>
        <v>13264250800</v>
      </c>
      <c r="X998" s="57">
        <f>W998/K998*100</f>
        <v>96.903192093269837</v>
      </c>
      <c r="Y998" s="58" t="s">
        <v>58</v>
      </c>
      <c r="Z998" s="55">
        <f t="shared" si="197"/>
        <v>18.778711987066327</v>
      </c>
      <c r="AA998" s="56">
        <f t="shared" si="198"/>
        <v>14718365400</v>
      </c>
      <c r="AB998" s="57"/>
      <c r="AC998" s="46" t="s">
        <v>58</v>
      </c>
      <c r="AD998" s="57"/>
      <c r="AE998" s="11"/>
      <c r="AH998" s="25"/>
    </row>
    <row r="999" spans="1:34" ht="68.25" customHeight="1">
      <c r="A999" s="16"/>
      <c r="B999" s="17"/>
      <c r="C999" s="19"/>
      <c r="D999" s="358" t="s">
        <v>1232</v>
      </c>
      <c r="E999" s="128">
        <f>6554/8766*100</f>
        <v>74.766141911932465</v>
      </c>
      <c r="F999" s="76" t="s">
        <v>58</v>
      </c>
      <c r="G999" s="41"/>
      <c r="H999" s="254">
        <f>8327/8766*100</f>
        <v>94.992014601870864</v>
      </c>
      <c r="I999" s="41"/>
      <c r="J999" s="107">
        <f>6276/8766*100</f>
        <v>71.594798083504458</v>
      </c>
      <c r="K999" s="41"/>
      <c r="L999" s="107">
        <f>3355/7555*100</f>
        <v>44.407677035076112</v>
      </c>
      <c r="M999" s="41"/>
      <c r="N999" s="107">
        <v>0</v>
      </c>
      <c r="O999" s="41"/>
      <c r="P999" s="107">
        <v>0</v>
      </c>
      <c r="Q999" s="41"/>
      <c r="R999" s="107"/>
      <c r="S999" s="41"/>
      <c r="T999" s="57">
        <f>SUM(L999,N999,P999,R999)</f>
        <v>44.407677035076112</v>
      </c>
      <c r="U999" s="57">
        <f>T999/J999*100</f>
        <v>62.026401671363473</v>
      </c>
      <c r="V999" s="58" t="s">
        <v>58</v>
      </c>
      <c r="W999" s="380"/>
      <c r="X999" s="57"/>
      <c r="Y999" s="58"/>
      <c r="Z999" s="55">
        <f t="shared" si="197"/>
        <v>139.39969163694698</v>
      </c>
      <c r="AA999" s="94"/>
      <c r="AB999" s="57"/>
      <c r="AC999" s="46"/>
      <c r="AD999" s="57"/>
      <c r="AE999" s="11"/>
      <c r="AH999" s="25"/>
    </row>
    <row r="1000" spans="1:34" ht="94.5">
      <c r="A1000" s="16"/>
      <c r="B1000" s="17"/>
      <c r="C1000" s="19" t="s">
        <v>1233</v>
      </c>
      <c r="D1000" s="19" t="s">
        <v>1234</v>
      </c>
      <c r="E1000" s="107">
        <f>7230/9533*100</f>
        <v>75.841812650791979</v>
      </c>
      <c r="F1000" s="46" t="s">
        <v>58</v>
      </c>
      <c r="G1000" s="42">
        <f>SUM(G1001:G1003)</f>
        <v>672473000</v>
      </c>
      <c r="H1000" s="107">
        <f>4259/9533*100</f>
        <v>44.676387286268749</v>
      </c>
      <c r="I1000" s="42">
        <f>SUM(I1001:I1003)</f>
        <v>324891400</v>
      </c>
      <c r="J1000" s="107"/>
      <c r="K1000" s="42"/>
      <c r="L1000" s="107"/>
      <c r="M1000" s="42"/>
      <c r="N1000" s="107"/>
      <c r="O1000" s="42"/>
      <c r="P1000" s="107"/>
      <c r="Q1000" s="42"/>
      <c r="R1000" s="107"/>
      <c r="S1000" s="42"/>
      <c r="T1000" s="55"/>
      <c r="U1000" s="57"/>
      <c r="V1000" s="58"/>
      <c r="W1000" s="376"/>
      <c r="X1000" s="57"/>
      <c r="Y1000" s="58"/>
      <c r="Z1000" s="55">
        <f t="shared" si="197"/>
        <v>44.676387286268749</v>
      </c>
      <c r="AA1000" s="59">
        <f t="shared" si="198"/>
        <v>324891400</v>
      </c>
      <c r="AB1000" s="57"/>
      <c r="AC1000" s="46" t="s">
        <v>58</v>
      </c>
      <c r="AD1000" s="57"/>
      <c r="AE1000" s="11"/>
      <c r="AH1000" s="25"/>
    </row>
    <row r="1001" spans="1:34" ht="120">
      <c r="A1001" s="16"/>
      <c r="B1001" s="17"/>
      <c r="C1001" s="29" t="s">
        <v>1235</v>
      </c>
      <c r="D1001" s="29" t="s">
        <v>1236</v>
      </c>
      <c r="E1001" s="20">
        <v>2</v>
      </c>
      <c r="F1001" s="47" t="s">
        <v>57</v>
      </c>
      <c r="G1001" s="23">
        <v>14100000</v>
      </c>
      <c r="H1001" s="382">
        <v>2</v>
      </c>
      <c r="I1001" s="368">
        <v>0</v>
      </c>
      <c r="J1001" s="20"/>
      <c r="K1001" s="23"/>
      <c r="L1001" s="20"/>
      <c r="M1001" s="23"/>
      <c r="N1001" s="20"/>
      <c r="O1001" s="23"/>
      <c r="P1001" s="20"/>
      <c r="Q1001" s="23"/>
      <c r="R1001" s="20"/>
      <c r="S1001" s="23"/>
      <c r="T1001" s="54"/>
      <c r="U1001" s="53"/>
      <c r="V1001" s="35"/>
      <c r="W1001" s="374"/>
      <c r="X1001" s="53"/>
      <c r="Y1001" s="35"/>
      <c r="Z1001" s="54">
        <f t="shared" si="197"/>
        <v>2</v>
      </c>
      <c r="AA1001" s="40">
        <f t="shared" si="198"/>
        <v>0</v>
      </c>
      <c r="AB1001" s="53"/>
      <c r="AC1001" s="21" t="s">
        <v>58</v>
      </c>
      <c r="AD1001" s="53"/>
      <c r="AE1001" s="11"/>
      <c r="AH1001" s="25"/>
    </row>
    <row r="1002" spans="1:34" ht="135">
      <c r="A1002" s="16"/>
      <c r="B1002" s="17"/>
      <c r="C1002" s="29" t="s">
        <v>1237</v>
      </c>
      <c r="D1002" s="29" t="s">
        <v>1238</v>
      </c>
      <c r="E1002" s="20">
        <v>436</v>
      </c>
      <c r="F1002" s="47" t="s">
        <v>57</v>
      </c>
      <c r="G1002" s="23">
        <v>636173200</v>
      </c>
      <c r="H1002" s="382">
        <v>220</v>
      </c>
      <c r="I1002" s="22">
        <v>302691600</v>
      </c>
      <c r="J1002" s="20"/>
      <c r="K1002" s="23"/>
      <c r="L1002" s="20"/>
      <c r="M1002" s="23"/>
      <c r="N1002" s="20"/>
      <c r="O1002" s="23"/>
      <c r="P1002" s="20"/>
      <c r="Q1002" s="23"/>
      <c r="R1002" s="20"/>
      <c r="S1002" s="23"/>
      <c r="T1002" s="54"/>
      <c r="U1002" s="53"/>
      <c r="V1002" s="35"/>
      <c r="W1002" s="374"/>
      <c r="X1002" s="53"/>
      <c r="Y1002" s="35"/>
      <c r="Z1002" s="54">
        <f t="shared" si="197"/>
        <v>220</v>
      </c>
      <c r="AA1002" s="40">
        <f t="shared" si="198"/>
        <v>302691600</v>
      </c>
      <c r="AB1002" s="53"/>
      <c r="AC1002" s="21" t="s">
        <v>58</v>
      </c>
      <c r="AD1002" s="53"/>
      <c r="AE1002" s="11"/>
      <c r="AH1002" s="25"/>
    </row>
    <row r="1003" spans="1:34" ht="88.5" customHeight="1">
      <c r="A1003" s="16"/>
      <c r="B1003" s="17"/>
      <c r="C1003" s="29" t="s">
        <v>1239</v>
      </c>
      <c r="D1003" s="29" t="s">
        <v>1240</v>
      </c>
      <c r="E1003" s="20">
        <v>436</v>
      </c>
      <c r="F1003" s="47" t="s">
        <v>57</v>
      </c>
      <c r="G1003" s="23">
        <v>22199800</v>
      </c>
      <c r="H1003" s="382">
        <v>220</v>
      </c>
      <c r="I1003" s="22">
        <v>22199800</v>
      </c>
      <c r="J1003" s="20"/>
      <c r="K1003" s="23"/>
      <c r="L1003" s="20"/>
      <c r="M1003" s="23"/>
      <c r="N1003" s="20"/>
      <c r="O1003" s="23"/>
      <c r="P1003" s="20"/>
      <c r="Q1003" s="23"/>
      <c r="R1003" s="20"/>
      <c r="S1003" s="23"/>
      <c r="T1003" s="54"/>
      <c r="U1003" s="53"/>
      <c r="V1003" s="35"/>
      <c r="W1003" s="374"/>
      <c r="X1003" s="53"/>
      <c r="Y1003" s="35"/>
      <c r="Z1003" s="54">
        <f t="shared" si="197"/>
        <v>220</v>
      </c>
      <c r="AA1003" s="40">
        <f t="shared" si="198"/>
        <v>22199800</v>
      </c>
      <c r="AB1003" s="53"/>
      <c r="AC1003" s="21" t="s">
        <v>58</v>
      </c>
      <c r="AD1003" s="53"/>
      <c r="AE1003" s="11"/>
      <c r="AH1003" s="25"/>
    </row>
    <row r="1004" spans="1:34" ht="110.25">
      <c r="A1004" s="16"/>
      <c r="B1004" s="17"/>
      <c r="C1004" s="49" t="s">
        <v>1241</v>
      </c>
      <c r="D1004" s="19" t="s">
        <v>1242</v>
      </c>
      <c r="E1004" s="107">
        <v>6</v>
      </c>
      <c r="F1004" s="46" t="s">
        <v>55</v>
      </c>
      <c r="G1004" s="52">
        <f>SUM(G1008:G1011)</f>
        <v>2206297900</v>
      </c>
      <c r="H1004" s="107">
        <v>2</v>
      </c>
      <c r="I1004" s="52">
        <f>SUM(I1008:I1011)</f>
        <v>1129223200</v>
      </c>
      <c r="J1004" s="107">
        <v>2</v>
      </c>
      <c r="K1004" s="52">
        <f>SUM(K1008:K1011)</f>
        <v>13688146400</v>
      </c>
      <c r="L1004" s="107">
        <v>1</v>
      </c>
      <c r="M1004" s="52">
        <f>SUM(M1008:M1011)</f>
        <v>730030450</v>
      </c>
      <c r="N1004" s="107">
        <v>1</v>
      </c>
      <c r="O1004" s="52">
        <f>SUM(O1008:O1011)</f>
        <v>1094262400</v>
      </c>
      <c r="P1004" s="107">
        <v>1</v>
      </c>
      <c r="Q1004" s="52">
        <f>SUM(Q1008:Q1011)</f>
        <v>3790645600</v>
      </c>
      <c r="R1004" s="107"/>
      <c r="S1004" s="52">
        <f>SUM(S1008:S1011)</f>
        <v>7649312350</v>
      </c>
      <c r="T1004" s="55">
        <f t="shared" ref="T1004:T1013" si="206">SUM(L1004,N1004,P1004,R1004)</f>
        <v>3</v>
      </c>
      <c r="U1004" s="55">
        <f t="shared" ref="U1004:U1018" si="207">T1004/J1004*100</f>
        <v>150</v>
      </c>
      <c r="V1004" s="58" t="s">
        <v>58</v>
      </c>
      <c r="W1004" s="372">
        <f>SUM(M1004,O1004,Q1004,S1004)</f>
        <v>13264250800</v>
      </c>
      <c r="X1004" s="60">
        <f>W1004/K1004*100</f>
        <v>96.903192093269837</v>
      </c>
      <c r="Y1004" s="48" t="s">
        <v>58</v>
      </c>
      <c r="Z1004" s="55">
        <f t="shared" si="197"/>
        <v>5</v>
      </c>
      <c r="AA1004" s="56">
        <f t="shared" si="198"/>
        <v>14393474000</v>
      </c>
      <c r="AB1004" s="57"/>
      <c r="AC1004" s="46" t="s">
        <v>58</v>
      </c>
      <c r="AD1004" s="57"/>
      <c r="AE1004" s="11"/>
      <c r="AH1004" s="25"/>
    </row>
    <row r="1005" spans="1:34" ht="110.25">
      <c r="A1005" s="16"/>
      <c r="B1005" s="17"/>
      <c r="C1005" s="17"/>
      <c r="D1005" s="19" t="s">
        <v>1243</v>
      </c>
      <c r="E1005" s="108">
        <v>100</v>
      </c>
      <c r="F1005" s="46" t="s">
        <v>58</v>
      </c>
      <c r="G1005" s="97"/>
      <c r="H1005" s="108">
        <v>100</v>
      </c>
      <c r="I1005" s="97"/>
      <c r="J1005" s="108">
        <v>100</v>
      </c>
      <c r="K1005" s="97"/>
      <c r="L1005" s="108">
        <v>100</v>
      </c>
      <c r="M1005" s="97"/>
      <c r="N1005" s="108">
        <v>100</v>
      </c>
      <c r="O1005" s="97"/>
      <c r="P1005" s="108">
        <v>100</v>
      </c>
      <c r="Q1005" s="97"/>
      <c r="R1005" s="107"/>
      <c r="S1005" s="97"/>
      <c r="T1005" s="55">
        <f t="shared" si="206"/>
        <v>300</v>
      </c>
      <c r="U1005" s="55">
        <f t="shared" si="207"/>
        <v>300</v>
      </c>
      <c r="V1005" s="58" t="s">
        <v>58</v>
      </c>
      <c r="W1005" s="373"/>
      <c r="X1005" s="241"/>
      <c r="Y1005" s="16"/>
      <c r="Z1005" s="55">
        <f t="shared" si="197"/>
        <v>400</v>
      </c>
      <c r="AA1005" s="276"/>
      <c r="AB1005" s="57"/>
      <c r="AC1005" s="46"/>
      <c r="AD1005" s="57"/>
      <c r="AE1005" s="11"/>
      <c r="AH1005" s="25"/>
    </row>
    <row r="1006" spans="1:34" ht="110.25">
      <c r="A1006" s="16"/>
      <c r="B1006" s="17"/>
      <c r="C1006" s="17"/>
      <c r="D1006" s="19" t="s">
        <v>1244</v>
      </c>
      <c r="E1006" s="108">
        <v>100</v>
      </c>
      <c r="F1006" s="46" t="s">
        <v>58</v>
      </c>
      <c r="G1006" s="97"/>
      <c r="H1006" s="108">
        <v>100</v>
      </c>
      <c r="I1006" s="97"/>
      <c r="J1006" s="108">
        <v>100</v>
      </c>
      <c r="K1006" s="97"/>
      <c r="L1006" s="108">
        <v>100</v>
      </c>
      <c r="M1006" s="97"/>
      <c r="N1006" s="108">
        <v>100</v>
      </c>
      <c r="O1006" s="97"/>
      <c r="P1006" s="108">
        <v>100</v>
      </c>
      <c r="Q1006" s="97"/>
      <c r="R1006" s="107"/>
      <c r="S1006" s="97"/>
      <c r="T1006" s="55">
        <f t="shared" si="206"/>
        <v>300</v>
      </c>
      <c r="U1006" s="55">
        <f t="shared" si="207"/>
        <v>300</v>
      </c>
      <c r="V1006" s="58" t="s">
        <v>58</v>
      </c>
      <c r="W1006" s="373"/>
      <c r="X1006" s="241"/>
      <c r="Y1006" s="16"/>
      <c r="Z1006" s="55">
        <f t="shared" si="197"/>
        <v>400</v>
      </c>
      <c r="AA1006" s="276"/>
      <c r="AB1006" s="57"/>
      <c r="AC1006" s="46"/>
      <c r="AD1006" s="57"/>
      <c r="AE1006" s="11"/>
      <c r="AH1006" s="25"/>
    </row>
    <row r="1007" spans="1:34" ht="141.75">
      <c r="A1007" s="16"/>
      <c r="B1007" s="17"/>
      <c r="C1007" s="18"/>
      <c r="D1007" s="19" t="s">
        <v>1245</v>
      </c>
      <c r="E1007" s="107">
        <f>7230/9533*100</f>
        <v>75.841812650791979</v>
      </c>
      <c r="F1007" s="46" t="s">
        <v>58</v>
      </c>
      <c r="G1007" s="369"/>
      <c r="H1007" s="107">
        <f>4259/9533*100</f>
        <v>44.676387286268749</v>
      </c>
      <c r="I1007" s="82"/>
      <c r="J1007" s="107">
        <f>6862/9533*100</f>
        <v>71.98153781600756</v>
      </c>
      <c r="K1007" s="41"/>
      <c r="L1007" s="107">
        <f>3209/7555*100</f>
        <v>42.475181998676376</v>
      </c>
      <c r="M1007" s="41"/>
      <c r="N1007" s="107">
        <f>2825/7555*100</f>
        <v>37.392455327597617</v>
      </c>
      <c r="O1007" s="41"/>
      <c r="P1007" s="107">
        <v>0</v>
      </c>
      <c r="Q1007" s="41"/>
      <c r="R1007" s="45"/>
      <c r="S1007" s="41"/>
      <c r="T1007" s="55">
        <f t="shared" si="206"/>
        <v>79.867637326273993</v>
      </c>
      <c r="U1007" s="55">
        <f t="shared" si="207"/>
        <v>110.95572524502622</v>
      </c>
      <c r="V1007" s="58" t="s">
        <v>58</v>
      </c>
      <c r="W1007" s="380"/>
      <c r="X1007" s="244"/>
      <c r="Y1007" s="240"/>
      <c r="Z1007" s="55">
        <f t="shared" si="197"/>
        <v>124.54402461254274</v>
      </c>
      <c r="AA1007" s="94"/>
      <c r="AB1007" s="57"/>
      <c r="AC1007" s="46" t="s">
        <v>58</v>
      </c>
      <c r="AD1007" s="57"/>
      <c r="AE1007" s="11"/>
      <c r="AH1007" s="25"/>
    </row>
    <row r="1008" spans="1:34" ht="105">
      <c r="A1008" s="16"/>
      <c r="B1008" s="17"/>
      <c r="C1008" s="61" t="s">
        <v>1246</v>
      </c>
      <c r="D1008" s="29" t="s">
        <v>1247</v>
      </c>
      <c r="E1008" s="102">
        <v>93154</v>
      </c>
      <c r="F1008" s="47" t="s">
        <v>57</v>
      </c>
      <c r="G1008" s="370">
        <v>1097597300</v>
      </c>
      <c r="H1008" s="102">
        <v>93154</v>
      </c>
      <c r="I1008" s="371">
        <v>672684000</v>
      </c>
      <c r="J1008" s="102">
        <v>93154</v>
      </c>
      <c r="K1008" s="62">
        <v>115739000</v>
      </c>
      <c r="L1008" s="102">
        <v>93154</v>
      </c>
      <c r="M1008" s="62">
        <v>19050000</v>
      </c>
      <c r="N1008" s="20">
        <v>0</v>
      </c>
      <c r="O1008" s="62">
        <v>23518800</v>
      </c>
      <c r="P1008" s="20">
        <v>0</v>
      </c>
      <c r="Q1008" s="62">
        <v>27065000</v>
      </c>
      <c r="R1008" s="20">
        <v>0</v>
      </c>
      <c r="S1008" s="62">
        <v>46105200</v>
      </c>
      <c r="T1008" s="54">
        <f t="shared" si="206"/>
        <v>93154</v>
      </c>
      <c r="U1008" s="53">
        <f t="shared" si="207"/>
        <v>100</v>
      </c>
      <c r="V1008" s="35" t="s">
        <v>58</v>
      </c>
      <c r="W1008" s="385">
        <f t="shared" ref="W1008:W1018" si="208">SUM(M1008,O1008,Q1008,S1008)</f>
        <v>115739000</v>
      </c>
      <c r="X1008" s="53">
        <f t="shared" ref="X1008:X1018" si="209">W1008/K1008*100</f>
        <v>100</v>
      </c>
      <c r="Y1008" s="35" t="s">
        <v>58</v>
      </c>
      <c r="Z1008" s="54">
        <f t="shared" si="197"/>
        <v>186308</v>
      </c>
      <c r="AA1008" s="80">
        <f t="shared" ref="AA1008:AA1124" si="210">SUM(I1008,W1008)</f>
        <v>788423000</v>
      </c>
      <c r="AB1008" s="53"/>
      <c r="AC1008" s="21" t="s">
        <v>58</v>
      </c>
      <c r="AD1008" s="248"/>
      <c r="AE1008" s="11"/>
      <c r="AH1008" s="25"/>
    </row>
    <row r="1009" spans="1:34" ht="120">
      <c r="A1009" s="16"/>
      <c r="B1009" s="17"/>
      <c r="C1009" s="29" t="s">
        <v>1241</v>
      </c>
      <c r="D1009" s="29" t="s">
        <v>1248</v>
      </c>
      <c r="E1009" s="102">
        <f>E1010+E1011</f>
        <v>6794</v>
      </c>
      <c r="F1009" s="47" t="s">
        <v>1249</v>
      </c>
      <c r="G1009" s="50">
        <v>1108700600</v>
      </c>
      <c r="H1009" s="102">
        <f>H1010+H1011</f>
        <v>3822</v>
      </c>
      <c r="I1009" s="22">
        <v>456539200</v>
      </c>
      <c r="J1009" s="102">
        <f>J1010+J1011</f>
        <v>3983</v>
      </c>
      <c r="K1009" s="23">
        <v>322511000</v>
      </c>
      <c r="L1009" s="102">
        <f>L1010+L1011</f>
        <v>3209</v>
      </c>
      <c r="M1009" s="23">
        <v>81032400</v>
      </c>
      <c r="N1009" s="102">
        <f>N1010+N1011</f>
        <v>0</v>
      </c>
      <c r="O1009" s="23">
        <v>75048600</v>
      </c>
      <c r="P1009" s="102">
        <f>P1010+P1011</f>
        <v>149</v>
      </c>
      <c r="Q1009" s="23">
        <v>78048600</v>
      </c>
      <c r="R1009" s="102">
        <f>R1010+R1011</f>
        <v>108</v>
      </c>
      <c r="S1009" s="23">
        <f>86105200+666400</f>
        <v>86771600</v>
      </c>
      <c r="T1009" s="54">
        <f t="shared" si="206"/>
        <v>3466</v>
      </c>
      <c r="U1009" s="54">
        <f t="shared" si="207"/>
        <v>87.019834295756965</v>
      </c>
      <c r="V1009" s="35" t="s">
        <v>58</v>
      </c>
      <c r="W1009" s="374">
        <f t="shared" si="208"/>
        <v>320901200</v>
      </c>
      <c r="X1009" s="53">
        <f>W1009/K1009*100</f>
        <v>99.500854234429212</v>
      </c>
      <c r="Y1009" s="35" t="s">
        <v>58</v>
      </c>
      <c r="Z1009" s="54">
        <f t="shared" si="197"/>
        <v>7288</v>
      </c>
      <c r="AA1009" s="40">
        <f t="shared" si="210"/>
        <v>777440400</v>
      </c>
      <c r="AB1009" s="53"/>
      <c r="AC1009" s="21" t="s">
        <v>58</v>
      </c>
      <c r="AD1009" s="53"/>
      <c r="AE1009" s="11"/>
      <c r="AH1009" s="25"/>
    </row>
    <row r="1010" spans="1:34" ht="94.5" customHeight="1">
      <c r="A1010" s="16"/>
      <c r="B1010" s="17"/>
      <c r="C1010" s="29" t="s">
        <v>1250</v>
      </c>
      <c r="D1010" s="29" t="s">
        <v>1251</v>
      </c>
      <c r="E1010" s="20">
        <f>6054+500</f>
        <v>6554</v>
      </c>
      <c r="F1010" s="47" t="s">
        <v>1249</v>
      </c>
      <c r="G1010" s="50"/>
      <c r="H1010" s="102">
        <f>611+3009</f>
        <v>3620</v>
      </c>
      <c r="I1010" s="22"/>
      <c r="J1010" s="20">
        <v>3698</v>
      </c>
      <c r="K1010" s="23">
        <v>12297172000</v>
      </c>
      <c r="L1010" s="20">
        <v>3209</v>
      </c>
      <c r="M1010" s="23">
        <f>622546000+7402050</f>
        <v>629948050</v>
      </c>
      <c r="N1010" s="20">
        <v>0</v>
      </c>
      <c r="O1010" s="23">
        <v>995695000</v>
      </c>
      <c r="P1010" s="20">
        <v>0</v>
      </c>
      <c r="Q1010" s="23">
        <v>3240702000</v>
      </c>
      <c r="R1010" s="20">
        <v>0</v>
      </c>
      <c r="S1010" s="23">
        <v>7130535450</v>
      </c>
      <c r="T1010" s="54">
        <f t="shared" si="206"/>
        <v>3209</v>
      </c>
      <c r="U1010" s="54">
        <f t="shared" si="207"/>
        <v>86.77663601946999</v>
      </c>
      <c r="V1010" s="35" t="s">
        <v>58</v>
      </c>
      <c r="W1010" s="374">
        <f t="shared" si="208"/>
        <v>11996880500</v>
      </c>
      <c r="X1010" s="53">
        <f>W1010/K1010*100</f>
        <v>97.558044239765039</v>
      </c>
      <c r="Y1010" s="35" t="s">
        <v>58</v>
      </c>
      <c r="Z1010" s="54">
        <f t="shared" si="197"/>
        <v>6829</v>
      </c>
      <c r="AA1010" s="40">
        <f t="shared" si="210"/>
        <v>11996880500</v>
      </c>
      <c r="AB1010" s="53"/>
      <c r="AC1010" s="21" t="s">
        <v>58</v>
      </c>
      <c r="AD1010" s="53"/>
      <c r="AE1010" s="11"/>
      <c r="AH1010" s="25"/>
    </row>
    <row r="1011" spans="1:34" ht="150">
      <c r="A1011" s="16"/>
      <c r="B1011" s="17"/>
      <c r="C1011" s="29" t="s">
        <v>1252</v>
      </c>
      <c r="D1011" s="29" t="s">
        <v>1253</v>
      </c>
      <c r="E1011" s="102">
        <v>240</v>
      </c>
      <c r="F1011" s="47" t="s">
        <v>57</v>
      </c>
      <c r="G1011" s="50"/>
      <c r="H1011" s="102">
        <v>202</v>
      </c>
      <c r="I1011" s="22"/>
      <c r="J1011" s="20">
        <v>285</v>
      </c>
      <c r="K1011" s="23">
        <v>952724400</v>
      </c>
      <c r="L1011" s="20">
        <v>0</v>
      </c>
      <c r="M1011" s="23">
        <v>0</v>
      </c>
      <c r="N1011" s="20">
        <v>0</v>
      </c>
      <c r="O1011" s="23">
        <v>0</v>
      </c>
      <c r="P1011" s="20">
        <v>149</v>
      </c>
      <c r="Q1011" s="23">
        <v>444830000</v>
      </c>
      <c r="R1011" s="20">
        <f>257-149</f>
        <v>108</v>
      </c>
      <c r="S1011" s="23">
        <v>385900100</v>
      </c>
      <c r="T1011" s="54">
        <f t="shared" si="206"/>
        <v>257</v>
      </c>
      <c r="U1011" s="54">
        <f t="shared" si="207"/>
        <v>90.175438596491233</v>
      </c>
      <c r="V1011" s="35" t="s">
        <v>58</v>
      </c>
      <c r="W1011" s="374">
        <f t="shared" si="208"/>
        <v>830730100</v>
      </c>
      <c r="X1011" s="53">
        <f t="shared" si="209"/>
        <v>87.195216161147968</v>
      </c>
      <c r="Y1011" s="35" t="s">
        <v>58</v>
      </c>
      <c r="Z1011" s="54">
        <f t="shared" si="197"/>
        <v>459</v>
      </c>
      <c r="AA1011" s="40">
        <f t="shared" si="210"/>
        <v>830730100</v>
      </c>
      <c r="AB1011" s="53"/>
      <c r="AC1011" s="21" t="s">
        <v>58</v>
      </c>
      <c r="AD1011" s="53"/>
      <c r="AE1011" s="11"/>
      <c r="AH1011" s="25"/>
    </row>
    <row r="1012" spans="1:34" ht="76.5" customHeight="1">
      <c r="A1012" s="16"/>
      <c r="B1012" s="17"/>
      <c r="C1012" s="49" t="s">
        <v>1254</v>
      </c>
      <c r="D1012" s="358" t="s">
        <v>1231</v>
      </c>
      <c r="E1012" s="107">
        <f>E998</f>
        <v>14.316678074378281</v>
      </c>
      <c r="F1012" s="76" t="s">
        <v>58</v>
      </c>
      <c r="G1012" s="52">
        <f>SUM(G1014,G1017)</f>
        <v>484449800</v>
      </c>
      <c r="H1012" s="107">
        <f>H998</f>
        <v>8.6926762491444212</v>
      </c>
      <c r="I1012" s="52">
        <f>SUM(I1014,I1017)</f>
        <v>458414000</v>
      </c>
      <c r="J1012" s="107">
        <f>J998</f>
        <v>11.578827287246177</v>
      </c>
      <c r="K1012" s="52">
        <f>SUM(K1014,K1017)</f>
        <v>508120000</v>
      </c>
      <c r="L1012" s="107">
        <f>L998</f>
        <v>10.086035737921906</v>
      </c>
      <c r="M1012" s="52">
        <f>SUM(M1014,M1017)</f>
        <v>68100000</v>
      </c>
      <c r="N1012" s="107">
        <f>N998</f>
        <v>0</v>
      </c>
      <c r="O1012" s="52">
        <f>SUM(O1014,O1017)</f>
        <v>122939000</v>
      </c>
      <c r="P1012" s="107">
        <f>P998</f>
        <v>0</v>
      </c>
      <c r="Q1012" s="52">
        <f>SUM(Q1014,Q1017)</f>
        <v>83330000</v>
      </c>
      <c r="R1012" s="107">
        <f>R998</f>
        <v>0</v>
      </c>
      <c r="S1012" s="52">
        <f>SUM(S1014,S1017)</f>
        <v>186417000</v>
      </c>
      <c r="T1012" s="57">
        <f t="shared" si="206"/>
        <v>10.086035737921906</v>
      </c>
      <c r="U1012" s="55">
        <f t="shared" si="207"/>
        <v>87.107575643963969</v>
      </c>
      <c r="V1012" s="58" t="s">
        <v>58</v>
      </c>
      <c r="W1012" s="372">
        <f t="shared" si="208"/>
        <v>460786000</v>
      </c>
      <c r="X1012" s="60">
        <f>W1012/K1012*100</f>
        <v>90.68448398016217</v>
      </c>
      <c r="Y1012" s="48" t="s">
        <v>58</v>
      </c>
      <c r="Z1012" s="55">
        <f>SUM(H1012,T1012)</f>
        <v>18.778711987066327</v>
      </c>
      <c r="AA1012" s="56">
        <f t="shared" si="210"/>
        <v>919200000</v>
      </c>
      <c r="AB1012" s="57"/>
      <c r="AC1012" s="46" t="s">
        <v>58</v>
      </c>
      <c r="AD1012" s="60"/>
      <c r="AE1012" s="11"/>
      <c r="AH1012" s="25"/>
    </row>
    <row r="1013" spans="1:34" ht="70.5" customHeight="1">
      <c r="A1013" s="16"/>
      <c r="B1013" s="17"/>
      <c r="C1013" s="18"/>
      <c r="D1013" s="358" t="s">
        <v>1232</v>
      </c>
      <c r="E1013" s="107">
        <f>E999</f>
        <v>74.766141911932465</v>
      </c>
      <c r="F1013" s="76" t="s">
        <v>58</v>
      </c>
      <c r="G1013" s="41"/>
      <c r="H1013" s="107">
        <f>H999</f>
        <v>94.992014601870864</v>
      </c>
      <c r="I1013" s="41"/>
      <c r="J1013" s="107">
        <f>J999</f>
        <v>71.594798083504458</v>
      </c>
      <c r="K1013" s="41"/>
      <c r="L1013" s="107">
        <f>L999</f>
        <v>44.407677035076112</v>
      </c>
      <c r="M1013" s="41"/>
      <c r="N1013" s="107">
        <f>N999</f>
        <v>0</v>
      </c>
      <c r="O1013" s="41"/>
      <c r="P1013" s="107">
        <f>P999</f>
        <v>0</v>
      </c>
      <c r="Q1013" s="41"/>
      <c r="R1013" s="107">
        <f>R999</f>
        <v>0</v>
      </c>
      <c r="S1013" s="41"/>
      <c r="T1013" s="57">
        <f t="shared" si="206"/>
        <v>44.407677035076112</v>
      </c>
      <c r="U1013" s="55">
        <f t="shared" si="207"/>
        <v>62.026401671363473</v>
      </c>
      <c r="V1013" s="58" t="s">
        <v>58</v>
      </c>
      <c r="W1013" s="380"/>
      <c r="X1013" s="239"/>
      <c r="Y1013" s="240"/>
      <c r="Z1013" s="55">
        <f>SUM(H1013,T1013)</f>
        <v>139.39969163694698</v>
      </c>
      <c r="AA1013" s="94"/>
      <c r="AB1013" s="57"/>
      <c r="AC1013" s="46"/>
      <c r="AD1013" s="239"/>
      <c r="AE1013" s="11"/>
      <c r="AH1013" s="25"/>
    </row>
    <row r="1014" spans="1:34" ht="126">
      <c r="A1014" s="16"/>
      <c r="B1014" s="17"/>
      <c r="C1014" s="19" t="s">
        <v>1255</v>
      </c>
      <c r="D1014" s="358" t="s">
        <v>1256</v>
      </c>
      <c r="E1014" s="45">
        <v>100</v>
      </c>
      <c r="F1014" s="76" t="s">
        <v>58</v>
      </c>
      <c r="G1014" s="42">
        <f>SUM(G1015:G1016)</f>
        <v>0</v>
      </c>
      <c r="H1014" s="103">
        <v>100</v>
      </c>
      <c r="I1014" s="42">
        <f>SUM(I1015:I1016)</f>
        <v>0</v>
      </c>
      <c r="J1014" s="45">
        <v>100</v>
      </c>
      <c r="K1014" s="42">
        <f>SUM(K1015:K1016)</f>
        <v>63364000</v>
      </c>
      <c r="L1014" s="45">
        <v>100</v>
      </c>
      <c r="M1014" s="42">
        <f>SUM(M1015:M1016)</f>
        <v>0</v>
      </c>
      <c r="N1014" s="45">
        <v>100</v>
      </c>
      <c r="O1014" s="42">
        <f>SUM(O1015:O1016)</f>
        <v>62564000</v>
      </c>
      <c r="P1014" s="45">
        <v>100</v>
      </c>
      <c r="Q1014" s="42">
        <f>SUM(Q1015:Q1016)</f>
        <v>350000</v>
      </c>
      <c r="R1014" s="45">
        <v>100</v>
      </c>
      <c r="S1014" s="42">
        <f>SUM(S1015:S1016)</f>
        <v>0</v>
      </c>
      <c r="T1014" s="55">
        <f>AVERAGE(L1014,N1014,P1014,R1014)</f>
        <v>100</v>
      </c>
      <c r="U1014" s="55">
        <f t="shared" si="207"/>
        <v>100</v>
      </c>
      <c r="V1014" s="58" t="s">
        <v>58</v>
      </c>
      <c r="W1014" s="376">
        <f t="shared" si="208"/>
        <v>62914000</v>
      </c>
      <c r="X1014" s="57">
        <f t="shared" si="209"/>
        <v>99.289817562022591</v>
      </c>
      <c r="Y1014" s="58" t="s">
        <v>58</v>
      </c>
      <c r="Z1014" s="55">
        <f t="shared" ref="Z1014:Z1108" si="211">SUM(H1014,T1014)</f>
        <v>200</v>
      </c>
      <c r="AA1014" s="59">
        <f t="shared" si="210"/>
        <v>62914000</v>
      </c>
      <c r="AB1014" s="57"/>
      <c r="AC1014" s="46" t="s">
        <v>58</v>
      </c>
      <c r="AD1014" s="57"/>
      <c r="AE1014" s="11"/>
      <c r="AH1014" s="25"/>
    </row>
    <row r="1015" spans="1:34" ht="195">
      <c r="A1015" s="16"/>
      <c r="B1015" s="17"/>
      <c r="C1015" s="61" t="s">
        <v>1257</v>
      </c>
      <c r="D1015" s="29" t="s">
        <v>1258</v>
      </c>
      <c r="E1015" s="102"/>
      <c r="F1015" s="47" t="s">
        <v>57</v>
      </c>
      <c r="G1015" s="62"/>
      <c r="H1015" s="102"/>
      <c r="I1015" s="371"/>
      <c r="J1015" s="102">
        <v>300</v>
      </c>
      <c r="K1015" s="62">
        <v>32000000</v>
      </c>
      <c r="L1015" s="20">
        <v>0</v>
      </c>
      <c r="M1015" s="62">
        <v>0</v>
      </c>
      <c r="N1015" s="20">
        <v>108</v>
      </c>
      <c r="O1015" s="62">
        <v>31200000</v>
      </c>
      <c r="P1015" s="20">
        <v>192</v>
      </c>
      <c r="Q1015" s="62">
        <v>350000</v>
      </c>
      <c r="R1015" s="20">
        <v>0</v>
      </c>
      <c r="S1015" s="62">
        <v>0</v>
      </c>
      <c r="T1015" s="54">
        <f>AVERAGE(L1015,N1015,P1015,R1015)</f>
        <v>75</v>
      </c>
      <c r="U1015" s="54">
        <f t="shared" si="207"/>
        <v>25</v>
      </c>
      <c r="V1015" s="35" t="s">
        <v>58</v>
      </c>
      <c r="W1015" s="385">
        <f t="shared" si="208"/>
        <v>31550000</v>
      </c>
      <c r="X1015" s="248">
        <f t="shared" si="209"/>
        <v>98.59375</v>
      </c>
      <c r="Y1015" s="253" t="s">
        <v>58</v>
      </c>
      <c r="Z1015" s="54">
        <f t="shared" si="211"/>
        <v>75</v>
      </c>
      <c r="AA1015" s="80">
        <f t="shared" si="210"/>
        <v>31550000</v>
      </c>
      <c r="AB1015" s="53"/>
      <c r="AC1015" s="21" t="s">
        <v>58</v>
      </c>
      <c r="AD1015" s="248"/>
      <c r="AE1015" s="11"/>
      <c r="AH1015" s="25"/>
    </row>
    <row r="1016" spans="1:34" ht="240">
      <c r="A1016" s="16"/>
      <c r="B1016" s="17"/>
      <c r="C1016" s="61" t="s">
        <v>1259</v>
      </c>
      <c r="D1016" s="29" t="s">
        <v>1260</v>
      </c>
      <c r="E1016" s="102"/>
      <c r="F1016" s="47" t="s">
        <v>57</v>
      </c>
      <c r="G1016" s="62"/>
      <c r="H1016" s="102"/>
      <c r="I1016" s="371"/>
      <c r="J1016" s="102">
        <v>85</v>
      </c>
      <c r="K1016" s="62">
        <v>31364000</v>
      </c>
      <c r="L1016" s="20">
        <v>0</v>
      </c>
      <c r="M1016" s="62">
        <v>0</v>
      </c>
      <c r="N1016" s="20">
        <v>108</v>
      </c>
      <c r="O1016" s="62">
        <v>31364000</v>
      </c>
      <c r="P1016" s="20">
        <v>192</v>
      </c>
      <c r="Q1016" s="62">
        <v>0</v>
      </c>
      <c r="R1016" s="20">
        <v>0</v>
      </c>
      <c r="S1016" s="62">
        <v>0</v>
      </c>
      <c r="T1016" s="54">
        <f>AVERAGE(L1016,N1016,P1016,R1016)</f>
        <v>75</v>
      </c>
      <c r="U1016" s="54">
        <f t="shared" si="207"/>
        <v>88.235294117647058</v>
      </c>
      <c r="V1016" s="35" t="s">
        <v>58</v>
      </c>
      <c r="W1016" s="385">
        <f t="shared" si="208"/>
        <v>31364000</v>
      </c>
      <c r="X1016" s="248">
        <f t="shared" si="209"/>
        <v>100</v>
      </c>
      <c r="Y1016" s="253" t="s">
        <v>58</v>
      </c>
      <c r="Z1016" s="54">
        <f t="shared" si="211"/>
        <v>75</v>
      </c>
      <c r="AA1016" s="80">
        <f t="shared" si="210"/>
        <v>31364000</v>
      </c>
      <c r="AB1016" s="53"/>
      <c r="AC1016" s="21" t="s">
        <v>58</v>
      </c>
      <c r="AD1016" s="248"/>
      <c r="AE1016" s="11"/>
      <c r="AH1016" s="25"/>
    </row>
    <row r="1017" spans="1:34" ht="135" customHeight="1">
      <c r="A1017" s="16"/>
      <c r="B1017" s="17"/>
      <c r="C1017" s="19" t="s">
        <v>1261</v>
      </c>
      <c r="D1017" s="358" t="s">
        <v>1262</v>
      </c>
      <c r="E1017" s="103">
        <v>100</v>
      </c>
      <c r="F1017" s="76" t="s">
        <v>58</v>
      </c>
      <c r="G1017" s="42">
        <f>SUM(G1018:G1019)</f>
        <v>484449800</v>
      </c>
      <c r="H1017" s="103">
        <v>100</v>
      </c>
      <c r="I1017" s="42">
        <f>SUM(I1018:I1019)</f>
        <v>458414000</v>
      </c>
      <c r="J1017" s="103">
        <v>100</v>
      </c>
      <c r="K1017" s="42">
        <f>SUM(K1018:K1019)</f>
        <v>444756000</v>
      </c>
      <c r="L1017" s="103">
        <v>100</v>
      </c>
      <c r="M1017" s="42">
        <f>SUM(M1018:M1019)</f>
        <v>68100000</v>
      </c>
      <c r="N1017" s="45">
        <v>100</v>
      </c>
      <c r="O1017" s="42">
        <f>SUM(O1018:O1019)</f>
        <v>60375000</v>
      </c>
      <c r="P1017" s="45">
        <v>100</v>
      </c>
      <c r="Q1017" s="42">
        <f>SUM(Q1018:Q1019)</f>
        <v>82980000</v>
      </c>
      <c r="R1017" s="45">
        <v>100</v>
      </c>
      <c r="S1017" s="42">
        <f>SUM(S1018:S1019)</f>
        <v>186417000</v>
      </c>
      <c r="T1017" s="55">
        <f>AVERAGE(L1017,N1017,P1017,R1017)</f>
        <v>100</v>
      </c>
      <c r="U1017" s="55">
        <f t="shared" si="207"/>
        <v>100</v>
      </c>
      <c r="V1017" s="58" t="s">
        <v>58</v>
      </c>
      <c r="W1017" s="376">
        <f t="shared" si="208"/>
        <v>397872000</v>
      </c>
      <c r="X1017" s="57">
        <f t="shared" si="209"/>
        <v>89.458489598791246</v>
      </c>
      <c r="Y1017" s="58" t="s">
        <v>58</v>
      </c>
      <c r="Z1017" s="55">
        <f t="shared" si="211"/>
        <v>200</v>
      </c>
      <c r="AA1017" s="59">
        <f t="shared" si="210"/>
        <v>856286000</v>
      </c>
      <c r="AB1017" s="57"/>
      <c r="AC1017" s="46" t="s">
        <v>58</v>
      </c>
      <c r="AD1017" s="57"/>
      <c r="AE1017" s="11"/>
      <c r="AH1017" s="25"/>
    </row>
    <row r="1018" spans="1:34" ht="180">
      <c r="A1018" s="16"/>
      <c r="B1018" s="17"/>
      <c r="C1018" s="61" t="s">
        <v>1263</v>
      </c>
      <c r="D1018" s="29" t="s">
        <v>1264</v>
      </c>
      <c r="E1018" s="102">
        <f>76*2</f>
        <v>152</v>
      </c>
      <c r="F1018" s="47" t="s">
        <v>57</v>
      </c>
      <c r="G1018" s="62"/>
      <c r="H1018" s="102"/>
      <c r="I1018" s="371"/>
      <c r="J1018" s="102">
        <v>76</v>
      </c>
      <c r="K1018" s="62">
        <v>444756000</v>
      </c>
      <c r="L1018" s="20">
        <v>76</v>
      </c>
      <c r="M1018" s="62">
        <v>68100000</v>
      </c>
      <c r="N1018" s="20">
        <v>76</v>
      </c>
      <c r="O1018" s="62">
        <v>60375000</v>
      </c>
      <c r="P1018" s="20">
        <v>76</v>
      </c>
      <c r="Q1018" s="62">
        <v>82980000</v>
      </c>
      <c r="R1018" s="20">
        <v>76</v>
      </c>
      <c r="S1018" s="62">
        <v>186417000</v>
      </c>
      <c r="T1018" s="54">
        <f>AVERAGE(L1018,N1018,P1018,R1018)</f>
        <v>76</v>
      </c>
      <c r="U1018" s="54">
        <f t="shared" si="207"/>
        <v>100</v>
      </c>
      <c r="V1018" s="35" t="s">
        <v>58</v>
      </c>
      <c r="W1018" s="385">
        <f t="shared" si="208"/>
        <v>397872000</v>
      </c>
      <c r="X1018" s="248">
        <f t="shared" si="209"/>
        <v>89.458489598791246</v>
      </c>
      <c r="Y1018" s="253" t="s">
        <v>58</v>
      </c>
      <c r="Z1018" s="54">
        <f t="shared" si="211"/>
        <v>76</v>
      </c>
      <c r="AA1018" s="80">
        <f t="shared" si="210"/>
        <v>397872000</v>
      </c>
      <c r="AB1018" s="53"/>
      <c r="AC1018" s="21" t="s">
        <v>58</v>
      </c>
      <c r="AD1018" s="248"/>
      <c r="AE1018" s="11"/>
      <c r="AH1018" s="25"/>
    </row>
    <row r="1019" spans="1:34" ht="210">
      <c r="A1019" s="16"/>
      <c r="B1019" s="17"/>
      <c r="C1019" s="61" t="s">
        <v>1265</v>
      </c>
      <c r="D1019" s="29" t="s">
        <v>1266</v>
      </c>
      <c r="E1019" s="102">
        <v>1</v>
      </c>
      <c r="F1019" s="47" t="s">
        <v>1267</v>
      </c>
      <c r="G1019" s="62">
        <v>484449800</v>
      </c>
      <c r="H1019" s="102">
        <v>1</v>
      </c>
      <c r="I1019" s="371">
        <v>458414000</v>
      </c>
      <c r="J1019" s="102"/>
      <c r="K1019" s="62"/>
      <c r="L1019" s="20"/>
      <c r="M1019" s="62"/>
      <c r="N1019" s="20"/>
      <c r="O1019" s="62"/>
      <c r="P1019" s="20"/>
      <c r="Q1019" s="62"/>
      <c r="R1019" s="20"/>
      <c r="S1019" s="62"/>
      <c r="T1019" s="54"/>
      <c r="U1019" s="54"/>
      <c r="V1019" s="35"/>
      <c r="W1019" s="385"/>
      <c r="X1019" s="248"/>
      <c r="Y1019" s="253"/>
      <c r="Z1019" s="54">
        <f t="shared" si="211"/>
        <v>1</v>
      </c>
      <c r="AA1019" s="80">
        <f t="shared" si="210"/>
        <v>458414000</v>
      </c>
      <c r="AB1019" s="53"/>
      <c r="AC1019" s="21" t="s">
        <v>58</v>
      </c>
      <c r="AD1019" s="248"/>
      <c r="AE1019" s="11"/>
      <c r="AH1019" s="25"/>
    </row>
    <row r="1020" spans="1:34" ht="157.5">
      <c r="A1020" s="16"/>
      <c r="B1020" s="17"/>
      <c r="C1020" s="19" t="s">
        <v>1268</v>
      </c>
      <c r="D1020" s="19" t="s">
        <v>1187</v>
      </c>
      <c r="E1020" s="107">
        <f>E974</f>
        <v>63.179916317991633</v>
      </c>
      <c r="F1020" s="46" t="s">
        <v>58</v>
      </c>
      <c r="G1020" s="42">
        <f>SUM(G1021)</f>
        <v>1160910500</v>
      </c>
      <c r="H1020" s="107">
        <f>H974</f>
        <v>32.42677824267782</v>
      </c>
      <c r="I1020" s="42">
        <f>SUM(I1021)</f>
        <v>446051960</v>
      </c>
      <c r="J1020" s="107">
        <f>J974</f>
        <v>61.297071129707113</v>
      </c>
      <c r="K1020" s="42">
        <f>SUM(K1021)</f>
        <v>248188000</v>
      </c>
      <c r="L1020" s="107">
        <f>L974</f>
        <v>37.309644670050766</v>
      </c>
      <c r="M1020" s="42">
        <f>SUM(M1021)</f>
        <v>13032400</v>
      </c>
      <c r="N1020" s="107">
        <f>N974</f>
        <v>0</v>
      </c>
      <c r="O1020" s="42">
        <f>SUM(O1021)</f>
        <v>67966100</v>
      </c>
      <c r="P1020" s="107">
        <f>P974</f>
        <v>0</v>
      </c>
      <c r="Q1020" s="42">
        <f>SUM(Q1021)</f>
        <v>71903300</v>
      </c>
      <c r="R1020" s="107">
        <f>R974</f>
        <v>39.340101522842644</v>
      </c>
      <c r="S1020" s="42">
        <f>SUM(S1021)</f>
        <v>76798600</v>
      </c>
      <c r="T1020" s="55">
        <f>SUM(L1020,N1020,P1020,R1020)</f>
        <v>76.649746192893417</v>
      </c>
      <c r="U1020" s="55">
        <f>T1020/J1020*100</f>
        <v>125.04634361844045</v>
      </c>
      <c r="V1020" s="58" t="s">
        <v>58</v>
      </c>
      <c r="W1020" s="376">
        <f>SUM(M1020,O1020,Q1020,S1020)</f>
        <v>229700400</v>
      </c>
      <c r="X1020" s="57">
        <f>W1020/K1020*100</f>
        <v>92.55096942640256</v>
      </c>
      <c r="Y1020" s="58" t="s">
        <v>58</v>
      </c>
      <c r="Z1020" s="55">
        <f t="shared" si="211"/>
        <v>109.07652443557123</v>
      </c>
      <c r="AA1020" s="59">
        <f t="shared" si="210"/>
        <v>675752360</v>
      </c>
      <c r="AB1020" s="57"/>
      <c r="AC1020" s="46" t="s">
        <v>58</v>
      </c>
      <c r="AD1020" s="57"/>
      <c r="AE1020" s="11"/>
      <c r="AH1020" s="25"/>
    </row>
    <row r="1021" spans="1:34" ht="122.25" customHeight="1">
      <c r="A1021" s="16"/>
      <c r="B1021" s="17"/>
      <c r="C1021" s="19" t="s">
        <v>1269</v>
      </c>
      <c r="D1021" s="358" t="s">
        <v>1270</v>
      </c>
      <c r="E1021" s="45">
        <f>1/1*100</f>
        <v>100</v>
      </c>
      <c r="F1021" s="76" t="s">
        <v>58</v>
      </c>
      <c r="G1021" s="42">
        <f>SUM(G1022:G1023)</f>
        <v>1160910500</v>
      </c>
      <c r="H1021" s="45">
        <f>1/1*100</f>
        <v>100</v>
      </c>
      <c r="I1021" s="42">
        <f>SUM(I1022:I1023)</f>
        <v>446051960</v>
      </c>
      <c r="J1021" s="45">
        <f>1/1*100</f>
        <v>100</v>
      </c>
      <c r="K1021" s="42">
        <f>SUM(K1022:K1023)</f>
        <v>248188000</v>
      </c>
      <c r="L1021" s="45">
        <f>1/1*100</f>
        <v>100</v>
      </c>
      <c r="M1021" s="42">
        <f>SUM(M1022:M1023)</f>
        <v>13032400</v>
      </c>
      <c r="N1021" s="45">
        <v>0</v>
      </c>
      <c r="O1021" s="42">
        <f>SUM(O1022:O1023)</f>
        <v>67966100</v>
      </c>
      <c r="P1021" s="45">
        <v>0</v>
      </c>
      <c r="Q1021" s="42">
        <f>SUM(Q1022:Q1023)</f>
        <v>71903300</v>
      </c>
      <c r="R1021" s="45">
        <v>0</v>
      </c>
      <c r="S1021" s="42">
        <f>SUM(S1022:S1023)</f>
        <v>76798600</v>
      </c>
      <c r="T1021" s="55">
        <f>SUM(L1021,N1021,P1021,R1021)</f>
        <v>100</v>
      </c>
      <c r="U1021" s="55">
        <f>T1021/J1021*100</f>
        <v>100</v>
      </c>
      <c r="V1021" s="58" t="s">
        <v>58</v>
      </c>
      <c r="W1021" s="376">
        <f>SUM(M1021,O1021,Q1021,S1021)</f>
        <v>229700400</v>
      </c>
      <c r="X1021" s="57">
        <f>W1021/K1021*100</f>
        <v>92.55096942640256</v>
      </c>
      <c r="Y1021" s="58" t="s">
        <v>58</v>
      </c>
      <c r="Z1021" s="55">
        <f t="shared" si="211"/>
        <v>200</v>
      </c>
      <c r="AA1021" s="59">
        <f t="shared" si="210"/>
        <v>675752360</v>
      </c>
      <c r="AB1021" s="57"/>
      <c r="AC1021" s="46" t="s">
        <v>58</v>
      </c>
      <c r="AD1021" s="57"/>
      <c r="AE1021" s="11"/>
      <c r="AH1021" s="25"/>
    </row>
    <row r="1022" spans="1:34" ht="150">
      <c r="A1022" s="16"/>
      <c r="B1022" s="17"/>
      <c r="C1022" s="29" t="s">
        <v>1269</v>
      </c>
      <c r="D1022" s="29" t="s">
        <v>1271</v>
      </c>
      <c r="E1022" s="364">
        <v>1</v>
      </c>
      <c r="F1022" s="47" t="s">
        <v>1272</v>
      </c>
      <c r="G1022" s="50">
        <v>871561000</v>
      </c>
      <c r="H1022" s="364">
        <v>1</v>
      </c>
      <c r="I1022" s="22">
        <v>245480060</v>
      </c>
      <c r="J1022" s="20">
        <v>1</v>
      </c>
      <c r="K1022" s="23">
        <v>248188000</v>
      </c>
      <c r="L1022" s="20">
        <v>1</v>
      </c>
      <c r="M1022" s="23">
        <v>13032400</v>
      </c>
      <c r="N1022" s="20">
        <v>0</v>
      </c>
      <c r="O1022" s="23">
        <v>67966100</v>
      </c>
      <c r="P1022" s="20">
        <v>0</v>
      </c>
      <c r="Q1022" s="23">
        <v>71903300</v>
      </c>
      <c r="R1022" s="20"/>
      <c r="S1022" s="23">
        <v>76798600</v>
      </c>
      <c r="T1022" s="54">
        <f>SUM(L1022,N1022,P1022,R1022)</f>
        <v>1</v>
      </c>
      <c r="U1022" s="54">
        <f>T1022/J1022*100</f>
        <v>100</v>
      </c>
      <c r="V1022" s="35" t="s">
        <v>58</v>
      </c>
      <c r="W1022" s="374">
        <f>SUM(M1022,O1022,Q1022,S1022)</f>
        <v>229700400</v>
      </c>
      <c r="X1022" s="53">
        <f>W1022/K1022*100</f>
        <v>92.55096942640256</v>
      </c>
      <c r="Y1022" s="35" t="s">
        <v>58</v>
      </c>
      <c r="Z1022" s="54">
        <f t="shared" si="211"/>
        <v>2</v>
      </c>
      <c r="AA1022" s="40">
        <f t="shared" si="210"/>
        <v>475180460</v>
      </c>
      <c r="AB1022" s="53"/>
      <c r="AC1022" s="21" t="s">
        <v>58</v>
      </c>
      <c r="AD1022" s="53"/>
      <c r="AE1022" s="11"/>
      <c r="AH1022" s="25"/>
    </row>
    <row r="1023" spans="1:34" ht="115.5" customHeight="1">
      <c r="A1023" s="16"/>
      <c r="B1023" s="17"/>
      <c r="C1023" s="29" t="s">
        <v>1273</v>
      </c>
      <c r="D1023" s="29" t="s">
        <v>1274</v>
      </c>
      <c r="E1023" s="20">
        <v>1</v>
      </c>
      <c r="F1023" s="47" t="s">
        <v>55</v>
      </c>
      <c r="G1023" s="23">
        <v>289349500</v>
      </c>
      <c r="H1023" s="20">
        <v>1</v>
      </c>
      <c r="I1023" s="22">
        <v>200571900</v>
      </c>
      <c r="J1023" s="20"/>
      <c r="K1023" s="23"/>
      <c r="L1023" s="20"/>
      <c r="M1023" s="23"/>
      <c r="N1023" s="20"/>
      <c r="O1023" s="23"/>
      <c r="P1023" s="20"/>
      <c r="Q1023" s="23"/>
      <c r="R1023" s="20"/>
      <c r="S1023" s="23"/>
      <c r="T1023" s="54"/>
      <c r="U1023" s="54"/>
      <c r="V1023" s="35"/>
      <c r="W1023" s="374"/>
      <c r="X1023" s="53"/>
      <c r="Y1023" s="35"/>
      <c r="Z1023" s="54">
        <f t="shared" si="211"/>
        <v>1</v>
      </c>
      <c r="AA1023" s="40">
        <f t="shared" si="210"/>
        <v>200571900</v>
      </c>
      <c r="AB1023" s="53"/>
      <c r="AC1023" s="21" t="s">
        <v>58</v>
      </c>
      <c r="AD1023" s="53"/>
      <c r="AE1023" s="11"/>
      <c r="AH1023" s="25"/>
    </row>
    <row r="1024" spans="1:34" s="966" customFormat="1" ht="153.75" customHeight="1">
      <c r="A1024" s="954">
        <v>1</v>
      </c>
      <c r="B1024" s="955" t="s">
        <v>29</v>
      </c>
      <c r="C1024" s="956" t="s">
        <v>68</v>
      </c>
      <c r="D1024" s="957" t="s">
        <v>143</v>
      </c>
      <c r="E1024" s="958">
        <v>100</v>
      </c>
      <c r="F1024" s="959" t="s">
        <v>58</v>
      </c>
      <c r="G1024" s="942">
        <f t="shared" ref="G1024:K1024" si="212">SUM(G1025,G1028,G1033,G1039,G1041,G1044)</f>
        <v>0</v>
      </c>
      <c r="H1024" s="958">
        <v>200</v>
      </c>
      <c r="I1024" s="942">
        <f t="shared" si="212"/>
        <v>3298269593</v>
      </c>
      <c r="J1024" s="958">
        <v>100</v>
      </c>
      <c r="K1024" s="942">
        <f t="shared" si="212"/>
        <v>3629775096</v>
      </c>
      <c r="L1024" s="960">
        <v>100</v>
      </c>
      <c r="M1024" s="942">
        <f>SUM(M1025,M1028,M1033,M1039,M1041,M1044)</f>
        <v>0</v>
      </c>
      <c r="N1024" s="960">
        <v>100</v>
      </c>
      <c r="O1024" s="942">
        <f t="shared" ref="O1024:Q1024" si="213">O1025+O1028+O1033+O1039+O1041+O1044</f>
        <v>1930366623</v>
      </c>
      <c r="P1024" s="960">
        <v>100</v>
      </c>
      <c r="Q1024" s="942">
        <f t="shared" si="213"/>
        <v>581250662</v>
      </c>
      <c r="R1024" s="960">
        <v>100</v>
      </c>
      <c r="S1024" s="942">
        <f>S1025+S1028+S1033+S1039+S1041+S1044</f>
        <v>949712906</v>
      </c>
      <c r="T1024" s="961">
        <f>AVERAGE(L1024,N1024,P1024,R1024)</f>
        <v>100</v>
      </c>
      <c r="U1024" s="961">
        <f t="shared" ref="U1024:U1026" si="214">T1024/J1024*100</f>
        <v>100</v>
      </c>
      <c r="V1024" s="962" t="s">
        <v>58</v>
      </c>
      <c r="W1024" s="963">
        <f t="shared" ref="W1024:W1026" si="215">SUM(M1024,O1024,Q1024,S1024)</f>
        <v>3461330191</v>
      </c>
      <c r="X1024" s="961">
        <f t="shared" ref="X1024:X1026" si="216">W1024/K1024*100</f>
        <v>95.359356969922857</v>
      </c>
      <c r="Y1024" s="962" t="s">
        <v>58</v>
      </c>
      <c r="Z1024" s="961">
        <f t="shared" si="211"/>
        <v>300</v>
      </c>
      <c r="AA1024" s="964">
        <f t="shared" si="210"/>
        <v>6759599784</v>
      </c>
      <c r="AB1024" s="961"/>
      <c r="AC1024" s="962" t="s">
        <v>58</v>
      </c>
      <c r="AD1024" s="961"/>
      <c r="AE1024" s="965" t="s">
        <v>2714</v>
      </c>
      <c r="AH1024" s="943">
        <f>M1024+O1024+Q1024+S1024</f>
        <v>3461330191</v>
      </c>
    </row>
    <row r="1025" spans="1:34" s="973" customFormat="1" ht="120" customHeight="1">
      <c r="A1025" s="954">
        <v>2</v>
      </c>
      <c r="B1025" s="967" t="s">
        <v>30</v>
      </c>
      <c r="C1025" s="968" t="s">
        <v>309</v>
      </c>
      <c r="D1025" s="956" t="s">
        <v>139</v>
      </c>
      <c r="E1025" s="958">
        <f t="shared" ref="E1025:S1025" si="217">SUM(E1026:E1027)</f>
        <v>45</v>
      </c>
      <c r="F1025" s="959" t="s">
        <v>55</v>
      </c>
      <c r="G1025" s="942">
        <f t="shared" si="217"/>
        <v>0</v>
      </c>
      <c r="H1025" s="958">
        <v>30</v>
      </c>
      <c r="I1025" s="942">
        <f t="shared" si="217"/>
        <v>5600000</v>
      </c>
      <c r="J1025" s="958">
        <f t="shared" si="217"/>
        <v>5</v>
      </c>
      <c r="K1025" s="942">
        <f t="shared" si="217"/>
        <v>8900000</v>
      </c>
      <c r="L1025" s="958">
        <f t="shared" si="217"/>
        <v>0</v>
      </c>
      <c r="M1025" s="942">
        <f t="shared" si="217"/>
        <v>0</v>
      </c>
      <c r="N1025" s="958">
        <f t="shared" si="217"/>
        <v>0</v>
      </c>
      <c r="O1025" s="942">
        <f t="shared" si="217"/>
        <v>0</v>
      </c>
      <c r="P1025" s="958">
        <f t="shared" si="217"/>
        <v>0</v>
      </c>
      <c r="Q1025" s="942">
        <f t="shared" si="217"/>
        <v>0</v>
      </c>
      <c r="R1025" s="960">
        <v>100</v>
      </c>
      <c r="S1025" s="942">
        <f t="shared" si="217"/>
        <v>0</v>
      </c>
      <c r="T1025" s="969">
        <f t="shared" ref="T1025:T1028" si="218">SUM(L1025,N1025,P1025,R1025)</f>
        <v>100</v>
      </c>
      <c r="U1025" s="962">
        <f t="shared" si="214"/>
        <v>2000</v>
      </c>
      <c r="V1025" s="959" t="s">
        <v>58</v>
      </c>
      <c r="W1025" s="970">
        <f t="shared" si="215"/>
        <v>0</v>
      </c>
      <c r="X1025" s="971">
        <f t="shared" si="216"/>
        <v>0</v>
      </c>
      <c r="Y1025" s="959" t="s">
        <v>58</v>
      </c>
      <c r="Z1025" s="969">
        <f t="shared" si="211"/>
        <v>130</v>
      </c>
      <c r="AA1025" s="964">
        <f t="shared" si="210"/>
        <v>5600000</v>
      </c>
      <c r="AB1025" s="961"/>
      <c r="AC1025" s="959" t="s">
        <v>58</v>
      </c>
      <c r="AD1025" s="961"/>
      <c r="AE1025" s="972"/>
      <c r="AH1025" s="944"/>
    </row>
    <row r="1026" spans="1:34" s="966" customFormat="1" ht="90">
      <c r="A1026" s="974"/>
      <c r="B1026" s="955"/>
      <c r="C1026" s="975" t="s">
        <v>69</v>
      </c>
      <c r="D1026" s="975" t="s">
        <v>2715</v>
      </c>
      <c r="E1026" s="976">
        <f>5*3</f>
        <v>15</v>
      </c>
      <c r="F1026" s="977" t="s">
        <v>55</v>
      </c>
      <c r="G1026" s="945"/>
      <c r="H1026" s="976">
        <v>10</v>
      </c>
      <c r="I1026" s="945">
        <v>4875000</v>
      </c>
      <c r="J1026" s="976">
        <v>5</v>
      </c>
      <c r="K1026" s="945">
        <v>8900000</v>
      </c>
      <c r="L1026" s="976">
        <v>0</v>
      </c>
      <c r="M1026" s="945">
        <v>0</v>
      </c>
      <c r="N1026" s="976">
        <v>0</v>
      </c>
      <c r="O1026" s="945">
        <v>0</v>
      </c>
      <c r="P1026" s="976">
        <v>0</v>
      </c>
      <c r="Q1026" s="945">
        <v>0</v>
      </c>
      <c r="R1026" s="960">
        <v>100</v>
      </c>
      <c r="S1026" s="945">
        <v>0</v>
      </c>
      <c r="T1026" s="978">
        <f t="shared" si="218"/>
        <v>100</v>
      </c>
      <c r="U1026" s="979">
        <f t="shared" si="214"/>
        <v>2000</v>
      </c>
      <c r="V1026" s="980" t="s">
        <v>58</v>
      </c>
      <c r="W1026" s="981">
        <f t="shared" si="215"/>
        <v>0</v>
      </c>
      <c r="X1026" s="979">
        <f t="shared" si="216"/>
        <v>0</v>
      </c>
      <c r="Y1026" s="980" t="s">
        <v>58</v>
      </c>
      <c r="Z1026" s="978">
        <f t="shared" si="211"/>
        <v>110</v>
      </c>
      <c r="AA1026" s="982">
        <f t="shared" si="210"/>
        <v>4875000</v>
      </c>
      <c r="AB1026" s="979"/>
      <c r="AC1026" s="980" t="s">
        <v>58</v>
      </c>
      <c r="AD1026" s="979"/>
      <c r="AE1026" s="983"/>
      <c r="AH1026" s="943"/>
    </row>
    <row r="1027" spans="1:34" s="966" customFormat="1" ht="75">
      <c r="A1027" s="974"/>
      <c r="B1027" s="955"/>
      <c r="C1027" s="975" t="s">
        <v>70</v>
      </c>
      <c r="D1027" s="975" t="s">
        <v>1730</v>
      </c>
      <c r="E1027" s="976">
        <f>10*3</f>
        <v>30</v>
      </c>
      <c r="F1027" s="977" t="s">
        <v>173</v>
      </c>
      <c r="G1027" s="945"/>
      <c r="H1027" s="976">
        <v>20</v>
      </c>
      <c r="I1027" s="945">
        <v>725000</v>
      </c>
      <c r="J1027" s="976"/>
      <c r="K1027" s="945"/>
      <c r="L1027" s="976"/>
      <c r="M1027" s="945"/>
      <c r="N1027" s="976"/>
      <c r="O1027" s="945"/>
      <c r="P1027" s="976"/>
      <c r="Q1027" s="945"/>
      <c r="R1027" s="960">
        <v>100</v>
      </c>
      <c r="S1027" s="945"/>
      <c r="T1027" s="978"/>
      <c r="U1027" s="979"/>
      <c r="V1027" s="980"/>
      <c r="W1027" s="981"/>
      <c r="X1027" s="979"/>
      <c r="Y1027" s="980"/>
      <c r="Z1027" s="978">
        <f t="shared" si="211"/>
        <v>20</v>
      </c>
      <c r="AA1027" s="982">
        <f t="shared" si="210"/>
        <v>725000</v>
      </c>
      <c r="AB1027" s="979"/>
      <c r="AC1027" s="980" t="s">
        <v>58</v>
      </c>
      <c r="AD1027" s="979"/>
      <c r="AE1027" s="983"/>
      <c r="AH1027" s="943"/>
    </row>
    <row r="1028" spans="1:34" s="966" customFormat="1" ht="114" customHeight="1">
      <c r="A1028" s="974"/>
      <c r="B1028" s="955"/>
      <c r="C1028" s="956" t="s">
        <v>71</v>
      </c>
      <c r="D1028" s="956" t="s">
        <v>140</v>
      </c>
      <c r="E1028" s="984">
        <f>SUM(E1030:E1032)</f>
        <v>42</v>
      </c>
      <c r="F1028" s="985" t="s">
        <v>55</v>
      </c>
      <c r="G1028" s="942">
        <f t="shared" ref="G1028:K1028" si="219">SUM(G1029:G1032)</f>
        <v>0</v>
      </c>
      <c r="H1028" s="984">
        <v>28</v>
      </c>
      <c r="I1028" s="942">
        <f t="shared" si="219"/>
        <v>3022676993</v>
      </c>
      <c r="J1028" s="984">
        <f t="shared" ref="J1028:N1028" si="220">SUM(J1030:J1032)</f>
        <v>14</v>
      </c>
      <c r="K1028" s="942">
        <f t="shared" si="219"/>
        <v>3201578508</v>
      </c>
      <c r="L1028" s="984">
        <f t="shared" si="220"/>
        <v>3</v>
      </c>
      <c r="M1028" s="942">
        <f>SUM(M1029:M1032)</f>
        <v>0</v>
      </c>
      <c r="N1028" s="984">
        <f t="shared" si="220"/>
        <v>0</v>
      </c>
      <c r="O1028" s="942">
        <f t="shared" ref="O1028:S1028" si="221">O1029+O1030+O1031+O1032</f>
        <v>1859088922</v>
      </c>
      <c r="P1028" s="984">
        <f>SUM(P1030:P1032)</f>
        <v>4</v>
      </c>
      <c r="Q1028" s="942">
        <f t="shared" si="221"/>
        <v>581250662</v>
      </c>
      <c r="R1028" s="960">
        <v>100</v>
      </c>
      <c r="S1028" s="942">
        <f t="shared" si="221"/>
        <v>711762182</v>
      </c>
      <c r="T1028" s="969">
        <f t="shared" si="218"/>
        <v>107</v>
      </c>
      <c r="U1028" s="961">
        <f t="shared" ref="U1028:U1046" si="222">T1028/J1028*100</f>
        <v>764.28571428571433</v>
      </c>
      <c r="V1028" s="962" t="s">
        <v>58</v>
      </c>
      <c r="W1028" s="963">
        <f t="shared" ref="W1028:W1046" si="223">SUM(M1028,O1028,Q1028,S1028)</f>
        <v>3152101766</v>
      </c>
      <c r="X1028" s="961">
        <f t="shared" ref="X1028:X1046" si="224">W1028/K1028*100</f>
        <v>98.454614126239008</v>
      </c>
      <c r="Y1028" s="962" t="s">
        <v>58</v>
      </c>
      <c r="Z1028" s="969">
        <f t="shared" si="211"/>
        <v>135</v>
      </c>
      <c r="AA1028" s="964">
        <f t="shared" si="210"/>
        <v>6174778759</v>
      </c>
      <c r="AB1028" s="961"/>
      <c r="AC1028" s="962" t="s">
        <v>58</v>
      </c>
      <c r="AD1028" s="961"/>
      <c r="AE1028" s="983"/>
      <c r="AH1028" s="943"/>
    </row>
    <row r="1029" spans="1:34" s="966" customFormat="1" ht="94.5" customHeight="1">
      <c r="A1029" s="974"/>
      <c r="B1029" s="955"/>
      <c r="C1029" s="975" t="s">
        <v>1173</v>
      </c>
      <c r="D1029" s="986" t="s">
        <v>2716</v>
      </c>
      <c r="E1029" s="987">
        <f>12*3</f>
        <v>36</v>
      </c>
      <c r="F1029" s="988" t="s">
        <v>57</v>
      </c>
      <c r="G1029" s="942"/>
      <c r="H1029" s="987">
        <v>24</v>
      </c>
      <c r="I1029" s="945">
        <v>3020376993</v>
      </c>
      <c r="J1029" s="987">
        <v>26</v>
      </c>
      <c r="K1029" s="945">
        <v>3197898508</v>
      </c>
      <c r="L1029" s="987">
        <v>26</v>
      </c>
      <c r="M1029" s="945">
        <v>0</v>
      </c>
      <c r="N1029" s="987">
        <v>26</v>
      </c>
      <c r="O1029" s="945">
        <v>1859088922</v>
      </c>
      <c r="P1029" s="987">
        <v>26</v>
      </c>
      <c r="Q1029" s="945">
        <v>581250662</v>
      </c>
      <c r="R1029" s="960">
        <v>100</v>
      </c>
      <c r="S1029" s="989">
        <v>711762182</v>
      </c>
      <c r="T1029" s="978">
        <f>AVERAGE(L1029,N1029,P1029,R1029)</f>
        <v>44.5</v>
      </c>
      <c r="U1029" s="979">
        <f t="shared" si="222"/>
        <v>171.15384615384613</v>
      </c>
      <c r="V1029" s="980" t="s">
        <v>58</v>
      </c>
      <c r="W1029" s="981">
        <f t="shared" si="223"/>
        <v>3152101766</v>
      </c>
      <c r="X1029" s="979">
        <f t="shared" si="224"/>
        <v>98.567911336603302</v>
      </c>
      <c r="Y1029" s="980" t="s">
        <v>58</v>
      </c>
      <c r="Z1029" s="978">
        <f t="shared" si="211"/>
        <v>68.5</v>
      </c>
      <c r="AA1029" s="982">
        <f t="shared" si="210"/>
        <v>6172478759</v>
      </c>
      <c r="AB1029" s="979"/>
      <c r="AC1029" s="980" t="s">
        <v>58</v>
      </c>
      <c r="AD1029" s="961"/>
      <c r="AE1029" s="983"/>
      <c r="AH1029" s="943"/>
    </row>
    <row r="1030" spans="1:34" s="966" customFormat="1" ht="180" customHeight="1">
      <c r="A1030" s="974"/>
      <c r="B1030" s="955"/>
      <c r="C1030" s="975" t="s">
        <v>73</v>
      </c>
      <c r="D1030" s="975" t="s">
        <v>319</v>
      </c>
      <c r="E1030" s="987">
        <f t="shared" ref="E1030:E1033" si="225">1*3</f>
        <v>3</v>
      </c>
      <c r="F1030" s="988" t="s">
        <v>173</v>
      </c>
      <c r="G1030" s="946"/>
      <c r="H1030" s="987">
        <v>2</v>
      </c>
      <c r="I1030" s="945">
        <v>1050000</v>
      </c>
      <c r="J1030" s="987">
        <v>1</v>
      </c>
      <c r="K1030" s="945">
        <v>1400000</v>
      </c>
      <c r="L1030" s="987">
        <v>0</v>
      </c>
      <c r="M1030" s="945">
        <v>0</v>
      </c>
      <c r="N1030" s="987"/>
      <c r="O1030" s="945">
        <v>0</v>
      </c>
      <c r="P1030" s="990" t="s">
        <v>449</v>
      </c>
      <c r="Q1030" s="945">
        <v>0</v>
      </c>
      <c r="R1030" s="960">
        <v>100</v>
      </c>
      <c r="S1030" s="945">
        <v>0</v>
      </c>
      <c r="T1030" s="978">
        <f t="shared" ref="T1030:T1038" si="226">SUM(L1030,N1030,P1030,R1030)</f>
        <v>100</v>
      </c>
      <c r="U1030" s="979">
        <f t="shared" si="222"/>
        <v>10000</v>
      </c>
      <c r="V1030" s="980" t="s">
        <v>58</v>
      </c>
      <c r="W1030" s="981">
        <f t="shared" si="223"/>
        <v>0</v>
      </c>
      <c r="X1030" s="979">
        <f t="shared" si="224"/>
        <v>0</v>
      </c>
      <c r="Y1030" s="980" t="s">
        <v>58</v>
      </c>
      <c r="Z1030" s="978">
        <f t="shared" si="211"/>
        <v>102</v>
      </c>
      <c r="AA1030" s="982">
        <f t="shared" si="210"/>
        <v>1050000</v>
      </c>
      <c r="AB1030" s="979"/>
      <c r="AC1030" s="980" t="s">
        <v>58</v>
      </c>
      <c r="AD1030" s="979"/>
      <c r="AE1030" s="991"/>
      <c r="AH1030" s="943">
        <f t="shared" ref="AH1030:AH1033" si="227">M1030+O1030+Q1030+S1030</f>
        <v>0</v>
      </c>
    </row>
    <row r="1031" spans="1:34" s="966" customFormat="1" ht="120">
      <c r="A1031" s="974"/>
      <c r="B1031" s="955"/>
      <c r="C1031" s="975" t="s">
        <v>1174</v>
      </c>
      <c r="D1031" s="975" t="s">
        <v>2717</v>
      </c>
      <c r="E1031" s="987">
        <f>12*3</f>
        <v>36</v>
      </c>
      <c r="F1031" s="988" t="s">
        <v>173</v>
      </c>
      <c r="G1031" s="946"/>
      <c r="H1031" s="987">
        <v>24</v>
      </c>
      <c r="I1031" s="945">
        <v>300000</v>
      </c>
      <c r="J1031" s="987">
        <v>12</v>
      </c>
      <c r="K1031" s="945">
        <v>1140000</v>
      </c>
      <c r="L1031" s="987">
        <v>3</v>
      </c>
      <c r="M1031" s="945">
        <v>0</v>
      </c>
      <c r="N1031" s="987"/>
      <c r="O1031" s="945">
        <v>0</v>
      </c>
      <c r="P1031" s="987">
        <v>3</v>
      </c>
      <c r="Q1031" s="945">
        <v>0</v>
      </c>
      <c r="R1031" s="960">
        <v>100</v>
      </c>
      <c r="S1031" s="945">
        <v>0</v>
      </c>
      <c r="T1031" s="978">
        <f t="shared" si="226"/>
        <v>106</v>
      </c>
      <c r="U1031" s="979">
        <f t="shared" si="222"/>
        <v>883.33333333333337</v>
      </c>
      <c r="V1031" s="980" t="s">
        <v>58</v>
      </c>
      <c r="W1031" s="981">
        <f t="shared" si="223"/>
        <v>0</v>
      </c>
      <c r="X1031" s="979">
        <f t="shared" si="224"/>
        <v>0</v>
      </c>
      <c r="Y1031" s="980" t="s">
        <v>58</v>
      </c>
      <c r="Z1031" s="978">
        <f t="shared" si="211"/>
        <v>130</v>
      </c>
      <c r="AA1031" s="982">
        <f t="shared" si="210"/>
        <v>300000</v>
      </c>
      <c r="AB1031" s="979"/>
      <c r="AC1031" s="980" t="s">
        <v>58</v>
      </c>
      <c r="AD1031" s="979"/>
      <c r="AE1031" s="983"/>
      <c r="AH1031" s="943">
        <f t="shared" si="227"/>
        <v>0</v>
      </c>
    </row>
    <row r="1032" spans="1:34" s="966" customFormat="1" ht="90">
      <c r="A1032" s="974"/>
      <c r="B1032" s="955"/>
      <c r="C1032" s="975" t="s">
        <v>75</v>
      </c>
      <c r="D1032" s="975" t="s">
        <v>321</v>
      </c>
      <c r="E1032" s="987">
        <f t="shared" si="225"/>
        <v>3</v>
      </c>
      <c r="F1032" s="988" t="s">
        <v>55</v>
      </c>
      <c r="G1032" s="946"/>
      <c r="H1032" s="987">
        <v>2</v>
      </c>
      <c r="I1032" s="945">
        <v>950000</v>
      </c>
      <c r="J1032" s="987">
        <v>1</v>
      </c>
      <c r="K1032" s="945">
        <v>1140000</v>
      </c>
      <c r="L1032" s="987">
        <v>0</v>
      </c>
      <c r="M1032" s="945">
        <v>0</v>
      </c>
      <c r="N1032" s="987"/>
      <c r="O1032" s="945">
        <v>0</v>
      </c>
      <c r="P1032" s="987">
        <v>1</v>
      </c>
      <c r="Q1032" s="945">
        <v>0</v>
      </c>
      <c r="R1032" s="960">
        <v>100</v>
      </c>
      <c r="S1032" s="945">
        <v>0</v>
      </c>
      <c r="T1032" s="978">
        <f t="shared" si="226"/>
        <v>101</v>
      </c>
      <c r="U1032" s="979">
        <f t="shared" si="222"/>
        <v>10100</v>
      </c>
      <c r="V1032" s="980" t="s">
        <v>58</v>
      </c>
      <c r="W1032" s="981">
        <f t="shared" si="223"/>
        <v>0</v>
      </c>
      <c r="X1032" s="979">
        <f t="shared" si="224"/>
        <v>0</v>
      </c>
      <c r="Y1032" s="980" t="s">
        <v>58</v>
      </c>
      <c r="Z1032" s="978">
        <f t="shared" si="211"/>
        <v>103</v>
      </c>
      <c r="AA1032" s="982">
        <f t="shared" si="210"/>
        <v>950000</v>
      </c>
      <c r="AB1032" s="979"/>
      <c r="AC1032" s="980" t="s">
        <v>58</v>
      </c>
      <c r="AD1032" s="979"/>
      <c r="AE1032" s="983"/>
      <c r="AH1032" s="943">
        <f t="shared" si="227"/>
        <v>0</v>
      </c>
    </row>
    <row r="1033" spans="1:34" s="966" customFormat="1" ht="111" customHeight="1">
      <c r="A1033" s="974"/>
      <c r="B1033" s="955"/>
      <c r="C1033" s="956" t="s">
        <v>76</v>
      </c>
      <c r="D1033" s="956" t="s">
        <v>141</v>
      </c>
      <c r="E1033" s="984">
        <f t="shared" si="225"/>
        <v>3</v>
      </c>
      <c r="F1033" s="985" t="s">
        <v>55</v>
      </c>
      <c r="G1033" s="947">
        <f>SUM(G1034:G1038)</f>
        <v>0</v>
      </c>
      <c r="H1033" s="984">
        <v>1</v>
      </c>
      <c r="I1033" s="942">
        <f>I1034+I1035+I1036+I1037+I1038</f>
        <v>105610321</v>
      </c>
      <c r="J1033" s="984">
        <v>1</v>
      </c>
      <c r="K1033" s="942">
        <f>K1034+K1035+K1036+K1037+K1038</f>
        <v>208362400</v>
      </c>
      <c r="L1033" s="984">
        <v>0</v>
      </c>
      <c r="M1033" s="992">
        <f>SUM(M1034:M1038)</f>
        <v>0</v>
      </c>
      <c r="N1033" s="984">
        <v>0</v>
      </c>
      <c r="O1033" s="942">
        <f t="shared" ref="O1033:Q1033" si="228">O1034+O1035+O1036+O1037+O1038</f>
        <v>29800000</v>
      </c>
      <c r="P1033" s="984">
        <v>100</v>
      </c>
      <c r="Q1033" s="942">
        <f t="shared" si="228"/>
        <v>0</v>
      </c>
      <c r="R1033" s="960">
        <v>100</v>
      </c>
      <c r="S1033" s="942">
        <f>S1034+S1035+S1036+S1037+S1038</f>
        <v>145838076</v>
      </c>
      <c r="T1033" s="969">
        <f t="shared" si="226"/>
        <v>200</v>
      </c>
      <c r="U1033" s="961">
        <f t="shared" si="222"/>
        <v>20000</v>
      </c>
      <c r="V1033" s="962" t="s">
        <v>58</v>
      </c>
      <c r="W1033" s="963">
        <f t="shared" si="223"/>
        <v>175638076</v>
      </c>
      <c r="X1033" s="961">
        <f t="shared" si="224"/>
        <v>84.294515709168266</v>
      </c>
      <c r="Y1033" s="962" t="s">
        <v>58</v>
      </c>
      <c r="Z1033" s="969">
        <f t="shared" si="211"/>
        <v>201</v>
      </c>
      <c r="AA1033" s="964">
        <f t="shared" si="210"/>
        <v>281248397</v>
      </c>
      <c r="AB1033" s="961"/>
      <c r="AC1033" s="962" t="s">
        <v>58</v>
      </c>
      <c r="AD1033" s="961"/>
      <c r="AE1033" s="983"/>
      <c r="AH1033" s="943">
        <f t="shared" si="227"/>
        <v>175638076</v>
      </c>
    </row>
    <row r="1034" spans="1:34" s="966" customFormat="1" ht="79.5" customHeight="1">
      <c r="A1034" s="974"/>
      <c r="B1034" s="955"/>
      <c r="C1034" s="975" t="s">
        <v>285</v>
      </c>
      <c r="D1034" s="975" t="s">
        <v>337</v>
      </c>
      <c r="E1034" s="987">
        <v>100</v>
      </c>
      <c r="F1034" s="977" t="s">
        <v>58</v>
      </c>
      <c r="G1034" s="946"/>
      <c r="H1034" s="987">
        <v>24</v>
      </c>
      <c r="I1034" s="945">
        <v>14950000</v>
      </c>
      <c r="J1034" s="987">
        <v>12</v>
      </c>
      <c r="K1034" s="945">
        <v>50000000</v>
      </c>
      <c r="L1034" s="987">
        <v>3</v>
      </c>
      <c r="M1034" s="945">
        <v>0</v>
      </c>
      <c r="N1034" s="987">
        <v>3</v>
      </c>
      <c r="O1034" s="945">
        <v>29800000</v>
      </c>
      <c r="P1034" s="987">
        <v>100</v>
      </c>
      <c r="Q1034" s="945">
        <v>0</v>
      </c>
      <c r="R1034" s="960">
        <v>100</v>
      </c>
      <c r="S1034" s="945">
        <v>17308000</v>
      </c>
      <c r="T1034" s="978">
        <f t="shared" si="226"/>
        <v>206</v>
      </c>
      <c r="U1034" s="979">
        <f t="shared" si="222"/>
        <v>1716.6666666666667</v>
      </c>
      <c r="V1034" s="980" t="s">
        <v>58</v>
      </c>
      <c r="W1034" s="981">
        <f t="shared" si="223"/>
        <v>47108000</v>
      </c>
      <c r="X1034" s="979">
        <f t="shared" si="224"/>
        <v>94.215999999999994</v>
      </c>
      <c r="Y1034" s="980" t="s">
        <v>58</v>
      </c>
      <c r="Z1034" s="978">
        <f t="shared" si="211"/>
        <v>230</v>
      </c>
      <c r="AA1034" s="982">
        <f t="shared" si="210"/>
        <v>62058000</v>
      </c>
      <c r="AB1034" s="979"/>
      <c r="AC1034" s="980" t="s">
        <v>58</v>
      </c>
      <c r="AD1034" s="979"/>
      <c r="AE1034" s="983"/>
      <c r="AH1034" s="943"/>
    </row>
    <row r="1035" spans="1:34" s="966" customFormat="1" ht="105">
      <c r="A1035" s="974"/>
      <c r="B1035" s="955"/>
      <c r="C1035" s="975" t="s">
        <v>287</v>
      </c>
      <c r="D1035" s="975" t="s">
        <v>957</v>
      </c>
      <c r="E1035" s="987">
        <v>100</v>
      </c>
      <c r="F1035" s="977" t="s">
        <v>58</v>
      </c>
      <c r="G1035" s="946"/>
      <c r="H1035" s="987">
        <v>24</v>
      </c>
      <c r="I1035" s="945">
        <v>9700000</v>
      </c>
      <c r="J1035" s="987">
        <v>12</v>
      </c>
      <c r="K1035" s="945">
        <v>49562500</v>
      </c>
      <c r="L1035" s="987">
        <v>3</v>
      </c>
      <c r="M1035" s="945">
        <v>0</v>
      </c>
      <c r="N1035" s="987">
        <v>3</v>
      </c>
      <c r="O1035" s="945"/>
      <c r="P1035" s="987">
        <v>100</v>
      </c>
      <c r="Q1035" s="945"/>
      <c r="R1035" s="960">
        <v>100</v>
      </c>
      <c r="S1035" s="945">
        <v>31282800</v>
      </c>
      <c r="T1035" s="978">
        <f t="shared" si="226"/>
        <v>206</v>
      </c>
      <c r="U1035" s="979">
        <f t="shared" si="222"/>
        <v>1716.6666666666667</v>
      </c>
      <c r="V1035" s="980" t="s">
        <v>58</v>
      </c>
      <c r="W1035" s="981">
        <f t="shared" si="223"/>
        <v>31282800</v>
      </c>
      <c r="X1035" s="979">
        <f t="shared" si="224"/>
        <v>63.117881462799495</v>
      </c>
      <c r="Y1035" s="980" t="s">
        <v>58</v>
      </c>
      <c r="Z1035" s="978">
        <f t="shared" si="211"/>
        <v>230</v>
      </c>
      <c r="AA1035" s="982">
        <f t="shared" si="210"/>
        <v>40982800</v>
      </c>
      <c r="AB1035" s="979"/>
      <c r="AC1035" s="980" t="s">
        <v>58</v>
      </c>
      <c r="AD1035" s="979"/>
      <c r="AE1035" s="983"/>
      <c r="AH1035" s="943"/>
    </row>
    <row r="1036" spans="1:34" s="966" customFormat="1" ht="105">
      <c r="A1036" s="974"/>
      <c r="B1036" s="955"/>
      <c r="C1036" s="975" t="s">
        <v>286</v>
      </c>
      <c r="D1036" s="975" t="s">
        <v>339</v>
      </c>
      <c r="E1036" s="987">
        <v>100</v>
      </c>
      <c r="F1036" s="977" t="s">
        <v>58</v>
      </c>
      <c r="G1036" s="946"/>
      <c r="H1036" s="987">
        <v>24</v>
      </c>
      <c r="I1036" s="945">
        <v>7350000</v>
      </c>
      <c r="J1036" s="987">
        <v>12</v>
      </c>
      <c r="K1036" s="945">
        <v>13999900</v>
      </c>
      <c r="L1036" s="987">
        <v>3</v>
      </c>
      <c r="M1036" s="942">
        <v>0</v>
      </c>
      <c r="N1036" s="987">
        <v>3</v>
      </c>
      <c r="O1036" s="942"/>
      <c r="P1036" s="987">
        <v>100</v>
      </c>
      <c r="Q1036" s="942">
        <v>0</v>
      </c>
      <c r="R1036" s="960">
        <v>100</v>
      </c>
      <c r="S1036" s="945">
        <v>10280000</v>
      </c>
      <c r="T1036" s="978">
        <f t="shared" si="226"/>
        <v>206</v>
      </c>
      <c r="U1036" s="979">
        <f t="shared" si="222"/>
        <v>1716.6666666666667</v>
      </c>
      <c r="V1036" s="980" t="s">
        <v>58</v>
      </c>
      <c r="W1036" s="981">
        <f t="shared" si="223"/>
        <v>10280000</v>
      </c>
      <c r="X1036" s="979">
        <f t="shared" si="224"/>
        <v>73.429095922113731</v>
      </c>
      <c r="Y1036" s="980" t="s">
        <v>58</v>
      </c>
      <c r="Z1036" s="978">
        <f t="shared" si="211"/>
        <v>230</v>
      </c>
      <c r="AA1036" s="982">
        <f t="shared" si="210"/>
        <v>17630000</v>
      </c>
      <c r="AB1036" s="979"/>
      <c r="AC1036" s="980" t="s">
        <v>58</v>
      </c>
      <c r="AD1036" s="961"/>
      <c r="AE1036" s="983"/>
      <c r="AH1036" s="943"/>
    </row>
    <row r="1037" spans="1:34" s="966" customFormat="1" ht="135">
      <c r="A1037" s="974"/>
      <c r="B1037" s="955"/>
      <c r="C1037" s="975" t="s">
        <v>1178</v>
      </c>
      <c r="D1037" s="993" t="s">
        <v>2718</v>
      </c>
      <c r="E1037" s="987">
        <v>100</v>
      </c>
      <c r="F1037" s="977" t="s">
        <v>58</v>
      </c>
      <c r="G1037" s="946"/>
      <c r="H1037" s="987">
        <v>24</v>
      </c>
      <c r="I1037" s="945">
        <v>4300000</v>
      </c>
      <c r="J1037" s="987">
        <v>12</v>
      </c>
      <c r="K1037" s="945">
        <v>4800000</v>
      </c>
      <c r="L1037" s="987">
        <v>3</v>
      </c>
      <c r="M1037" s="945">
        <v>0</v>
      </c>
      <c r="N1037" s="987">
        <v>3</v>
      </c>
      <c r="O1037" s="945"/>
      <c r="P1037" s="987">
        <v>100</v>
      </c>
      <c r="Q1037" s="945"/>
      <c r="R1037" s="960">
        <v>100</v>
      </c>
      <c r="S1037" s="945">
        <v>4800000</v>
      </c>
      <c r="T1037" s="978">
        <f t="shared" si="226"/>
        <v>206</v>
      </c>
      <c r="U1037" s="979">
        <f t="shared" si="222"/>
        <v>1716.6666666666667</v>
      </c>
      <c r="V1037" s="980" t="s">
        <v>58</v>
      </c>
      <c r="W1037" s="981">
        <f t="shared" si="223"/>
        <v>4800000</v>
      </c>
      <c r="X1037" s="979">
        <f t="shared" si="224"/>
        <v>100</v>
      </c>
      <c r="Y1037" s="980" t="s">
        <v>58</v>
      </c>
      <c r="Z1037" s="978">
        <f t="shared" si="211"/>
        <v>230</v>
      </c>
      <c r="AA1037" s="982">
        <f t="shared" si="210"/>
        <v>9100000</v>
      </c>
      <c r="AB1037" s="979"/>
      <c r="AC1037" s="980" t="s">
        <v>58</v>
      </c>
      <c r="AD1037" s="979"/>
      <c r="AE1037" s="983"/>
      <c r="AH1037" s="943"/>
    </row>
    <row r="1038" spans="1:34" s="966" customFormat="1" ht="105">
      <c r="A1038" s="974"/>
      <c r="B1038" s="955"/>
      <c r="C1038" s="975" t="s">
        <v>77</v>
      </c>
      <c r="D1038" s="994" t="s">
        <v>340</v>
      </c>
      <c r="E1038" s="987">
        <v>100</v>
      </c>
      <c r="F1038" s="977" t="s">
        <v>58</v>
      </c>
      <c r="G1038" s="946"/>
      <c r="H1038" s="987">
        <v>24</v>
      </c>
      <c r="I1038" s="945">
        <v>69310321</v>
      </c>
      <c r="J1038" s="987">
        <v>12</v>
      </c>
      <c r="K1038" s="945">
        <v>90000000</v>
      </c>
      <c r="L1038" s="987">
        <v>3</v>
      </c>
      <c r="M1038" s="945">
        <v>0</v>
      </c>
      <c r="N1038" s="987">
        <v>3</v>
      </c>
      <c r="O1038" s="945"/>
      <c r="P1038" s="987">
        <v>100</v>
      </c>
      <c r="Q1038" s="945"/>
      <c r="R1038" s="960">
        <v>100</v>
      </c>
      <c r="S1038" s="995" t="s">
        <v>2719</v>
      </c>
      <c r="T1038" s="978">
        <f t="shared" si="226"/>
        <v>206</v>
      </c>
      <c r="U1038" s="979">
        <f t="shared" si="222"/>
        <v>1716.6666666666667</v>
      </c>
      <c r="V1038" s="980" t="s">
        <v>58</v>
      </c>
      <c r="W1038" s="981">
        <f t="shared" si="223"/>
        <v>0</v>
      </c>
      <c r="X1038" s="979">
        <f t="shared" si="224"/>
        <v>0</v>
      </c>
      <c r="Y1038" s="980" t="s">
        <v>58</v>
      </c>
      <c r="Z1038" s="978">
        <f t="shared" si="211"/>
        <v>230</v>
      </c>
      <c r="AA1038" s="982">
        <f t="shared" si="210"/>
        <v>69310321</v>
      </c>
      <c r="AB1038" s="979"/>
      <c r="AC1038" s="980" t="s">
        <v>58</v>
      </c>
      <c r="AD1038" s="979"/>
      <c r="AE1038" s="983"/>
      <c r="AH1038" s="943"/>
    </row>
    <row r="1039" spans="1:34" s="966" customFormat="1" ht="123.75" customHeight="1">
      <c r="A1039" s="974"/>
      <c r="B1039" s="955"/>
      <c r="C1039" s="956" t="s">
        <v>2720</v>
      </c>
      <c r="D1039" s="956" t="s">
        <v>142</v>
      </c>
      <c r="E1039" s="984">
        <v>100</v>
      </c>
      <c r="F1039" s="985" t="s">
        <v>58</v>
      </c>
      <c r="G1039" s="942">
        <f t="shared" ref="G1039:K1039" si="229">SUM(G1040)</f>
        <v>0</v>
      </c>
      <c r="H1039" s="984">
        <v>200</v>
      </c>
      <c r="I1039" s="942">
        <f t="shared" si="229"/>
        <v>26071000</v>
      </c>
      <c r="J1039" s="984">
        <v>100</v>
      </c>
      <c r="K1039" s="942">
        <f t="shared" si="229"/>
        <v>25388000</v>
      </c>
      <c r="L1039" s="958">
        <v>100</v>
      </c>
      <c r="M1039" s="942">
        <f t="shared" ref="M1039:Q1039" si="230">SUM(M1040)</f>
        <v>0</v>
      </c>
      <c r="N1039" s="958">
        <v>100</v>
      </c>
      <c r="O1039" s="942">
        <f t="shared" si="230"/>
        <v>0</v>
      </c>
      <c r="P1039" s="958">
        <v>100</v>
      </c>
      <c r="Q1039" s="942">
        <f t="shared" si="230"/>
        <v>0</v>
      </c>
      <c r="R1039" s="960">
        <v>100</v>
      </c>
      <c r="S1039" s="942">
        <f>SUM(S1040)</f>
        <v>0</v>
      </c>
      <c r="T1039" s="969">
        <f t="shared" ref="T1039:T1044" si="231">AVERAGE(L1039,N1039,P1039,R1039)</f>
        <v>100</v>
      </c>
      <c r="U1039" s="961">
        <f t="shared" si="222"/>
        <v>100</v>
      </c>
      <c r="V1039" s="962" t="s">
        <v>58</v>
      </c>
      <c r="W1039" s="963">
        <f t="shared" si="223"/>
        <v>0</v>
      </c>
      <c r="X1039" s="961">
        <f t="shared" si="224"/>
        <v>0</v>
      </c>
      <c r="Y1039" s="962" t="s">
        <v>58</v>
      </c>
      <c r="Z1039" s="969">
        <f t="shared" si="211"/>
        <v>300</v>
      </c>
      <c r="AA1039" s="964">
        <f t="shared" si="210"/>
        <v>26071000</v>
      </c>
      <c r="AB1039" s="961"/>
      <c r="AC1039" s="962" t="s">
        <v>58</v>
      </c>
      <c r="AD1039" s="961"/>
      <c r="AE1039" s="983"/>
      <c r="AH1039" s="943"/>
    </row>
    <row r="1040" spans="1:34" s="966" customFormat="1" ht="150">
      <c r="A1040" s="974"/>
      <c r="B1040" s="955"/>
      <c r="C1040" s="975" t="s">
        <v>1283</v>
      </c>
      <c r="D1040" s="975" t="s">
        <v>2336</v>
      </c>
      <c r="E1040" s="987">
        <v>100</v>
      </c>
      <c r="F1040" s="977" t="s">
        <v>58</v>
      </c>
      <c r="G1040" s="946"/>
      <c r="H1040" s="987">
        <v>24</v>
      </c>
      <c r="I1040" s="945">
        <v>26071000</v>
      </c>
      <c r="J1040" s="987">
        <v>12</v>
      </c>
      <c r="K1040" s="945">
        <v>25388000</v>
      </c>
      <c r="L1040" s="987">
        <v>3</v>
      </c>
      <c r="M1040" s="945">
        <v>0</v>
      </c>
      <c r="N1040" s="987">
        <v>3</v>
      </c>
      <c r="O1040" s="945">
        <v>0</v>
      </c>
      <c r="P1040" s="987">
        <v>3</v>
      </c>
      <c r="Q1040" s="945"/>
      <c r="R1040" s="960">
        <v>100</v>
      </c>
      <c r="S1040" s="995" t="s">
        <v>2721</v>
      </c>
      <c r="T1040" s="978">
        <f t="shared" ref="T1040:T1043" si="232">SUM(L1040,N1040,P1040,R1040)</f>
        <v>109</v>
      </c>
      <c r="U1040" s="979">
        <f t="shared" si="222"/>
        <v>908.33333333333337</v>
      </c>
      <c r="V1040" s="980" t="s">
        <v>58</v>
      </c>
      <c r="W1040" s="981">
        <f t="shared" si="223"/>
        <v>0</v>
      </c>
      <c r="X1040" s="979">
        <f t="shared" si="224"/>
        <v>0</v>
      </c>
      <c r="Y1040" s="980" t="s">
        <v>58</v>
      </c>
      <c r="Z1040" s="978">
        <f t="shared" si="211"/>
        <v>133</v>
      </c>
      <c r="AA1040" s="982">
        <f t="shared" si="210"/>
        <v>26071000</v>
      </c>
      <c r="AB1040" s="979"/>
      <c r="AC1040" s="980" t="s">
        <v>58</v>
      </c>
      <c r="AD1040" s="979"/>
      <c r="AE1040" s="983"/>
      <c r="AH1040" s="943"/>
    </row>
    <row r="1041" spans="1:34" s="966" customFormat="1" ht="109.5" customHeight="1">
      <c r="A1041" s="974"/>
      <c r="B1041" s="955"/>
      <c r="C1041" s="956" t="s">
        <v>79</v>
      </c>
      <c r="D1041" s="956" t="s">
        <v>142</v>
      </c>
      <c r="E1041" s="984">
        <v>100</v>
      </c>
      <c r="F1041" s="985" t="s">
        <v>58</v>
      </c>
      <c r="G1041" s="942">
        <f t="shared" ref="G1041:K1041" si="233">SUM(G1042:G1043)</f>
        <v>0</v>
      </c>
      <c r="H1041" s="984">
        <v>200</v>
      </c>
      <c r="I1041" s="942">
        <f t="shared" si="233"/>
        <v>76285840</v>
      </c>
      <c r="J1041" s="984">
        <v>100</v>
      </c>
      <c r="K1041" s="942">
        <f t="shared" si="233"/>
        <v>97796188</v>
      </c>
      <c r="L1041" s="958">
        <v>100</v>
      </c>
      <c r="M1041" s="942">
        <f>SUM(M1042:M1043)</f>
        <v>0</v>
      </c>
      <c r="N1041" s="958">
        <v>100</v>
      </c>
      <c r="O1041" s="942">
        <f t="shared" ref="O1041:S1041" si="234">O1042+O1043</f>
        <v>30097701</v>
      </c>
      <c r="P1041" s="958">
        <v>100</v>
      </c>
      <c r="Q1041" s="942">
        <f t="shared" si="234"/>
        <v>0</v>
      </c>
      <c r="R1041" s="960">
        <v>100</v>
      </c>
      <c r="S1041" s="942">
        <f t="shared" si="234"/>
        <v>43457064</v>
      </c>
      <c r="T1041" s="969">
        <f t="shared" si="231"/>
        <v>100</v>
      </c>
      <c r="U1041" s="961">
        <f t="shared" si="222"/>
        <v>100</v>
      </c>
      <c r="V1041" s="962" t="s">
        <v>58</v>
      </c>
      <c r="W1041" s="963">
        <f t="shared" si="223"/>
        <v>73554765</v>
      </c>
      <c r="X1041" s="961">
        <f t="shared" si="224"/>
        <v>75.212302753559271</v>
      </c>
      <c r="Y1041" s="962" t="s">
        <v>58</v>
      </c>
      <c r="Z1041" s="969">
        <f t="shared" si="211"/>
        <v>300</v>
      </c>
      <c r="AA1041" s="964">
        <f t="shared" si="210"/>
        <v>149840605</v>
      </c>
      <c r="AB1041" s="961"/>
      <c r="AC1041" s="962" t="s">
        <v>58</v>
      </c>
      <c r="AD1041" s="961"/>
      <c r="AE1041" s="983"/>
      <c r="AH1041" s="943"/>
    </row>
    <row r="1042" spans="1:34" s="966" customFormat="1" ht="105">
      <c r="A1042" s="974"/>
      <c r="B1042" s="955"/>
      <c r="C1042" s="975" t="s">
        <v>357</v>
      </c>
      <c r="D1042" s="975" t="s">
        <v>2722</v>
      </c>
      <c r="E1042" s="987">
        <v>100</v>
      </c>
      <c r="F1042" s="977" t="s">
        <v>58</v>
      </c>
      <c r="G1042" s="946"/>
      <c r="H1042" s="987">
        <v>24</v>
      </c>
      <c r="I1042" s="945">
        <v>73485840</v>
      </c>
      <c r="J1042" s="987">
        <v>12</v>
      </c>
      <c r="K1042" s="945">
        <v>40846188</v>
      </c>
      <c r="L1042" s="987">
        <v>3</v>
      </c>
      <c r="M1042" s="945">
        <v>0</v>
      </c>
      <c r="N1042" s="987">
        <v>3</v>
      </c>
      <c r="O1042" s="945">
        <v>9097701</v>
      </c>
      <c r="P1042" s="987">
        <v>3</v>
      </c>
      <c r="Q1042" s="945">
        <v>0</v>
      </c>
      <c r="R1042" s="960">
        <v>100</v>
      </c>
      <c r="S1042" s="945">
        <v>23412776</v>
      </c>
      <c r="T1042" s="978">
        <f t="shared" si="232"/>
        <v>109</v>
      </c>
      <c r="U1042" s="979">
        <f t="shared" si="222"/>
        <v>908.33333333333337</v>
      </c>
      <c r="V1042" s="980" t="s">
        <v>58</v>
      </c>
      <c r="W1042" s="981">
        <f t="shared" si="223"/>
        <v>32510477</v>
      </c>
      <c r="X1042" s="979">
        <f t="shared" si="224"/>
        <v>79.592438344552491</v>
      </c>
      <c r="Y1042" s="980" t="s">
        <v>58</v>
      </c>
      <c r="Z1042" s="978">
        <f t="shared" si="211"/>
        <v>133</v>
      </c>
      <c r="AA1042" s="982">
        <f t="shared" si="210"/>
        <v>105996317</v>
      </c>
      <c r="AB1042" s="979"/>
      <c r="AC1042" s="980" t="s">
        <v>58</v>
      </c>
      <c r="AD1042" s="979"/>
      <c r="AE1042" s="983"/>
      <c r="AH1042" s="943"/>
    </row>
    <row r="1043" spans="1:34" s="966" customFormat="1" ht="75">
      <c r="A1043" s="974"/>
      <c r="B1043" s="955"/>
      <c r="C1043" s="975" t="s">
        <v>80</v>
      </c>
      <c r="D1043" s="975" t="s">
        <v>354</v>
      </c>
      <c r="E1043" s="987">
        <v>100</v>
      </c>
      <c r="F1043" s="977" t="s">
        <v>58</v>
      </c>
      <c r="G1043" s="942"/>
      <c r="H1043" s="987">
        <v>24</v>
      </c>
      <c r="I1043" s="945">
        <v>2800000</v>
      </c>
      <c r="J1043" s="987">
        <v>12</v>
      </c>
      <c r="K1043" s="945">
        <v>56950000</v>
      </c>
      <c r="L1043" s="987">
        <v>3</v>
      </c>
      <c r="M1043" s="942">
        <v>0</v>
      </c>
      <c r="N1043" s="987">
        <v>3</v>
      </c>
      <c r="O1043" s="945">
        <v>21000000</v>
      </c>
      <c r="P1043" s="987">
        <v>3</v>
      </c>
      <c r="Q1043" s="945"/>
      <c r="R1043" s="960">
        <v>100</v>
      </c>
      <c r="S1043" s="945">
        <v>20044288</v>
      </c>
      <c r="T1043" s="978">
        <f t="shared" si="232"/>
        <v>109</v>
      </c>
      <c r="U1043" s="979">
        <f t="shared" si="222"/>
        <v>908.33333333333337</v>
      </c>
      <c r="V1043" s="980" t="s">
        <v>58</v>
      </c>
      <c r="W1043" s="981">
        <f t="shared" si="223"/>
        <v>41044288</v>
      </c>
      <c r="X1043" s="979">
        <f t="shared" si="224"/>
        <v>72.070742756804222</v>
      </c>
      <c r="Y1043" s="980" t="s">
        <v>58</v>
      </c>
      <c r="Z1043" s="978">
        <f t="shared" si="211"/>
        <v>133</v>
      </c>
      <c r="AA1043" s="982">
        <f t="shared" si="210"/>
        <v>43844288</v>
      </c>
      <c r="AB1043" s="979"/>
      <c r="AC1043" s="980" t="s">
        <v>58</v>
      </c>
      <c r="AD1043" s="979"/>
      <c r="AE1043" s="983"/>
      <c r="AH1043" s="943"/>
    </row>
    <row r="1044" spans="1:34" s="966" customFormat="1" ht="125.25" customHeight="1">
      <c r="A1044" s="974"/>
      <c r="B1044" s="955"/>
      <c r="C1044" s="956" t="s">
        <v>1181</v>
      </c>
      <c r="D1044" s="956" t="s">
        <v>142</v>
      </c>
      <c r="E1044" s="984">
        <v>100</v>
      </c>
      <c r="F1044" s="985" t="s">
        <v>58</v>
      </c>
      <c r="G1044" s="942">
        <f t="shared" ref="G1044:K1044" si="235">SUM(G1045:G1047)</f>
        <v>0</v>
      </c>
      <c r="H1044" s="984">
        <v>200</v>
      </c>
      <c r="I1044" s="942">
        <f t="shared" si="235"/>
        <v>62025439</v>
      </c>
      <c r="J1044" s="984">
        <v>100</v>
      </c>
      <c r="K1044" s="942">
        <f t="shared" si="235"/>
        <v>87750000</v>
      </c>
      <c r="L1044" s="958">
        <v>100</v>
      </c>
      <c r="M1044" s="942">
        <f t="shared" ref="M1044:Q1044" si="236">SUM(M1045:M1047)</f>
        <v>0</v>
      </c>
      <c r="N1044" s="958">
        <v>100</v>
      </c>
      <c r="O1044" s="942">
        <f t="shared" si="236"/>
        <v>11380000</v>
      </c>
      <c r="P1044" s="958">
        <v>100</v>
      </c>
      <c r="Q1044" s="942">
        <f t="shared" si="236"/>
        <v>0</v>
      </c>
      <c r="R1044" s="960">
        <v>100</v>
      </c>
      <c r="S1044" s="942">
        <f>SUM(S1045:S1047)</f>
        <v>48655584</v>
      </c>
      <c r="T1044" s="969">
        <f t="shared" si="231"/>
        <v>100</v>
      </c>
      <c r="U1044" s="961">
        <f t="shared" si="222"/>
        <v>100</v>
      </c>
      <c r="V1044" s="962" t="s">
        <v>58</v>
      </c>
      <c r="W1044" s="963">
        <f t="shared" si="223"/>
        <v>60035584</v>
      </c>
      <c r="X1044" s="961">
        <f t="shared" si="224"/>
        <v>68.416619943019938</v>
      </c>
      <c r="Y1044" s="962" t="s">
        <v>58</v>
      </c>
      <c r="Z1044" s="969">
        <f t="shared" si="211"/>
        <v>300</v>
      </c>
      <c r="AA1044" s="964">
        <f t="shared" si="210"/>
        <v>122061023</v>
      </c>
      <c r="AB1044" s="961"/>
      <c r="AC1044" s="962" t="s">
        <v>58</v>
      </c>
      <c r="AD1044" s="961"/>
      <c r="AE1044" s="983"/>
      <c r="AH1044" s="943"/>
    </row>
    <row r="1045" spans="1:34" s="966" customFormat="1" ht="169.5" customHeight="1">
      <c r="A1045" s="974"/>
      <c r="B1045" s="955"/>
      <c r="C1045" s="975" t="s">
        <v>82</v>
      </c>
      <c r="D1045" s="975" t="s">
        <v>360</v>
      </c>
      <c r="E1045" s="987">
        <v>100</v>
      </c>
      <c r="F1045" s="977" t="s">
        <v>58</v>
      </c>
      <c r="G1045" s="942"/>
      <c r="H1045" s="987">
        <v>24</v>
      </c>
      <c r="I1045" s="945">
        <v>44423060</v>
      </c>
      <c r="J1045" s="987">
        <v>12</v>
      </c>
      <c r="K1045" s="945">
        <v>68000000</v>
      </c>
      <c r="L1045" s="987">
        <v>3</v>
      </c>
      <c r="M1045" s="945">
        <v>0</v>
      </c>
      <c r="N1045" s="987"/>
      <c r="O1045" s="945">
        <v>11380000</v>
      </c>
      <c r="P1045" s="987"/>
      <c r="Q1045" s="945"/>
      <c r="R1045" s="960">
        <v>100</v>
      </c>
      <c r="S1045" s="945">
        <v>41575584</v>
      </c>
      <c r="T1045" s="979">
        <f t="shared" ref="T1045:T1076" si="237">SUM(L1045,N1045,P1045,R1045)</f>
        <v>103</v>
      </c>
      <c r="U1045" s="979">
        <f t="shared" si="222"/>
        <v>858.33333333333337</v>
      </c>
      <c r="V1045" s="980" t="s">
        <v>58</v>
      </c>
      <c r="W1045" s="981">
        <f t="shared" si="223"/>
        <v>52955584</v>
      </c>
      <c r="X1045" s="979">
        <f t="shared" si="224"/>
        <v>77.875858823529413</v>
      </c>
      <c r="Y1045" s="980" t="s">
        <v>58</v>
      </c>
      <c r="Z1045" s="979">
        <f t="shared" si="211"/>
        <v>127</v>
      </c>
      <c r="AA1045" s="982">
        <f t="shared" si="210"/>
        <v>97378644</v>
      </c>
      <c r="AB1045" s="979"/>
      <c r="AC1045" s="980" t="s">
        <v>58</v>
      </c>
      <c r="AD1045" s="961"/>
      <c r="AE1045" s="983"/>
      <c r="AH1045" s="943"/>
    </row>
    <row r="1046" spans="1:34" s="966" customFormat="1" ht="90">
      <c r="A1046" s="974"/>
      <c r="B1046" s="955"/>
      <c r="C1046" s="975" t="s">
        <v>83</v>
      </c>
      <c r="D1046" s="975" t="s">
        <v>361</v>
      </c>
      <c r="E1046" s="987">
        <v>100</v>
      </c>
      <c r="F1046" s="977" t="s">
        <v>58</v>
      </c>
      <c r="G1046" s="946"/>
      <c r="H1046" s="987"/>
      <c r="I1046" s="945"/>
      <c r="J1046" s="987">
        <v>12</v>
      </c>
      <c r="K1046" s="945">
        <v>19750000</v>
      </c>
      <c r="L1046" s="987">
        <v>3</v>
      </c>
      <c r="M1046" s="945">
        <v>0</v>
      </c>
      <c r="N1046" s="987"/>
      <c r="O1046" s="945">
        <v>0</v>
      </c>
      <c r="P1046" s="987"/>
      <c r="Q1046" s="945"/>
      <c r="R1046" s="960">
        <v>100</v>
      </c>
      <c r="S1046" s="945">
        <v>7080000</v>
      </c>
      <c r="T1046" s="978">
        <f t="shared" si="237"/>
        <v>103</v>
      </c>
      <c r="U1046" s="979">
        <f t="shared" si="222"/>
        <v>858.33333333333337</v>
      </c>
      <c r="V1046" s="980" t="s">
        <v>58</v>
      </c>
      <c r="W1046" s="981">
        <f t="shared" si="223"/>
        <v>7080000</v>
      </c>
      <c r="X1046" s="979">
        <f t="shared" si="224"/>
        <v>35.848101265822784</v>
      </c>
      <c r="Y1046" s="980" t="s">
        <v>58</v>
      </c>
      <c r="Z1046" s="978">
        <f t="shared" si="211"/>
        <v>103</v>
      </c>
      <c r="AA1046" s="982">
        <f t="shared" si="210"/>
        <v>7080000</v>
      </c>
      <c r="AB1046" s="979"/>
      <c r="AC1046" s="980" t="s">
        <v>58</v>
      </c>
      <c r="AD1046" s="979"/>
      <c r="AE1046" s="983"/>
      <c r="AH1046" s="943"/>
    </row>
    <row r="1047" spans="1:34" s="966" customFormat="1" ht="135">
      <c r="A1047" s="974"/>
      <c r="B1047" s="955"/>
      <c r="C1047" s="975" t="s">
        <v>84</v>
      </c>
      <c r="D1047" s="975" t="s">
        <v>228</v>
      </c>
      <c r="E1047" s="987">
        <v>100</v>
      </c>
      <c r="F1047" s="977" t="s">
        <v>58</v>
      </c>
      <c r="G1047" s="946"/>
      <c r="H1047" s="987">
        <v>24</v>
      </c>
      <c r="I1047" s="945">
        <v>17602379</v>
      </c>
      <c r="J1047" s="987"/>
      <c r="K1047" s="945"/>
      <c r="L1047" s="987"/>
      <c r="M1047" s="945"/>
      <c r="N1047" s="987"/>
      <c r="O1047" s="945"/>
      <c r="P1047" s="987"/>
      <c r="Q1047" s="945"/>
      <c r="R1047" s="960">
        <v>100</v>
      </c>
      <c r="S1047" s="945">
        <v>0</v>
      </c>
      <c r="T1047" s="978"/>
      <c r="U1047" s="979"/>
      <c r="V1047" s="980"/>
      <c r="W1047" s="981"/>
      <c r="X1047" s="979"/>
      <c r="Y1047" s="980"/>
      <c r="Z1047" s="978">
        <f t="shared" si="211"/>
        <v>24</v>
      </c>
      <c r="AA1047" s="982">
        <f t="shared" si="210"/>
        <v>17602379</v>
      </c>
      <c r="AB1047" s="979"/>
      <c r="AC1047" s="980" t="s">
        <v>58</v>
      </c>
      <c r="AD1047" s="979"/>
      <c r="AE1047" s="983"/>
      <c r="AH1047" s="943"/>
    </row>
    <row r="1048" spans="1:34" s="966" customFormat="1" ht="94.5">
      <c r="A1048" s="974"/>
      <c r="B1048" s="955"/>
      <c r="C1048" s="956" t="s">
        <v>2723</v>
      </c>
      <c r="D1048" s="957" t="s">
        <v>2724</v>
      </c>
      <c r="E1048" s="996">
        <f>E1049</f>
        <v>41.428571428571431</v>
      </c>
      <c r="F1048" s="997" t="s">
        <v>58</v>
      </c>
      <c r="G1048" s="942">
        <f>SUM(G1049)</f>
        <v>1065711650</v>
      </c>
      <c r="H1048" s="996">
        <v>32.396839332748002</v>
      </c>
      <c r="I1048" s="942">
        <v>316555200</v>
      </c>
      <c r="J1048" s="996">
        <f t="shared" ref="J1048:O1048" si="238">J1049</f>
        <v>37.401229148375769</v>
      </c>
      <c r="K1048" s="942">
        <f>SUM(K1049)</f>
        <v>262019700</v>
      </c>
      <c r="L1048" s="996">
        <f t="shared" si="238"/>
        <v>0</v>
      </c>
      <c r="M1048" s="942">
        <f t="shared" ref="M1048:M1053" si="239">SUM(M1049)</f>
        <v>0</v>
      </c>
      <c r="N1048" s="996"/>
      <c r="O1048" s="942">
        <f t="shared" si="238"/>
        <v>138060100</v>
      </c>
      <c r="P1048" s="996"/>
      <c r="Q1048" s="942">
        <f t="shared" ref="Q1048:Q1053" si="240">Q1049</f>
        <v>0</v>
      </c>
      <c r="R1048" s="960">
        <v>100</v>
      </c>
      <c r="S1048" s="942">
        <f t="shared" ref="S1048:S1053" si="241">S1049</f>
        <v>108422960</v>
      </c>
      <c r="T1048" s="961">
        <f t="shared" si="237"/>
        <v>100</v>
      </c>
      <c r="U1048" s="961">
        <f t="shared" ref="U1048:U1052" si="242">Z1048/J1048*100</f>
        <v>353.99061032863847</v>
      </c>
      <c r="V1048" s="962" t="s">
        <v>58</v>
      </c>
      <c r="W1048" s="963">
        <f t="shared" ref="W1048:W1076" si="243">SUM(M1048,O1048,Q1048,S1048)</f>
        <v>246483060</v>
      </c>
      <c r="X1048" s="961">
        <f t="shared" ref="X1048:X1076" si="244">W1048/K1048*100</f>
        <v>94.070430582127983</v>
      </c>
      <c r="Y1048" s="962" t="s">
        <v>58</v>
      </c>
      <c r="Z1048" s="961">
        <f t="shared" si="211"/>
        <v>132.39683933274802</v>
      </c>
      <c r="AA1048" s="964">
        <f t="shared" si="210"/>
        <v>563038260</v>
      </c>
      <c r="AB1048" s="961"/>
      <c r="AC1048" s="962" t="s">
        <v>58</v>
      </c>
      <c r="AD1048" s="961"/>
      <c r="AE1048" s="983"/>
      <c r="AH1048" s="943"/>
    </row>
    <row r="1049" spans="1:34" s="966" customFormat="1" ht="135.75" customHeight="1">
      <c r="A1049" s="974"/>
      <c r="B1049" s="955"/>
      <c r="C1049" s="956" t="s">
        <v>2725</v>
      </c>
      <c r="D1049" s="956" t="s">
        <v>2726</v>
      </c>
      <c r="E1049" s="996">
        <f>(350+85)/1050*100</f>
        <v>41.428571428571431</v>
      </c>
      <c r="F1049" s="997" t="s">
        <v>58</v>
      </c>
      <c r="G1049" s="942">
        <f>SUM(G1050:G1051)</f>
        <v>1065711650</v>
      </c>
      <c r="H1049" s="996">
        <v>32.396839332748002</v>
      </c>
      <c r="I1049" s="942">
        <v>316555200</v>
      </c>
      <c r="J1049" s="996">
        <f>(350+76)/1139*100</f>
        <v>37.401229148375769</v>
      </c>
      <c r="K1049" s="942">
        <f>SUM(K1050:K1051)</f>
        <v>262019700</v>
      </c>
      <c r="L1049" s="996">
        <v>0</v>
      </c>
      <c r="M1049" s="942">
        <f>SUM(M1050:M1051)</f>
        <v>0</v>
      </c>
      <c r="N1049" s="996"/>
      <c r="O1049" s="942">
        <f t="shared" ref="O1049:S1049" si="245">O1050+O1051</f>
        <v>138060100</v>
      </c>
      <c r="P1049" s="996"/>
      <c r="Q1049" s="942">
        <f t="shared" si="245"/>
        <v>0</v>
      </c>
      <c r="R1049" s="960">
        <v>100</v>
      </c>
      <c r="S1049" s="942">
        <f t="shared" si="245"/>
        <v>108422960</v>
      </c>
      <c r="T1049" s="961">
        <f t="shared" si="237"/>
        <v>100</v>
      </c>
      <c r="U1049" s="961">
        <f t="shared" si="242"/>
        <v>353.99061032863847</v>
      </c>
      <c r="V1049" s="962" t="s">
        <v>58</v>
      </c>
      <c r="W1049" s="963">
        <f t="shared" si="243"/>
        <v>246483060</v>
      </c>
      <c r="X1049" s="961">
        <f t="shared" si="244"/>
        <v>94.070430582127983</v>
      </c>
      <c r="Y1049" s="962" t="s">
        <v>58</v>
      </c>
      <c r="Z1049" s="961">
        <f t="shared" si="211"/>
        <v>132.39683933274802</v>
      </c>
      <c r="AA1049" s="964">
        <f t="shared" si="210"/>
        <v>563038260</v>
      </c>
      <c r="AB1049" s="961"/>
      <c r="AC1049" s="962" t="s">
        <v>58</v>
      </c>
      <c r="AD1049" s="961"/>
      <c r="AE1049" s="983"/>
      <c r="AH1049" s="943"/>
    </row>
    <row r="1050" spans="1:34" s="966" customFormat="1" ht="156.75" customHeight="1">
      <c r="A1050" s="974"/>
      <c r="B1050" s="955"/>
      <c r="C1050" s="975" t="s">
        <v>2727</v>
      </c>
      <c r="D1050" s="975" t="s">
        <v>2728</v>
      </c>
      <c r="E1050" s="976">
        <f>66+56+40</f>
        <v>162</v>
      </c>
      <c r="F1050" s="998" t="s">
        <v>57</v>
      </c>
      <c r="G1050" s="945">
        <f>308480350*3</f>
        <v>925441050</v>
      </c>
      <c r="H1050" s="987">
        <v>20</v>
      </c>
      <c r="I1050" s="945">
        <v>280624600</v>
      </c>
      <c r="J1050" s="976">
        <v>66</v>
      </c>
      <c r="K1050" s="945">
        <v>210089850</v>
      </c>
      <c r="L1050" s="976">
        <v>0</v>
      </c>
      <c r="M1050" s="945">
        <v>0</v>
      </c>
      <c r="N1050" s="976"/>
      <c r="O1050" s="945">
        <v>90604000</v>
      </c>
      <c r="P1050" s="976">
        <v>16</v>
      </c>
      <c r="Q1050" s="945"/>
      <c r="R1050" s="960">
        <v>100</v>
      </c>
      <c r="S1050" s="945">
        <v>104692329</v>
      </c>
      <c r="T1050" s="978">
        <f t="shared" si="237"/>
        <v>116</v>
      </c>
      <c r="U1050" s="979">
        <f t="shared" ref="U1050:U1057" si="246">T1050/J1050*100</f>
        <v>175.75757575757575</v>
      </c>
      <c r="V1050" s="980" t="s">
        <v>58</v>
      </c>
      <c r="W1050" s="981">
        <f t="shared" si="243"/>
        <v>195296329</v>
      </c>
      <c r="X1050" s="979">
        <f t="shared" si="244"/>
        <v>92.958478955551641</v>
      </c>
      <c r="Y1050" s="980" t="s">
        <v>58</v>
      </c>
      <c r="Z1050" s="978">
        <f t="shared" si="211"/>
        <v>136</v>
      </c>
      <c r="AA1050" s="982">
        <f t="shared" si="210"/>
        <v>475920929</v>
      </c>
      <c r="AB1050" s="979"/>
      <c r="AC1050" s="980" t="s">
        <v>58</v>
      </c>
      <c r="AD1050" s="979"/>
      <c r="AE1050" s="983"/>
      <c r="AH1050" s="943"/>
    </row>
    <row r="1051" spans="1:34" s="966" customFormat="1" ht="240">
      <c r="A1051" s="974"/>
      <c r="B1051" s="955"/>
      <c r="C1051" s="975" t="s">
        <v>2729</v>
      </c>
      <c r="D1051" s="975" t="s">
        <v>2730</v>
      </c>
      <c r="E1051" s="976">
        <v>40</v>
      </c>
      <c r="F1051" s="998" t="s">
        <v>2731</v>
      </c>
      <c r="G1051" s="945">
        <f>36410600+51930000+51930000</f>
        <v>140270600</v>
      </c>
      <c r="H1051" s="987">
        <v>0</v>
      </c>
      <c r="I1051" s="945">
        <v>35930600</v>
      </c>
      <c r="J1051" s="976">
        <v>20</v>
      </c>
      <c r="K1051" s="945">
        <v>51929850</v>
      </c>
      <c r="L1051" s="976">
        <v>0</v>
      </c>
      <c r="M1051" s="945">
        <v>0</v>
      </c>
      <c r="N1051" s="976"/>
      <c r="O1051" s="945">
        <v>47456100</v>
      </c>
      <c r="P1051" s="976">
        <v>20</v>
      </c>
      <c r="Q1051" s="945"/>
      <c r="R1051" s="960">
        <v>100</v>
      </c>
      <c r="S1051" s="945">
        <v>3730631</v>
      </c>
      <c r="T1051" s="978">
        <f t="shared" si="237"/>
        <v>120</v>
      </c>
      <c r="U1051" s="979">
        <f t="shared" si="246"/>
        <v>600</v>
      </c>
      <c r="V1051" s="980" t="s">
        <v>58</v>
      </c>
      <c r="W1051" s="981">
        <f t="shared" si="243"/>
        <v>51186731</v>
      </c>
      <c r="X1051" s="979">
        <f t="shared" si="244"/>
        <v>98.568994518566882</v>
      </c>
      <c r="Y1051" s="980" t="s">
        <v>58</v>
      </c>
      <c r="Z1051" s="978">
        <f t="shared" si="211"/>
        <v>120</v>
      </c>
      <c r="AA1051" s="982">
        <f t="shared" si="210"/>
        <v>87117331</v>
      </c>
      <c r="AB1051" s="979"/>
      <c r="AC1051" s="980" t="s">
        <v>58</v>
      </c>
      <c r="AD1051" s="979"/>
      <c r="AE1051" s="983"/>
      <c r="AH1051" s="943"/>
    </row>
    <row r="1052" spans="1:34" s="966" customFormat="1" ht="110.25">
      <c r="A1052" s="954">
        <v>14</v>
      </c>
      <c r="B1052" s="967" t="s">
        <v>2732</v>
      </c>
      <c r="C1052" s="956" t="s">
        <v>2733</v>
      </c>
      <c r="D1052" s="957" t="s">
        <v>2734</v>
      </c>
      <c r="E1052" s="996">
        <f>9.73</f>
        <v>9.73</v>
      </c>
      <c r="F1052" s="997" t="s">
        <v>58</v>
      </c>
      <c r="G1052" s="942">
        <f t="shared" ref="G1052:K1053" si="247">SUM(G1053)</f>
        <v>106684780</v>
      </c>
      <c r="H1052" s="996">
        <v>1.9</v>
      </c>
      <c r="I1052" s="942">
        <f t="shared" si="247"/>
        <v>27886500</v>
      </c>
      <c r="J1052" s="996">
        <f>J1048</f>
        <v>37.401229148375769</v>
      </c>
      <c r="K1052" s="942">
        <f t="shared" si="247"/>
        <v>30235100</v>
      </c>
      <c r="L1052" s="996">
        <f>L1048</f>
        <v>0</v>
      </c>
      <c r="M1052" s="942">
        <f t="shared" si="239"/>
        <v>0</v>
      </c>
      <c r="N1052" s="996"/>
      <c r="O1052" s="942">
        <f>O1053</f>
        <v>19874850</v>
      </c>
      <c r="P1052" s="999" t="s">
        <v>2735</v>
      </c>
      <c r="Q1052" s="942">
        <f t="shared" si="240"/>
        <v>0</v>
      </c>
      <c r="R1052" s="960">
        <v>100</v>
      </c>
      <c r="S1052" s="942">
        <f t="shared" si="241"/>
        <v>9210000</v>
      </c>
      <c r="T1052" s="961">
        <f t="shared" si="237"/>
        <v>100</v>
      </c>
      <c r="U1052" s="961">
        <f t="shared" si="242"/>
        <v>272.45093896713615</v>
      </c>
      <c r="V1052" s="962" t="s">
        <v>58</v>
      </c>
      <c r="W1052" s="963">
        <f t="shared" si="243"/>
        <v>29084850</v>
      </c>
      <c r="X1052" s="961">
        <f t="shared" si="244"/>
        <v>96.19564678138984</v>
      </c>
      <c r="Y1052" s="962" t="s">
        <v>58</v>
      </c>
      <c r="Z1052" s="961">
        <f t="shared" si="211"/>
        <v>101.9</v>
      </c>
      <c r="AA1052" s="964">
        <f t="shared" si="210"/>
        <v>56971350</v>
      </c>
      <c r="AB1052" s="961"/>
      <c r="AC1052" s="962" t="s">
        <v>58</v>
      </c>
      <c r="AD1052" s="961"/>
      <c r="AE1052" s="983"/>
      <c r="AH1052" s="943"/>
    </row>
    <row r="1053" spans="1:34" s="966" customFormat="1" ht="78.75">
      <c r="A1053" s="974"/>
      <c r="B1053" s="955"/>
      <c r="C1053" s="956" t="s">
        <v>2736</v>
      </c>
      <c r="D1053" s="957" t="s">
        <v>2737</v>
      </c>
      <c r="E1053" s="960">
        <f>E1054</f>
        <v>60</v>
      </c>
      <c r="F1053" s="997" t="s">
        <v>57</v>
      </c>
      <c r="G1053" s="942">
        <f t="shared" si="247"/>
        <v>106684780</v>
      </c>
      <c r="H1053" s="960">
        <v>0</v>
      </c>
      <c r="I1053" s="942">
        <f t="shared" si="247"/>
        <v>27886500</v>
      </c>
      <c r="J1053" s="960">
        <f>J1054</f>
        <v>20</v>
      </c>
      <c r="K1053" s="942">
        <f t="shared" si="247"/>
        <v>30235100</v>
      </c>
      <c r="L1053" s="958">
        <v>0</v>
      </c>
      <c r="M1053" s="942">
        <f t="shared" si="239"/>
        <v>0</v>
      </c>
      <c r="N1053" s="958"/>
      <c r="O1053" s="942">
        <f>O1054</f>
        <v>19874850</v>
      </c>
      <c r="P1053" s="958">
        <v>20</v>
      </c>
      <c r="Q1053" s="942">
        <f t="shared" si="240"/>
        <v>0</v>
      </c>
      <c r="R1053" s="960">
        <v>100</v>
      </c>
      <c r="S1053" s="942">
        <f t="shared" si="241"/>
        <v>9210000</v>
      </c>
      <c r="T1053" s="969">
        <f t="shared" si="237"/>
        <v>120</v>
      </c>
      <c r="U1053" s="961">
        <f t="shared" si="246"/>
        <v>600</v>
      </c>
      <c r="V1053" s="962" t="s">
        <v>58</v>
      </c>
      <c r="W1053" s="963">
        <f t="shared" si="243"/>
        <v>29084850</v>
      </c>
      <c r="X1053" s="961">
        <f t="shared" si="244"/>
        <v>96.19564678138984</v>
      </c>
      <c r="Y1053" s="962" t="s">
        <v>58</v>
      </c>
      <c r="Z1053" s="969">
        <f t="shared" si="211"/>
        <v>120</v>
      </c>
      <c r="AA1053" s="964">
        <f t="shared" si="210"/>
        <v>56971350</v>
      </c>
      <c r="AB1053" s="961"/>
      <c r="AC1053" s="962" t="s">
        <v>58</v>
      </c>
      <c r="AD1053" s="961"/>
      <c r="AE1053" s="983"/>
      <c r="AH1053" s="943"/>
    </row>
    <row r="1054" spans="1:34" s="966" customFormat="1" ht="75">
      <c r="A1054" s="974"/>
      <c r="B1054" s="955"/>
      <c r="C1054" s="975" t="s">
        <v>2738</v>
      </c>
      <c r="D1054" s="975" t="s">
        <v>2739</v>
      </c>
      <c r="E1054" s="976">
        <f>20*3</f>
        <v>60</v>
      </c>
      <c r="F1054" s="977" t="s">
        <v>57</v>
      </c>
      <c r="G1054" s="945">
        <f>29530500+38577140+38577140</f>
        <v>106684780</v>
      </c>
      <c r="H1054" s="987">
        <v>0</v>
      </c>
      <c r="I1054" s="945">
        <v>27886500</v>
      </c>
      <c r="J1054" s="976">
        <v>20</v>
      </c>
      <c r="K1054" s="945">
        <v>30235100</v>
      </c>
      <c r="L1054" s="976">
        <v>0</v>
      </c>
      <c r="M1054" s="945">
        <v>0</v>
      </c>
      <c r="N1054" s="976"/>
      <c r="O1054" s="945">
        <v>19874850</v>
      </c>
      <c r="P1054" s="976">
        <v>20</v>
      </c>
      <c r="Q1054" s="945"/>
      <c r="R1054" s="960">
        <v>100</v>
      </c>
      <c r="S1054" s="945">
        <v>9210000</v>
      </c>
      <c r="T1054" s="978">
        <f t="shared" si="237"/>
        <v>120</v>
      </c>
      <c r="U1054" s="979">
        <f t="shared" si="246"/>
        <v>600</v>
      </c>
      <c r="V1054" s="980" t="s">
        <v>58</v>
      </c>
      <c r="W1054" s="981">
        <f t="shared" si="243"/>
        <v>29084850</v>
      </c>
      <c r="X1054" s="979">
        <f t="shared" si="244"/>
        <v>96.19564678138984</v>
      </c>
      <c r="Y1054" s="980" t="s">
        <v>58</v>
      </c>
      <c r="Z1054" s="978">
        <f t="shared" si="211"/>
        <v>120</v>
      </c>
      <c r="AA1054" s="982">
        <f t="shared" si="210"/>
        <v>56971350</v>
      </c>
      <c r="AB1054" s="979"/>
      <c r="AC1054" s="980" t="s">
        <v>58</v>
      </c>
      <c r="AD1054" s="979"/>
      <c r="AE1054" s="983"/>
      <c r="AH1054" s="943"/>
    </row>
    <row r="1055" spans="1:34" s="966" customFormat="1" ht="94.5">
      <c r="A1055" s="974"/>
      <c r="B1055" s="955"/>
      <c r="C1055" s="956" t="s">
        <v>2740</v>
      </c>
      <c r="D1055" s="956" t="s">
        <v>2741</v>
      </c>
      <c r="E1055" s="958">
        <f>E1056</f>
        <v>100</v>
      </c>
      <c r="F1055" s="997" t="s">
        <v>58</v>
      </c>
      <c r="G1055" s="948">
        <f t="shared" ref="G1055:K1055" si="248">SUM(G1056)</f>
        <v>198840000</v>
      </c>
      <c r="H1055" s="958">
        <v>100</v>
      </c>
      <c r="I1055" s="949">
        <f t="shared" si="248"/>
        <v>0</v>
      </c>
      <c r="J1055" s="958">
        <f>J1056</f>
        <v>100</v>
      </c>
      <c r="K1055" s="948">
        <f t="shared" si="248"/>
        <v>34319750</v>
      </c>
      <c r="L1055" s="958">
        <v>0</v>
      </c>
      <c r="M1055" s="950">
        <f t="shared" ref="M1055:M1059" si="249">SUM(M1056)</f>
        <v>0</v>
      </c>
      <c r="N1055" s="958"/>
      <c r="O1055" s="951" t="s">
        <v>449</v>
      </c>
      <c r="P1055" s="958">
        <v>100</v>
      </c>
      <c r="Q1055" s="951" t="s">
        <v>449</v>
      </c>
      <c r="R1055" s="960">
        <v>100</v>
      </c>
      <c r="S1055" s="951" t="s">
        <v>449</v>
      </c>
      <c r="T1055" s="969">
        <f t="shared" si="237"/>
        <v>200</v>
      </c>
      <c r="U1055" s="961">
        <f t="shared" si="246"/>
        <v>200</v>
      </c>
      <c r="V1055" s="962" t="s">
        <v>58</v>
      </c>
      <c r="W1055" s="963">
        <f t="shared" si="243"/>
        <v>0</v>
      </c>
      <c r="X1055" s="961">
        <f t="shared" si="244"/>
        <v>0</v>
      </c>
      <c r="Y1055" s="962" t="s">
        <v>58</v>
      </c>
      <c r="Z1055" s="969">
        <f t="shared" si="211"/>
        <v>300</v>
      </c>
      <c r="AA1055" s="964">
        <f t="shared" si="210"/>
        <v>0</v>
      </c>
      <c r="AB1055" s="961"/>
      <c r="AC1055" s="962" t="s">
        <v>58</v>
      </c>
      <c r="AD1055" s="961"/>
      <c r="AE1055" s="983"/>
      <c r="AH1055" s="943"/>
    </row>
    <row r="1056" spans="1:34" s="966" customFormat="1" ht="220.5">
      <c r="A1056" s="974"/>
      <c r="B1056" s="955"/>
      <c r="C1056" s="956" t="s">
        <v>2742</v>
      </c>
      <c r="D1056" s="956" t="s">
        <v>2743</v>
      </c>
      <c r="E1056" s="960">
        <f>6/6*100</f>
        <v>100</v>
      </c>
      <c r="F1056" s="997" t="s">
        <v>58</v>
      </c>
      <c r="G1056" s="948">
        <f t="shared" ref="G1056:K1056" si="250">SUM(G1057)</f>
        <v>198840000</v>
      </c>
      <c r="H1056" s="960">
        <v>100</v>
      </c>
      <c r="I1056" s="949">
        <f t="shared" si="250"/>
        <v>0</v>
      </c>
      <c r="J1056" s="958">
        <f>J1057/J1057*100</f>
        <v>100</v>
      </c>
      <c r="K1056" s="948">
        <f t="shared" si="250"/>
        <v>34319750</v>
      </c>
      <c r="L1056" s="958">
        <v>0</v>
      </c>
      <c r="M1056" s="950">
        <f t="shared" si="249"/>
        <v>0</v>
      </c>
      <c r="N1056" s="958"/>
      <c r="O1056" s="951" t="s">
        <v>449</v>
      </c>
      <c r="P1056" s="958">
        <v>100</v>
      </c>
      <c r="Q1056" s="951" t="s">
        <v>449</v>
      </c>
      <c r="R1056" s="960">
        <v>100</v>
      </c>
      <c r="S1056" s="951" t="s">
        <v>449</v>
      </c>
      <c r="T1056" s="969">
        <f t="shared" si="237"/>
        <v>200</v>
      </c>
      <c r="U1056" s="961">
        <f t="shared" si="246"/>
        <v>200</v>
      </c>
      <c r="V1056" s="962" t="s">
        <v>58</v>
      </c>
      <c r="W1056" s="963">
        <f t="shared" si="243"/>
        <v>0</v>
      </c>
      <c r="X1056" s="961">
        <f t="shared" si="244"/>
        <v>0</v>
      </c>
      <c r="Y1056" s="962" t="s">
        <v>58</v>
      </c>
      <c r="Z1056" s="969">
        <f t="shared" si="211"/>
        <v>300</v>
      </c>
      <c r="AA1056" s="964">
        <f t="shared" si="210"/>
        <v>0</v>
      </c>
      <c r="AB1056" s="961"/>
      <c r="AC1056" s="962" t="s">
        <v>58</v>
      </c>
      <c r="AD1056" s="961"/>
      <c r="AE1056" s="983"/>
      <c r="AH1056" s="943"/>
    </row>
    <row r="1057" spans="1:34" s="966" customFormat="1" ht="255">
      <c r="A1057" s="1000"/>
      <c r="B1057" s="968"/>
      <c r="C1057" s="975" t="s">
        <v>2744</v>
      </c>
      <c r="D1057" s="975" t="s">
        <v>2745</v>
      </c>
      <c r="E1057" s="987">
        <f>7+6+6</f>
        <v>19</v>
      </c>
      <c r="F1057" s="998" t="s">
        <v>1691</v>
      </c>
      <c r="G1057" s="945">
        <f>66280000*3</f>
        <v>198840000</v>
      </c>
      <c r="H1057" s="987">
        <v>3</v>
      </c>
      <c r="I1057" s="942">
        <v>0</v>
      </c>
      <c r="J1057" s="987">
        <v>7</v>
      </c>
      <c r="K1057" s="1001">
        <v>34319750</v>
      </c>
      <c r="L1057" s="976">
        <v>0</v>
      </c>
      <c r="M1057" s="942">
        <v>0</v>
      </c>
      <c r="N1057" s="976"/>
      <c r="O1057" s="942">
        <v>0</v>
      </c>
      <c r="P1057" s="976">
        <v>1</v>
      </c>
      <c r="Q1057" s="942">
        <v>0</v>
      </c>
      <c r="R1057" s="960">
        <v>100</v>
      </c>
      <c r="S1057" s="942">
        <v>22033000</v>
      </c>
      <c r="T1057" s="978">
        <f t="shared" si="237"/>
        <v>101</v>
      </c>
      <c r="U1057" s="979">
        <f t="shared" si="246"/>
        <v>1442.8571428571429</v>
      </c>
      <c r="V1057" s="980" t="s">
        <v>58</v>
      </c>
      <c r="W1057" s="981">
        <f t="shared" si="243"/>
        <v>22033000</v>
      </c>
      <c r="X1057" s="979">
        <f t="shared" si="244"/>
        <v>64.199185600128203</v>
      </c>
      <c r="Y1057" s="980" t="s">
        <v>58</v>
      </c>
      <c r="Z1057" s="979">
        <f t="shared" si="211"/>
        <v>104</v>
      </c>
      <c r="AA1057" s="982">
        <f t="shared" si="210"/>
        <v>22033000</v>
      </c>
      <c r="AB1057" s="979"/>
      <c r="AC1057" s="980" t="s">
        <v>58</v>
      </c>
      <c r="AD1057" s="961"/>
      <c r="AE1057" s="983"/>
      <c r="AH1057" s="943"/>
    </row>
    <row r="1058" spans="1:34" s="966" customFormat="1" ht="78.75">
      <c r="A1058" s="974"/>
      <c r="B1058" s="955"/>
      <c r="C1058" s="956" t="s">
        <v>2746</v>
      </c>
      <c r="D1058" s="956" t="s">
        <v>2747</v>
      </c>
      <c r="E1058" s="996">
        <f>E1059/162*100</f>
        <v>79.629629629629633</v>
      </c>
      <c r="F1058" s="997" t="s">
        <v>58</v>
      </c>
      <c r="G1058" s="952">
        <f t="shared" ref="G1058:K1058" si="251">SUM(G1059)</f>
        <v>410291200</v>
      </c>
      <c r="H1058" s="996">
        <v>78.395061728395106</v>
      </c>
      <c r="I1058" s="952">
        <f t="shared" si="251"/>
        <v>125192500</v>
      </c>
      <c r="J1058" s="996">
        <f>J1059/162*100</f>
        <v>79.629629629629633</v>
      </c>
      <c r="K1058" s="952">
        <f t="shared" si="251"/>
        <v>456682200</v>
      </c>
      <c r="L1058" s="958">
        <v>0</v>
      </c>
      <c r="M1058" s="952">
        <f t="shared" si="249"/>
        <v>0</v>
      </c>
      <c r="N1058" s="958"/>
      <c r="O1058" s="952">
        <f t="shared" ref="O1058:O1062" si="252">O1059</f>
        <v>103809400</v>
      </c>
      <c r="P1058" s="958"/>
      <c r="Q1058" s="952">
        <f t="shared" ref="Q1058:Q1062" si="253">Q1059</f>
        <v>0</v>
      </c>
      <c r="R1058" s="960">
        <v>100</v>
      </c>
      <c r="S1058" s="952">
        <f t="shared" ref="S1058:S1062" si="254">S1059</f>
        <v>332931800</v>
      </c>
      <c r="T1058" s="969">
        <f t="shared" si="237"/>
        <v>100</v>
      </c>
      <c r="U1058" s="961">
        <f t="shared" ref="U1058:U1062" si="255">Z1058/J1058*100</f>
        <v>224.03100775193803</v>
      </c>
      <c r="V1058" s="962" t="s">
        <v>58</v>
      </c>
      <c r="W1058" s="963">
        <f t="shared" si="243"/>
        <v>436741200</v>
      </c>
      <c r="X1058" s="961">
        <f t="shared" si="244"/>
        <v>95.633506188767598</v>
      </c>
      <c r="Y1058" s="962" t="s">
        <v>58</v>
      </c>
      <c r="Z1058" s="961">
        <f t="shared" si="211"/>
        <v>178.39506172839509</v>
      </c>
      <c r="AA1058" s="964">
        <f t="shared" si="210"/>
        <v>561933700</v>
      </c>
      <c r="AB1058" s="961"/>
      <c r="AC1058" s="962" t="s">
        <v>58</v>
      </c>
      <c r="AD1058" s="961"/>
      <c r="AE1058" s="983"/>
      <c r="AH1058" s="943"/>
    </row>
    <row r="1059" spans="1:34" s="966" customFormat="1" ht="189">
      <c r="A1059" s="974"/>
      <c r="B1059" s="955"/>
      <c r="C1059" s="956" t="s">
        <v>2748</v>
      </c>
      <c r="D1059" s="956" t="s">
        <v>2749</v>
      </c>
      <c r="E1059" s="960">
        <f>E1060</f>
        <v>129</v>
      </c>
      <c r="F1059" s="997" t="s">
        <v>2750</v>
      </c>
      <c r="G1059" s="953">
        <f t="shared" ref="G1059:K1059" si="256">SUM(G1060)</f>
        <v>410291200</v>
      </c>
      <c r="H1059" s="960">
        <v>220</v>
      </c>
      <c r="I1059" s="953">
        <f t="shared" si="256"/>
        <v>125192500</v>
      </c>
      <c r="J1059" s="960">
        <f t="shared" ref="J1059:O1059" si="257">J1060</f>
        <v>129</v>
      </c>
      <c r="K1059" s="953">
        <f t="shared" si="256"/>
        <v>456682200</v>
      </c>
      <c r="L1059" s="958">
        <f t="shared" si="257"/>
        <v>31</v>
      </c>
      <c r="M1059" s="953">
        <f t="shared" si="249"/>
        <v>0</v>
      </c>
      <c r="N1059" s="958"/>
      <c r="O1059" s="953">
        <f t="shared" si="257"/>
        <v>103809400</v>
      </c>
      <c r="P1059" s="958">
        <v>129</v>
      </c>
      <c r="Q1059" s="953">
        <f t="shared" si="253"/>
        <v>0</v>
      </c>
      <c r="R1059" s="960">
        <v>100</v>
      </c>
      <c r="S1059" s="953">
        <f t="shared" si="254"/>
        <v>332931800</v>
      </c>
      <c r="T1059" s="969">
        <f t="shared" si="237"/>
        <v>260</v>
      </c>
      <c r="U1059" s="961">
        <f t="shared" ref="U1059:U1063" si="258">T1059/J1059*100</f>
        <v>201.55038759689921</v>
      </c>
      <c r="V1059" s="962" t="s">
        <v>58</v>
      </c>
      <c r="W1059" s="963">
        <f t="shared" si="243"/>
        <v>436741200</v>
      </c>
      <c r="X1059" s="961">
        <f t="shared" si="244"/>
        <v>95.633506188767598</v>
      </c>
      <c r="Y1059" s="962" t="s">
        <v>58</v>
      </c>
      <c r="Z1059" s="969">
        <f t="shared" si="211"/>
        <v>480</v>
      </c>
      <c r="AA1059" s="964">
        <f t="shared" si="210"/>
        <v>561933700</v>
      </c>
      <c r="AB1059" s="961"/>
      <c r="AC1059" s="962" t="s">
        <v>58</v>
      </c>
      <c r="AD1059" s="961"/>
      <c r="AE1059" s="983"/>
      <c r="AH1059" s="943"/>
    </row>
    <row r="1060" spans="1:34" s="966" customFormat="1" ht="165">
      <c r="A1060" s="974"/>
      <c r="B1060" s="955"/>
      <c r="C1060" s="975" t="s">
        <v>2751</v>
      </c>
      <c r="D1060" s="975" t="s">
        <v>2752</v>
      </c>
      <c r="E1060" s="1002">
        <v>129</v>
      </c>
      <c r="F1060" s="998" t="s">
        <v>2750</v>
      </c>
      <c r="G1060" s="1003">
        <f>175262200+235029000</f>
        <v>410291200</v>
      </c>
      <c r="H1060" s="1002">
        <v>220</v>
      </c>
      <c r="I1060" s="945">
        <v>125192500</v>
      </c>
      <c r="J1060" s="1002">
        <v>129</v>
      </c>
      <c r="K1060" s="1003">
        <v>456682200</v>
      </c>
      <c r="L1060" s="976">
        <v>31</v>
      </c>
      <c r="M1060" s="945">
        <v>0</v>
      </c>
      <c r="N1060" s="976"/>
      <c r="O1060" s="945">
        <v>103809400</v>
      </c>
      <c r="P1060" s="976">
        <v>129</v>
      </c>
      <c r="Q1060" s="945"/>
      <c r="R1060" s="960">
        <v>100</v>
      </c>
      <c r="S1060" s="945">
        <v>332931800</v>
      </c>
      <c r="T1060" s="978">
        <f t="shared" si="237"/>
        <v>260</v>
      </c>
      <c r="U1060" s="979">
        <f t="shared" si="258"/>
        <v>201.55038759689921</v>
      </c>
      <c r="V1060" s="980" t="s">
        <v>58</v>
      </c>
      <c r="W1060" s="981">
        <f t="shared" si="243"/>
        <v>436741200</v>
      </c>
      <c r="X1060" s="979">
        <f t="shared" si="244"/>
        <v>95.633506188767598</v>
      </c>
      <c r="Y1060" s="980" t="s">
        <v>58</v>
      </c>
      <c r="Z1060" s="978">
        <f t="shared" si="211"/>
        <v>480</v>
      </c>
      <c r="AA1060" s="982">
        <f t="shared" si="210"/>
        <v>561933700</v>
      </c>
      <c r="AB1060" s="979"/>
      <c r="AC1060" s="980" t="s">
        <v>58</v>
      </c>
      <c r="AD1060" s="979"/>
      <c r="AE1060" s="983"/>
      <c r="AH1060" s="943"/>
    </row>
    <row r="1061" spans="1:34" s="966" customFormat="1" ht="114.75" customHeight="1">
      <c r="A1061" s="974"/>
      <c r="B1061" s="955"/>
      <c r="C1061" s="956" t="s">
        <v>2753</v>
      </c>
      <c r="D1061" s="956" t="s">
        <v>2754</v>
      </c>
      <c r="E1061" s="958">
        <f>531/2200*100</f>
        <v>24.136363636363637</v>
      </c>
      <c r="F1061" s="959" t="s">
        <v>58</v>
      </c>
      <c r="G1061" s="949">
        <f t="shared" ref="G1061:K1061" si="259">SUM(G1062)</f>
        <v>350000000</v>
      </c>
      <c r="H1061" s="996">
        <v>19.4713615459655</v>
      </c>
      <c r="I1061" s="949">
        <f t="shared" si="259"/>
        <v>85919000</v>
      </c>
      <c r="J1061" s="996">
        <f>431/2090*100</f>
        <v>20.62200956937799</v>
      </c>
      <c r="K1061" s="949">
        <f t="shared" si="259"/>
        <v>411505400</v>
      </c>
      <c r="L1061" s="958">
        <v>0</v>
      </c>
      <c r="M1061" s="949">
        <f t="shared" ref="M1061:M1064" si="260">SUM(M1062)</f>
        <v>0</v>
      </c>
      <c r="N1061" s="958"/>
      <c r="O1061" s="949">
        <f t="shared" si="252"/>
        <v>91041050</v>
      </c>
      <c r="P1061" s="958"/>
      <c r="Q1061" s="949">
        <f t="shared" si="253"/>
        <v>0</v>
      </c>
      <c r="R1061" s="960">
        <v>100</v>
      </c>
      <c r="S1061" s="949">
        <f t="shared" si="254"/>
        <v>286994996</v>
      </c>
      <c r="T1061" s="961">
        <f t="shared" si="237"/>
        <v>100</v>
      </c>
      <c r="U1061" s="961">
        <f t="shared" si="255"/>
        <v>579.33908499087681</v>
      </c>
      <c r="V1061" s="962" t="s">
        <v>58</v>
      </c>
      <c r="W1061" s="963">
        <f t="shared" si="243"/>
        <v>378036046</v>
      </c>
      <c r="X1061" s="961">
        <f t="shared" si="244"/>
        <v>91.866606367741468</v>
      </c>
      <c r="Y1061" s="962" t="s">
        <v>58</v>
      </c>
      <c r="Z1061" s="961">
        <f t="shared" si="211"/>
        <v>119.47136154596549</v>
      </c>
      <c r="AA1061" s="964">
        <f t="shared" si="210"/>
        <v>463955046</v>
      </c>
      <c r="AB1061" s="961"/>
      <c r="AC1061" s="962" t="s">
        <v>58</v>
      </c>
      <c r="AD1061" s="961"/>
      <c r="AE1061" s="983"/>
      <c r="AH1061" s="943"/>
    </row>
    <row r="1062" spans="1:34" s="966" customFormat="1" ht="157.5">
      <c r="A1062" s="974"/>
      <c r="B1062" s="955"/>
      <c r="C1062" s="956" t="s">
        <v>2755</v>
      </c>
      <c r="D1062" s="956" t="s">
        <v>2756</v>
      </c>
      <c r="E1062" s="958">
        <v>390</v>
      </c>
      <c r="F1062" s="997" t="s">
        <v>2757</v>
      </c>
      <c r="G1062" s="949">
        <f t="shared" ref="G1062:K1062" si="261">SUM(G1063)</f>
        <v>350000000</v>
      </c>
      <c r="H1062" s="960">
        <v>240</v>
      </c>
      <c r="I1062" s="949">
        <f t="shared" si="261"/>
        <v>85919000</v>
      </c>
      <c r="J1062" s="960">
        <f>H1062+60</f>
        <v>300</v>
      </c>
      <c r="K1062" s="949">
        <f t="shared" si="261"/>
        <v>411505400</v>
      </c>
      <c r="L1062" s="960">
        <f>L1063</f>
        <v>0</v>
      </c>
      <c r="M1062" s="949">
        <f t="shared" si="260"/>
        <v>0</v>
      </c>
      <c r="N1062" s="960"/>
      <c r="O1062" s="949">
        <f t="shared" si="252"/>
        <v>91041050</v>
      </c>
      <c r="P1062" s="960">
        <v>90</v>
      </c>
      <c r="Q1062" s="949">
        <f t="shared" si="253"/>
        <v>0</v>
      </c>
      <c r="R1062" s="960">
        <v>100</v>
      </c>
      <c r="S1062" s="949">
        <f t="shared" si="254"/>
        <v>286994996</v>
      </c>
      <c r="T1062" s="969">
        <f t="shared" si="237"/>
        <v>190</v>
      </c>
      <c r="U1062" s="961">
        <f t="shared" si="255"/>
        <v>143.33333333333334</v>
      </c>
      <c r="V1062" s="962" t="s">
        <v>58</v>
      </c>
      <c r="W1062" s="963">
        <f t="shared" si="243"/>
        <v>378036046</v>
      </c>
      <c r="X1062" s="961">
        <f t="shared" si="244"/>
        <v>91.866606367741468</v>
      </c>
      <c r="Y1062" s="962" t="s">
        <v>58</v>
      </c>
      <c r="Z1062" s="969">
        <f t="shared" si="211"/>
        <v>430</v>
      </c>
      <c r="AA1062" s="964">
        <f t="shared" si="210"/>
        <v>463955046</v>
      </c>
      <c r="AB1062" s="961"/>
      <c r="AC1062" s="962" t="s">
        <v>58</v>
      </c>
      <c r="AD1062" s="961"/>
      <c r="AE1062" s="983"/>
      <c r="AH1062" s="943"/>
    </row>
    <row r="1063" spans="1:34" s="966" customFormat="1" ht="195">
      <c r="A1063" s="974"/>
      <c r="B1063" s="955"/>
      <c r="C1063" s="975" t="s">
        <v>2758</v>
      </c>
      <c r="D1063" s="975" t="s">
        <v>2759</v>
      </c>
      <c r="E1063" s="976">
        <f>30*3</f>
        <v>90</v>
      </c>
      <c r="F1063" s="998" t="s">
        <v>2760</v>
      </c>
      <c r="G1063" s="945">
        <f>100000000+125000000+125000000</f>
        <v>350000000</v>
      </c>
      <c r="H1063" s="987">
        <v>90</v>
      </c>
      <c r="I1063" s="945">
        <v>85919000</v>
      </c>
      <c r="J1063" s="987">
        <v>30</v>
      </c>
      <c r="K1063" s="1001">
        <v>411505400</v>
      </c>
      <c r="L1063" s="976">
        <v>0</v>
      </c>
      <c r="M1063" s="945">
        <v>0</v>
      </c>
      <c r="N1063" s="976"/>
      <c r="O1063" s="945">
        <v>91041050</v>
      </c>
      <c r="P1063" s="976">
        <v>90</v>
      </c>
      <c r="Q1063" s="945"/>
      <c r="R1063" s="960">
        <v>100</v>
      </c>
      <c r="S1063" s="945">
        <v>286994996</v>
      </c>
      <c r="T1063" s="978">
        <f t="shared" si="237"/>
        <v>190</v>
      </c>
      <c r="U1063" s="978">
        <f t="shared" si="258"/>
        <v>633.33333333333326</v>
      </c>
      <c r="V1063" s="980" t="s">
        <v>58</v>
      </c>
      <c r="W1063" s="981">
        <f t="shared" si="243"/>
        <v>378036046</v>
      </c>
      <c r="X1063" s="979">
        <f t="shared" si="244"/>
        <v>91.866606367741468</v>
      </c>
      <c r="Y1063" s="980" t="s">
        <v>58</v>
      </c>
      <c r="Z1063" s="978">
        <f t="shared" si="211"/>
        <v>280</v>
      </c>
      <c r="AA1063" s="982">
        <f t="shared" si="210"/>
        <v>463955046</v>
      </c>
      <c r="AB1063" s="979"/>
      <c r="AC1063" s="980" t="s">
        <v>58</v>
      </c>
      <c r="AD1063" s="979"/>
      <c r="AE1063" s="983"/>
      <c r="AH1063" s="943"/>
    </row>
    <row r="1064" spans="1:34" s="966" customFormat="1" ht="96" customHeight="1">
      <c r="A1064" s="974"/>
      <c r="B1064" s="955"/>
      <c r="C1064" s="956" t="s">
        <v>2761</v>
      </c>
      <c r="D1064" s="957" t="s">
        <v>2762</v>
      </c>
      <c r="E1064" s="996">
        <f>E1069</f>
        <v>22.973698336017176</v>
      </c>
      <c r="F1064" s="959" t="s">
        <v>58</v>
      </c>
      <c r="G1064" s="942">
        <f t="shared" ref="G1064:K1064" si="262">SUM(G1065)</f>
        <v>3191809056</v>
      </c>
      <c r="H1064" s="996">
        <v>20.1242121438809</v>
      </c>
      <c r="I1064" s="942">
        <f t="shared" si="262"/>
        <v>574241932</v>
      </c>
      <c r="J1064" s="996">
        <f>J1069</f>
        <v>19.391853126792885</v>
      </c>
      <c r="K1064" s="942">
        <f t="shared" si="262"/>
        <v>1690212120</v>
      </c>
      <c r="L1064" s="996">
        <f>L1069</f>
        <v>0</v>
      </c>
      <c r="M1064" s="942">
        <f t="shared" si="260"/>
        <v>0</v>
      </c>
      <c r="N1064" s="996"/>
      <c r="O1064" s="942">
        <f t="shared" ref="O1064:S1064" si="263">O1065</f>
        <v>168647150</v>
      </c>
      <c r="P1064" s="996"/>
      <c r="Q1064" s="942">
        <f t="shared" si="263"/>
        <v>0</v>
      </c>
      <c r="R1064" s="960">
        <v>100</v>
      </c>
      <c r="S1064" s="942">
        <f t="shared" si="263"/>
        <v>1173405987</v>
      </c>
      <c r="T1064" s="961">
        <f t="shared" si="237"/>
        <v>100</v>
      </c>
      <c r="U1064" s="961">
        <f>Z1064/J1064*100</f>
        <v>619.45710581888886</v>
      </c>
      <c r="V1064" s="962" t="s">
        <v>58</v>
      </c>
      <c r="W1064" s="963">
        <f t="shared" si="243"/>
        <v>1342053137</v>
      </c>
      <c r="X1064" s="961">
        <f t="shared" si="244"/>
        <v>79.401462166772291</v>
      </c>
      <c r="Y1064" s="962" t="s">
        <v>58</v>
      </c>
      <c r="Z1064" s="961">
        <f t="shared" si="211"/>
        <v>120.1242121438809</v>
      </c>
      <c r="AA1064" s="964">
        <f t="shared" si="210"/>
        <v>1916295069</v>
      </c>
      <c r="AB1064" s="961"/>
      <c r="AC1064" s="962" t="s">
        <v>58</v>
      </c>
      <c r="AD1064" s="961"/>
      <c r="AE1064" s="983"/>
      <c r="AH1064" s="943"/>
    </row>
    <row r="1065" spans="1:34" s="966" customFormat="1" ht="131.25" customHeight="1">
      <c r="A1065" s="974"/>
      <c r="B1065" s="955"/>
      <c r="C1065" s="956" t="s">
        <v>2763</v>
      </c>
      <c r="D1065" s="956" t="s">
        <v>2764</v>
      </c>
      <c r="E1065" s="958">
        <f>E1066</f>
        <v>280</v>
      </c>
      <c r="F1065" s="959" t="s">
        <v>57</v>
      </c>
      <c r="G1065" s="942">
        <f t="shared" ref="G1065:K1065" si="264">SUM(G1066:G1068)</f>
        <v>3191809056</v>
      </c>
      <c r="H1065" s="960">
        <v>0</v>
      </c>
      <c r="I1065" s="942">
        <f t="shared" si="264"/>
        <v>574241932</v>
      </c>
      <c r="J1065" s="958">
        <f>J1066</f>
        <v>20</v>
      </c>
      <c r="K1065" s="942">
        <f t="shared" si="264"/>
        <v>1690212120</v>
      </c>
      <c r="L1065" s="958">
        <v>0</v>
      </c>
      <c r="M1065" s="942">
        <f>SUM(M1066:M1068)</f>
        <v>0</v>
      </c>
      <c r="N1065" s="958"/>
      <c r="O1065" s="942">
        <f t="shared" ref="O1065:S1065" si="265">O1066+O1067+O1068</f>
        <v>168647150</v>
      </c>
      <c r="P1065" s="958"/>
      <c r="Q1065" s="942">
        <f t="shared" si="265"/>
        <v>0</v>
      </c>
      <c r="R1065" s="960">
        <v>100</v>
      </c>
      <c r="S1065" s="942">
        <f t="shared" si="265"/>
        <v>1173405987</v>
      </c>
      <c r="T1065" s="961">
        <f t="shared" si="237"/>
        <v>100</v>
      </c>
      <c r="U1065" s="961">
        <f t="shared" ref="U1065:U1068" si="266">T1065/J1065*100</f>
        <v>500</v>
      </c>
      <c r="V1065" s="962" t="s">
        <v>58</v>
      </c>
      <c r="W1065" s="963">
        <f t="shared" si="243"/>
        <v>1342053137</v>
      </c>
      <c r="X1065" s="961">
        <f t="shared" si="244"/>
        <v>79.401462166772291</v>
      </c>
      <c r="Y1065" s="962" t="s">
        <v>58</v>
      </c>
      <c r="Z1065" s="961">
        <f t="shared" si="211"/>
        <v>100</v>
      </c>
      <c r="AA1065" s="964">
        <f t="shared" si="210"/>
        <v>1916295069</v>
      </c>
      <c r="AB1065" s="961"/>
      <c r="AC1065" s="962" t="s">
        <v>58</v>
      </c>
      <c r="AD1065" s="961"/>
      <c r="AE1065" s="983"/>
      <c r="AH1065" s="943"/>
    </row>
    <row r="1066" spans="1:34" s="966" customFormat="1" ht="105">
      <c r="A1066" s="974"/>
      <c r="B1066" s="955"/>
      <c r="C1066" s="975" t="s">
        <v>2765</v>
      </c>
      <c r="D1066" s="975" t="s">
        <v>2766</v>
      </c>
      <c r="E1066" s="976">
        <f>20+130+130</f>
        <v>280</v>
      </c>
      <c r="F1066" s="998" t="s">
        <v>55</v>
      </c>
      <c r="G1066" s="946">
        <f>383333000+276262900+383333000</f>
        <v>1042928900</v>
      </c>
      <c r="H1066" s="987">
        <v>0</v>
      </c>
      <c r="I1066" s="945">
        <v>188979332</v>
      </c>
      <c r="J1066" s="976">
        <v>20</v>
      </c>
      <c r="K1066" s="945">
        <v>351762900</v>
      </c>
      <c r="L1066" s="976">
        <v>0</v>
      </c>
      <c r="M1066" s="945">
        <v>0</v>
      </c>
      <c r="N1066" s="976"/>
      <c r="O1066" s="945">
        <v>102898900</v>
      </c>
      <c r="P1066" s="976">
        <v>30</v>
      </c>
      <c r="Q1066" s="945"/>
      <c r="R1066" s="960">
        <v>100</v>
      </c>
      <c r="S1066" s="945">
        <v>149323328</v>
      </c>
      <c r="T1066" s="978">
        <f t="shared" si="237"/>
        <v>130</v>
      </c>
      <c r="U1066" s="979">
        <f t="shared" si="266"/>
        <v>650</v>
      </c>
      <c r="V1066" s="980" t="s">
        <v>58</v>
      </c>
      <c r="W1066" s="981">
        <f t="shared" si="243"/>
        <v>252222228</v>
      </c>
      <c r="X1066" s="979">
        <f t="shared" si="244"/>
        <v>71.702339274551136</v>
      </c>
      <c r="Y1066" s="980" t="s">
        <v>58</v>
      </c>
      <c r="Z1066" s="978">
        <f t="shared" si="211"/>
        <v>130</v>
      </c>
      <c r="AA1066" s="982">
        <f t="shared" si="210"/>
        <v>441201560</v>
      </c>
      <c r="AB1066" s="979"/>
      <c r="AC1066" s="980" t="s">
        <v>58</v>
      </c>
      <c r="AD1066" s="979"/>
      <c r="AE1066" s="983"/>
      <c r="AH1066" s="943"/>
    </row>
    <row r="1067" spans="1:34" s="966" customFormat="1" ht="107.1" customHeight="1">
      <c r="A1067" s="974"/>
      <c r="B1067" s="955"/>
      <c r="C1067" s="975" t="s">
        <v>2767</v>
      </c>
      <c r="D1067" s="975" t="s">
        <v>2768</v>
      </c>
      <c r="E1067" s="976"/>
      <c r="F1067" s="998" t="s">
        <v>55</v>
      </c>
      <c r="G1067" s="946"/>
      <c r="H1067" s="987"/>
      <c r="I1067" s="945"/>
      <c r="J1067" s="976">
        <v>20</v>
      </c>
      <c r="K1067" s="945">
        <v>121000000</v>
      </c>
      <c r="L1067" s="976">
        <v>0</v>
      </c>
      <c r="M1067" s="945">
        <v>0</v>
      </c>
      <c r="N1067" s="976"/>
      <c r="O1067" s="945">
        <v>12133250</v>
      </c>
      <c r="P1067" s="976">
        <v>30</v>
      </c>
      <c r="Q1067" s="945">
        <v>0</v>
      </c>
      <c r="R1067" s="960">
        <v>100</v>
      </c>
      <c r="S1067" s="945">
        <v>93559675</v>
      </c>
      <c r="T1067" s="978">
        <f t="shared" si="237"/>
        <v>130</v>
      </c>
      <c r="U1067" s="979">
        <f t="shared" si="266"/>
        <v>650</v>
      </c>
      <c r="V1067" s="980" t="s">
        <v>58</v>
      </c>
      <c r="W1067" s="981">
        <f t="shared" si="243"/>
        <v>105692925</v>
      </c>
      <c r="X1067" s="979">
        <f t="shared" si="244"/>
        <v>87.34952479338844</v>
      </c>
      <c r="Y1067" s="980" t="s">
        <v>58</v>
      </c>
      <c r="Z1067" s="978">
        <f t="shared" si="211"/>
        <v>130</v>
      </c>
      <c r="AA1067" s="982">
        <f t="shared" si="210"/>
        <v>105692925</v>
      </c>
      <c r="AB1067" s="979"/>
      <c r="AC1067" s="980" t="s">
        <v>58</v>
      </c>
      <c r="AD1067" s="979"/>
      <c r="AE1067" s="983"/>
      <c r="AH1067" s="943"/>
    </row>
    <row r="1068" spans="1:34" s="966" customFormat="1" ht="107.1" customHeight="1">
      <c r="A1068" s="974"/>
      <c r="B1068" s="955"/>
      <c r="C1068" s="975" t="s">
        <v>2769</v>
      </c>
      <c r="D1068" s="975" t="s">
        <v>2770</v>
      </c>
      <c r="E1068" s="976">
        <f>5*3</f>
        <v>15</v>
      </c>
      <c r="F1068" s="998" t="s">
        <v>2771</v>
      </c>
      <c r="G1068" s="946">
        <f>645481716+751699220+751699220</f>
        <v>2148880156</v>
      </c>
      <c r="H1068" s="987">
        <v>1</v>
      </c>
      <c r="I1068" s="945">
        <v>385262600</v>
      </c>
      <c r="J1068" s="976">
        <v>5</v>
      </c>
      <c r="K1068" s="945">
        <v>1217449220</v>
      </c>
      <c r="L1068" s="976">
        <v>0</v>
      </c>
      <c r="M1068" s="945">
        <v>0</v>
      </c>
      <c r="N1068" s="976"/>
      <c r="O1068" s="945">
        <v>53615000</v>
      </c>
      <c r="P1068" s="976">
        <v>2</v>
      </c>
      <c r="Q1068" s="945"/>
      <c r="R1068" s="960">
        <v>100</v>
      </c>
      <c r="S1068" s="945">
        <v>930522984</v>
      </c>
      <c r="T1068" s="978">
        <f t="shared" si="237"/>
        <v>102</v>
      </c>
      <c r="U1068" s="979">
        <f t="shared" si="266"/>
        <v>2039.9999999999998</v>
      </c>
      <c r="V1068" s="980" t="s">
        <v>58</v>
      </c>
      <c r="W1068" s="981">
        <f t="shared" si="243"/>
        <v>984137984</v>
      </c>
      <c r="X1068" s="979">
        <f t="shared" si="244"/>
        <v>80.836060168488999</v>
      </c>
      <c r="Y1068" s="980" t="s">
        <v>58</v>
      </c>
      <c r="Z1068" s="978">
        <f t="shared" si="211"/>
        <v>103</v>
      </c>
      <c r="AA1068" s="982">
        <f t="shared" si="210"/>
        <v>1369400584</v>
      </c>
      <c r="AB1068" s="979"/>
      <c r="AC1068" s="980" t="s">
        <v>58</v>
      </c>
      <c r="AD1068" s="979"/>
      <c r="AE1068" s="983"/>
      <c r="AH1068" s="943"/>
    </row>
    <row r="1069" spans="1:34" s="966" customFormat="1" ht="110.25">
      <c r="A1069" s="974"/>
      <c r="B1069" s="955"/>
      <c r="C1069" s="956" t="s">
        <v>2772</v>
      </c>
      <c r="D1069" s="956" t="s">
        <v>2773</v>
      </c>
      <c r="E1069" s="996">
        <f>856/3726*100</f>
        <v>22.973698336017176</v>
      </c>
      <c r="F1069" s="959" t="s">
        <v>58</v>
      </c>
      <c r="G1069" s="942">
        <f t="shared" ref="G1069:K1069" si="267">SUM(G1070)</f>
        <v>271435925</v>
      </c>
      <c r="H1069" s="996">
        <v>20.1242121438809</v>
      </c>
      <c r="I1069" s="942">
        <f t="shared" si="267"/>
        <v>74992000</v>
      </c>
      <c r="J1069" s="996">
        <f>(586+90)/3486*100</f>
        <v>19.391853126792885</v>
      </c>
      <c r="K1069" s="942">
        <f t="shared" si="267"/>
        <v>32475925</v>
      </c>
      <c r="L1069" s="958">
        <v>0</v>
      </c>
      <c r="M1069" s="942">
        <f t="shared" ref="M1069:Q1069" si="268">SUM(M1070)</f>
        <v>0</v>
      </c>
      <c r="N1069" s="996"/>
      <c r="O1069" s="942">
        <f t="shared" si="268"/>
        <v>0</v>
      </c>
      <c r="P1069" s="996"/>
      <c r="Q1069" s="942">
        <f t="shared" si="268"/>
        <v>0</v>
      </c>
      <c r="R1069" s="960">
        <v>100</v>
      </c>
      <c r="S1069" s="942">
        <f t="shared" ref="S1069:S1072" si="269">SUM(S1070)</f>
        <v>10600000</v>
      </c>
      <c r="T1069" s="961">
        <f t="shared" si="237"/>
        <v>100</v>
      </c>
      <c r="U1069" s="961">
        <f>Z1069/J1069*100</f>
        <v>619.45710581888886</v>
      </c>
      <c r="V1069" s="962" t="s">
        <v>58</v>
      </c>
      <c r="W1069" s="963">
        <f t="shared" si="243"/>
        <v>10600000</v>
      </c>
      <c r="X1069" s="961">
        <f t="shared" si="244"/>
        <v>32.639562999360294</v>
      </c>
      <c r="Y1069" s="962" t="s">
        <v>58</v>
      </c>
      <c r="Z1069" s="961">
        <f t="shared" si="211"/>
        <v>120.1242121438809</v>
      </c>
      <c r="AA1069" s="964">
        <f t="shared" si="210"/>
        <v>85592000</v>
      </c>
      <c r="AB1069" s="961"/>
      <c r="AC1069" s="962" t="s">
        <v>58</v>
      </c>
      <c r="AD1069" s="961"/>
      <c r="AE1069" s="983"/>
      <c r="AH1069" s="943"/>
    </row>
    <row r="1070" spans="1:34" s="966" customFormat="1" ht="231" customHeight="1">
      <c r="A1070" s="974"/>
      <c r="B1070" s="955"/>
      <c r="C1070" s="956" t="s">
        <v>2774</v>
      </c>
      <c r="D1070" s="1004" t="s">
        <v>2775</v>
      </c>
      <c r="E1070" s="958">
        <f>E1071</f>
        <v>270</v>
      </c>
      <c r="F1070" s="959" t="s">
        <v>2776</v>
      </c>
      <c r="G1070" s="942">
        <f t="shared" ref="G1070:K1070" si="270">SUM(G1071)</f>
        <v>271435925</v>
      </c>
      <c r="H1070" s="958">
        <v>150</v>
      </c>
      <c r="I1070" s="942">
        <f t="shared" si="270"/>
        <v>74992000</v>
      </c>
      <c r="J1070" s="958">
        <f>J1071</f>
        <v>90</v>
      </c>
      <c r="K1070" s="942">
        <f t="shared" si="270"/>
        <v>32475925</v>
      </c>
      <c r="L1070" s="958">
        <f>L1071</f>
        <v>0</v>
      </c>
      <c r="M1070" s="942">
        <f t="shared" ref="M1070:Q1070" si="271">SUM(M1071)</f>
        <v>0</v>
      </c>
      <c r="N1070" s="958"/>
      <c r="O1070" s="942">
        <f t="shared" si="271"/>
        <v>0</v>
      </c>
      <c r="P1070" s="958"/>
      <c r="Q1070" s="942">
        <f t="shared" si="271"/>
        <v>0</v>
      </c>
      <c r="R1070" s="960">
        <v>100</v>
      </c>
      <c r="S1070" s="942">
        <f t="shared" si="269"/>
        <v>10600000</v>
      </c>
      <c r="T1070" s="969">
        <f t="shared" si="237"/>
        <v>100</v>
      </c>
      <c r="U1070" s="961">
        <f t="shared" ref="U1070:U1076" si="272">T1070/J1070*100</f>
        <v>111.11111111111111</v>
      </c>
      <c r="V1070" s="962" t="s">
        <v>58</v>
      </c>
      <c r="W1070" s="963">
        <f t="shared" si="243"/>
        <v>10600000</v>
      </c>
      <c r="X1070" s="961">
        <f t="shared" si="244"/>
        <v>32.639562999360294</v>
      </c>
      <c r="Y1070" s="962" t="s">
        <v>58</v>
      </c>
      <c r="Z1070" s="961">
        <f t="shared" si="211"/>
        <v>250</v>
      </c>
      <c r="AA1070" s="964">
        <f t="shared" si="210"/>
        <v>85592000</v>
      </c>
      <c r="AB1070" s="961"/>
      <c r="AC1070" s="962" t="s">
        <v>58</v>
      </c>
      <c r="AD1070" s="961"/>
      <c r="AE1070" s="983"/>
      <c r="AH1070" s="943"/>
    </row>
    <row r="1071" spans="1:34" s="966" customFormat="1" ht="345">
      <c r="A1071" s="974"/>
      <c r="B1071" s="955"/>
      <c r="C1071" s="975" t="s">
        <v>2777</v>
      </c>
      <c r="D1071" s="975" t="s">
        <v>2778</v>
      </c>
      <c r="E1071" s="976">
        <f>90*3</f>
        <v>270</v>
      </c>
      <c r="F1071" s="977" t="s">
        <v>55</v>
      </c>
      <c r="G1071" s="946">
        <f>119480000+32475925+119480000</f>
        <v>271435925</v>
      </c>
      <c r="H1071" s="976">
        <v>150</v>
      </c>
      <c r="I1071" s="945">
        <v>74992000</v>
      </c>
      <c r="J1071" s="976">
        <v>90</v>
      </c>
      <c r="K1071" s="945">
        <v>32475925</v>
      </c>
      <c r="L1071" s="976">
        <v>0</v>
      </c>
      <c r="M1071" s="945">
        <v>0</v>
      </c>
      <c r="N1071" s="976"/>
      <c r="O1071" s="945">
        <v>0</v>
      </c>
      <c r="P1071" s="976"/>
      <c r="Q1071" s="945">
        <v>0</v>
      </c>
      <c r="R1071" s="960">
        <v>100</v>
      </c>
      <c r="S1071" s="945">
        <v>10600000</v>
      </c>
      <c r="T1071" s="978">
        <f t="shared" si="237"/>
        <v>100</v>
      </c>
      <c r="U1071" s="979">
        <f t="shared" si="272"/>
        <v>111.11111111111111</v>
      </c>
      <c r="V1071" s="980" t="s">
        <v>58</v>
      </c>
      <c r="W1071" s="981">
        <f t="shared" si="243"/>
        <v>10600000</v>
      </c>
      <c r="X1071" s="979">
        <f t="shared" si="244"/>
        <v>32.639562999360294</v>
      </c>
      <c r="Y1071" s="980" t="s">
        <v>58</v>
      </c>
      <c r="Z1071" s="979">
        <f t="shared" si="211"/>
        <v>250</v>
      </c>
      <c r="AA1071" s="982">
        <f t="shared" si="210"/>
        <v>85592000</v>
      </c>
      <c r="AB1071" s="979"/>
      <c r="AC1071" s="980" t="s">
        <v>58</v>
      </c>
      <c r="AD1071" s="961"/>
      <c r="AE1071" s="983"/>
      <c r="AH1071" s="943"/>
    </row>
    <row r="1072" spans="1:34" s="966" customFormat="1" ht="157.5">
      <c r="A1072" s="974"/>
      <c r="B1072" s="955"/>
      <c r="C1072" s="956" t="s">
        <v>2779</v>
      </c>
      <c r="D1072" s="956" t="s">
        <v>2780</v>
      </c>
      <c r="E1072" s="996">
        <f>856/3726*100</f>
        <v>22.973698336017176</v>
      </c>
      <c r="F1072" s="959" t="s">
        <v>58</v>
      </c>
      <c r="G1072" s="942">
        <f t="shared" ref="G1072:K1072" si="273">SUM(G1073)</f>
        <v>75000000</v>
      </c>
      <c r="H1072" s="996">
        <v>20.1242121438809</v>
      </c>
      <c r="I1072" s="942">
        <f t="shared" si="273"/>
        <v>22570000</v>
      </c>
      <c r="J1072" s="996">
        <f>(586+90)/3486*100</f>
        <v>19.391853126792885</v>
      </c>
      <c r="K1072" s="942">
        <f t="shared" si="273"/>
        <v>50239800</v>
      </c>
      <c r="L1072" s="958">
        <v>0</v>
      </c>
      <c r="M1072" s="942">
        <f t="shared" ref="M1072:Q1072" si="274">SUM(M1073)</f>
        <v>0</v>
      </c>
      <c r="N1072" s="996"/>
      <c r="O1072" s="942">
        <f t="shared" si="274"/>
        <v>0</v>
      </c>
      <c r="P1072" s="996"/>
      <c r="Q1072" s="942">
        <f t="shared" si="274"/>
        <v>0</v>
      </c>
      <c r="R1072" s="996"/>
      <c r="S1072" s="942">
        <f t="shared" si="269"/>
        <v>0</v>
      </c>
      <c r="T1072" s="961">
        <f t="shared" si="237"/>
        <v>0</v>
      </c>
      <c r="U1072" s="961">
        <f>Z1072/J1072*100</f>
        <v>103.77663244610773</v>
      </c>
      <c r="V1072" s="962" t="s">
        <v>58</v>
      </c>
      <c r="W1072" s="963">
        <f t="shared" si="243"/>
        <v>0</v>
      </c>
      <c r="X1072" s="961">
        <f t="shared" si="244"/>
        <v>0</v>
      </c>
      <c r="Y1072" s="962" t="s">
        <v>58</v>
      </c>
      <c r="Z1072" s="961">
        <f t="shared" si="211"/>
        <v>20.1242121438809</v>
      </c>
      <c r="AA1072" s="964">
        <f t="shared" si="210"/>
        <v>22570000</v>
      </c>
      <c r="AB1072" s="961"/>
      <c r="AC1072" s="962" t="s">
        <v>58</v>
      </c>
      <c r="AD1072" s="961"/>
      <c r="AE1072" s="983"/>
      <c r="AH1072" s="943"/>
    </row>
    <row r="1073" spans="1:34" s="966" customFormat="1" ht="149.25" customHeight="1">
      <c r="A1073" s="974"/>
      <c r="B1073" s="955"/>
      <c r="C1073" s="956" t="s">
        <v>2781</v>
      </c>
      <c r="D1073" s="956" t="s">
        <v>2782</v>
      </c>
      <c r="E1073" s="1005">
        <v>3726</v>
      </c>
      <c r="F1073" s="959" t="s">
        <v>2783</v>
      </c>
      <c r="G1073" s="1006">
        <f t="shared" ref="G1073:K1073" si="275">SUM(G1074:G1076)</f>
        <v>75000000</v>
      </c>
      <c r="H1073" s="960">
        <v>3486</v>
      </c>
      <c r="I1073" s="1006">
        <f t="shared" si="275"/>
        <v>22570000</v>
      </c>
      <c r="J1073" s="1005">
        <v>3486</v>
      </c>
      <c r="K1073" s="1006">
        <f t="shared" si="275"/>
        <v>50239800</v>
      </c>
      <c r="L1073" s="958">
        <v>0</v>
      </c>
      <c r="M1073" s="1007">
        <f t="shared" ref="M1073:Q1073" si="276">M1076</f>
        <v>0</v>
      </c>
      <c r="N1073" s="958"/>
      <c r="O1073" s="1007">
        <f t="shared" si="276"/>
        <v>0</v>
      </c>
      <c r="P1073" s="958"/>
      <c r="Q1073" s="1007">
        <f t="shared" si="276"/>
        <v>0</v>
      </c>
      <c r="R1073" s="958"/>
      <c r="S1073" s="1007">
        <f>S1076</f>
        <v>0</v>
      </c>
      <c r="T1073" s="969">
        <f t="shared" si="237"/>
        <v>0</v>
      </c>
      <c r="U1073" s="961">
        <f t="shared" si="272"/>
        <v>0</v>
      </c>
      <c r="V1073" s="962" t="s">
        <v>58</v>
      </c>
      <c r="W1073" s="963">
        <f t="shared" si="243"/>
        <v>0</v>
      </c>
      <c r="X1073" s="961">
        <f t="shared" si="244"/>
        <v>0</v>
      </c>
      <c r="Y1073" s="962" t="s">
        <v>58</v>
      </c>
      <c r="Z1073" s="961">
        <f t="shared" si="211"/>
        <v>3486</v>
      </c>
      <c r="AA1073" s="964">
        <f t="shared" si="210"/>
        <v>22570000</v>
      </c>
      <c r="AB1073" s="961"/>
      <c r="AC1073" s="962" t="s">
        <v>58</v>
      </c>
      <c r="AD1073" s="961"/>
      <c r="AE1073" s="983"/>
      <c r="AH1073" s="943"/>
    </row>
    <row r="1074" spans="1:34" s="966" customFormat="1" ht="270">
      <c r="A1074" s="974"/>
      <c r="B1074" s="955"/>
      <c r="C1074" s="975" t="s">
        <v>2784</v>
      </c>
      <c r="D1074" s="975" t="s">
        <v>2785</v>
      </c>
      <c r="E1074" s="1002">
        <f>50*3</f>
        <v>150</v>
      </c>
      <c r="F1074" s="998" t="s">
        <v>55</v>
      </c>
      <c r="G1074" s="1003">
        <f>25000000*3</f>
        <v>75000000</v>
      </c>
      <c r="H1074" s="987">
        <v>0</v>
      </c>
      <c r="I1074" s="945">
        <v>22570000</v>
      </c>
      <c r="J1074" s="1002">
        <v>50</v>
      </c>
      <c r="K1074" s="1003">
        <v>240000</v>
      </c>
      <c r="L1074" s="976">
        <v>0</v>
      </c>
      <c r="M1074" s="945">
        <v>0</v>
      </c>
      <c r="N1074" s="976"/>
      <c r="O1074" s="945">
        <v>0</v>
      </c>
      <c r="P1074" s="976"/>
      <c r="Q1074" s="945">
        <v>0</v>
      </c>
      <c r="R1074" s="976"/>
      <c r="S1074" s="945">
        <v>0</v>
      </c>
      <c r="T1074" s="978">
        <f t="shared" si="237"/>
        <v>0</v>
      </c>
      <c r="U1074" s="979">
        <f t="shared" si="272"/>
        <v>0</v>
      </c>
      <c r="V1074" s="980" t="s">
        <v>58</v>
      </c>
      <c r="W1074" s="981">
        <f t="shared" si="243"/>
        <v>0</v>
      </c>
      <c r="X1074" s="979">
        <f t="shared" si="244"/>
        <v>0</v>
      </c>
      <c r="Y1074" s="980" t="s">
        <v>58</v>
      </c>
      <c r="Z1074" s="978">
        <f t="shared" si="211"/>
        <v>0</v>
      </c>
      <c r="AA1074" s="982">
        <f t="shared" si="210"/>
        <v>22570000</v>
      </c>
      <c r="AB1074" s="979"/>
      <c r="AC1074" s="980" t="s">
        <v>58</v>
      </c>
      <c r="AD1074" s="979"/>
      <c r="AE1074" s="983"/>
      <c r="AH1074" s="943"/>
    </row>
    <row r="1075" spans="1:34" s="966" customFormat="1" ht="135">
      <c r="A1075" s="974"/>
      <c r="B1075" s="955"/>
      <c r="C1075" s="975" t="s">
        <v>2786</v>
      </c>
      <c r="D1075" s="975" t="s">
        <v>2787</v>
      </c>
      <c r="E1075" s="1002"/>
      <c r="F1075" s="998" t="s">
        <v>55</v>
      </c>
      <c r="G1075" s="1003"/>
      <c r="H1075" s="987"/>
      <c r="I1075" s="945"/>
      <c r="J1075" s="1002">
        <v>50</v>
      </c>
      <c r="K1075" s="1003">
        <v>24999900</v>
      </c>
      <c r="L1075" s="976">
        <v>0</v>
      </c>
      <c r="M1075" s="945">
        <v>0</v>
      </c>
      <c r="N1075" s="976"/>
      <c r="O1075" s="945">
        <v>0</v>
      </c>
      <c r="P1075" s="976"/>
      <c r="Q1075" s="945">
        <v>0</v>
      </c>
      <c r="R1075" s="976"/>
      <c r="S1075" s="945">
        <v>0</v>
      </c>
      <c r="T1075" s="978">
        <f t="shared" si="237"/>
        <v>0</v>
      </c>
      <c r="U1075" s="979">
        <f t="shared" si="272"/>
        <v>0</v>
      </c>
      <c r="V1075" s="980" t="s">
        <v>58</v>
      </c>
      <c r="W1075" s="981">
        <f t="shared" si="243"/>
        <v>0</v>
      </c>
      <c r="X1075" s="979">
        <f t="shared" si="244"/>
        <v>0</v>
      </c>
      <c r="Y1075" s="980" t="s">
        <v>58</v>
      </c>
      <c r="Z1075" s="978">
        <f t="shared" si="211"/>
        <v>0</v>
      </c>
      <c r="AA1075" s="982">
        <f t="shared" si="210"/>
        <v>0</v>
      </c>
      <c r="AB1075" s="979"/>
      <c r="AC1075" s="980" t="s">
        <v>58</v>
      </c>
      <c r="AD1075" s="979"/>
      <c r="AE1075" s="983"/>
      <c r="AH1075" s="943"/>
    </row>
    <row r="1076" spans="1:34" s="966" customFormat="1" ht="210">
      <c r="A1076" s="974"/>
      <c r="B1076" s="955"/>
      <c r="C1076" s="975" t="s">
        <v>2788</v>
      </c>
      <c r="D1076" s="975" t="s">
        <v>2789</v>
      </c>
      <c r="E1076" s="1002"/>
      <c r="F1076" s="998" t="s">
        <v>55</v>
      </c>
      <c r="G1076" s="1003"/>
      <c r="H1076" s="987"/>
      <c r="I1076" s="945"/>
      <c r="J1076" s="1002">
        <v>50</v>
      </c>
      <c r="K1076" s="1003">
        <v>24999900</v>
      </c>
      <c r="L1076" s="976">
        <v>0</v>
      </c>
      <c r="M1076" s="945">
        <v>0</v>
      </c>
      <c r="N1076" s="976"/>
      <c r="O1076" s="945">
        <v>0</v>
      </c>
      <c r="P1076" s="976"/>
      <c r="Q1076" s="945">
        <v>0</v>
      </c>
      <c r="R1076" s="976"/>
      <c r="S1076" s="945">
        <v>0</v>
      </c>
      <c r="T1076" s="978">
        <f t="shared" si="237"/>
        <v>0</v>
      </c>
      <c r="U1076" s="979">
        <f t="shared" si="272"/>
        <v>0</v>
      </c>
      <c r="V1076" s="980" t="s">
        <v>58</v>
      </c>
      <c r="W1076" s="981">
        <f t="shared" si="243"/>
        <v>0</v>
      </c>
      <c r="X1076" s="979">
        <f t="shared" si="244"/>
        <v>0</v>
      </c>
      <c r="Y1076" s="980" t="s">
        <v>58</v>
      </c>
      <c r="Z1076" s="978">
        <f t="shared" si="211"/>
        <v>0</v>
      </c>
      <c r="AA1076" s="982">
        <f t="shared" si="210"/>
        <v>0</v>
      </c>
      <c r="AB1076" s="979"/>
      <c r="AC1076" s="980" t="s">
        <v>58</v>
      </c>
      <c r="AD1076" s="979"/>
      <c r="AE1076" s="983"/>
      <c r="AH1076" s="943"/>
    </row>
    <row r="1077" spans="1:34" s="33" customFormat="1" ht="121.9" customHeight="1">
      <c r="A1077" s="388">
        <v>1</v>
      </c>
      <c r="B1077" s="49" t="s">
        <v>29</v>
      </c>
      <c r="C1077" s="389" t="s">
        <v>68</v>
      </c>
      <c r="D1077" s="19" t="s">
        <v>942</v>
      </c>
      <c r="E1077" s="45">
        <v>26</v>
      </c>
      <c r="F1077" s="46" t="s">
        <v>943</v>
      </c>
      <c r="G1077" s="42">
        <f>G1082+G1085+G1090+G1097+G1099+G1103</f>
        <v>10540660887</v>
      </c>
      <c r="H1077" s="45">
        <v>25.28</v>
      </c>
      <c r="I1077" s="42">
        <f>I1082+I1085+I1090+I1097+I1099+I1103</f>
        <v>6425858917</v>
      </c>
      <c r="J1077" s="45">
        <v>26</v>
      </c>
      <c r="K1077" s="42">
        <f>K1082+K1085+K1090+K1097+K1099+K1103</f>
        <v>3604759455</v>
      </c>
      <c r="L1077" s="45">
        <v>26</v>
      </c>
      <c r="M1077" s="42">
        <f>M1082+M1085+M1090+M1097+M1099+M1103</f>
        <v>582894437</v>
      </c>
      <c r="N1077" s="45">
        <v>26</v>
      </c>
      <c r="O1077" s="42">
        <f>O1082+O1085+O1090+O1097+O1099+O1103</f>
        <v>1006655472</v>
      </c>
      <c r="P1077" s="45">
        <v>26</v>
      </c>
      <c r="Q1077" s="42">
        <f>Q1082+Q1085+Q1090+Q1097+Q1099+Q1103</f>
        <v>795798855</v>
      </c>
      <c r="R1077" s="45">
        <v>26</v>
      </c>
      <c r="S1077" s="42">
        <f>3431963235-Q1077-O1077-M1077</f>
        <v>1046614471</v>
      </c>
      <c r="T1077" s="390">
        <f>AVERAGE(L1077,N1077,P1077,R1077)</f>
        <v>26</v>
      </c>
      <c r="U1077" s="55">
        <f t="shared" ref="U1077:U1105" si="277">T1077/J1077*100</f>
        <v>100</v>
      </c>
      <c r="V1077" s="58" t="s">
        <v>58</v>
      </c>
      <c r="W1077" s="59">
        <f>SUM(M1077,O1077,Q1077,S1077)</f>
        <v>3431963235</v>
      </c>
      <c r="X1077" s="57">
        <f t="shared" ref="X1077:X1112" si="278">W1077/K1077*100</f>
        <v>95.206442422660913</v>
      </c>
      <c r="Y1077" s="48" t="s">
        <v>58</v>
      </c>
      <c r="Z1077" s="390">
        <f t="shared" si="211"/>
        <v>51.28</v>
      </c>
      <c r="AA1077" s="59">
        <f t="shared" si="210"/>
        <v>9857822152</v>
      </c>
      <c r="AB1077" s="57"/>
      <c r="AC1077" s="58" t="s">
        <v>58</v>
      </c>
      <c r="AD1077" s="57"/>
      <c r="AE1077" s="24" t="s">
        <v>1275</v>
      </c>
      <c r="AH1077" s="25">
        <f>M1077+O1077+Q1077+S1077</f>
        <v>3431963235</v>
      </c>
    </row>
    <row r="1078" spans="1:34" s="33" customFormat="1" ht="47.25">
      <c r="A1078" s="302"/>
      <c r="B1078" s="17"/>
      <c r="C1078" s="391"/>
      <c r="D1078" s="19" t="s">
        <v>945</v>
      </c>
      <c r="E1078" s="45">
        <v>22</v>
      </c>
      <c r="F1078" s="46" t="s">
        <v>943</v>
      </c>
      <c r="G1078" s="42"/>
      <c r="H1078" s="45">
        <v>21.25</v>
      </c>
      <c r="I1078" s="42"/>
      <c r="J1078" s="45">
        <v>22</v>
      </c>
      <c r="K1078" s="42"/>
      <c r="L1078" s="45">
        <v>22</v>
      </c>
      <c r="M1078" s="41"/>
      <c r="N1078" s="386">
        <v>22</v>
      </c>
      <c r="O1078" s="41"/>
      <c r="P1078" s="386">
        <v>22</v>
      </c>
      <c r="Q1078" s="41"/>
      <c r="R1078" s="386">
        <v>22</v>
      </c>
      <c r="S1078" s="41"/>
      <c r="T1078" s="390">
        <f>AVERAGE(L1078,N1078,P1078,R1078)</f>
        <v>22</v>
      </c>
      <c r="U1078" s="55">
        <f t="shared" si="277"/>
        <v>100</v>
      </c>
      <c r="V1078" s="58" t="s">
        <v>58</v>
      </c>
      <c r="W1078" s="94"/>
      <c r="X1078" s="57">
        <f>W1077/K1077*100</f>
        <v>95.206442422660913</v>
      </c>
      <c r="Y1078" s="48" t="s">
        <v>58</v>
      </c>
      <c r="Z1078" s="390">
        <f t="shared" si="211"/>
        <v>43.25</v>
      </c>
      <c r="AA1078" s="94"/>
      <c r="AB1078" s="239"/>
      <c r="AC1078" s="240"/>
      <c r="AD1078" s="239"/>
      <c r="AE1078" s="24"/>
      <c r="AH1078" s="25"/>
    </row>
    <row r="1079" spans="1:34" s="33" customFormat="1" ht="47.25">
      <c r="A1079" s="302"/>
      <c r="B1079" s="17"/>
      <c r="C1079" s="391"/>
      <c r="D1079" s="19" t="s">
        <v>946</v>
      </c>
      <c r="E1079" s="45">
        <v>12</v>
      </c>
      <c r="F1079" s="46" t="s">
        <v>943</v>
      </c>
      <c r="G1079" s="42"/>
      <c r="H1079" s="45">
        <v>12.9</v>
      </c>
      <c r="I1079" s="42"/>
      <c r="J1079" s="45">
        <v>12</v>
      </c>
      <c r="K1079" s="42"/>
      <c r="L1079" s="45">
        <v>12</v>
      </c>
      <c r="M1079" s="41"/>
      <c r="N1079" s="45">
        <v>12</v>
      </c>
      <c r="O1079" s="41"/>
      <c r="P1079" s="45">
        <v>12</v>
      </c>
      <c r="Q1079" s="41"/>
      <c r="R1079" s="45">
        <v>12</v>
      </c>
      <c r="S1079" s="41"/>
      <c r="T1079" s="390">
        <f>AVERAGE(L1079,N1079,P1079,R1079)</f>
        <v>12</v>
      </c>
      <c r="U1079" s="55">
        <f t="shared" si="277"/>
        <v>100</v>
      </c>
      <c r="V1079" s="58" t="s">
        <v>58</v>
      </c>
      <c r="W1079" s="94"/>
      <c r="X1079" s="57">
        <f>W1077/K1077*100</f>
        <v>95.206442422660913</v>
      </c>
      <c r="Y1079" s="48" t="s">
        <v>58</v>
      </c>
      <c r="Z1079" s="392"/>
      <c r="AA1079" s="94"/>
      <c r="AB1079" s="239"/>
      <c r="AC1079" s="240"/>
      <c r="AD1079" s="239"/>
      <c r="AE1079" s="24"/>
      <c r="AH1079" s="25"/>
    </row>
    <row r="1080" spans="1:34" s="33" customFormat="1" ht="63">
      <c r="A1080" s="302"/>
      <c r="B1080" s="17"/>
      <c r="C1080" s="391"/>
      <c r="D1080" s="19" t="s">
        <v>947</v>
      </c>
      <c r="E1080" s="45">
        <v>8.5</v>
      </c>
      <c r="F1080" s="46" t="s">
        <v>943</v>
      </c>
      <c r="G1080" s="42"/>
      <c r="H1080" s="45">
        <v>7.83</v>
      </c>
      <c r="I1080" s="42"/>
      <c r="J1080" s="45">
        <v>8.5</v>
      </c>
      <c r="K1080" s="42"/>
      <c r="L1080" s="45">
        <v>8.5</v>
      </c>
      <c r="M1080" s="41"/>
      <c r="N1080" s="45">
        <v>8.5</v>
      </c>
      <c r="O1080" s="41"/>
      <c r="P1080" s="45">
        <v>8.5</v>
      </c>
      <c r="Q1080" s="41"/>
      <c r="R1080" s="45">
        <v>8.5</v>
      </c>
      <c r="S1080" s="41"/>
      <c r="T1080" s="293">
        <f>AVERAGE(L1080,N1080,P1080,R1080)</f>
        <v>8.5</v>
      </c>
      <c r="U1080" s="55">
        <f t="shared" si="277"/>
        <v>100</v>
      </c>
      <c r="V1080" s="58" t="s">
        <v>58</v>
      </c>
      <c r="W1080" s="94"/>
      <c r="X1080" s="57">
        <f>W1077/K1077*100</f>
        <v>95.206442422660913</v>
      </c>
      <c r="Y1080" s="48" t="s">
        <v>58</v>
      </c>
      <c r="Z1080" s="392"/>
      <c r="AA1080" s="94"/>
      <c r="AB1080" s="239"/>
      <c r="AC1080" s="240"/>
      <c r="AD1080" s="239"/>
      <c r="AE1080" s="24"/>
      <c r="AH1080" s="25"/>
    </row>
    <row r="1081" spans="1:34" s="33" customFormat="1" ht="47.25">
      <c r="A1081" s="393"/>
      <c r="B1081" s="18"/>
      <c r="C1081" s="394"/>
      <c r="D1081" s="19" t="s">
        <v>948</v>
      </c>
      <c r="E1081" s="45">
        <v>13</v>
      </c>
      <c r="F1081" s="46" t="s">
        <v>943</v>
      </c>
      <c r="G1081" s="41"/>
      <c r="H1081" s="395">
        <v>12.92</v>
      </c>
      <c r="I1081" s="41"/>
      <c r="J1081" s="386">
        <v>13</v>
      </c>
      <c r="K1081" s="41"/>
      <c r="L1081" s="45">
        <v>13</v>
      </c>
      <c r="M1081" s="41"/>
      <c r="N1081" s="45">
        <v>13</v>
      </c>
      <c r="O1081" s="41"/>
      <c r="P1081" s="45">
        <v>13</v>
      </c>
      <c r="Q1081" s="41"/>
      <c r="R1081" s="45">
        <v>13</v>
      </c>
      <c r="S1081" s="41"/>
      <c r="T1081" s="390">
        <f>AVERAGE(L1081,N1081,P1081,R1081)</f>
        <v>13</v>
      </c>
      <c r="U1081" s="55">
        <f t="shared" si="277"/>
        <v>100</v>
      </c>
      <c r="V1081" s="58" t="s">
        <v>58</v>
      </c>
      <c r="W1081" s="94"/>
      <c r="X1081" s="57">
        <f>W1077/K1077*100</f>
        <v>95.206442422660913</v>
      </c>
      <c r="Y1081" s="48" t="s">
        <v>58</v>
      </c>
      <c r="Z1081" s="392"/>
      <c r="AA1081" s="94"/>
      <c r="AB1081" s="239"/>
      <c r="AC1081" s="240"/>
      <c r="AD1081" s="239"/>
      <c r="AE1081" s="24"/>
      <c r="AH1081" s="25"/>
    </row>
    <row r="1082" spans="1:34" s="33" customFormat="1" ht="100.9" customHeight="1">
      <c r="A1082" s="16">
        <v>2</v>
      </c>
      <c r="B1082" s="17" t="s">
        <v>30</v>
      </c>
      <c r="C1082" s="396" t="s">
        <v>1276</v>
      </c>
      <c r="D1082" s="19" t="s">
        <v>1277</v>
      </c>
      <c r="E1082" s="397">
        <v>12</v>
      </c>
      <c r="F1082" s="398" t="s">
        <v>1278</v>
      </c>
      <c r="G1082" s="41">
        <f>SUM(G1083:G1084)</f>
        <v>26594400</v>
      </c>
      <c r="H1082" s="397">
        <v>12</v>
      </c>
      <c r="I1082" s="41">
        <f>SUM(I1083:I1084)</f>
        <v>14467700</v>
      </c>
      <c r="J1082" s="45">
        <v>12</v>
      </c>
      <c r="K1082" s="41">
        <f>SUM(K1083:K1084)</f>
        <v>7594400</v>
      </c>
      <c r="L1082" s="108">
        <v>3</v>
      </c>
      <c r="M1082" s="42">
        <f>SUM(M1083:M1084)</f>
        <v>0</v>
      </c>
      <c r="N1082" s="108">
        <v>3</v>
      </c>
      <c r="O1082" s="42">
        <f>SUM(O1083:O1084)</f>
        <v>0</v>
      </c>
      <c r="P1082" s="108">
        <v>3</v>
      </c>
      <c r="Q1082" s="42">
        <f>SUM(Q1083:Q1084)</f>
        <v>2184500</v>
      </c>
      <c r="R1082" s="108">
        <v>3</v>
      </c>
      <c r="S1082" s="42">
        <f>SUM(S1083:S1084)</f>
        <v>5409900</v>
      </c>
      <c r="T1082" s="293">
        <f>SUM(L1082,N1082,P1082,R1082)</f>
        <v>12</v>
      </c>
      <c r="U1082" s="57">
        <f t="shared" si="277"/>
        <v>100</v>
      </c>
      <c r="V1082" s="58" t="s">
        <v>58</v>
      </c>
      <c r="W1082" s="94">
        <f t="shared" ref="W1082:W1112" si="279">SUM(M1082,O1082,Q1082,S1082)</f>
        <v>7594400</v>
      </c>
      <c r="X1082" s="239">
        <f t="shared" si="278"/>
        <v>100</v>
      </c>
      <c r="Y1082" s="240" t="s">
        <v>58</v>
      </c>
      <c r="Z1082" s="392">
        <f>SUM(H1082,T1082)</f>
        <v>24</v>
      </c>
      <c r="AA1082" s="94">
        <f>SUM(I1082,W1082)</f>
        <v>22062100</v>
      </c>
      <c r="AB1082" s="239"/>
      <c r="AC1082" s="240" t="s">
        <v>58</v>
      </c>
      <c r="AD1082" s="239"/>
      <c r="AE1082" s="24"/>
      <c r="AH1082" s="25"/>
    </row>
    <row r="1083" spans="1:34" s="33" customFormat="1" ht="69.599999999999994" customHeight="1">
      <c r="A1083" s="16"/>
      <c r="B1083" s="17"/>
      <c r="C1083" s="399" t="s">
        <v>69</v>
      </c>
      <c r="D1083" s="29" t="s">
        <v>211</v>
      </c>
      <c r="E1083" s="20">
        <f>5*3</f>
        <v>15</v>
      </c>
      <c r="F1083" s="21" t="s">
        <v>55</v>
      </c>
      <c r="G1083" s="23">
        <f>8000000+6398100+8000000</f>
        <v>22398100</v>
      </c>
      <c r="H1083" s="20">
        <v>10</v>
      </c>
      <c r="I1083" s="23">
        <v>12967700</v>
      </c>
      <c r="J1083" s="20">
        <v>5</v>
      </c>
      <c r="K1083" s="23">
        <v>6398100</v>
      </c>
      <c r="L1083" s="20">
        <v>1</v>
      </c>
      <c r="M1083" s="23">
        <v>0</v>
      </c>
      <c r="N1083" s="20">
        <v>1</v>
      </c>
      <c r="O1083" s="23">
        <v>0</v>
      </c>
      <c r="P1083" s="20">
        <v>2</v>
      </c>
      <c r="Q1083" s="23">
        <v>2184500</v>
      </c>
      <c r="R1083" s="20">
        <v>1</v>
      </c>
      <c r="S1083" s="23">
        <v>4213600</v>
      </c>
      <c r="T1083" s="106">
        <f>SUM(L1083,N1083,P1083,R1083)</f>
        <v>5</v>
      </c>
      <c r="U1083" s="54">
        <f t="shared" si="277"/>
        <v>100</v>
      </c>
      <c r="V1083" s="35" t="s">
        <v>58</v>
      </c>
      <c r="W1083" s="40">
        <f t="shared" si="279"/>
        <v>6398100</v>
      </c>
      <c r="X1083" s="53">
        <f t="shared" si="278"/>
        <v>100</v>
      </c>
      <c r="Y1083" s="35" t="s">
        <v>58</v>
      </c>
      <c r="Z1083" s="106">
        <f t="shared" si="211"/>
        <v>15</v>
      </c>
      <c r="AA1083" s="40">
        <f t="shared" si="210"/>
        <v>19365800</v>
      </c>
      <c r="AB1083" s="53"/>
      <c r="AC1083" s="35" t="s">
        <v>58</v>
      </c>
      <c r="AD1083" s="53"/>
      <c r="AE1083" s="12"/>
      <c r="AH1083" s="25"/>
    </row>
    <row r="1084" spans="1:34" s="33" customFormat="1" ht="54.6" customHeight="1">
      <c r="A1084" s="16"/>
      <c r="B1084" s="17"/>
      <c r="C1084" s="61" t="s">
        <v>70</v>
      </c>
      <c r="D1084" s="29" t="s">
        <v>212</v>
      </c>
      <c r="E1084" s="20">
        <f>10*3</f>
        <v>30</v>
      </c>
      <c r="F1084" s="21" t="s">
        <v>173</v>
      </c>
      <c r="G1084" s="23">
        <f>1500000+1196300+1500000</f>
        <v>4196300</v>
      </c>
      <c r="H1084" s="20">
        <v>20</v>
      </c>
      <c r="I1084" s="23">
        <v>1500000</v>
      </c>
      <c r="J1084" s="20">
        <v>10</v>
      </c>
      <c r="K1084" s="23">
        <v>1196300</v>
      </c>
      <c r="L1084" s="20">
        <v>2</v>
      </c>
      <c r="M1084" s="23">
        <v>0</v>
      </c>
      <c r="N1084" s="20">
        <v>3</v>
      </c>
      <c r="O1084" s="23">
        <v>0</v>
      </c>
      <c r="P1084" s="20">
        <v>3</v>
      </c>
      <c r="Q1084" s="23">
        <v>0</v>
      </c>
      <c r="R1084" s="20">
        <v>2</v>
      </c>
      <c r="S1084" s="23">
        <v>1196300</v>
      </c>
      <c r="T1084" s="106">
        <f>SUM(L1084,N1084,P1084,R1084)</f>
        <v>10</v>
      </c>
      <c r="U1084" s="54">
        <f t="shared" si="277"/>
        <v>100</v>
      </c>
      <c r="V1084" s="35" t="s">
        <v>58</v>
      </c>
      <c r="W1084" s="40">
        <f t="shared" si="279"/>
        <v>1196300</v>
      </c>
      <c r="X1084" s="53">
        <f t="shared" si="278"/>
        <v>100</v>
      </c>
      <c r="Y1084" s="35" t="s">
        <v>58</v>
      </c>
      <c r="Z1084" s="106">
        <f t="shared" si="211"/>
        <v>30</v>
      </c>
      <c r="AA1084" s="40">
        <f t="shared" si="210"/>
        <v>2696300</v>
      </c>
      <c r="AB1084" s="53"/>
      <c r="AC1084" s="35" t="s">
        <v>58</v>
      </c>
      <c r="AD1084" s="53"/>
      <c r="AE1084" s="12"/>
      <c r="AH1084" s="25"/>
    </row>
    <row r="1085" spans="1:34" s="33" customFormat="1" ht="68.45" customHeight="1">
      <c r="A1085" s="400"/>
      <c r="B1085" s="12"/>
      <c r="C1085" s="49" t="s">
        <v>71</v>
      </c>
      <c r="D1085" s="19" t="s">
        <v>1279</v>
      </c>
      <c r="E1085" s="45">
        <f>14*3</f>
        <v>42</v>
      </c>
      <c r="F1085" s="46" t="s">
        <v>1280</v>
      </c>
      <c r="G1085" s="41">
        <f>SUM(G1086:G1089)</f>
        <v>9295861668</v>
      </c>
      <c r="H1085" s="45">
        <f>14*3</f>
        <v>42</v>
      </c>
      <c r="I1085" s="41">
        <f>SUM(I1086:I1089)</f>
        <v>5635043043</v>
      </c>
      <c r="J1085" s="74">
        <v>12</v>
      </c>
      <c r="K1085" s="41">
        <f>SUM(K1086:K1089)</f>
        <v>2939743786</v>
      </c>
      <c r="L1085" s="74">
        <v>3</v>
      </c>
      <c r="M1085" s="41">
        <f>SUM(M1086:M1089)</f>
        <v>536566108</v>
      </c>
      <c r="N1085" s="74">
        <v>3</v>
      </c>
      <c r="O1085" s="41">
        <f>SUM(O1086:O1089)</f>
        <v>890640938</v>
      </c>
      <c r="P1085" s="74">
        <v>3</v>
      </c>
      <c r="Q1085" s="41">
        <f>SUM(Q1086:Q1089)</f>
        <v>729377446</v>
      </c>
      <c r="R1085" s="74">
        <v>3</v>
      </c>
      <c r="S1085" s="41">
        <f>SUM(S1086:S1089)</f>
        <v>632306239</v>
      </c>
      <c r="T1085" s="390">
        <f>SUM(L1085,N1085,P1085,R1085)</f>
        <v>12</v>
      </c>
      <c r="U1085" s="57">
        <f>T1085/J1085*100</f>
        <v>100</v>
      </c>
      <c r="V1085" s="58" t="s">
        <v>58</v>
      </c>
      <c r="W1085" s="59">
        <f>SUM(M1085,O1085,Q1085,S1085)</f>
        <v>2788890731</v>
      </c>
      <c r="X1085" s="57">
        <f t="shared" si="278"/>
        <v>94.868496509171635</v>
      </c>
      <c r="Y1085" s="58" t="s">
        <v>58</v>
      </c>
      <c r="Z1085" s="390">
        <f t="shared" si="211"/>
        <v>54</v>
      </c>
      <c r="AA1085" s="59">
        <f t="shared" si="210"/>
        <v>8423933774</v>
      </c>
      <c r="AB1085" s="57"/>
      <c r="AC1085" s="58" t="s">
        <v>58</v>
      </c>
      <c r="AD1085" s="57"/>
      <c r="AE1085" s="12"/>
      <c r="AH1085" s="25"/>
    </row>
    <row r="1086" spans="1:34" s="33" customFormat="1" ht="90">
      <c r="A1086" s="16"/>
      <c r="B1086" s="17"/>
      <c r="C1086" s="29" t="s">
        <v>1173</v>
      </c>
      <c r="D1086" s="26" t="s">
        <v>213</v>
      </c>
      <c r="E1086" s="118">
        <v>25</v>
      </c>
      <c r="F1086" s="27" t="s">
        <v>57</v>
      </c>
      <c r="G1086" s="28">
        <f>3219343943+2843166082+3219343943</f>
        <v>9281853968</v>
      </c>
      <c r="H1086" s="43">
        <v>52</v>
      </c>
      <c r="I1086" s="82">
        <v>5627798043</v>
      </c>
      <c r="J1086" s="20">
        <v>25</v>
      </c>
      <c r="K1086" s="28">
        <v>2935735936</v>
      </c>
      <c r="L1086" s="20">
        <v>25</v>
      </c>
      <c r="M1086" s="28">
        <v>536031358</v>
      </c>
      <c r="N1086" s="20">
        <v>25</v>
      </c>
      <c r="O1086" s="28">
        <f>1425047546-M1086</f>
        <v>889016188</v>
      </c>
      <c r="P1086" s="20">
        <v>25</v>
      </c>
      <c r="Q1086" s="28">
        <v>727647146</v>
      </c>
      <c r="R1086" s="83">
        <v>22</v>
      </c>
      <c r="S1086" s="28">
        <f>2784882931-Q1086-O1086-M1086</f>
        <v>632188239</v>
      </c>
      <c r="T1086" s="106">
        <v>22</v>
      </c>
      <c r="U1086" s="54">
        <f>T1086/J1086*100</f>
        <v>88</v>
      </c>
      <c r="V1086" s="35" t="s">
        <v>58</v>
      </c>
      <c r="W1086" s="40">
        <f t="shared" si="279"/>
        <v>2784882931</v>
      </c>
      <c r="X1086" s="53">
        <f t="shared" si="278"/>
        <v>94.861492712946784</v>
      </c>
      <c r="Y1086" s="35" t="s">
        <v>58</v>
      </c>
      <c r="Z1086" s="106">
        <f t="shared" si="211"/>
        <v>74</v>
      </c>
      <c r="AA1086" s="40">
        <f t="shared" si="210"/>
        <v>8412680974</v>
      </c>
      <c r="AB1086" s="53"/>
      <c r="AC1086" s="35" t="s">
        <v>58</v>
      </c>
      <c r="AD1086" s="53"/>
      <c r="AE1086" s="30"/>
      <c r="AH1086" s="25">
        <f>M1086+O1086+Q1086+S1086</f>
        <v>2784882931</v>
      </c>
    </row>
    <row r="1087" spans="1:34" s="33" customFormat="1" ht="195">
      <c r="A1087" s="16"/>
      <c r="B1087" s="17"/>
      <c r="C1087" s="366" t="s">
        <v>73</v>
      </c>
      <c r="D1087" s="29" t="s">
        <v>214</v>
      </c>
      <c r="E1087" s="20">
        <v>1</v>
      </c>
      <c r="F1087" s="27" t="s">
        <v>173</v>
      </c>
      <c r="G1087" s="23">
        <f>2000000+1602500+2000000</f>
        <v>5602500</v>
      </c>
      <c r="H1087" s="20">
        <v>2</v>
      </c>
      <c r="I1087" s="22">
        <v>4245000</v>
      </c>
      <c r="J1087" s="20">
        <v>1</v>
      </c>
      <c r="K1087" s="23">
        <v>1602650</v>
      </c>
      <c r="L1087" s="20">
        <v>1</v>
      </c>
      <c r="M1087" s="23">
        <v>534750</v>
      </c>
      <c r="N1087" s="20">
        <v>0</v>
      </c>
      <c r="O1087" s="23">
        <f>1602600-M1087</f>
        <v>1067850</v>
      </c>
      <c r="P1087" s="20">
        <v>0</v>
      </c>
      <c r="Q1087" s="23">
        <v>0</v>
      </c>
      <c r="R1087" s="20">
        <v>0</v>
      </c>
      <c r="S1087" s="23">
        <v>0</v>
      </c>
      <c r="T1087" s="106">
        <f t="shared" ref="T1087:T1108" si="280">SUM(L1087,N1087,P1087,R1087)</f>
        <v>1</v>
      </c>
      <c r="U1087" s="54">
        <f t="shared" si="277"/>
        <v>100</v>
      </c>
      <c r="V1087" s="35" t="s">
        <v>58</v>
      </c>
      <c r="W1087" s="40">
        <f t="shared" si="279"/>
        <v>1602600</v>
      </c>
      <c r="X1087" s="53">
        <f t="shared" si="278"/>
        <v>99.99688016722304</v>
      </c>
      <c r="Y1087" s="35" t="s">
        <v>58</v>
      </c>
      <c r="Z1087" s="106">
        <f t="shared" si="211"/>
        <v>3</v>
      </c>
      <c r="AA1087" s="40">
        <f t="shared" si="210"/>
        <v>5847600</v>
      </c>
      <c r="AB1087" s="53"/>
      <c r="AC1087" s="35" t="s">
        <v>58</v>
      </c>
      <c r="AD1087" s="53"/>
      <c r="AE1087" s="12"/>
      <c r="AH1087" s="25">
        <f>M1087+O1087+Q1087+S1087</f>
        <v>1602600</v>
      </c>
    </row>
    <row r="1088" spans="1:34" s="33" customFormat="1" ht="210">
      <c r="A1088" s="16"/>
      <c r="B1088" s="17"/>
      <c r="C1088" s="29" t="s">
        <v>1174</v>
      </c>
      <c r="D1088" s="29" t="s">
        <v>215</v>
      </c>
      <c r="E1088" s="20">
        <v>12</v>
      </c>
      <c r="F1088" s="27" t="s">
        <v>173</v>
      </c>
      <c r="G1088" s="23">
        <f>1500000+1202400+1500000</f>
        <v>4202400</v>
      </c>
      <c r="H1088" s="20">
        <v>24</v>
      </c>
      <c r="I1088" s="22">
        <v>1500000</v>
      </c>
      <c r="J1088" s="20">
        <v>12</v>
      </c>
      <c r="K1088" s="23">
        <v>1202400</v>
      </c>
      <c r="L1088" s="20">
        <v>3</v>
      </c>
      <c r="M1088" s="23">
        <v>0</v>
      </c>
      <c r="N1088" s="20">
        <v>3</v>
      </c>
      <c r="O1088" s="23">
        <v>556900</v>
      </c>
      <c r="P1088" s="20">
        <v>3</v>
      </c>
      <c r="Q1088" s="23">
        <v>527500</v>
      </c>
      <c r="R1088" s="20">
        <v>3</v>
      </c>
      <c r="S1088" s="23">
        <f>1202400-Q1088-O1088</f>
        <v>118000</v>
      </c>
      <c r="T1088" s="106">
        <f t="shared" si="280"/>
        <v>12</v>
      </c>
      <c r="U1088" s="54">
        <f t="shared" si="277"/>
        <v>100</v>
      </c>
      <c r="V1088" s="35" t="s">
        <v>58</v>
      </c>
      <c r="W1088" s="40">
        <f t="shared" si="279"/>
        <v>1202400</v>
      </c>
      <c r="X1088" s="53">
        <f t="shared" si="278"/>
        <v>100</v>
      </c>
      <c r="Y1088" s="35" t="s">
        <v>58</v>
      </c>
      <c r="Z1088" s="106">
        <f t="shared" si="211"/>
        <v>36</v>
      </c>
      <c r="AA1088" s="40">
        <f t="shared" si="210"/>
        <v>2702400</v>
      </c>
      <c r="AB1088" s="53"/>
      <c r="AC1088" s="35" t="s">
        <v>58</v>
      </c>
      <c r="AD1088" s="53"/>
      <c r="AE1088" s="12"/>
      <c r="AH1088" s="25">
        <f>M1088+O1088+Q1088+S1088</f>
        <v>1202400</v>
      </c>
    </row>
    <row r="1089" spans="1:34" s="33" customFormat="1" ht="105">
      <c r="A1089" s="16"/>
      <c r="B1089" s="17"/>
      <c r="C1089" s="26" t="s">
        <v>75</v>
      </c>
      <c r="D1089" s="29" t="s">
        <v>216</v>
      </c>
      <c r="E1089" s="20">
        <v>1</v>
      </c>
      <c r="F1089" s="27" t="s">
        <v>55</v>
      </c>
      <c r="G1089" s="23">
        <f>1500000+1202800+1500000</f>
        <v>4202800</v>
      </c>
      <c r="H1089" s="20">
        <v>2</v>
      </c>
      <c r="I1089" s="22">
        <v>1500000</v>
      </c>
      <c r="J1089" s="20">
        <v>1</v>
      </c>
      <c r="K1089" s="23">
        <v>1202800</v>
      </c>
      <c r="L1089" s="20">
        <v>0</v>
      </c>
      <c r="M1089" s="23">
        <v>0</v>
      </c>
      <c r="N1089" s="83">
        <v>0</v>
      </c>
      <c r="O1089" s="23">
        <v>0</v>
      </c>
      <c r="P1089" s="83">
        <v>1</v>
      </c>
      <c r="Q1089" s="23">
        <v>1202800</v>
      </c>
      <c r="R1089" s="83">
        <v>0</v>
      </c>
      <c r="S1089" s="23">
        <v>0</v>
      </c>
      <c r="T1089" s="106">
        <f t="shared" si="280"/>
        <v>1</v>
      </c>
      <c r="U1089" s="54">
        <f t="shared" si="277"/>
        <v>100</v>
      </c>
      <c r="V1089" s="35" t="s">
        <v>58</v>
      </c>
      <c r="W1089" s="40">
        <f t="shared" si="279"/>
        <v>1202800</v>
      </c>
      <c r="X1089" s="53">
        <f t="shared" si="278"/>
        <v>100</v>
      </c>
      <c r="Y1089" s="35" t="s">
        <v>58</v>
      </c>
      <c r="Z1089" s="106">
        <f t="shared" si="211"/>
        <v>3</v>
      </c>
      <c r="AA1089" s="40">
        <f t="shared" si="210"/>
        <v>2702800</v>
      </c>
      <c r="AB1089" s="53"/>
      <c r="AC1089" s="35" t="s">
        <v>58</v>
      </c>
      <c r="AD1089" s="53"/>
      <c r="AE1089" s="12"/>
      <c r="AH1089" s="25">
        <f>M1089+O1089+Q1089+S1089</f>
        <v>1202800</v>
      </c>
    </row>
    <row r="1090" spans="1:34" s="33" customFormat="1" ht="84.6" customHeight="1">
      <c r="A1090" s="16"/>
      <c r="B1090" s="17"/>
      <c r="C1090" s="18" t="s">
        <v>76</v>
      </c>
      <c r="D1090" s="19" t="s">
        <v>1281</v>
      </c>
      <c r="E1090" s="74">
        <f>12*4</f>
        <v>48</v>
      </c>
      <c r="F1090" s="75" t="s">
        <v>1282</v>
      </c>
      <c r="G1090" s="42">
        <f>SUM(G1091:G1096)</f>
        <v>550566400</v>
      </c>
      <c r="H1090" s="74">
        <f>12*3</f>
        <v>36</v>
      </c>
      <c r="I1090" s="42">
        <f>SUM(I1091:I1096)</f>
        <v>354138593</v>
      </c>
      <c r="J1090" s="74">
        <v>12</v>
      </c>
      <c r="K1090" s="42">
        <f>SUM(K1091:K1096)</f>
        <v>272666850</v>
      </c>
      <c r="L1090" s="74">
        <v>3</v>
      </c>
      <c r="M1090" s="42">
        <f>SUM(M1091:M1096)</f>
        <v>22501900</v>
      </c>
      <c r="N1090" s="74">
        <v>3</v>
      </c>
      <c r="O1090" s="42">
        <f>SUM(O1091:O1096)</f>
        <v>73677000</v>
      </c>
      <c r="P1090" s="74">
        <v>3</v>
      </c>
      <c r="Q1090" s="42">
        <f>SUM(Q1091:Q1096)</f>
        <v>18137900</v>
      </c>
      <c r="R1090" s="74">
        <v>3</v>
      </c>
      <c r="S1090" s="42">
        <f>SUM(S1091:S1096)</f>
        <v>158136633</v>
      </c>
      <c r="T1090" s="390">
        <f t="shared" si="280"/>
        <v>12</v>
      </c>
      <c r="U1090" s="401">
        <f t="shared" si="277"/>
        <v>100</v>
      </c>
      <c r="V1090" s="402" t="s">
        <v>58</v>
      </c>
      <c r="W1090" s="403">
        <f t="shared" si="279"/>
        <v>272453433</v>
      </c>
      <c r="X1090" s="404">
        <f t="shared" si="278"/>
        <v>99.921729759228157</v>
      </c>
      <c r="Y1090" s="402" t="s">
        <v>58</v>
      </c>
      <c r="Z1090" s="405">
        <f t="shared" si="211"/>
        <v>48</v>
      </c>
      <c r="AA1090" s="59">
        <f t="shared" si="210"/>
        <v>626592026</v>
      </c>
      <c r="AB1090" s="57"/>
      <c r="AC1090" s="58" t="s">
        <v>58</v>
      </c>
      <c r="AD1090" s="57"/>
      <c r="AE1090" s="12"/>
      <c r="AH1090" s="25"/>
    </row>
    <row r="1091" spans="1:34" s="33" customFormat="1" ht="120">
      <c r="A1091" s="16"/>
      <c r="B1091" s="17"/>
      <c r="C1091" s="26" t="s">
        <v>1177</v>
      </c>
      <c r="D1091" s="29" t="s">
        <v>343</v>
      </c>
      <c r="E1091" s="43">
        <v>12</v>
      </c>
      <c r="F1091" s="21" t="s">
        <v>59</v>
      </c>
      <c r="G1091" s="23">
        <f>2075000+1290600+2075000</f>
        <v>5440600</v>
      </c>
      <c r="H1091" s="43">
        <v>24</v>
      </c>
      <c r="I1091" s="23">
        <v>2075000</v>
      </c>
      <c r="J1091" s="43">
        <v>12</v>
      </c>
      <c r="K1091" s="23">
        <v>1290600</v>
      </c>
      <c r="L1091" s="43">
        <v>3</v>
      </c>
      <c r="M1091" s="23">
        <v>0</v>
      </c>
      <c r="N1091" s="43">
        <v>3</v>
      </c>
      <c r="O1091" s="23">
        <v>1243000</v>
      </c>
      <c r="P1091" s="43">
        <v>3</v>
      </c>
      <c r="Q1091" s="23">
        <v>0</v>
      </c>
      <c r="R1091" s="43">
        <v>3</v>
      </c>
      <c r="S1091" s="23">
        <v>0</v>
      </c>
      <c r="T1091" s="106">
        <f t="shared" si="280"/>
        <v>12</v>
      </c>
      <c r="U1091" s="54">
        <f t="shared" si="277"/>
        <v>100</v>
      </c>
      <c r="V1091" s="35" t="s">
        <v>58</v>
      </c>
      <c r="W1091" s="40">
        <f t="shared" si="279"/>
        <v>1243000</v>
      </c>
      <c r="X1091" s="53">
        <f t="shared" si="278"/>
        <v>96.311792964512634</v>
      </c>
      <c r="Y1091" s="35" t="s">
        <v>58</v>
      </c>
      <c r="Z1091" s="106">
        <f t="shared" si="211"/>
        <v>36</v>
      </c>
      <c r="AA1091" s="40">
        <f t="shared" si="210"/>
        <v>3318000</v>
      </c>
      <c r="AB1091" s="53"/>
      <c r="AC1091" s="35" t="s">
        <v>58</v>
      </c>
      <c r="AD1091" s="53"/>
      <c r="AE1091" s="12"/>
      <c r="AH1091" s="25"/>
    </row>
    <row r="1092" spans="1:34" s="33" customFormat="1" ht="63.75" customHeight="1">
      <c r="A1092" s="16"/>
      <c r="B1092" s="17"/>
      <c r="C1092" s="26" t="s">
        <v>285</v>
      </c>
      <c r="D1092" s="29" t="s">
        <v>217</v>
      </c>
      <c r="E1092" s="43">
        <v>12</v>
      </c>
      <c r="F1092" s="21" t="s">
        <v>59</v>
      </c>
      <c r="G1092" s="23">
        <f>29505300+33041900+33041900</f>
        <v>95589100</v>
      </c>
      <c r="H1092" s="43">
        <v>24</v>
      </c>
      <c r="I1092" s="23">
        <v>29505300</v>
      </c>
      <c r="J1092" s="43">
        <v>12</v>
      </c>
      <c r="K1092" s="23">
        <v>33041900</v>
      </c>
      <c r="L1092" s="43">
        <v>3</v>
      </c>
      <c r="M1092" s="23">
        <v>1210000</v>
      </c>
      <c r="N1092" s="43">
        <v>3</v>
      </c>
      <c r="O1092" s="23">
        <f>15910300-M1092</f>
        <v>14700300</v>
      </c>
      <c r="P1092" s="43">
        <v>3</v>
      </c>
      <c r="Q1092" s="23">
        <v>7383000</v>
      </c>
      <c r="R1092" s="43">
        <v>3</v>
      </c>
      <c r="S1092" s="23">
        <f>33041700-Q1092-O1092-M1092</f>
        <v>9748400</v>
      </c>
      <c r="T1092" s="106">
        <f t="shared" si="280"/>
        <v>12</v>
      </c>
      <c r="U1092" s="54">
        <f t="shared" si="277"/>
        <v>100</v>
      </c>
      <c r="V1092" s="35" t="s">
        <v>58</v>
      </c>
      <c r="W1092" s="40">
        <f t="shared" si="279"/>
        <v>33041700</v>
      </c>
      <c r="X1092" s="53">
        <f t="shared" si="278"/>
        <v>99.999394707931444</v>
      </c>
      <c r="Y1092" s="35" t="s">
        <v>58</v>
      </c>
      <c r="Z1092" s="106">
        <f t="shared" si="211"/>
        <v>36</v>
      </c>
      <c r="AA1092" s="40">
        <f t="shared" si="210"/>
        <v>62547000</v>
      </c>
      <c r="AB1092" s="53"/>
      <c r="AC1092" s="35" t="s">
        <v>58</v>
      </c>
      <c r="AD1092" s="53"/>
      <c r="AE1092" s="12"/>
      <c r="AH1092" s="25"/>
    </row>
    <row r="1093" spans="1:34" s="33" customFormat="1" ht="63.75" customHeight="1">
      <c r="A1093" s="16"/>
      <c r="B1093" s="17"/>
      <c r="C1093" s="26" t="s">
        <v>287</v>
      </c>
      <c r="D1093" s="26" t="s">
        <v>218</v>
      </c>
      <c r="E1093" s="43">
        <v>12</v>
      </c>
      <c r="F1093" s="21" t="s">
        <v>59</v>
      </c>
      <c r="G1093" s="23">
        <f>37604000+32811500+37604000</f>
        <v>108019500</v>
      </c>
      <c r="H1093" s="43">
        <v>24</v>
      </c>
      <c r="I1093" s="23">
        <v>31985000</v>
      </c>
      <c r="J1093" s="43">
        <v>12</v>
      </c>
      <c r="K1093" s="23">
        <v>33421100</v>
      </c>
      <c r="L1093" s="43">
        <v>3</v>
      </c>
      <c r="M1093" s="23">
        <v>787500</v>
      </c>
      <c r="N1093" s="43">
        <v>3</v>
      </c>
      <c r="O1093" s="23">
        <f>6187500-M1093</f>
        <v>5400000</v>
      </c>
      <c r="P1093" s="43">
        <v>3</v>
      </c>
      <c r="Q1093" s="23">
        <v>2925000</v>
      </c>
      <c r="R1093" s="43">
        <v>3</v>
      </c>
      <c r="S1093" s="23">
        <f>33347500-Q1093-O1093-M1093</f>
        <v>24235000</v>
      </c>
      <c r="T1093" s="106">
        <f t="shared" si="280"/>
        <v>12</v>
      </c>
      <c r="U1093" s="54">
        <f t="shared" si="277"/>
        <v>100</v>
      </c>
      <c r="V1093" s="35" t="s">
        <v>58</v>
      </c>
      <c r="W1093" s="40">
        <f t="shared" si="279"/>
        <v>33347500</v>
      </c>
      <c r="X1093" s="53">
        <f t="shared" si="278"/>
        <v>99.779779839682121</v>
      </c>
      <c r="Y1093" s="35" t="s">
        <v>58</v>
      </c>
      <c r="Z1093" s="106">
        <f t="shared" si="211"/>
        <v>36</v>
      </c>
      <c r="AA1093" s="40">
        <f t="shared" si="210"/>
        <v>65332500</v>
      </c>
      <c r="AB1093" s="53"/>
      <c r="AC1093" s="35" t="s">
        <v>58</v>
      </c>
      <c r="AD1093" s="53"/>
      <c r="AE1093" s="12"/>
      <c r="AH1093" s="25"/>
    </row>
    <row r="1094" spans="1:34" s="33" customFormat="1" ht="66.75" customHeight="1">
      <c r="A1094" s="16"/>
      <c r="B1094" s="17"/>
      <c r="C1094" s="26" t="s">
        <v>286</v>
      </c>
      <c r="D1094" s="26" t="s">
        <v>219</v>
      </c>
      <c r="E1094" s="43">
        <v>12</v>
      </c>
      <c r="F1094" s="21" t="s">
        <v>59</v>
      </c>
      <c r="G1094" s="23">
        <f>9942900+7330350+9942900</f>
        <v>27216150</v>
      </c>
      <c r="H1094" s="43">
        <v>24</v>
      </c>
      <c r="I1094" s="23">
        <v>9942900</v>
      </c>
      <c r="J1094" s="43">
        <v>12</v>
      </c>
      <c r="K1094" s="23">
        <v>7330350</v>
      </c>
      <c r="L1094" s="43">
        <v>3</v>
      </c>
      <c r="M1094" s="23">
        <v>480000</v>
      </c>
      <c r="N1094" s="43">
        <v>3</v>
      </c>
      <c r="O1094" s="23">
        <f>4264800-M1094</f>
        <v>3784800</v>
      </c>
      <c r="P1094" s="43">
        <v>3</v>
      </c>
      <c r="Q1094" s="23">
        <v>849900</v>
      </c>
      <c r="R1094" s="43">
        <v>3</v>
      </c>
      <c r="S1094" s="23">
        <f>7330300-Q1094-O1094-M1094</f>
        <v>2215600</v>
      </c>
      <c r="T1094" s="106">
        <f t="shared" si="280"/>
        <v>12</v>
      </c>
      <c r="U1094" s="54">
        <f t="shared" si="277"/>
        <v>100</v>
      </c>
      <c r="V1094" s="35" t="s">
        <v>58</v>
      </c>
      <c r="W1094" s="40">
        <f t="shared" si="279"/>
        <v>7330300</v>
      </c>
      <c r="X1094" s="53">
        <f t="shared" si="278"/>
        <v>99.99931790432926</v>
      </c>
      <c r="Y1094" s="35" t="s">
        <v>58</v>
      </c>
      <c r="Z1094" s="106">
        <f t="shared" si="211"/>
        <v>36</v>
      </c>
      <c r="AA1094" s="40">
        <f t="shared" si="210"/>
        <v>17273200</v>
      </c>
      <c r="AB1094" s="53"/>
      <c r="AC1094" s="35" t="s">
        <v>58</v>
      </c>
      <c r="AD1094" s="53"/>
      <c r="AE1094" s="12"/>
      <c r="AH1094" s="25"/>
    </row>
    <row r="1095" spans="1:34" s="33" customFormat="1" ht="135">
      <c r="A1095" s="16"/>
      <c r="B1095" s="17"/>
      <c r="C1095" s="26" t="s">
        <v>1178</v>
      </c>
      <c r="D1095" s="360" t="s">
        <v>1179</v>
      </c>
      <c r="E1095" s="43">
        <v>12</v>
      </c>
      <c r="F1095" s="21" t="s">
        <v>55</v>
      </c>
      <c r="G1095" s="23">
        <f>2880000+2640000</f>
        <v>5520000</v>
      </c>
      <c r="H1095" s="43">
        <v>24</v>
      </c>
      <c r="I1095" s="23">
        <v>2870000</v>
      </c>
      <c r="J1095" s="43">
        <v>12</v>
      </c>
      <c r="K1095" s="23">
        <v>2640000</v>
      </c>
      <c r="L1095" s="43">
        <v>3</v>
      </c>
      <c r="M1095" s="23">
        <v>410000</v>
      </c>
      <c r="N1095" s="43">
        <v>3</v>
      </c>
      <c r="O1095" s="23">
        <f>1250000-M1095</f>
        <v>840000</v>
      </c>
      <c r="P1095" s="43">
        <v>3</v>
      </c>
      <c r="Q1095" s="23">
        <v>430000</v>
      </c>
      <c r="R1095" s="43">
        <v>3</v>
      </c>
      <c r="S1095" s="23">
        <f>2580000-Q1095-O1095-M1095</f>
        <v>900000</v>
      </c>
      <c r="T1095" s="106">
        <f t="shared" si="280"/>
        <v>12</v>
      </c>
      <c r="U1095" s="406">
        <f t="shared" si="277"/>
        <v>100</v>
      </c>
      <c r="V1095" s="300" t="s">
        <v>58</v>
      </c>
      <c r="W1095" s="407">
        <f t="shared" si="279"/>
        <v>2580000</v>
      </c>
      <c r="X1095" s="408">
        <f t="shared" si="278"/>
        <v>97.727272727272734</v>
      </c>
      <c r="Y1095" s="300" t="s">
        <v>58</v>
      </c>
      <c r="Z1095" s="106">
        <f t="shared" si="211"/>
        <v>36</v>
      </c>
      <c r="AA1095" s="40">
        <f t="shared" si="210"/>
        <v>5450000</v>
      </c>
      <c r="AB1095" s="53"/>
      <c r="AC1095" s="35" t="s">
        <v>58</v>
      </c>
      <c r="AD1095" s="53"/>
      <c r="AE1095" s="12"/>
      <c r="AH1095" s="25"/>
    </row>
    <row r="1096" spans="1:34" s="33" customFormat="1" ht="66.75" customHeight="1">
      <c r="A1096" s="16"/>
      <c r="B1096" s="17"/>
      <c r="C1096" s="26" t="s">
        <v>77</v>
      </c>
      <c r="D1096" s="360" t="s">
        <v>220</v>
      </c>
      <c r="E1096" s="43">
        <v>12</v>
      </c>
      <c r="F1096" s="21" t="s">
        <v>173</v>
      </c>
      <c r="G1096" s="23">
        <f>111890525+85000000+111890525</f>
        <v>308781050</v>
      </c>
      <c r="H1096" s="43">
        <v>24</v>
      </c>
      <c r="I1096" s="23">
        <v>277760393</v>
      </c>
      <c r="J1096" s="43">
        <v>12</v>
      </c>
      <c r="K1096" s="23">
        <v>194942900</v>
      </c>
      <c r="L1096" s="43">
        <v>3</v>
      </c>
      <c r="M1096" s="23">
        <v>19614400</v>
      </c>
      <c r="N1096" s="43">
        <v>3</v>
      </c>
      <c r="O1096" s="23">
        <f>67323300-M1096</f>
        <v>47708900</v>
      </c>
      <c r="P1096" s="43">
        <v>3</v>
      </c>
      <c r="Q1096" s="23">
        <v>6550000</v>
      </c>
      <c r="R1096" s="43">
        <v>3</v>
      </c>
      <c r="S1096" s="23">
        <f>194910933-Q1096-O1096-M1096</f>
        <v>121037633</v>
      </c>
      <c r="T1096" s="106">
        <f t="shared" si="280"/>
        <v>12</v>
      </c>
      <c r="U1096" s="54">
        <f t="shared" si="277"/>
        <v>100</v>
      </c>
      <c r="V1096" s="35" t="s">
        <v>58</v>
      </c>
      <c r="W1096" s="40">
        <f t="shared" si="279"/>
        <v>194910933</v>
      </c>
      <c r="X1096" s="53">
        <f t="shared" si="278"/>
        <v>99.983601864956356</v>
      </c>
      <c r="Y1096" s="35" t="s">
        <v>58</v>
      </c>
      <c r="Z1096" s="106">
        <f t="shared" si="211"/>
        <v>36</v>
      </c>
      <c r="AA1096" s="40">
        <f t="shared" si="210"/>
        <v>472671326</v>
      </c>
      <c r="AB1096" s="53"/>
      <c r="AC1096" s="35" t="s">
        <v>58</v>
      </c>
      <c r="AD1096" s="53"/>
      <c r="AE1096" s="12"/>
      <c r="AH1096" s="25"/>
    </row>
    <row r="1097" spans="1:34" s="33" customFormat="1" ht="115.9" customHeight="1">
      <c r="A1097" s="16"/>
      <c r="B1097" s="17"/>
      <c r="C1097" s="18" t="s">
        <v>78</v>
      </c>
      <c r="D1097" s="19" t="s">
        <v>1281</v>
      </c>
      <c r="E1097" s="74">
        <f>12*4</f>
        <v>48</v>
      </c>
      <c r="F1097" s="75" t="s">
        <v>1282</v>
      </c>
      <c r="G1097" s="42">
        <f>SUM(G1098)</f>
        <v>11741200</v>
      </c>
      <c r="H1097" s="74">
        <v>36</v>
      </c>
      <c r="I1097" s="42">
        <f>SUM(I1098)</f>
        <v>3461000</v>
      </c>
      <c r="J1097" s="74">
        <v>12</v>
      </c>
      <c r="K1097" s="42">
        <f>SUM(K1098)</f>
        <v>3399200</v>
      </c>
      <c r="L1097" s="74">
        <v>3</v>
      </c>
      <c r="M1097" s="42">
        <f>SUM(M1098)</f>
        <v>0</v>
      </c>
      <c r="N1097" s="45">
        <v>3</v>
      </c>
      <c r="O1097" s="42">
        <f>SUM(O1098)</f>
        <v>2803100</v>
      </c>
      <c r="P1097" s="45">
        <v>3</v>
      </c>
      <c r="Q1097" s="42">
        <f>SUM(Q1098)</f>
        <v>0</v>
      </c>
      <c r="R1097" s="45">
        <v>3</v>
      </c>
      <c r="S1097" s="42">
        <f>SUM(S1098)</f>
        <v>0</v>
      </c>
      <c r="T1097" s="390">
        <f t="shared" si="280"/>
        <v>12</v>
      </c>
      <c r="U1097" s="55">
        <f t="shared" si="277"/>
        <v>100</v>
      </c>
      <c r="V1097" s="58" t="s">
        <v>58</v>
      </c>
      <c r="W1097" s="59">
        <f t="shared" si="279"/>
        <v>2803100</v>
      </c>
      <c r="X1097" s="57">
        <f t="shared" si="278"/>
        <v>82.463520828430219</v>
      </c>
      <c r="Y1097" s="58" t="s">
        <v>58</v>
      </c>
      <c r="Z1097" s="390">
        <f t="shared" si="211"/>
        <v>48</v>
      </c>
      <c r="AA1097" s="59">
        <f t="shared" si="210"/>
        <v>6264100</v>
      </c>
      <c r="AB1097" s="57"/>
      <c r="AC1097" s="58" t="s">
        <v>58</v>
      </c>
      <c r="AD1097" s="57"/>
      <c r="AE1097" s="12"/>
      <c r="AH1097" s="25"/>
    </row>
    <row r="1098" spans="1:34" s="33" customFormat="1" ht="120">
      <c r="A1098" s="16"/>
      <c r="B1098" s="17"/>
      <c r="C1098" s="26" t="s">
        <v>1283</v>
      </c>
      <c r="D1098" s="29" t="s">
        <v>1284</v>
      </c>
      <c r="E1098" s="20">
        <v>69</v>
      </c>
      <c r="F1098" s="21" t="s">
        <v>138</v>
      </c>
      <c r="G1098" s="23">
        <f>4171000+3399200+4171000</f>
        <v>11741200</v>
      </c>
      <c r="H1098" s="20">
        <v>69</v>
      </c>
      <c r="I1098" s="23">
        <v>3461000</v>
      </c>
      <c r="J1098" s="43">
        <v>69</v>
      </c>
      <c r="K1098" s="23">
        <v>3399200</v>
      </c>
      <c r="L1098" s="43">
        <v>0</v>
      </c>
      <c r="M1098" s="23">
        <v>0</v>
      </c>
      <c r="N1098" s="43">
        <v>69</v>
      </c>
      <c r="O1098" s="23">
        <v>2803100</v>
      </c>
      <c r="P1098" s="43">
        <v>0</v>
      </c>
      <c r="Q1098" s="23">
        <v>0</v>
      </c>
      <c r="R1098" s="20">
        <v>0</v>
      </c>
      <c r="S1098" s="23">
        <v>0</v>
      </c>
      <c r="T1098" s="106">
        <f>SUM(L1098,N1098,P1098,R1098)</f>
        <v>69</v>
      </c>
      <c r="U1098" s="406">
        <f t="shared" si="277"/>
        <v>100</v>
      </c>
      <c r="V1098" s="300" t="s">
        <v>58</v>
      </c>
      <c r="W1098" s="407">
        <f t="shared" si="279"/>
        <v>2803100</v>
      </c>
      <c r="X1098" s="409">
        <f t="shared" si="278"/>
        <v>82.463520828430219</v>
      </c>
      <c r="Y1098" s="35" t="s">
        <v>58</v>
      </c>
      <c r="Z1098" s="106">
        <f t="shared" si="211"/>
        <v>138</v>
      </c>
      <c r="AA1098" s="40">
        <f t="shared" si="210"/>
        <v>6264100</v>
      </c>
      <c r="AB1098" s="53"/>
      <c r="AC1098" s="35" t="s">
        <v>58</v>
      </c>
      <c r="AD1098" s="53"/>
      <c r="AE1098" s="12"/>
      <c r="AH1098" s="25"/>
    </row>
    <row r="1099" spans="1:34" s="33" customFormat="1" ht="96" customHeight="1">
      <c r="A1099" s="16"/>
      <c r="B1099" s="17"/>
      <c r="C1099" s="18" t="s">
        <v>79</v>
      </c>
      <c r="D1099" s="19" t="s">
        <v>1281</v>
      </c>
      <c r="E1099" s="74">
        <f>12*4</f>
        <v>48</v>
      </c>
      <c r="F1099" s="75" t="s">
        <v>1282</v>
      </c>
      <c r="G1099" s="42">
        <f>SUM(G1100:G1102)</f>
        <v>286741219</v>
      </c>
      <c r="H1099" s="74">
        <v>36</v>
      </c>
      <c r="I1099" s="42">
        <f>SUM(I1100:I1102)</f>
        <v>142927194</v>
      </c>
      <c r="J1099" s="74">
        <v>12</v>
      </c>
      <c r="K1099" s="42">
        <f>SUM(K1100:K1102)</f>
        <v>94237219</v>
      </c>
      <c r="L1099" s="74">
        <v>3</v>
      </c>
      <c r="M1099" s="42">
        <f>SUM(M1100:M1102)</f>
        <v>15115929</v>
      </c>
      <c r="N1099" s="45">
        <v>3</v>
      </c>
      <c r="O1099" s="42">
        <f>SUM(O1100:O1102)</f>
        <v>23232588</v>
      </c>
      <c r="P1099" s="45">
        <v>3</v>
      </c>
      <c r="Q1099" s="42">
        <f>SUM(Q1100:Q1102)</f>
        <v>19644885</v>
      </c>
      <c r="R1099" s="45">
        <v>3</v>
      </c>
      <c r="S1099" s="42">
        <f>SUM(S1100:S1102)</f>
        <v>28265799</v>
      </c>
      <c r="T1099" s="390">
        <f t="shared" si="280"/>
        <v>12</v>
      </c>
      <c r="U1099" s="401">
        <f t="shared" si="277"/>
        <v>100</v>
      </c>
      <c r="V1099" s="410" t="s">
        <v>58</v>
      </c>
      <c r="W1099" s="411">
        <f t="shared" si="279"/>
        <v>86259201</v>
      </c>
      <c r="X1099" s="404">
        <f t="shared" si="278"/>
        <v>91.534111379072002</v>
      </c>
      <c r="Y1099" s="58" t="s">
        <v>58</v>
      </c>
      <c r="Z1099" s="390">
        <f t="shared" si="211"/>
        <v>48</v>
      </c>
      <c r="AA1099" s="59">
        <f t="shared" si="210"/>
        <v>229186395</v>
      </c>
      <c r="AB1099" s="57"/>
      <c r="AC1099" s="58" t="s">
        <v>58</v>
      </c>
      <c r="AD1099" s="57"/>
      <c r="AE1099" s="12"/>
      <c r="AH1099" s="25"/>
    </row>
    <row r="1100" spans="1:34" s="33" customFormat="1" ht="75">
      <c r="A1100" s="16"/>
      <c r="B1100" s="17"/>
      <c r="C1100" s="26" t="s">
        <v>86</v>
      </c>
      <c r="D1100" s="29" t="s">
        <v>222</v>
      </c>
      <c r="E1100" s="43">
        <v>12</v>
      </c>
      <c r="F1100" s="21" t="s">
        <v>173</v>
      </c>
      <c r="G1100" s="23">
        <f>150000*3</f>
        <v>450000</v>
      </c>
      <c r="H1100" s="43">
        <v>24</v>
      </c>
      <c r="I1100" s="23">
        <v>162000</v>
      </c>
      <c r="J1100" s="43">
        <v>12</v>
      </c>
      <c r="K1100" s="23">
        <v>150000</v>
      </c>
      <c r="L1100" s="43">
        <v>3</v>
      </c>
      <c r="M1100" s="23">
        <v>0</v>
      </c>
      <c r="N1100" s="43">
        <v>3</v>
      </c>
      <c r="O1100" s="23">
        <v>0</v>
      </c>
      <c r="P1100" s="43">
        <v>3</v>
      </c>
      <c r="Q1100" s="23">
        <v>18000</v>
      </c>
      <c r="R1100" s="43">
        <v>3</v>
      </c>
      <c r="S1100" s="23">
        <v>0</v>
      </c>
      <c r="T1100" s="106">
        <f>SUM(L1100,N1100,P1100,R1100)</f>
        <v>12</v>
      </c>
      <c r="U1100" s="406">
        <f t="shared" si="277"/>
        <v>100</v>
      </c>
      <c r="V1100" s="300" t="s">
        <v>58</v>
      </c>
      <c r="W1100" s="407">
        <f t="shared" si="279"/>
        <v>18000</v>
      </c>
      <c r="X1100" s="53">
        <f t="shared" si="278"/>
        <v>12</v>
      </c>
      <c r="Y1100" s="35" t="s">
        <v>58</v>
      </c>
      <c r="Z1100" s="106">
        <f t="shared" si="211"/>
        <v>36</v>
      </c>
      <c r="AA1100" s="40">
        <f t="shared" si="210"/>
        <v>180000</v>
      </c>
      <c r="AB1100" s="53"/>
      <c r="AC1100" s="35" t="s">
        <v>58</v>
      </c>
      <c r="AD1100" s="53"/>
      <c r="AE1100" s="12"/>
      <c r="AH1100" s="25"/>
    </row>
    <row r="1101" spans="1:34" s="33" customFormat="1" ht="135">
      <c r="A1101" s="16"/>
      <c r="B1101" s="17"/>
      <c r="C1101" s="26" t="s">
        <v>357</v>
      </c>
      <c r="D1101" s="29" t="s">
        <v>223</v>
      </c>
      <c r="E1101" s="43">
        <v>12</v>
      </c>
      <c r="F1101" s="21" t="s">
        <v>173</v>
      </c>
      <c r="G1101" s="23">
        <f>54867000+35011219+54867000</f>
        <v>144745219</v>
      </c>
      <c r="H1101" s="43">
        <v>24</v>
      </c>
      <c r="I1101" s="23">
        <v>83151794</v>
      </c>
      <c r="J1101" s="43">
        <v>12</v>
      </c>
      <c r="K1101" s="23">
        <v>35011219</v>
      </c>
      <c r="L1101" s="43">
        <v>3</v>
      </c>
      <c r="M1101" s="23">
        <v>4234929</v>
      </c>
      <c r="N1101" s="43">
        <v>3</v>
      </c>
      <c r="O1101" s="23">
        <f>12702717-M1101</f>
        <v>8467788</v>
      </c>
      <c r="P1101" s="43">
        <v>3</v>
      </c>
      <c r="Q1101" s="23">
        <v>5801684</v>
      </c>
      <c r="R1101" s="43">
        <v>3</v>
      </c>
      <c r="S1101" s="23">
        <f>31130601-Q1101-O1101-M1101</f>
        <v>12626200</v>
      </c>
      <c r="T1101" s="106">
        <f t="shared" si="280"/>
        <v>12</v>
      </c>
      <c r="U1101" s="406">
        <f t="shared" si="277"/>
        <v>100</v>
      </c>
      <c r="V1101" s="300" t="s">
        <v>58</v>
      </c>
      <c r="W1101" s="407">
        <f t="shared" si="279"/>
        <v>31130601</v>
      </c>
      <c r="X1101" s="409">
        <f t="shared" si="278"/>
        <v>88.916072873669435</v>
      </c>
      <c r="Y1101" s="35" t="s">
        <v>58</v>
      </c>
      <c r="Z1101" s="106">
        <f t="shared" si="211"/>
        <v>36</v>
      </c>
      <c r="AA1101" s="40">
        <f t="shared" si="210"/>
        <v>114282395</v>
      </c>
      <c r="AB1101" s="53"/>
      <c r="AC1101" s="35" t="s">
        <v>58</v>
      </c>
      <c r="AD1101" s="53"/>
      <c r="AE1101" s="12"/>
      <c r="AH1101" s="25"/>
    </row>
    <row r="1102" spans="1:34" s="33" customFormat="1" ht="120">
      <c r="A1102" s="16"/>
      <c r="B1102" s="17"/>
      <c r="C1102" s="26" t="s">
        <v>80</v>
      </c>
      <c r="D1102" s="29" t="s">
        <v>224</v>
      </c>
      <c r="E1102" s="43">
        <v>12</v>
      </c>
      <c r="F1102" s="21" t="s">
        <v>173</v>
      </c>
      <c r="G1102" s="23">
        <f>23394000+59076000*2</f>
        <v>141546000</v>
      </c>
      <c r="H1102" s="43">
        <v>24</v>
      </c>
      <c r="I1102" s="23">
        <v>59613400</v>
      </c>
      <c r="J1102" s="43">
        <v>12</v>
      </c>
      <c r="K1102" s="23">
        <v>59076000</v>
      </c>
      <c r="L1102" s="43">
        <v>3</v>
      </c>
      <c r="M1102" s="23">
        <f>10500000+381000</f>
        <v>10881000</v>
      </c>
      <c r="N1102" s="43">
        <v>3</v>
      </c>
      <c r="O1102" s="23">
        <f>25645800-M1102</f>
        <v>14764800</v>
      </c>
      <c r="P1102" s="43">
        <v>3</v>
      </c>
      <c r="Q1102" s="23">
        <v>13825201</v>
      </c>
      <c r="R1102" s="43">
        <v>3</v>
      </c>
      <c r="S1102" s="23">
        <f>55110600-Q1102-O1102-M1102</f>
        <v>15639599</v>
      </c>
      <c r="T1102" s="106">
        <f t="shared" si="280"/>
        <v>12</v>
      </c>
      <c r="U1102" s="406">
        <f t="shared" si="277"/>
        <v>100</v>
      </c>
      <c r="V1102" s="300" t="s">
        <v>58</v>
      </c>
      <c r="W1102" s="407">
        <f t="shared" si="279"/>
        <v>55110600</v>
      </c>
      <c r="X1102" s="408">
        <f t="shared" si="278"/>
        <v>93.287629494210847</v>
      </c>
      <c r="Y1102" s="300" t="s">
        <v>58</v>
      </c>
      <c r="Z1102" s="106">
        <f t="shared" si="211"/>
        <v>36</v>
      </c>
      <c r="AA1102" s="40">
        <f t="shared" si="210"/>
        <v>114724000</v>
      </c>
      <c r="AB1102" s="53"/>
      <c r="AC1102" s="35" t="s">
        <v>58</v>
      </c>
      <c r="AD1102" s="53"/>
      <c r="AE1102" s="12"/>
      <c r="AH1102" s="25"/>
    </row>
    <row r="1103" spans="1:34" s="33" customFormat="1" ht="145.15" customHeight="1">
      <c r="A1103" s="16"/>
      <c r="B1103" s="17"/>
      <c r="C1103" s="18" t="s">
        <v>1181</v>
      </c>
      <c r="D1103" s="19" t="s">
        <v>1281</v>
      </c>
      <c r="E1103" s="74">
        <f>12*4</f>
        <v>48</v>
      </c>
      <c r="F1103" s="75" t="s">
        <v>1282</v>
      </c>
      <c r="G1103" s="42">
        <f>SUM(G1104:G1105)</f>
        <v>369156000</v>
      </c>
      <c r="H1103" s="74">
        <v>36</v>
      </c>
      <c r="I1103" s="42">
        <f>SUM(I1104:I1105)</f>
        <v>275821387</v>
      </c>
      <c r="J1103" s="74">
        <v>12</v>
      </c>
      <c r="K1103" s="42">
        <f>SUM(K1104:K1105)</f>
        <v>287118000</v>
      </c>
      <c r="L1103" s="74">
        <v>3</v>
      </c>
      <c r="M1103" s="42">
        <f>SUM(M1104:M1105)</f>
        <v>8710500</v>
      </c>
      <c r="N1103" s="74">
        <v>3</v>
      </c>
      <c r="O1103" s="42">
        <f>SUM(O1104:O1105)</f>
        <v>16301846</v>
      </c>
      <c r="P1103" s="74">
        <v>3</v>
      </c>
      <c r="Q1103" s="42">
        <f>SUM(Q1104:Q1105)</f>
        <v>26454124</v>
      </c>
      <c r="R1103" s="74">
        <v>3</v>
      </c>
      <c r="S1103" s="42">
        <f>SUM(S1104:S1105)</f>
        <v>222495900</v>
      </c>
      <c r="T1103" s="390">
        <f t="shared" si="280"/>
        <v>12</v>
      </c>
      <c r="U1103" s="401">
        <f t="shared" si="277"/>
        <v>100</v>
      </c>
      <c r="V1103" s="410" t="s">
        <v>58</v>
      </c>
      <c r="W1103" s="411">
        <f t="shared" si="279"/>
        <v>273962370</v>
      </c>
      <c r="X1103" s="412">
        <f t="shared" si="278"/>
        <v>95.41804066620692</v>
      </c>
      <c r="Y1103" s="410" t="s">
        <v>58</v>
      </c>
      <c r="Z1103" s="390">
        <f t="shared" si="211"/>
        <v>48</v>
      </c>
      <c r="AA1103" s="59">
        <f t="shared" si="210"/>
        <v>549783757</v>
      </c>
      <c r="AB1103" s="57"/>
      <c r="AC1103" s="58" t="s">
        <v>58</v>
      </c>
      <c r="AD1103" s="57"/>
      <c r="AE1103" s="12"/>
      <c r="AH1103" s="25"/>
    </row>
    <row r="1104" spans="1:34" s="33" customFormat="1" ht="111.75" customHeight="1">
      <c r="A1104" s="16"/>
      <c r="B1104" s="17"/>
      <c r="C1104" s="29" t="s">
        <v>82</v>
      </c>
      <c r="D1104" s="29" t="s">
        <v>226</v>
      </c>
      <c r="E1104" s="43">
        <v>4</v>
      </c>
      <c r="F1104" s="21" t="s">
        <v>138</v>
      </c>
      <c r="G1104" s="23">
        <f>132719000+83600000+132719000</f>
        <v>349038000</v>
      </c>
      <c r="H1104" s="43">
        <v>4</v>
      </c>
      <c r="I1104" s="23">
        <v>209161387</v>
      </c>
      <c r="J1104" s="43">
        <f>4+52</f>
        <v>56</v>
      </c>
      <c r="K1104" s="23">
        <v>83600000</v>
      </c>
      <c r="L1104" s="43">
        <v>4</v>
      </c>
      <c r="M1104" s="23">
        <v>8402500</v>
      </c>
      <c r="N1104" s="43">
        <f>4+18</f>
        <v>22</v>
      </c>
      <c r="O1104" s="23">
        <f>23864346-M1104</f>
        <v>15461846</v>
      </c>
      <c r="P1104" s="43">
        <f>4+22</f>
        <v>26</v>
      </c>
      <c r="Q1104" s="23">
        <v>25604124</v>
      </c>
      <c r="R1104" s="43">
        <v>4</v>
      </c>
      <c r="S1104" s="23">
        <f>74963570-Q1104-O1104-M1104</f>
        <v>25495100</v>
      </c>
      <c r="T1104" s="390">
        <f t="shared" si="280"/>
        <v>56</v>
      </c>
      <c r="U1104" s="401">
        <f>T1104/J1104*100</f>
        <v>100</v>
      </c>
      <c r="V1104" s="300" t="s">
        <v>58</v>
      </c>
      <c r="W1104" s="407">
        <f t="shared" si="279"/>
        <v>74963570</v>
      </c>
      <c r="X1104" s="408">
        <f t="shared" si="278"/>
        <v>89.669342105263155</v>
      </c>
      <c r="Y1104" s="300" t="s">
        <v>58</v>
      </c>
      <c r="Z1104" s="106">
        <f t="shared" si="211"/>
        <v>60</v>
      </c>
      <c r="AA1104" s="40">
        <f t="shared" si="210"/>
        <v>284124957</v>
      </c>
      <c r="AB1104" s="53"/>
      <c r="AC1104" s="35" t="s">
        <v>58</v>
      </c>
      <c r="AD1104" s="53"/>
      <c r="AE1104" s="12"/>
      <c r="AH1104" s="25"/>
    </row>
    <row r="1105" spans="1:34" s="33" customFormat="1" ht="135">
      <c r="A1105" s="14"/>
      <c r="B1105" s="14"/>
      <c r="C1105" s="26" t="s">
        <v>84</v>
      </c>
      <c r="D1105" s="360" t="s">
        <v>228</v>
      </c>
      <c r="E1105" s="43">
        <v>16</v>
      </c>
      <c r="F1105" s="21" t="s">
        <v>138</v>
      </c>
      <c r="G1105" s="23">
        <f>8300000+3518000+8300000</f>
        <v>20118000</v>
      </c>
      <c r="H1105" s="43">
        <v>16</v>
      </c>
      <c r="I1105" s="23">
        <v>66660000</v>
      </c>
      <c r="J1105" s="43">
        <v>16</v>
      </c>
      <c r="K1105" s="23">
        <v>203518000</v>
      </c>
      <c r="L1105" s="43">
        <v>4</v>
      </c>
      <c r="M1105" s="23">
        <v>308000</v>
      </c>
      <c r="N1105" s="43">
        <v>2</v>
      </c>
      <c r="O1105" s="23">
        <f>1148000-M1105</f>
        <v>840000</v>
      </c>
      <c r="P1105" s="43">
        <v>4</v>
      </c>
      <c r="Q1105" s="23">
        <v>850000</v>
      </c>
      <c r="R1105" s="43">
        <v>6</v>
      </c>
      <c r="S1105" s="23">
        <f>198998800-Q1105-O1105-M1105</f>
        <v>197000800</v>
      </c>
      <c r="T1105" s="106">
        <f t="shared" si="280"/>
        <v>16</v>
      </c>
      <c r="U1105" s="406">
        <f t="shared" si="277"/>
        <v>100</v>
      </c>
      <c r="V1105" s="300" t="s">
        <v>58</v>
      </c>
      <c r="W1105" s="407">
        <f t="shared" si="279"/>
        <v>198998800</v>
      </c>
      <c r="X1105" s="408">
        <f t="shared" si="278"/>
        <v>97.779459310724363</v>
      </c>
      <c r="Y1105" s="300" t="s">
        <v>58</v>
      </c>
      <c r="Z1105" s="106">
        <f t="shared" si="211"/>
        <v>32</v>
      </c>
      <c r="AA1105" s="40">
        <f t="shared" si="210"/>
        <v>265658800</v>
      </c>
      <c r="AB1105" s="53"/>
      <c r="AC1105" s="35" t="s">
        <v>58</v>
      </c>
      <c r="AD1105" s="53"/>
      <c r="AE1105" s="12"/>
      <c r="AH1105" s="25"/>
    </row>
    <row r="1106" spans="1:34" s="33" customFormat="1" ht="120.6" customHeight="1">
      <c r="A1106" s="48">
        <v>12</v>
      </c>
      <c r="B1106" s="49" t="s">
        <v>1285</v>
      </c>
      <c r="C1106" s="18" t="s">
        <v>1286</v>
      </c>
      <c r="D1106" s="19" t="s">
        <v>1287</v>
      </c>
      <c r="E1106" s="258">
        <v>100</v>
      </c>
      <c r="F1106" s="46" t="s">
        <v>58</v>
      </c>
      <c r="G1106" s="42">
        <f>G1107</f>
        <v>115461800</v>
      </c>
      <c r="H1106" s="413">
        <f>26/38</f>
        <v>0.68421052631578949</v>
      </c>
      <c r="I1106" s="42">
        <f>I1107</f>
        <v>25979000</v>
      </c>
      <c r="J1106" s="258">
        <f>36/38*100</f>
        <v>94.73684210526315</v>
      </c>
      <c r="K1106" s="42">
        <f>K1107</f>
        <v>44004500</v>
      </c>
      <c r="L1106" s="45">
        <v>94.74</v>
      </c>
      <c r="M1106" s="42">
        <f>M1107</f>
        <v>3000000</v>
      </c>
      <c r="N1106" s="258">
        <v>0</v>
      </c>
      <c r="O1106" s="42">
        <f>O1107</f>
        <v>22060900</v>
      </c>
      <c r="P1106" s="258">
        <v>0</v>
      </c>
      <c r="Q1106" s="42">
        <f>Q1107</f>
        <v>4500000</v>
      </c>
      <c r="R1106" s="258">
        <v>0</v>
      </c>
      <c r="S1106" s="42">
        <f>S1107</f>
        <v>12904000</v>
      </c>
      <c r="T1106" s="293">
        <f t="shared" si="280"/>
        <v>94.74</v>
      </c>
      <c r="U1106" s="57">
        <f>Z1106/J1106*100</f>
        <v>100.72555555555556</v>
      </c>
      <c r="V1106" s="58" t="s">
        <v>58</v>
      </c>
      <c r="W1106" s="59">
        <f t="shared" si="279"/>
        <v>42464900</v>
      </c>
      <c r="X1106" s="57">
        <f t="shared" si="278"/>
        <v>96.501266915883605</v>
      </c>
      <c r="Y1106" s="58" t="s">
        <v>58</v>
      </c>
      <c r="Z1106" s="293">
        <f t="shared" si="211"/>
        <v>95.42421052631579</v>
      </c>
      <c r="AA1106" s="59">
        <f t="shared" si="210"/>
        <v>68443900</v>
      </c>
      <c r="AB1106" s="57"/>
      <c r="AC1106" s="58" t="s">
        <v>58</v>
      </c>
      <c r="AD1106" s="57"/>
      <c r="AE1106" s="12"/>
      <c r="AH1106" s="25"/>
    </row>
    <row r="1107" spans="1:34" s="33" customFormat="1" ht="121.5" customHeight="1">
      <c r="A1107" s="16"/>
      <c r="B1107" s="414">
        <f>37/143*100</f>
        <v>25.874125874125873</v>
      </c>
      <c r="C1107" s="18" t="s">
        <v>1288</v>
      </c>
      <c r="D1107" s="19" t="s">
        <v>1289</v>
      </c>
      <c r="E1107" s="108">
        <v>38</v>
      </c>
      <c r="F1107" s="76" t="s">
        <v>1290</v>
      </c>
      <c r="G1107" s="42">
        <f>SUM(G1108)</f>
        <v>115461800</v>
      </c>
      <c r="H1107" s="108">
        <v>27</v>
      </c>
      <c r="I1107" s="42">
        <f>SUM(I1108)</f>
        <v>25979000</v>
      </c>
      <c r="J1107" s="261">
        <v>36</v>
      </c>
      <c r="K1107" s="42">
        <f>SUM(K1108)</f>
        <v>44004500</v>
      </c>
      <c r="L1107" s="45">
        <v>36</v>
      </c>
      <c r="M1107" s="42">
        <f>SUM(M1108)</f>
        <v>3000000</v>
      </c>
      <c r="N1107" s="258">
        <v>0</v>
      </c>
      <c r="O1107" s="42">
        <f>SUM(O1108)</f>
        <v>22060900</v>
      </c>
      <c r="P1107" s="258">
        <v>0</v>
      </c>
      <c r="Q1107" s="42">
        <f>SUM(Q1108)</f>
        <v>4500000</v>
      </c>
      <c r="R1107" s="258">
        <v>0</v>
      </c>
      <c r="S1107" s="42">
        <f>SUM(S1108)</f>
        <v>12904000</v>
      </c>
      <c r="T1107" s="293">
        <f>SUM(L1107,N1107,P1107,R1107)</f>
        <v>36</v>
      </c>
      <c r="U1107" s="55">
        <f t="shared" ref="U1107:U1112" si="281">T1107/J1107*100</f>
        <v>100</v>
      </c>
      <c r="V1107" s="58" t="s">
        <v>58</v>
      </c>
      <c r="W1107" s="59">
        <f t="shared" si="279"/>
        <v>42464900</v>
      </c>
      <c r="X1107" s="57">
        <f t="shared" si="278"/>
        <v>96.501266915883605</v>
      </c>
      <c r="Y1107" s="58" t="s">
        <v>58</v>
      </c>
      <c r="Z1107" s="390">
        <f t="shared" si="211"/>
        <v>63</v>
      </c>
      <c r="AA1107" s="59">
        <f t="shared" si="210"/>
        <v>68443900</v>
      </c>
      <c r="AB1107" s="57"/>
      <c r="AC1107" s="58" t="s">
        <v>58</v>
      </c>
      <c r="AD1107" s="57"/>
      <c r="AE1107" s="12"/>
      <c r="AH1107" s="25"/>
    </row>
    <row r="1108" spans="1:34" s="33" customFormat="1" ht="195">
      <c r="A1108" s="16"/>
      <c r="B1108" s="17"/>
      <c r="C1108" s="26" t="s">
        <v>1291</v>
      </c>
      <c r="D1108" s="29" t="s">
        <v>1292</v>
      </c>
      <c r="E1108" s="20">
        <v>5</v>
      </c>
      <c r="F1108" s="47" t="s">
        <v>55</v>
      </c>
      <c r="G1108" s="23">
        <f>27452800+44004500*2</f>
        <v>115461800</v>
      </c>
      <c r="H1108" s="44">
        <v>3</v>
      </c>
      <c r="I1108" s="23">
        <v>25979000</v>
      </c>
      <c r="J1108" s="44">
        <v>1</v>
      </c>
      <c r="K1108" s="23">
        <v>44004500</v>
      </c>
      <c r="L1108" s="20">
        <v>1</v>
      </c>
      <c r="M1108" s="23">
        <v>3000000</v>
      </c>
      <c r="N1108" s="20">
        <v>0</v>
      </c>
      <c r="O1108" s="23">
        <v>22060900</v>
      </c>
      <c r="P1108" s="20">
        <v>0</v>
      </c>
      <c r="Q1108" s="23">
        <v>4500000</v>
      </c>
      <c r="R1108" s="20">
        <v>0</v>
      </c>
      <c r="S1108" s="23">
        <f>42464900-Q1108-O1108-M1108</f>
        <v>12904000</v>
      </c>
      <c r="T1108" s="106">
        <f t="shared" si="280"/>
        <v>1</v>
      </c>
      <c r="U1108" s="54">
        <f t="shared" si="281"/>
        <v>100</v>
      </c>
      <c r="V1108" s="35" t="s">
        <v>58</v>
      </c>
      <c r="W1108" s="40">
        <f>SUM(M1108,O1108,Q1108,S1108)</f>
        <v>42464900</v>
      </c>
      <c r="X1108" s="53">
        <f t="shared" si="278"/>
        <v>96.501266915883605</v>
      </c>
      <c r="Y1108" s="35" t="s">
        <v>58</v>
      </c>
      <c r="Z1108" s="106">
        <f t="shared" si="211"/>
        <v>4</v>
      </c>
      <c r="AA1108" s="40">
        <f t="shared" si="210"/>
        <v>68443900</v>
      </c>
      <c r="AB1108" s="53"/>
      <c r="AC1108" s="35" t="s">
        <v>58</v>
      </c>
      <c r="AD1108" s="53"/>
      <c r="AE1108" s="12"/>
      <c r="AH1108" s="25"/>
    </row>
    <row r="1109" spans="1:34" s="33" customFormat="1" ht="109.9" customHeight="1">
      <c r="A1109" s="16"/>
      <c r="B1109" s="17"/>
      <c r="C1109" s="18" t="s">
        <v>1293</v>
      </c>
      <c r="D1109" s="358" t="s">
        <v>1294</v>
      </c>
      <c r="E1109" s="108">
        <v>100</v>
      </c>
      <c r="F1109" s="46" t="s">
        <v>58</v>
      </c>
      <c r="G1109" s="42">
        <f>G1110+G1113</f>
        <v>11342300</v>
      </c>
      <c r="H1109" s="108">
        <v>100</v>
      </c>
      <c r="I1109" s="42">
        <f>I1110+I1113</f>
        <v>9841550</v>
      </c>
      <c r="J1109" s="108">
        <v>100</v>
      </c>
      <c r="K1109" s="42">
        <f>K1110+K1113</f>
        <v>75657750</v>
      </c>
      <c r="L1109" s="108">
        <f>4/4*100</f>
        <v>100</v>
      </c>
      <c r="M1109" s="42">
        <f>M1110</f>
        <v>2250000</v>
      </c>
      <c r="N1109" s="261">
        <v>100</v>
      </c>
      <c r="O1109" s="42">
        <f>O1110</f>
        <v>7242800</v>
      </c>
      <c r="P1109" s="261">
        <v>100</v>
      </c>
      <c r="Q1109" s="42">
        <f>Q1110</f>
        <v>900000</v>
      </c>
      <c r="R1109" s="261">
        <v>100</v>
      </c>
      <c r="S1109" s="42">
        <f>S1110</f>
        <v>18282450</v>
      </c>
      <c r="T1109" s="390">
        <f>SUM(L1109,N1109,P1109,R1109)/4</f>
        <v>100</v>
      </c>
      <c r="U1109" s="55">
        <f t="shared" si="281"/>
        <v>100</v>
      </c>
      <c r="V1109" s="58" t="s">
        <v>58</v>
      </c>
      <c r="W1109" s="59">
        <f t="shared" si="279"/>
        <v>28675250</v>
      </c>
      <c r="X1109" s="57">
        <f t="shared" si="278"/>
        <v>37.901272506782185</v>
      </c>
      <c r="Y1109" s="58" t="s">
        <v>58</v>
      </c>
      <c r="Z1109" s="390">
        <f>T1109</f>
        <v>100</v>
      </c>
      <c r="AA1109" s="59">
        <f t="shared" si="210"/>
        <v>38516800</v>
      </c>
      <c r="AB1109" s="57"/>
      <c r="AC1109" s="58" t="s">
        <v>58</v>
      </c>
      <c r="AD1109" s="57"/>
      <c r="AE1109" s="12"/>
      <c r="AH1109" s="25"/>
    </row>
    <row r="1110" spans="1:34" s="33" customFormat="1" ht="236.25">
      <c r="A1110" s="16"/>
      <c r="B1110" s="17"/>
      <c r="C1110" s="18" t="s">
        <v>1295</v>
      </c>
      <c r="D1110" s="19" t="s">
        <v>1296</v>
      </c>
      <c r="E1110" s="108">
        <v>6</v>
      </c>
      <c r="F1110" s="76" t="s">
        <v>1297</v>
      </c>
      <c r="G1110" s="42">
        <f>SUM(G1111:G1112)</f>
        <v>0</v>
      </c>
      <c r="H1110" s="108">
        <v>6</v>
      </c>
      <c r="I1110" s="42">
        <f>SUM(I1111:I1112)</f>
        <v>0</v>
      </c>
      <c r="J1110" s="45">
        <v>6</v>
      </c>
      <c r="K1110" s="42">
        <f>SUM(K1111:K1112)</f>
        <v>75657750</v>
      </c>
      <c r="L1110" s="108">
        <v>0</v>
      </c>
      <c r="M1110" s="42">
        <f>SUM(M1111:M1112)</f>
        <v>2250000</v>
      </c>
      <c r="N1110" s="42">
        <v>6</v>
      </c>
      <c r="O1110" s="42">
        <f>SUM(O1111:O1112)</f>
        <v>7242800</v>
      </c>
      <c r="P1110" s="42">
        <v>6</v>
      </c>
      <c r="Q1110" s="42">
        <f>SUM(Q1111:Q1112)</f>
        <v>900000</v>
      </c>
      <c r="R1110" s="108">
        <v>6</v>
      </c>
      <c r="S1110" s="42">
        <f>SUM(S1111:S1112)</f>
        <v>18282450</v>
      </c>
      <c r="T1110" s="390">
        <f>SUM(L1110,N1110,P1110,R1110)/2</f>
        <v>9</v>
      </c>
      <c r="U1110" s="55">
        <f t="shared" si="281"/>
        <v>150</v>
      </c>
      <c r="V1110" s="58" t="s">
        <v>58</v>
      </c>
      <c r="W1110" s="59">
        <f t="shared" si="279"/>
        <v>28675250</v>
      </c>
      <c r="X1110" s="57">
        <f t="shared" si="278"/>
        <v>37.901272506782185</v>
      </c>
      <c r="Y1110" s="58" t="s">
        <v>58</v>
      </c>
      <c r="Z1110" s="390">
        <f>T1110</f>
        <v>9</v>
      </c>
      <c r="AA1110" s="59">
        <f t="shared" si="210"/>
        <v>28675250</v>
      </c>
      <c r="AB1110" s="57"/>
      <c r="AC1110" s="58" t="s">
        <v>58</v>
      </c>
      <c r="AD1110" s="57"/>
      <c r="AE1110" s="12"/>
      <c r="AH1110" s="25"/>
    </row>
    <row r="1111" spans="1:34" s="33" customFormat="1" ht="114" customHeight="1">
      <c r="A1111" s="16"/>
      <c r="B1111" s="17"/>
      <c r="C1111" s="26" t="s">
        <v>1298</v>
      </c>
      <c r="D1111" s="29" t="s">
        <v>1299</v>
      </c>
      <c r="E1111" s="20">
        <v>5</v>
      </c>
      <c r="F1111" s="47" t="s">
        <v>57</v>
      </c>
      <c r="G1111" s="23"/>
      <c r="H1111" s="20"/>
      <c r="I1111" s="23"/>
      <c r="J1111" s="20">
        <v>5</v>
      </c>
      <c r="K1111" s="23">
        <v>3144950</v>
      </c>
      <c r="L1111" s="20">
        <v>0</v>
      </c>
      <c r="M1111" s="23">
        <v>2250000</v>
      </c>
      <c r="N1111" s="23">
        <v>2</v>
      </c>
      <c r="O1111" s="23">
        <v>0</v>
      </c>
      <c r="P1111" s="23">
        <f>1</f>
        <v>1</v>
      </c>
      <c r="Q1111" s="23">
        <v>0</v>
      </c>
      <c r="R1111" s="23">
        <v>2</v>
      </c>
      <c r="S1111" s="23">
        <f>3144950-Q1111-O1111-M1111</f>
        <v>894950</v>
      </c>
      <c r="T1111" s="106">
        <f>SUM(L1111,N1111,P1111,R1111)</f>
        <v>5</v>
      </c>
      <c r="U1111" s="54">
        <f t="shared" si="281"/>
        <v>100</v>
      </c>
      <c r="V1111" s="35" t="s">
        <v>58</v>
      </c>
      <c r="W1111" s="40">
        <f t="shared" si="279"/>
        <v>3144950</v>
      </c>
      <c r="X1111" s="53">
        <f t="shared" si="278"/>
        <v>100</v>
      </c>
      <c r="Y1111" s="35" t="s">
        <v>58</v>
      </c>
      <c r="Z1111" s="106">
        <f>SUM(H1111,T1111)</f>
        <v>5</v>
      </c>
      <c r="AA1111" s="40">
        <f t="shared" si="210"/>
        <v>3144950</v>
      </c>
      <c r="AB1111" s="53"/>
      <c r="AC1111" s="35" t="s">
        <v>58</v>
      </c>
      <c r="AD1111" s="53"/>
      <c r="AE1111" s="12"/>
      <c r="AH1111" s="25"/>
    </row>
    <row r="1112" spans="1:34" s="33" customFormat="1" ht="240">
      <c r="A1112" s="16"/>
      <c r="B1112" s="17"/>
      <c r="C1112" s="26" t="s">
        <v>1300</v>
      </c>
      <c r="D1112" s="29" t="s">
        <v>1301</v>
      </c>
      <c r="E1112" s="20">
        <v>6</v>
      </c>
      <c r="F1112" s="47" t="s">
        <v>1302</v>
      </c>
      <c r="G1112" s="23"/>
      <c r="H1112" s="20"/>
      <c r="I1112" s="23"/>
      <c r="J1112" s="20">
        <v>6</v>
      </c>
      <c r="K1112" s="23">
        <v>72512800</v>
      </c>
      <c r="L1112" s="20">
        <v>0</v>
      </c>
      <c r="M1112" s="23">
        <v>0</v>
      </c>
      <c r="N1112" s="23">
        <v>6</v>
      </c>
      <c r="O1112" s="23">
        <v>7242800</v>
      </c>
      <c r="P1112" s="23">
        <v>6</v>
      </c>
      <c r="Q1112" s="23">
        <v>900000</v>
      </c>
      <c r="R1112" s="20">
        <v>6</v>
      </c>
      <c r="S1112" s="23">
        <f>25530300-Q1112-O1112-M1112</f>
        <v>17387500</v>
      </c>
      <c r="T1112" s="106">
        <f>SUM(L1112,N1112,P1112,R1112)</f>
        <v>18</v>
      </c>
      <c r="U1112" s="54">
        <f t="shared" si="281"/>
        <v>300</v>
      </c>
      <c r="V1112" s="35" t="s">
        <v>58</v>
      </c>
      <c r="W1112" s="40">
        <f t="shared" si="279"/>
        <v>25530300</v>
      </c>
      <c r="X1112" s="53">
        <f t="shared" si="278"/>
        <v>35.20799086506107</v>
      </c>
      <c r="Y1112" s="35" t="s">
        <v>58</v>
      </c>
      <c r="Z1112" s="106">
        <f>SUM(H1112,T1112)</f>
        <v>18</v>
      </c>
      <c r="AA1112" s="40">
        <f t="shared" si="210"/>
        <v>25530300</v>
      </c>
      <c r="AB1112" s="53"/>
      <c r="AC1112" s="35" t="s">
        <v>58</v>
      </c>
      <c r="AD1112" s="53"/>
      <c r="AE1112" s="12"/>
      <c r="AH1112" s="25"/>
    </row>
    <row r="1113" spans="1:34" s="33" customFormat="1" ht="137.25" customHeight="1">
      <c r="A1113" s="16"/>
      <c r="B1113" s="17"/>
      <c r="C1113" s="18" t="s">
        <v>1303</v>
      </c>
      <c r="D1113" s="19" t="s">
        <v>1304</v>
      </c>
      <c r="E1113" s="108">
        <v>100</v>
      </c>
      <c r="F1113" s="46" t="s">
        <v>58</v>
      </c>
      <c r="G1113" s="42">
        <f>SUM(G1114)</f>
        <v>11342300</v>
      </c>
      <c r="H1113" s="108">
        <v>100</v>
      </c>
      <c r="I1113" s="42">
        <f>SUM(I1114)</f>
        <v>9841550</v>
      </c>
      <c r="J1113" s="45"/>
      <c r="K1113" s="42"/>
      <c r="L1113" s="108"/>
      <c r="M1113" s="42"/>
      <c r="N1113" s="108"/>
      <c r="O1113" s="42"/>
      <c r="P1113" s="108"/>
      <c r="Q1113" s="42"/>
      <c r="R1113" s="108"/>
      <c r="S1113" s="42"/>
      <c r="T1113" s="390"/>
      <c r="U1113" s="55"/>
      <c r="V1113" s="58"/>
      <c r="W1113" s="59"/>
      <c r="X1113" s="57"/>
      <c r="Y1113" s="58"/>
      <c r="Z1113" s="390">
        <f>T1113</f>
        <v>0</v>
      </c>
      <c r="AA1113" s="59">
        <f t="shared" si="210"/>
        <v>9841550</v>
      </c>
      <c r="AB1113" s="57"/>
      <c r="AC1113" s="58" t="s">
        <v>58</v>
      </c>
      <c r="AD1113" s="57"/>
      <c r="AE1113" s="12"/>
      <c r="AH1113" s="25"/>
    </row>
    <row r="1114" spans="1:34" s="33" customFormat="1" ht="180">
      <c r="A1114" s="16"/>
      <c r="B1114" s="17"/>
      <c r="C1114" s="26" t="s">
        <v>1305</v>
      </c>
      <c r="D1114" s="29" t="s">
        <v>1306</v>
      </c>
      <c r="E1114" s="20">
        <v>12</v>
      </c>
      <c r="F1114" s="47" t="s">
        <v>1307</v>
      </c>
      <c r="G1114" s="23">
        <v>11342300</v>
      </c>
      <c r="H1114" s="20">
        <v>24</v>
      </c>
      <c r="I1114" s="23">
        <v>9841550</v>
      </c>
      <c r="J1114" s="20"/>
      <c r="K1114" s="23"/>
      <c r="L1114" s="20"/>
      <c r="M1114" s="23"/>
      <c r="N1114" s="20"/>
      <c r="O1114" s="23"/>
      <c r="P1114" s="20"/>
      <c r="Q1114" s="23"/>
      <c r="R1114" s="20"/>
      <c r="S1114" s="23"/>
      <c r="T1114" s="106"/>
      <c r="U1114" s="54"/>
      <c r="V1114" s="35"/>
      <c r="W1114" s="40"/>
      <c r="X1114" s="53"/>
      <c r="Y1114" s="35"/>
      <c r="Z1114" s="106">
        <f>SUM(H1114,T1114)</f>
        <v>24</v>
      </c>
      <c r="AA1114" s="40">
        <f t="shared" si="210"/>
        <v>9841550</v>
      </c>
      <c r="AB1114" s="53"/>
      <c r="AC1114" s="35" t="s">
        <v>58</v>
      </c>
      <c r="AD1114" s="53"/>
      <c r="AE1114" s="12"/>
      <c r="AH1114" s="25"/>
    </row>
    <row r="1115" spans="1:34" s="33" customFormat="1" ht="66.599999999999994" customHeight="1">
      <c r="A1115" s="16"/>
      <c r="B1115" s="17"/>
      <c r="C1115" s="18" t="s">
        <v>1308</v>
      </c>
      <c r="D1115" s="18" t="s">
        <v>1309</v>
      </c>
      <c r="E1115" s="45">
        <v>6.94</v>
      </c>
      <c r="F1115" s="46" t="s">
        <v>58</v>
      </c>
      <c r="G1115" s="42">
        <f>G1116+G1118</f>
        <v>1242324200</v>
      </c>
      <c r="H1115" s="45">
        <v>5.56</v>
      </c>
      <c r="I1115" s="42">
        <f>I1116+I1118</f>
        <v>217588900</v>
      </c>
      <c r="J1115" s="265">
        <v>6.25</v>
      </c>
      <c r="K1115" s="42">
        <f>K1116+K1118</f>
        <v>435415350</v>
      </c>
      <c r="L1115" s="258">
        <f>9/144*100</f>
        <v>6.25</v>
      </c>
      <c r="M1115" s="42">
        <f>M1116+M1118</f>
        <v>14829700</v>
      </c>
      <c r="N1115" s="107">
        <v>0</v>
      </c>
      <c r="O1115" s="42">
        <f>O1116+O1118</f>
        <v>52316550</v>
      </c>
      <c r="P1115" s="107">
        <v>0</v>
      </c>
      <c r="Q1115" s="42">
        <f>Q1116+Q1118</f>
        <v>74536050</v>
      </c>
      <c r="R1115" s="107">
        <v>0</v>
      </c>
      <c r="S1115" s="42">
        <f>S1116+S1118</f>
        <v>276631455</v>
      </c>
      <c r="T1115" s="293">
        <f>SUM(L1115,N1115,P1115,R1115)</f>
        <v>6.25</v>
      </c>
      <c r="U1115" s="55">
        <f t="shared" ref="U1115:U1121" si="282">T1115/J1115*100</f>
        <v>100</v>
      </c>
      <c r="V1115" s="58" t="s">
        <v>58</v>
      </c>
      <c r="W1115" s="59">
        <f t="shared" ref="W1115:W1124" si="283">SUM(M1115,O1115,Q1115,S1115)</f>
        <v>418313755</v>
      </c>
      <c r="X1115" s="57">
        <f t="shared" ref="X1115:X1124" si="284">W1115/K1115*100</f>
        <v>96.072349080022107</v>
      </c>
      <c r="Y1115" s="58" t="s">
        <v>58</v>
      </c>
      <c r="Z1115" s="293">
        <f>SUM(H1115,T1115)</f>
        <v>11.809999999999999</v>
      </c>
      <c r="AA1115" s="59">
        <f t="shared" si="210"/>
        <v>635902655</v>
      </c>
      <c r="AB1115" s="57"/>
      <c r="AC1115" s="58" t="s">
        <v>58</v>
      </c>
      <c r="AD1115" s="57"/>
      <c r="AE1115" s="12"/>
      <c r="AH1115" s="25"/>
    </row>
    <row r="1116" spans="1:34" s="33" customFormat="1" ht="151.5" customHeight="1">
      <c r="A1116" s="16"/>
      <c r="B1116" s="17"/>
      <c r="C1116" s="19" t="s">
        <v>1310</v>
      </c>
      <c r="D1116" s="49" t="s">
        <v>1311</v>
      </c>
      <c r="E1116" s="108">
        <v>10</v>
      </c>
      <c r="F1116" s="21" t="s">
        <v>1312</v>
      </c>
      <c r="G1116" s="52">
        <f>SUM(G1117)</f>
        <v>213858200</v>
      </c>
      <c r="H1116" s="108">
        <v>8</v>
      </c>
      <c r="I1116" s="52">
        <f>SUM(I1117)</f>
        <v>25530000</v>
      </c>
      <c r="J1116" s="108">
        <v>9</v>
      </c>
      <c r="K1116" s="52">
        <f>SUM(K1117)</f>
        <v>93504100</v>
      </c>
      <c r="L1116" s="52">
        <v>9</v>
      </c>
      <c r="M1116" s="52">
        <f>SUM(M1117)</f>
        <v>7195000</v>
      </c>
      <c r="N1116" s="119">
        <v>0</v>
      </c>
      <c r="O1116" s="52">
        <f>SUM(O1117)</f>
        <v>32929000</v>
      </c>
      <c r="P1116" s="119">
        <v>0</v>
      </c>
      <c r="Q1116" s="52">
        <f>SUM(Q1117)</f>
        <v>5693500</v>
      </c>
      <c r="R1116" s="119">
        <v>0</v>
      </c>
      <c r="S1116" s="52">
        <f>SUM(S1117)</f>
        <v>33768000</v>
      </c>
      <c r="T1116" s="293">
        <f>SUM(L1116,N1116,P1116,R1116)</f>
        <v>9</v>
      </c>
      <c r="U1116" s="55">
        <f t="shared" si="282"/>
        <v>100</v>
      </c>
      <c r="V1116" s="48" t="s">
        <v>58</v>
      </c>
      <c r="W1116" s="56">
        <f t="shared" si="283"/>
        <v>79585500</v>
      </c>
      <c r="X1116" s="60">
        <f t="shared" si="284"/>
        <v>85.114449526812194</v>
      </c>
      <c r="Y1116" s="48" t="s">
        <v>58</v>
      </c>
      <c r="Z1116" s="415">
        <f>SUM(H1116,T1116)</f>
        <v>17</v>
      </c>
      <c r="AA1116" s="56">
        <f t="shared" si="210"/>
        <v>105115500</v>
      </c>
      <c r="AB1116" s="60"/>
      <c r="AC1116" s="48" t="s">
        <v>58</v>
      </c>
      <c r="AD1116" s="60"/>
      <c r="AE1116" s="12"/>
      <c r="AH1116" s="25"/>
    </row>
    <row r="1117" spans="1:34" s="33" customFormat="1" ht="108.75" customHeight="1">
      <c r="A1117" s="16"/>
      <c r="B1117" s="17"/>
      <c r="C1117" s="29" t="s">
        <v>1313</v>
      </c>
      <c r="D1117" s="29" t="s">
        <v>1314</v>
      </c>
      <c r="E1117" s="126">
        <v>5</v>
      </c>
      <c r="F1117" s="416" t="s">
        <v>173</v>
      </c>
      <c r="G1117" s="62">
        <f>26850000+93504100+93504100</f>
        <v>213858200</v>
      </c>
      <c r="H1117" s="126">
        <v>10</v>
      </c>
      <c r="I1117" s="62">
        <v>25530000</v>
      </c>
      <c r="J1117" s="126">
        <v>1</v>
      </c>
      <c r="K1117" s="62">
        <v>93504100</v>
      </c>
      <c r="L1117" s="44">
        <v>1</v>
      </c>
      <c r="M1117" s="62">
        <v>7195000</v>
      </c>
      <c r="N1117" s="126">
        <v>0</v>
      </c>
      <c r="O1117" s="23">
        <f>40124000-M1117</f>
        <v>32929000</v>
      </c>
      <c r="P1117" s="126">
        <v>0</v>
      </c>
      <c r="Q1117" s="23">
        <v>5693500</v>
      </c>
      <c r="R1117" s="126">
        <v>0</v>
      </c>
      <c r="S1117" s="23">
        <f>79585500-Q1117-O1117-M1117</f>
        <v>33768000</v>
      </c>
      <c r="T1117" s="106">
        <f>SUM(L1117,N1117,P1117,R1117)</f>
        <v>1</v>
      </c>
      <c r="U1117" s="54">
        <f t="shared" si="282"/>
        <v>100</v>
      </c>
      <c r="V1117" s="35" t="s">
        <v>58</v>
      </c>
      <c r="W1117" s="40">
        <f t="shared" si="283"/>
        <v>79585500</v>
      </c>
      <c r="X1117" s="53">
        <f t="shared" si="284"/>
        <v>85.114449526812194</v>
      </c>
      <c r="Y1117" s="35" t="s">
        <v>58</v>
      </c>
      <c r="Z1117" s="106">
        <f>SUM(H1117,T1117)</f>
        <v>11</v>
      </c>
      <c r="AA1117" s="40">
        <f t="shared" si="210"/>
        <v>105115500</v>
      </c>
      <c r="AB1117" s="53"/>
      <c r="AC1117" s="35" t="s">
        <v>58</v>
      </c>
      <c r="AD1117" s="53"/>
      <c r="AE1117" s="12"/>
      <c r="AH1117" s="25"/>
    </row>
    <row r="1118" spans="1:34" s="33" customFormat="1" ht="216.75" customHeight="1">
      <c r="A1118" s="16"/>
      <c r="B1118" s="17"/>
      <c r="C1118" s="18" t="s">
        <v>1315</v>
      </c>
      <c r="D1118" s="19" t="s">
        <v>1316</v>
      </c>
      <c r="E1118" s="267">
        <v>3</v>
      </c>
      <c r="F1118" s="76" t="s">
        <v>1317</v>
      </c>
      <c r="G1118" s="42">
        <f>SUM(G1119)</f>
        <v>1028466000</v>
      </c>
      <c r="H1118" s="267">
        <v>3</v>
      </c>
      <c r="I1118" s="42">
        <f>SUM(I1119)</f>
        <v>192058900</v>
      </c>
      <c r="J1118" s="267">
        <v>3</v>
      </c>
      <c r="K1118" s="42">
        <f>SUM(K1119)</f>
        <v>341911250</v>
      </c>
      <c r="L1118" s="267">
        <v>3</v>
      </c>
      <c r="M1118" s="42">
        <f>SUM(M1119)</f>
        <v>7634700</v>
      </c>
      <c r="N1118" s="267">
        <v>3</v>
      </c>
      <c r="O1118" s="42">
        <f>SUM(O1119)</f>
        <v>19387550</v>
      </c>
      <c r="P1118" s="267">
        <v>3</v>
      </c>
      <c r="Q1118" s="42">
        <f>SUM(Q1119)</f>
        <v>68842550</v>
      </c>
      <c r="R1118" s="267">
        <v>3</v>
      </c>
      <c r="S1118" s="42">
        <f>SUM(S1119)</f>
        <v>242863455</v>
      </c>
      <c r="T1118" s="417">
        <f>AVERAGE(L1118,N1118,P1118,R1118)</f>
        <v>3</v>
      </c>
      <c r="U1118" s="55">
        <f t="shared" si="282"/>
        <v>100</v>
      </c>
      <c r="V1118" s="58" t="s">
        <v>58</v>
      </c>
      <c r="W1118" s="59">
        <f t="shared" si="283"/>
        <v>338728255</v>
      </c>
      <c r="X1118" s="57">
        <f t="shared" si="284"/>
        <v>99.069058125463854</v>
      </c>
      <c r="Y1118" s="58" t="s">
        <v>58</v>
      </c>
      <c r="Z1118" s="417">
        <f>T1118</f>
        <v>3</v>
      </c>
      <c r="AA1118" s="59">
        <f t="shared" si="210"/>
        <v>530787155</v>
      </c>
      <c r="AB1118" s="57"/>
      <c r="AC1118" s="58" t="s">
        <v>58</v>
      </c>
      <c r="AD1118" s="57"/>
      <c r="AE1118" s="12"/>
      <c r="AH1118" s="25"/>
    </row>
    <row r="1119" spans="1:34" s="33" customFormat="1" ht="192" customHeight="1">
      <c r="A1119" s="16"/>
      <c r="B1119" s="17"/>
      <c r="C1119" s="26" t="s">
        <v>1318</v>
      </c>
      <c r="D1119" s="29" t="s">
        <v>1319</v>
      </c>
      <c r="E1119" s="20">
        <v>300</v>
      </c>
      <c r="F1119" s="47" t="s">
        <v>57</v>
      </c>
      <c r="G1119" s="23">
        <f>326268500+351098750*2</f>
        <v>1028466000</v>
      </c>
      <c r="H1119" s="44">
        <v>205</v>
      </c>
      <c r="I1119" s="23">
        <v>192058900</v>
      </c>
      <c r="J1119" s="104">
        <v>250</v>
      </c>
      <c r="K1119" s="23">
        <v>341911250</v>
      </c>
      <c r="L1119" s="104">
        <v>250</v>
      </c>
      <c r="M1119" s="23">
        <v>7634700</v>
      </c>
      <c r="N1119" s="104">
        <v>250</v>
      </c>
      <c r="O1119" s="23">
        <f>27022250-M1119</f>
        <v>19387550</v>
      </c>
      <c r="P1119" s="104">
        <v>250</v>
      </c>
      <c r="Q1119" s="23">
        <v>68842550</v>
      </c>
      <c r="R1119" s="104">
        <v>250</v>
      </c>
      <c r="S1119" s="23">
        <f>338728255-Q1119-O1119-M1119</f>
        <v>242863455</v>
      </c>
      <c r="T1119" s="106">
        <f>AVERAGE(L1119,N1119,P1119,R1119)</f>
        <v>250</v>
      </c>
      <c r="U1119" s="54">
        <f t="shared" si="282"/>
        <v>100</v>
      </c>
      <c r="V1119" s="35" t="s">
        <v>58</v>
      </c>
      <c r="W1119" s="40">
        <f t="shared" si="283"/>
        <v>338728255</v>
      </c>
      <c r="X1119" s="53">
        <f t="shared" si="284"/>
        <v>99.069058125463854</v>
      </c>
      <c r="Y1119" s="35" t="s">
        <v>58</v>
      </c>
      <c r="Z1119" s="106">
        <f t="shared" ref="Z1119:Z1124" si="285">SUM(H1119,T1119)</f>
        <v>455</v>
      </c>
      <c r="AA1119" s="40">
        <f t="shared" si="210"/>
        <v>530787155</v>
      </c>
      <c r="AB1119" s="53"/>
      <c r="AC1119" s="35" t="s">
        <v>58</v>
      </c>
      <c r="AD1119" s="53"/>
      <c r="AE1119" s="12"/>
      <c r="AH1119" s="25"/>
    </row>
    <row r="1120" spans="1:34" s="33" customFormat="1" ht="66" customHeight="1">
      <c r="A1120" s="16"/>
      <c r="B1120" s="17"/>
      <c r="C1120" s="18" t="s">
        <v>1320</v>
      </c>
      <c r="D1120" s="418" t="s">
        <v>1321</v>
      </c>
      <c r="E1120" s="45">
        <v>7.43</v>
      </c>
      <c r="F1120" s="76" t="s">
        <v>58</v>
      </c>
      <c r="G1120" s="42">
        <f>G1121+G1123</f>
        <v>622418300</v>
      </c>
      <c r="H1120" s="45">
        <v>4.7300000000000004</v>
      </c>
      <c r="I1120" s="42">
        <f>I1121+I1123</f>
        <v>176956000</v>
      </c>
      <c r="J1120" s="107">
        <v>6.08</v>
      </c>
      <c r="K1120" s="42">
        <f>K1121+K1123</f>
        <v>261542200</v>
      </c>
      <c r="L1120" s="107">
        <f>9/148*100</f>
        <v>6.0810810810810816</v>
      </c>
      <c r="M1120" s="42">
        <f>M1121+M1123</f>
        <v>31022500</v>
      </c>
      <c r="N1120" s="45">
        <v>0</v>
      </c>
      <c r="O1120" s="42">
        <f>O1121+O1123</f>
        <v>66058850</v>
      </c>
      <c r="P1120" s="45">
        <v>0</v>
      </c>
      <c r="Q1120" s="42">
        <f>Q1121+Q1123</f>
        <v>39320000</v>
      </c>
      <c r="R1120" s="45">
        <v>0</v>
      </c>
      <c r="S1120" s="42">
        <f>S1121+S1123</f>
        <v>122906450</v>
      </c>
      <c r="T1120" s="293">
        <v>6.08</v>
      </c>
      <c r="U1120" s="55">
        <f t="shared" si="282"/>
        <v>100</v>
      </c>
      <c r="V1120" s="58" t="s">
        <v>58</v>
      </c>
      <c r="W1120" s="59">
        <f t="shared" si="283"/>
        <v>259307800</v>
      </c>
      <c r="X1120" s="57">
        <f t="shared" si="284"/>
        <v>99.14568279994586</v>
      </c>
      <c r="Y1120" s="58" t="s">
        <v>58</v>
      </c>
      <c r="Z1120" s="293">
        <f t="shared" si="285"/>
        <v>10.81</v>
      </c>
      <c r="AA1120" s="59">
        <f t="shared" si="210"/>
        <v>436263800</v>
      </c>
      <c r="AB1120" s="57"/>
      <c r="AC1120" s="58" t="s">
        <v>58</v>
      </c>
      <c r="AD1120" s="57"/>
      <c r="AE1120" s="12"/>
      <c r="AH1120" s="25"/>
    </row>
    <row r="1121" spans="1:34" s="33" customFormat="1" ht="118.5" customHeight="1">
      <c r="A1121" s="16"/>
      <c r="B1121" s="17"/>
      <c r="C1121" s="18" t="s">
        <v>1322</v>
      </c>
      <c r="D1121" s="18" t="s">
        <v>1323</v>
      </c>
      <c r="E1121" s="45">
        <v>655</v>
      </c>
      <c r="F1121" s="76" t="s">
        <v>1290</v>
      </c>
      <c r="G1121" s="42">
        <f>SUM(G1122)</f>
        <v>289215700</v>
      </c>
      <c r="H1121" s="108">
        <v>417</v>
      </c>
      <c r="I1121" s="42">
        <f>SUM(I1122)</f>
        <v>83464600</v>
      </c>
      <c r="J1121" s="261">
        <v>546</v>
      </c>
      <c r="K1121" s="42">
        <f>SUM(K1122)</f>
        <v>98817400</v>
      </c>
      <c r="L1121" s="107">
        <v>432</v>
      </c>
      <c r="M1121" s="42">
        <f>M1122</f>
        <v>3120000</v>
      </c>
      <c r="N1121" s="107">
        <v>0</v>
      </c>
      <c r="O1121" s="42">
        <f>O1122</f>
        <v>39258700</v>
      </c>
      <c r="P1121" s="107">
        <f>489-L1121</f>
        <v>57</v>
      </c>
      <c r="Q1121" s="42">
        <f>Q1122</f>
        <v>12800500</v>
      </c>
      <c r="R1121" s="107">
        <f>57</f>
        <v>57</v>
      </c>
      <c r="S1121" s="42">
        <f>S1122</f>
        <v>42383200</v>
      </c>
      <c r="T1121" s="293">
        <f t="shared" ref="T1121:T1124" si="286">SUM(L1121,N1121,P1121,R1121)</f>
        <v>546</v>
      </c>
      <c r="U1121" s="55">
        <f t="shared" si="282"/>
        <v>100</v>
      </c>
      <c r="V1121" s="58" t="s">
        <v>58</v>
      </c>
      <c r="W1121" s="59">
        <f t="shared" si="283"/>
        <v>97562400</v>
      </c>
      <c r="X1121" s="57">
        <f t="shared" si="284"/>
        <v>98.729980752377628</v>
      </c>
      <c r="Y1121" s="58" t="s">
        <v>58</v>
      </c>
      <c r="Z1121" s="293">
        <f t="shared" si="285"/>
        <v>963</v>
      </c>
      <c r="AA1121" s="59">
        <f t="shared" si="210"/>
        <v>181027000</v>
      </c>
      <c r="AB1121" s="57"/>
      <c r="AC1121" s="58" t="s">
        <v>58</v>
      </c>
      <c r="AD1121" s="57"/>
      <c r="AE1121" s="12"/>
      <c r="AH1121" s="25"/>
    </row>
    <row r="1122" spans="1:34" s="33" customFormat="1" ht="345">
      <c r="A1122" s="16"/>
      <c r="B1122" s="17"/>
      <c r="C1122" s="26" t="s">
        <v>1324</v>
      </c>
      <c r="D1122" s="29" t="s">
        <v>1325</v>
      </c>
      <c r="E1122" s="20">
        <v>6</v>
      </c>
      <c r="F1122" s="47" t="s">
        <v>1326</v>
      </c>
      <c r="G1122" s="23">
        <f>8245500+140485100+140485100</f>
        <v>289215700</v>
      </c>
      <c r="H1122" s="44">
        <v>6</v>
      </c>
      <c r="I1122" s="23">
        <v>83464600</v>
      </c>
      <c r="J1122" s="20">
        <v>6</v>
      </c>
      <c r="K1122" s="23">
        <v>98817400</v>
      </c>
      <c r="L1122" s="23">
        <v>1</v>
      </c>
      <c r="M1122" s="23">
        <f>1500000+1620000</f>
        <v>3120000</v>
      </c>
      <c r="N1122" s="20">
        <v>5</v>
      </c>
      <c r="O1122" s="23">
        <f>42378700-M1122</f>
        <v>39258700</v>
      </c>
      <c r="P1122" s="20">
        <v>0</v>
      </c>
      <c r="Q1122" s="23">
        <v>12800500</v>
      </c>
      <c r="R1122" s="20">
        <v>0</v>
      </c>
      <c r="S1122" s="23">
        <f>97562400-Q1122-O1122-M1122</f>
        <v>42383200</v>
      </c>
      <c r="T1122" s="106">
        <f t="shared" si="286"/>
        <v>6</v>
      </c>
      <c r="U1122" s="54">
        <f>Z1122/J1122*100</f>
        <v>200</v>
      </c>
      <c r="V1122" s="35" t="s">
        <v>58</v>
      </c>
      <c r="W1122" s="40">
        <f t="shared" si="283"/>
        <v>97562400</v>
      </c>
      <c r="X1122" s="53">
        <f t="shared" si="284"/>
        <v>98.729980752377628</v>
      </c>
      <c r="Y1122" s="35" t="s">
        <v>58</v>
      </c>
      <c r="Z1122" s="106">
        <f>SUM(H1122,T1122)</f>
        <v>12</v>
      </c>
      <c r="AA1122" s="40">
        <f t="shared" si="210"/>
        <v>181027000</v>
      </c>
      <c r="AB1122" s="53"/>
      <c r="AC1122" s="35" t="s">
        <v>58</v>
      </c>
      <c r="AD1122" s="53"/>
      <c r="AE1122" s="12"/>
      <c r="AH1122" s="25"/>
    </row>
    <row r="1123" spans="1:34" s="33" customFormat="1" ht="150" customHeight="1">
      <c r="A1123" s="16"/>
      <c r="B1123" s="17"/>
      <c r="C1123" s="19" t="s">
        <v>1327</v>
      </c>
      <c r="D1123" s="19" t="s">
        <v>1328</v>
      </c>
      <c r="E1123" s="108">
        <v>458</v>
      </c>
      <c r="F1123" s="76" t="s">
        <v>1290</v>
      </c>
      <c r="G1123" s="42">
        <f>SUM(G1124:G1126)</f>
        <v>333202600</v>
      </c>
      <c r="H1123" s="108">
        <v>244</v>
      </c>
      <c r="I1123" s="42">
        <f>SUM(I1124:I1126)</f>
        <v>93491400</v>
      </c>
      <c r="J1123" s="261">
        <v>360</v>
      </c>
      <c r="K1123" s="42">
        <f>SUM(K1124:K1126)</f>
        <v>162724800</v>
      </c>
      <c r="L1123" s="261">
        <v>303</v>
      </c>
      <c r="M1123" s="42">
        <f>SUM(M1124:M1126)</f>
        <v>27902500</v>
      </c>
      <c r="N1123" s="107">
        <v>0</v>
      </c>
      <c r="O1123" s="42">
        <f>SUM(O1124:O1126)</f>
        <v>26800150</v>
      </c>
      <c r="P1123" s="107">
        <v>57</v>
      </c>
      <c r="Q1123" s="42">
        <f>SUM(Q1124:Q1126)</f>
        <v>26519500</v>
      </c>
      <c r="R1123" s="107">
        <v>0</v>
      </c>
      <c r="S1123" s="42">
        <f>SUM(S1124:S1126)</f>
        <v>80523250</v>
      </c>
      <c r="T1123" s="293">
        <f t="shared" si="286"/>
        <v>360</v>
      </c>
      <c r="U1123" s="57">
        <f>T1123/J1123*100</f>
        <v>100</v>
      </c>
      <c r="V1123" s="58" t="s">
        <v>58</v>
      </c>
      <c r="W1123" s="59">
        <f t="shared" si="283"/>
        <v>161745400</v>
      </c>
      <c r="X1123" s="57">
        <f t="shared" si="284"/>
        <v>99.398124932401217</v>
      </c>
      <c r="Y1123" s="58" t="s">
        <v>58</v>
      </c>
      <c r="Z1123" s="293">
        <f t="shared" si="285"/>
        <v>604</v>
      </c>
      <c r="AA1123" s="59">
        <f t="shared" si="210"/>
        <v>255236800</v>
      </c>
      <c r="AB1123" s="57"/>
      <c r="AC1123" s="58" t="s">
        <v>58</v>
      </c>
      <c r="AD1123" s="57"/>
      <c r="AE1123" s="12"/>
      <c r="AH1123" s="25"/>
    </row>
    <row r="1124" spans="1:34" s="33" customFormat="1" ht="171" customHeight="1">
      <c r="A1124" s="16"/>
      <c r="B1124" s="17"/>
      <c r="C1124" s="26" t="s">
        <v>1329</v>
      </c>
      <c r="D1124" s="29" t="s">
        <v>1330</v>
      </c>
      <c r="E1124" s="20">
        <v>160</v>
      </c>
      <c r="F1124" s="21" t="s">
        <v>55</v>
      </c>
      <c r="G1124" s="23">
        <f>50986400+122074800*2</f>
        <v>295136000</v>
      </c>
      <c r="H1124" s="44">
        <v>245</v>
      </c>
      <c r="I1124" s="23">
        <v>57166400</v>
      </c>
      <c r="J1124" s="20">
        <v>3</v>
      </c>
      <c r="K1124" s="23">
        <v>162724800</v>
      </c>
      <c r="L1124" s="23">
        <v>3</v>
      </c>
      <c r="M1124" s="23">
        <v>27902500</v>
      </c>
      <c r="N1124" s="20">
        <v>0</v>
      </c>
      <c r="O1124" s="23">
        <f>54702650-M1124</f>
        <v>26800150</v>
      </c>
      <c r="P1124" s="20">
        <v>0</v>
      </c>
      <c r="Q1124" s="23">
        <v>26519500</v>
      </c>
      <c r="R1124" s="20">
        <v>0</v>
      </c>
      <c r="S1124" s="23">
        <f>161745400-Q1124-O1124-M1124</f>
        <v>80523250</v>
      </c>
      <c r="T1124" s="106">
        <f t="shared" si="286"/>
        <v>3</v>
      </c>
      <c r="U1124" s="54">
        <f>T1124/J1124*100</f>
        <v>100</v>
      </c>
      <c r="V1124" s="35" t="s">
        <v>58</v>
      </c>
      <c r="W1124" s="40">
        <f t="shared" si="283"/>
        <v>161745400</v>
      </c>
      <c r="X1124" s="53">
        <f t="shared" si="284"/>
        <v>99.398124932401217</v>
      </c>
      <c r="Y1124" s="35" t="s">
        <v>58</v>
      </c>
      <c r="Z1124" s="106">
        <f t="shared" si="285"/>
        <v>248</v>
      </c>
      <c r="AA1124" s="40">
        <f t="shared" si="210"/>
        <v>218911800</v>
      </c>
      <c r="AB1124" s="53"/>
      <c r="AC1124" s="35" t="s">
        <v>58</v>
      </c>
      <c r="AD1124" s="53"/>
      <c r="AE1124" s="12"/>
      <c r="AH1124" s="25"/>
    </row>
    <row r="1125" spans="1:34" s="33" customFormat="1" ht="125.25" customHeight="1">
      <c r="A1125" s="16"/>
      <c r="B1125" s="17"/>
      <c r="C1125" s="29" t="s">
        <v>1331</v>
      </c>
      <c r="D1125" s="29" t="s">
        <v>1332</v>
      </c>
      <c r="E1125" s="364">
        <v>0</v>
      </c>
      <c r="F1125" s="21" t="s">
        <v>55</v>
      </c>
      <c r="G1125" s="23">
        <v>18015000</v>
      </c>
      <c r="H1125" s="44">
        <v>54</v>
      </c>
      <c r="I1125" s="23">
        <v>18015000</v>
      </c>
      <c r="J1125" s="20"/>
      <c r="K1125" s="23"/>
      <c r="L1125" s="20"/>
      <c r="M1125" s="23"/>
      <c r="N1125" s="20"/>
      <c r="O1125" s="23"/>
      <c r="P1125" s="20"/>
      <c r="Q1125" s="23"/>
      <c r="R1125" s="20"/>
      <c r="S1125" s="23"/>
      <c r="T1125" s="106"/>
      <c r="U1125" s="54"/>
      <c r="V1125" s="35"/>
      <c r="W1125" s="40"/>
      <c r="X1125" s="53"/>
      <c r="Y1125" s="35"/>
      <c r="Z1125" s="106">
        <f>H1125</f>
        <v>54</v>
      </c>
      <c r="AA1125" s="40">
        <f t="shared" ref="AA1125:AA1188" si="287">SUM(I1125,W1125)</f>
        <v>18015000</v>
      </c>
      <c r="AB1125" s="53"/>
      <c r="AC1125" s="35" t="s">
        <v>58</v>
      </c>
      <c r="AD1125" s="53"/>
      <c r="AE1125" s="12"/>
      <c r="AH1125" s="25"/>
    </row>
    <row r="1126" spans="1:34" s="33" customFormat="1" ht="125.25" customHeight="1">
      <c r="A1126" s="16"/>
      <c r="B1126" s="17"/>
      <c r="C1126" s="26" t="s">
        <v>1333</v>
      </c>
      <c r="D1126" s="29" t="s">
        <v>1334</v>
      </c>
      <c r="E1126" s="20">
        <v>0</v>
      </c>
      <c r="F1126" s="21" t="s">
        <v>55</v>
      </c>
      <c r="G1126" s="23">
        <v>20051600</v>
      </c>
      <c r="H1126" s="44">
        <v>54</v>
      </c>
      <c r="I1126" s="23">
        <v>18310000</v>
      </c>
      <c r="J1126" s="20"/>
      <c r="K1126" s="23"/>
      <c r="L1126" s="20"/>
      <c r="M1126" s="23"/>
      <c r="N1126" s="20"/>
      <c r="O1126" s="23"/>
      <c r="P1126" s="20"/>
      <c r="Q1126" s="23"/>
      <c r="R1126" s="20"/>
      <c r="S1126" s="23"/>
      <c r="T1126" s="106"/>
      <c r="U1126" s="54"/>
      <c r="V1126" s="35"/>
      <c r="W1126" s="40"/>
      <c r="X1126" s="53"/>
      <c r="Y1126" s="35"/>
      <c r="Z1126" s="106">
        <f>H1126</f>
        <v>54</v>
      </c>
      <c r="AA1126" s="40">
        <f t="shared" si="287"/>
        <v>18310000</v>
      </c>
      <c r="AB1126" s="53"/>
      <c r="AC1126" s="35" t="s">
        <v>58</v>
      </c>
      <c r="AD1126" s="53"/>
      <c r="AE1126" s="12"/>
      <c r="AH1126" s="25"/>
    </row>
    <row r="1127" spans="1:34" s="33" customFormat="1" ht="111.75" customHeight="1">
      <c r="A1127" s="16"/>
      <c r="B1127" s="17"/>
      <c r="C1127" s="18" t="s">
        <v>1335</v>
      </c>
      <c r="D1127" s="18" t="s">
        <v>1336</v>
      </c>
      <c r="E1127" s="386">
        <v>100</v>
      </c>
      <c r="F1127" s="75" t="s">
        <v>58</v>
      </c>
      <c r="G1127" s="41">
        <f>G1128+G1130+G1133</f>
        <v>162062400</v>
      </c>
      <c r="H1127" s="386">
        <v>100</v>
      </c>
      <c r="I1127" s="41">
        <f>I1128+I1130+I1133</f>
        <v>33484650</v>
      </c>
      <c r="J1127" s="386">
        <v>100</v>
      </c>
      <c r="K1127" s="41">
        <f>K1128+K1130+K1133</f>
        <v>420507200</v>
      </c>
      <c r="L1127" s="45">
        <f>4/4*100</f>
        <v>100</v>
      </c>
      <c r="M1127" s="41">
        <f>M1128+M1130+M1133</f>
        <v>5950000</v>
      </c>
      <c r="N1127" s="45">
        <f>8/8*100</f>
        <v>100</v>
      </c>
      <c r="O1127" s="41">
        <f>O1128+O1130+O1133</f>
        <v>96490021</v>
      </c>
      <c r="P1127" s="45">
        <f>9/9*100</f>
        <v>100</v>
      </c>
      <c r="Q1127" s="41">
        <f>Q1128+Q1130+Q1133</f>
        <v>1211724715</v>
      </c>
      <c r="R1127" s="45">
        <f>6/6*100</f>
        <v>100</v>
      </c>
      <c r="S1127" s="41">
        <f>S1128+S1130+S1133</f>
        <v>202414890</v>
      </c>
      <c r="T1127" s="392">
        <f>N1127</f>
        <v>100</v>
      </c>
      <c r="U1127" s="244">
        <f t="shared" ref="U1127:U1134" si="288">T1127/J1127*100</f>
        <v>100</v>
      </c>
      <c r="V1127" s="240" t="s">
        <v>58</v>
      </c>
      <c r="W1127" s="94">
        <f t="shared" ref="W1127:W1145" si="289">SUM(M1127,O1127,Q1127,S1127)</f>
        <v>1516579626</v>
      </c>
      <c r="X1127" s="239">
        <f t="shared" ref="X1127:X1145" si="290">W1127/K1127*100</f>
        <v>360.65485347218788</v>
      </c>
      <c r="Y1127" s="240" t="s">
        <v>58</v>
      </c>
      <c r="Z1127" s="392">
        <f t="shared" ref="Z1127:Z1190" si="291">SUM(H1127,T1127)</f>
        <v>200</v>
      </c>
      <c r="AA1127" s="94">
        <f t="shared" si="287"/>
        <v>1550064276</v>
      </c>
      <c r="AB1127" s="239"/>
      <c r="AC1127" s="240" t="s">
        <v>58</v>
      </c>
      <c r="AD1127" s="239"/>
      <c r="AE1127" s="419"/>
      <c r="AH1127" s="25"/>
    </row>
    <row r="1128" spans="1:34" s="33" customFormat="1" ht="209.45" customHeight="1">
      <c r="A1128" s="16"/>
      <c r="B1128" s="17"/>
      <c r="C1128" s="18" t="s">
        <v>1337</v>
      </c>
      <c r="D1128" s="18" t="s">
        <v>1338</v>
      </c>
      <c r="E1128" s="386"/>
      <c r="F1128" s="75"/>
      <c r="G1128" s="41">
        <f>SUM(G1129)</f>
        <v>0</v>
      </c>
      <c r="H1128" s="386"/>
      <c r="I1128" s="41">
        <f>SUM(I1129)</f>
        <v>0</v>
      </c>
      <c r="J1128" s="45">
        <v>30</v>
      </c>
      <c r="K1128" s="41">
        <f>SUM(K1129)</f>
        <v>112950000</v>
      </c>
      <c r="L1128" s="45">
        <v>0</v>
      </c>
      <c r="M1128" s="41">
        <f>M1129</f>
        <v>0</v>
      </c>
      <c r="N1128" s="45">
        <v>30</v>
      </c>
      <c r="O1128" s="41">
        <f>O1129</f>
        <v>6603900</v>
      </c>
      <c r="P1128" s="45">
        <v>0</v>
      </c>
      <c r="Q1128" s="41">
        <f>Q1129</f>
        <v>88638200</v>
      </c>
      <c r="R1128" s="45">
        <v>0</v>
      </c>
      <c r="S1128" s="41">
        <f>S1129</f>
        <v>15113000</v>
      </c>
      <c r="T1128" s="390">
        <f>SUM(L1128,N1128,P1128,R1128)</f>
        <v>30</v>
      </c>
      <c r="U1128" s="55">
        <f t="shared" si="288"/>
        <v>100</v>
      </c>
      <c r="V1128" s="58" t="s">
        <v>58</v>
      </c>
      <c r="W1128" s="59">
        <f t="shared" si="289"/>
        <v>110355100</v>
      </c>
      <c r="X1128" s="57">
        <f t="shared" si="290"/>
        <v>97.702611775121738</v>
      </c>
      <c r="Y1128" s="58" t="s">
        <v>58</v>
      </c>
      <c r="Z1128" s="390">
        <f t="shared" si="291"/>
        <v>30</v>
      </c>
      <c r="AA1128" s="59">
        <f t="shared" si="287"/>
        <v>110355100</v>
      </c>
      <c r="AB1128" s="57"/>
      <c r="AC1128" s="58" t="s">
        <v>58</v>
      </c>
      <c r="AD1128" s="57"/>
      <c r="AE1128" s="12"/>
      <c r="AH1128" s="25"/>
    </row>
    <row r="1129" spans="1:34" s="33" customFormat="1" ht="195">
      <c r="A1129" s="16"/>
      <c r="B1129" s="17"/>
      <c r="C1129" s="26" t="s">
        <v>1339</v>
      </c>
      <c r="D1129" s="29" t="s">
        <v>1340</v>
      </c>
      <c r="E1129" s="20"/>
      <c r="F1129" s="21" t="s">
        <v>55</v>
      </c>
      <c r="G1129" s="23"/>
      <c r="H1129" s="20"/>
      <c r="I1129" s="23"/>
      <c r="J1129" s="20">
        <v>2</v>
      </c>
      <c r="K1129" s="23">
        <v>112950000</v>
      </c>
      <c r="L1129" s="20">
        <v>0</v>
      </c>
      <c r="M1129" s="23">
        <v>0</v>
      </c>
      <c r="N1129" s="20">
        <v>2</v>
      </c>
      <c r="O1129" s="23">
        <v>6603900</v>
      </c>
      <c r="P1129" s="20">
        <v>0</v>
      </c>
      <c r="Q1129" s="23">
        <v>88638200</v>
      </c>
      <c r="R1129" s="20">
        <v>0</v>
      </c>
      <c r="S1129" s="23">
        <f>110355100-Q1129-O1129-M1129</f>
        <v>15113000</v>
      </c>
      <c r="T1129" s="106">
        <f>SUM(L1129,N1129,P1129,R1129)</f>
        <v>2</v>
      </c>
      <c r="U1129" s="54">
        <f t="shared" si="288"/>
        <v>100</v>
      </c>
      <c r="V1129" s="35" t="s">
        <v>58</v>
      </c>
      <c r="W1129" s="40">
        <f t="shared" si="289"/>
        <v>110355100</v>
      </c>
      <c r="X1129" s="53">
        <f t="shared" si="290"/>
        <v>97.702611775121738</v>
      </c>
      <c r="Y1129" s="35" t="s">
        <v>58</v>
      </c>
      <c r="Z1129" s="106">
        <f t="shared" si="291"/>
        <v>2</v>
      </c>
      <c r="AA1129" s="40">
        <f t="shared" si="287"/>
        <v>110355100</v>
      </c>
      <c r="AB1129" s="53"/>
      <c r="AC1129" s="35" t="s">
        <v>58</v>
      </c>
      <c r="AD1129" s="53"/>
      <c r="AE1129" s="12"/>
      <c r="AH1129" s="25"/>
    </row>
    <row r="1130" spans="1:34" s="33" customFormat="1" ht="165.75" customHeight="1">
      <c r="A1130" s="16"/>
      <c r="B1130" s="17"/>
      <c r="C1130" s="18" t="s">
        <v>1341</v>
      </c>
      <c r="D1130" s="18" t="s">
        <v>1296</v>
      </c>
      <c r="E1130" s="386">
        <v>6</v>
      </c>
      <c r="F1130" s="420" t="s">
        <v>1297</v>
      </c>
      <c r="G1130" s="41">
        <f>SUM(G1131:G1132)</f>
        <v>162062400</v>
      </c>
      <c r="H1130" s="386">
        <v>6</v>
      </c>
      <c r="I1130" s="41">
        <f>SUM(I1131:I1132)</f>
        <v>33484650</v>
      </c>
      <c r="J1130" s="45">
        <v>6</v>
      </c>
      <c r="K1130" s="41">
        <f>SUM(K1131:K1132)</f>
        <v>230751200</v>
      </c>
      <c r="L1130" s="45">
        <v>6</v>
      </c>
      <c r="M1130" s="41">
        <f>SUM(M1131:M1132)</f>
        <v>5950000</v>
      </c>
      <c r="N1130" s="45">
        <v>6</v>
      </c>
      <c r="O1130" s="41">
        <f>SUM(O1131:O1132)</f>
        <v>27970100</v>
      </c>
      <c r="P1130" s="45">
        <v>6</v>
      </c>
      <c r="Q1130" s="41">
        <f>SUM(Q1131:Q1132)</f>
        <v>19893390</v>
      </c>
      <c r="R1130" s="45">
        <v>6</v>
      </c>
      <c r="S1130" s="41">
        <f>SUM(S1131:S1132)</f>
        <v>46104100</v>
      </c>
      <c r="T1130" s="390">
        <f>AVERAGE(L1130,N1130,P1130,R1130)</f>
        <v>6</v>
      </c>
      <c r="U1130" s="55">
        <f t="shared" si="288"/>
        <v>100</v>
      </c>
      <c r="V1130" s="58" t="s">
        <v>58</v>
      </c>
      <c r="W1130" s="59">
        <f t="shared" si="289"/>
        <v>99917590</v>
      </c>
      <c r="X1130" s="57">
        <f t="shared" si="290"/>
        <v>43.301005585236389</v>
      </c>
      <c r="Y1130" s="58" t="s">
        <v>58</v>
      </c>
      <c r="Z1130" s="390">
        <f t="shared" si="291"/>
        <v>12</v>
      </c>
      <c r="AA1130" s="59">
        <f t="shared" si="287"/>
        <v>133402240</v>
      </c>
      <c r="AB1130" s="57"/>
      <c r="AC1130" s="58" t="s">
        <v>58</v>
      </c>
      <c r="AD1130" s="57"/>
      <c r="AE1130" s="12"/>
      <c r="AH1130" s="25"/>
    </row>
    <row r="1131" spans="1:34" s="33" customFormat="1" ht="195">
      <c r="A1131" s="16"/>
      <c r="B1131" s="17"/>
      <c r="C1131" s="26" t="s">
        <v>1342</v>
      </c>
      <c r="D1131" s="29" t="s">
        <v>1343</v>
      </c>
      <c r="E1131" s="20">
        <v>12</v>
      </c>
      <c r="F1131" s="47" t="s">
        <v>57</v>
      </c>
      <c r="G1131" s="23">
        <f>17700000+68400000*2</f>
        <v>154500000</v>
      </c>
      <c r="H1131" s="20">
        <v>24</v>
      </c>
      <c r="I1131" s="23">
        <v>26722250</v>
      </c>
      <c r="J1131" s="20">
        <v>25</v>
      </c>
      <c r="K1131" s="23">
        <v>41220000</v>
      </c>
      <c r="L1131" s="20">
        <v>4</v>
      </c>
      <c r="M1131" s="23">
        <f>2800000+3150000</f>
        <v>5950000</v>
      </c>
      <c r="N1131" s="20">
        <v>8</v>
      </c>
      <c r="O1131" s="23">
        <f>15020000-M1131</f>
        <v>9070000</v>
      </c>
      <c r="P1131" s="20">
        <f>2+3+4</f>
        <v>9</v>
      </c>
      <c r="Q1131" s="23">
        <v>17850000</v>
      </c>
      <c r="R1131" s="20">
        <v>6</v>
      </c>
      <c r="S1131" s="23">
        <f>41220000-Q1131-O1131-M1131</f>
        <v>8350000</v>
      </c>
      <c r="T1131" s="106">
        <f>SUM(L1131,N1131,P1131,R1131)</f>
        <v>27</v>
      </c>
      <c r="U1131" s="54">
        <f t="shared" si="288"/>
        <v>108</v>
      </c>
      <c r="V1131" s="35" t="s">
        <v>58</v>
      </c>
      <c r="W1131" s="40">
        <f t="shared" si="289"/>
        <v>41220000</v>
      </c>
      <c r="X1131" s="53">
        <f t="shared" si="290"/>
        <v>100</v>
      </c>
      <c r="Y1131" s="35" t="s">
        <v>58</v>
      </c>
      <c r="Z1131" s="106">
        <f t="shared" si="291"/>
        <v>51</v>
      </c>
      <c r="AA1131" s="40">
        <f t="shared" si="287"/>
        <v>67942250</v>
      </c>
      <c r="AB1131" s="53"/>
      <c r="AC1131" s="35" t="s">
        <v>58</v>
      </c>
      <c r="AD1131" s="53"/>
      <c r="AE1131" s="12"/>
      <c r="AH1131" s="25"/>
    </row>
    <row r="1132" spans="1:34" s="33" customFormat="1" ht="255">
      <c r="A1132" s="16"/>
      <c r="B1132" s="17"/>
      <c r="C1132" s="26" t="s">
        <v>1344</v>
      </c>
      <c r="D1132" s="29" t="s">
        <v>1345</v>
      </c>
      <c r="E1132" s="20">
        <v>6</v>
      </c>
      <c r="F1132" s="47" t="s">
        <v>1302</v>
      </c>
      <c r="G1132" s="23">
        <v>7562400</v>
      </c>
      <c r="H1132" s="44">
        <v>6</v>
      </c>
      <c r="I1132" s="23">
        <v>6762400</v>
      </c>
      <c r="J1132" s="20">
        <v>6</v>
      </c>
      <c r="K1132" s="23">
        <v>189531200</v>
      </c>
      <c r="L1132" s="20">
        <v>6</v>
      </c>
      <c r="M1132" s="23">
        <v>0</v>
      </c>
      <c r="N1132" s="20">
        <v>6</v>
      </c>
      <c r="O1132" s="23">
        <v>18900100</v>
      </c>
      <c r="P1132" s="20">
        <v>6</v>
      </c>
      <c r="Q1132" s="23">
        <v>2043390</v>
      </c>
      <c r="R1132" s="20">
        <v>6</v>
      </c>
      <c r="S1132" s="23">
        <f>58697590-Q1132-O1132-M1132</f>
        <v>37754100</v>
      </c>
      <c r="T1132" s="106">
        <f>AVERAGE(L1132,N1132,P1132,R1132)</f>
        <v>6</v>
      </c>
      <c r="U1132" s="54">
        <f t="shared" si="288"/>
        <v>100</v>
      </c>
      <c r="V1132" s="35" t="s">
        <v>58</v>
      </c>
      <c r="W1132" s="40">
        <f t="shared" si="289"/>
        <v>58697590</v>
      </c>
      <c r="X1132" s="53">
        <f t="shared" si="290"/>
        <v>30.969882531213859</v>
      </c>
      <c r="Y1132" s="35" t="s">
        <v>58</v>
      </c>
      <c r="Z1132" s="106">
        <f t="shared" si="291"/>
        <v>12</v>
      </c>
      <c r="AA1132" s="40">
        <f t="shared" si="287"/>
        <v>65459990</v>
      </c>
      <c r="AB1132" s="53"/>
      <c r="AC1132" s="35" t="s">
        <v>58</v>
      </c>
      <c r="AD1132" s="53"/>
      <c r="AE1132" s="12"/>
      <c r="AH1132" s="25"/>
    </row>
    <row r="1133" spans="1:34" s="33" customFormat="1" ht="252">
      <c r="A1133" s="16"/>
      <c r="B1133" s="17"/>
      <c r="C1133" s="18" t="s">
        <v>1346</v>
      </c>
      <c r="D1133" s="18" t="s">
        <v>1347</v>
      </c>
      <c r="E1133" s="386"/>
      <c r="F1133" s="420" t="s">
        <v>1348</v>
      </c>
      <c r="G1133" s="41">
        <f>SUM(G1134)</f>
        <v>0</v>
      </c>
      <c r="H1133" s="386"/>
      <c r="I1133" s="41">
        <f>SUM(I1134)</f>
        <v>0</v>
      </c>
      <c r="J1133" s="45">
        <v>90</v>
      </c>
      <c r="K1133" s="41">
        <f>SUM(K1134)</f>
        <v>76806000</v>
      </c>
      <c r="L1133" s="45">
        <v>0</v>
      </c>
      <c r="M1133" s="41">
        <f>SUM(M1134:M1135)</f>
        <v>0</v>
      </c>
      <c r="N1133" s="45">
        <v>90</v>
      </c>
      <c r="O1133" s="41">
        <f>SUM(O1134:O1135)</f>
        <v>61916021</v>
      </c>
      <c r="P1133" s="45">
        <v>0</v>
      </c>
      <c r="Q1133" s="41">
        <f>SUM(Q1134:Q1135)</f>
        <v>1103193125</v>
      </c>
      <c r="R1133" s="45">
        <v>0</v>
      </c>
      <c r="S1133" s="41">
        <f>SUM(S1134:S1135)</f>
        <v>141197790</v>
      </c>
      <c r="T1133" s="390">
        <f>SUM(L1133,N1133,P1133,R1133)</f>
        <v>90</v>
      </c>
      <c r="U1133" s="55">
        <f>T1133/J1133*100</f>
        <v>100</v>
      </c>
      <c r="V1133" s="58" t="s">
        <v>58</v>
      </c>
      <c r="W1133" s="59">
        <f t="shared" si="289"/>
        <v>1306306936</v>
      </c>
      <c r="X1133" s="57">
        <f t="shared" si="290"/>
        <v>1700.7876155508684</v>
      </c>
      <c r="Y1133" s="58" t="s">
        <v>58</v>
      </c>
      <c r="Z1133" s="390">
        <f t="shared" si="291"/>
        <v>90</v>
      </c>
      <c r="AA1133" s="59">
        <f t="shared" si="287"/>
        <v>1306306936</v>
      </c>
      <c r="AB1133" s="57"/>
      <c r="AC1133" s="58" t="s">
        <v>58</v>
      </c>
      <c r="AD1133" s="57"/>
      <c r="AE1133" s="12"/>
      <c r="AH1133" s="25"/>
    </row>
    <row r="1134" spans="1:34" s="33" customFormat="1" ht="300">
      <c r="A1134" s="16"/>
      <c r="B1134" s="17"/>
      <c r="C1134" s="26" t="s">
        <v>1349</v>
      </c>
      <c r="D1134" s="29" t="s">
        <v>1350</v>
      </c>
      <c r="E1134" s="20"/>
      <c r="F1134" s="21" t="s">
        <v>55</v>
      </c>
      <c r="G1134" s="23"/>
      <c r="H1134" s="20"/>
      <c r="I1134" s="23"/>
      <c r="J1134" s="20">
        <v>3</v>
      </c>
      <c r="K1134" s="23">
        <v>76806000</v>
      </c>
      <c r="L1134" s="20">
        <v>0</v>
      </c>
      <c r="M1134" s="23">
        <v>0</v>
      </c>
      <c r="N1134" s="20">
        <v>3</v>
      </c>
      <c r="O1134" s="23">
        <v>15297150</v>
      </c>
      <c r="P1134" s="20">
        <v>0</v>
      </c>
      <c r="Q1134" s="23">
        <v>56085800</v>
      </c>
      <c r="R1134" s="20">
        <v>0</v>
      </c>
      <c r="S1134" s="23">
        <f>75176400-Q1134-O1134-M1134</f>
        <v>3793450</v>
      </c>
      <c r="T1134" s="106">
        <f t="shared" ref="T1134:T1145" si="292">SUM(L1134,N1134,P1134,R1134)</f>
        <v>3</v>
      </c>
      <c r="U1134" s="54">
        <f t="shared" si="288"/>
        <v>100</v>
      </c>
      <c r="V1134" s="35" t="s">
        <v>58</v>
      </c>
      <c r="W1134" s="40">
        <f t="shared" si="289"/>
        <v>75176400</v>
      </c>
      <c r="X1134" s="53">
        <f t="shared" si="290"/>
        <v>97.87829075853449</v>
      </c>
      <c r="Y1134" s="35" t="s">
        <v>58</v>
      </c>
      <c r="Z1134" s="106">
        <f t="shared" si="291"/>
        <v>3</v>
      </c>
      <c r="AA1134" s="40">
        <f t="shared" si="287"/>
        <v>75176400</v>
      </c>
      <c r="AB1134" s="53"/>
      <c r="AC1134" s="35" t="s">
        <v>58</v>
      </c>
      <c r="AD1134" s="53"/>
      <c r="AE1134" s="12"/>
      <c r="AH1134" s="25"/>
    </row>
    <row r="1135" spans="1:34" s="33" customFormat="1" ht="114.75" customHeight="1">
      <c r="A1135" s="16"/>
      <c r="B1135" s="17"/>
      <c r="C1135" s="18" t="s">
        <v>1351</v>
      </c>
      <c r="D1135" s="18" t="s">
        <v>1352</v>
      </c>
      <c r="E1135" s="107" t="s">
        <v>1353</v>
      </c>
      <c r="F1135" s="76" t="s">
        <v>58</v>
      </c>
      <c r="G1135" s="42">
        <f>G1136+G1138</f>
        <v>171235600</v>
      </c>
      <c r="H1135" s="107" t="s">
        <v>1354</v>
      </c>
      <c r="I1135" s="42">
        <f>I1136+I1138</f>
        <v>36575800</v>
      </c>
      <c r="J1135" s="258" t="s">
        <v>1355</v>
      </c>
      <c r="K1135" s="42">
        <f>K1136+K1138</f>
        <v>1255708800</v>
      </c>
      <c r="L1135" s="108">
        <v>0</v>
      </c>
      <c r="M1135" s="42">
        <f>M1136+M1138</f>
        <v>0</v>
      </c>
      <c r="N1135" s="107">
        <v>0</v>
      </c>
      <c r="O1135" s="42">
        <f>O1136+O1138</f>
        <v>46618871</v>
      </c>
      <c r="P1135" s="107">
        <v>0</v>
      </c>
      <c r="Q1135" s="42">
        <f>Q1136+Q1138</f>
        <v>1047107325</v>
      </c>
      <c r="R1135" s="45">
        <v>29.73</v>
      </c>
      <c r="S1135" s="42">
        <f>S1136+S1138</f>
        <v>137404340</v>
      </c>
      <c r="T1135" s="293">
        <f t="shared" si="292"/>
        <v>29.73</v>
      </c>
      <c r="U1135" s="55">
        <f>Z1135/J1135*100</f>
        <v>100</v>
      </c>
      <c r="V1135" s="58" t="s">
        <v>58</v>
      </c>
      <c r="W1135" s="59">
        <f t="shared" si="289"/>
        <v>1231130536</v>
      </c>
      <c r="X1135" s="57">
        <f t="shared" si="290"/>
        <v>98.042678047649261</v>
      </c>
      <c r="Y1135" s="58" t="s">
        <v>58</v>
      </c>
      <c r="Z1135" s="293">
        <f t="shared" si="291"/>
        <v>29.73</v>
      </c>
      <c r="AA1135" s="59">
        <f t="shared" si="287"/>
        <v>1267706336</v>
      </c>
      <c r="AB1135" s="57"/>
      <c r="AC1135" s="58" t="s">
        <v>58</v>
      </c>
      <c r="AD1135" s="57"/>
      <c r="AE1135" s="12"/>
      <c r="AH1135" s="25"/>
    </row>
    <row r="1136" spans="1:34" s="33" customFormat="1" ht="190.5" customHeight="1">
      <c r="A1136" s="16"/>
      <c r="B1136" s="17"/>
      <c r="C1136" s="18" t="s">
        <v>1356</v>
      </c>
      <c r="D1136" s="18" t="s">
        <v>1357</v>
      </c>
      <c r="E1136" s="108">
        <v>132</v>
      </c>
      <c r="F1136" s="76" t="s">
        <v>1070</v>
      </c>
      <c r="G1136" s="42">
        <f>SUM(G1137)</f>
        <v>104088700</v>
      </c>
      <c r="H1136" s="108">
        <v>132</v>
      </c>
      <c r="I1136" s="42">
        <f>SUM(I1137)</f>
        <v>20545800</v>
      </c>
      <c r="J1136" s="258">
        <v>132</v>
      </c>
      <c r="K1136" s="42">
        <f>SUM(K1137)</f>
        <v>0</v>
      </c>
      <c r="L1136" s="45">
        <v>33</v>
      </c>
      <c r="M1136" s="42">
        <f>SUM(M1137)</f>
        <v>0</v>
      </c>
      <c r="N1136" s="45">
        <v>33</v>
      </c>
      <c r="O1136" s="42">
        <f>SUM(O1137)</f>
        <v>0</v>
      </c>
      <c r="P1136" s="45">
        <v>33</v>
      </c>
      <c r="Q1136" s="42">
        <f>SUM(Q1137)</f>
        <v>0</v>
      </c>
      <c r="R1136" s="107">
        <v>33</v>
      </c>
      <c r="S1136" s="42">
        <f>SUM(S1137)</f>
        <v>0</v>
      </c>
      <c r="T1136" s="293">
        <f t="shared" si="292"/>
        <v>132</v>
      </c>
      <c r="U1136" s="55">
        <f>Z1136/J1136*100</f>
        <v>200</v>
      </c>
      <c r="V1136" s="58" t="s">
        <v>58</v>
      </c>
      <c r="W1136" s="59">
        <f t="shared" si="289"/>
        <v>0</v>
      </c>
      <c r="X1136" s="57" t="e">
        <f t="shared" si="290"/>
        <v>#DIV/0!</v>
      </c>
      <c r="Y1136" s="58" t="s">
        <v>58</v>
      </c>
      <c r="Z1136" s="293">
        <f>SUM(H1136,T1136)</f>
        <v>264</v>
      </c>
      <c r="AA1136" s="59">
        <f t="shared" si="287"/>
        <v>20545800</v>
      </c>
      <c r="AB1136" s="57"/>
      <c r="AC1136" s="58" t="s">
        <v>58</v>
      </c>
      <c r="AD1136" s="57"/>
      <c r="AE1136" s="12"/>
      <c r="AH1136" s="25"/>
    </row>
    <row r="1137" spans="1:34" s="33" customFormat="1" ht="93" customHeight="1">
      <c r="A1137" s="16"/>
      <c r="B1137" s="17"/>
      <c r="C1137" s="26" t="s">
        <v>1358</v>
      </c>
      <c r="D1137" s="366" t="s">
        <v>1359</v>
      </c>
      <c r="E1137" s="106">
        <v>3</v>
      </c>
      <c r="F1137" s="47" t="s">
        <v>55</v>
      </c>
      <c r="G1137" s="23">
        <f>12130800+45978950*2</f>
        <v>104088700</v>
      </c>
      <c r="H1137" s="106">
        <v>1</v>
      </c>
      <c r="I1137" s="23">
        <v>20545800</v>
      </c>
      <c r="J1137" s="20">
        <v>1</v>
      </c>
      <c r="K1137" s="23">
        <v>0</v>
      </c>
      <c r="L1137" s="20">
        <v>0</v>
      </c>
      <c r="M1137" s="23">
        <v>0</v>
      </c>
      <c r="N1137" s="20">
        <v>0</v>
      </c>
      <c r="O1137" s="23">
        <v>0</v>
      </c>
      <c r="P1137" s="20">
        <v>0</v>
      </c>
      <c r="Q1137" s="23">
        <v>0</v>
      </c>
      <c r="R1137" s="20">
        <v>0</v>
      </c>
      <c r="S1137" s="20">
        <v>0</v>
      </c>
      <c r="T1137" s="106">
        <f t="shared" si="292"/>
        <v>0</v>
      </c>
      <c r="U1137" s="54">
        <f>T1137/J1137*100</f>
        <v>0</v>
      </c>
      <c r="V1137" s="35" t="s">
        <v>58</v>
      </c>
      <c r="W1137" s="40">
        <f t="shared" si="289"/>
        <v>0</v>
      </c>
      <c r="X1137" s="53" t="e">
        <f t="shared" si="290"/>
        <v>#DIV/0!</v>
      </c>
      <c r="Y1137" s="35" t="s">
        <v>58</v>
      </c>
      <c r="Z1137" s="106">
        <f t="shared" si="291"/>
        <v>1</v>
      </c>
      <c r="AA1137" s="40">
        <f>SUM(I1137,W1137)</f>
        <v>20545800</v>
      </c>
      <c r="AB1137" s="53"/>
      <c r="AC1137" s="35" t="s">
        <v>58</v>
      </c>
      <c r="AD1137" s="53"/>
      <c r="AE1137" s="12"/>
      <c r="AH1137" s="25"/>
    </row>
    <row r="1138" spans="1:34" s="33" customFormat="1" ht="141.75">
      <c r="A1138" s="16"/>
      <c r="B1138" s="17"/>
      <c r="C1138" s="18" t="s">
        <v>1360</v>
      </c>
      <c r="D1138" s="18" t="s">
        <v>1361</v>
      </c>
      <c r="E1138" s="108">
        <v>3</v>
      </c>
      <c r="F1138" s="76" t="s">
        <v>1362</v>
      </c>
      <c r="G1138" s="42">
        <f>SUM(G1139:G1141)</f>
        <v>67146900</v>
      </c>
      <c r="H1138" s="108">
        <v>1</v>
      </c>
      <c r="I1138" s="42">
        <f>SUM(I1139:I1141)</f>
        <v>16030000</v>
      </c>
      <c r="J1138" s="108">
        <v>2</v>
      </c>
      <c r="K1138" s="42">
        <f>SUM(K1139:K1141)</f>
        <v>1255708800</v>
      </c>
      <c r="L1138" s="45">
        <v>0</v>
      </c>
      <c r="M1138" s="42">
        <f>SUM(M1139:M1141)</f>
        <v>0</v>
      </c>
      <c r="N1138" s="108">
        <v>2</v>
      </c>
      <c r="O1138" s="42">
        <f>SUM(O1139:O1141)</f>
        <v>46618871</v>
      </c>
      <c r="P1138" s="108">
        <v>0</v>
      </c>
      <c r="Q1138" s="42">
        <f>SUM(Q1139:Q1141)</f>
        <v>1047107325</v>
      </c>
      <c r="R1138" s="108">
        <v>0</v>
      </c>
      <c r="S1138" s="42">
        <f>SUM(S1139:S1141)</f>
        <v>137404340</v>
      </c>
      <c r="T1138" s="293">
        <f>SUM(L1138,N1138,P1138,R1138)</f>
        <v>2</v>
      </c>
      <c r="U1138" s="55">
        <f>Z1138/J1138*100</f>
        <v>150</v>
      </c>
      <c r="V1138" s="58" t="s">
        <v>58</v>
      </c>
      <c r="W1138" s="59">
        <f t="shared" si="289"/>
        <v>1231130536</v>
      </c>
      <c r="X1138" s="57">
        <f t="shared" si="290"/>
        <v>98.042678047649261</v>
      </c>
      <c r="Y1138" s="58" t="s">
        <v>58</v>
      </c>
      <c r="Z1138" s="293">
        <f>SUM(H1138,T1138)</f>
        <v>3</v>
      </c>
      <c r="AA1138" s="59">
        <f t="shared" si="287"/>
        <v>1247160536</v>
      </c>
      <c r="AB1138" s="57"/>
      <c r="AC1138" s="58" t="s">
        <v>58</v>
      </c>
      <c r="AD1138" s="57"/>
      <c r="AE1138" s="12"/>
      <c r="AH1138" s="25"/>
    </row>
    <row r="1139" spans="1:34" s="33" customFormat="1" ht="209.45" customHeight="1">
      <c r="A1139" s="16"/>
      <c r="B1139" s="17"/>
      <c r="C1139" s="29" t="s">
        <v>1363</v>
      </c>
      <c r="D1139" s="366" t="s">
        <v>1364</v>
      </c>
      <c r="E1139" s="20">
        <v>22</v>
      </c>
      <c r="F1139" s="47" t="s">
        <v>1362</v>
      </c>
      <c r="G1139" s="62">
        <f>16047300+25549800*2</f>
        <v>67146900</v>
      </c>
      <c r="H1139" s="44">
        <v>10</v>
      </c>
      <c r="I1139" s="62">
        <v>16030000</v>
      </c>
      <c r="J1139" s="20">
        <v>6</v>
      </c>
      <c r="K1139" s="62">
        <v>25549800</v>
      </c>
      <c r="L1139" s="20">
        <v>0</v>
      </c>
      <c r="M1139" s="62">
        <v>0</v>
      </c>
      <c r="N1139" s="20">
        <v>6</v>
      </c>
      <c r="O1139" s="62">
        <v>0</v>
      </c>
      <c r="P1139" s="20">
        <v>0</v>
      </c>
      <c r="Q1139" s="62">
        <v>21757800</v>
      </c>
      <c r="R1139" s="20">
        <v>0</v>
      </c>
      <c r="S1139" s="62">
        <f>24757800-Q1139-O1139-M1139</f>
        <v>3000000</v>
      </c>
      <c r="T1139" s="106">
        <f t="shared" si="292"/>
        <v>6</v>
      </c>
      <c r="U1139" s="54">
        <f t="shared" ref="U1139:U1145" si="293">T1139/J1139*100</f>
        <v>100</v>
      </c>
      <c r="V1139" s="35" t="s">
        <v>58</v>
      </c>
      <c r="W1139" s="80">
        <f t="shared" si="289"/>
        <v>24757800</v>
      </c>
      <c r="X1139" s="53">
        <f t="shared" si="290"/>
        <v>96.900171429913357</v>
      </c>
      <c r="Y1139" s="35" t="s">
        <v>58</v>
      </c>
      <c r="Z1139" s="106">
        <f t="shared" si="291"/>
        <v>16</v>
      </c>
      <c r="AA1139" s="80">
        <f t="shared" si="287"/>
        <v>40787800</v>
      </c>
      <c r="AB1139" s="53"/>
      <c r="AC1139" s="35" t="s">
        <v>58</v>
      </c>
      <c r="AD1139" s="53"/>
      <c r="AE1139" s="12"/>
      <c r="AH1139" s="25"/>
    </row>
    <row r="1140" spans="1:34" s="33" customFormat="1" ht="48" customHeight="1">
      <c r="A1140" s="16"/>
      <c r="B1140" s="17"/>
      <c r="C1140" s="29" t="s">
        <v>1365</v>
      </c>
      <c r="D1140" s="366" t="s">
        <v>1366</v>
      </c>
      <c r="E1140" s="20"/>
      <c r="F1140" s="47" t="s">
        <v>55</v>
      </c>
      <c r="G1140" s="62"/>
      <c r="H1140" s="44"/>
      <c r="I1140" s="62"/>
      <c r="J1140" s="20">
        <v>3</v>
      </c>
      <c r="K1140" s="62">
        <v>1117359000</v>
      </c>
      <c r="L1140" s="20">
        <v>0</v>
      </c>
      <c r="M1140" s="62">
        <v>0</v>
      </c>
      <c r="N1140" s="20">
        <v>3</v>
      </c>
      <c r="O1140" s="62">
        <v>0</v>
      </c>
      <c r="P1140" s="20">
        <v>0</v>
      </c>
      <c r="Q1140" s="62">
        <v>998762625</v>
      </c>
      <c r="R1140" s="20">
        <v>0</v>
      </c>
      <c r="S1140" s="62">
        <f>1104897625-Q1140-O1140-M1140</f>
        <v>106135000</v>
      </c>
      <c r="T1140" s="106">
        <f t="shared" si="292"/>
        <v>3</v>
      </c>
      <c r="U1140" s="54">
        <f t="shared" si="293"/>
        <v>100</v>
      </c>
      <c r="V1140" s="35" t="s">
        <v>58</v>
      </c>
      <c r="W1140" s="80">
        <f t="shared" si="289"/>
        <v>1104897625</v>
      </c>
      <c r="X1140" s="53">
        <f t="shared" si="290"/>
        <v>98.884747426744667</v>
      </c>
      <c r="Y1140" s="35" t="s">
        <v>58</v>
      </c>
      <c r="Z1140" s="106">
        <f t="shared" si="291"/>
        <v>3</v>
      </c>
      <c r="AA1140" s="80">
        <f t="shared" si="287"/>
        <v>1104897625</v>
      </c>
      <c r="AB1140" s="53"/>
      <c r="AC1140" s="35" t="s">
        <v>58</v>
      </c>
      <c r="AD1140" s="53"/>
      <c r="AE1140" s="12"/>
      <c r="AH1140" s="25"/>
    </row>
    <row r="1141" spans="1:34" s="33" customFormat="1" ht="95.45" customHeight="1">
      <c r="A1141" s="16"/>
      <c r="B1141" s="17"/>
      <c r="C1141" s="73" t="s">
        <v>1367</v>
      </c>
      <c r="D1141" s="366" t="s">
        <v>1368</v>
      </c>
      <c r="E1141" s="20"/>
      <c r="F1141" s="47" t="s">
        <v>55</v>
      </c>
      <c r="G1141" s="62"/>
      <c r="H1141" s="44"/>
      <c r="I1141" s="62"/>
      <c r="J1141" s="20">
        <v>1</v>
      </c>
      <c r="K1141" s="62">
        <v>112800000</v>
      </c>
      <c r="L1141" s="20">
        <v>0</v>
      </c>
      <c r="M1141" s="62">
        <v>0</v>
      </c>
      <c r="N1141" s="20">
        <v>0</v>
      </c>
      <c r="O1141" s="62">
        <v>46618871</v>
      </c>
      <c r="P1141" s="20">
        <v>0</v>
      </c>
      <c r="Q1141" s="62">
        <v>26586900</v>
      </c>
      <c r="R1141" s="20">
        <v>0</v>
      </c>
      <c r="S1141" s="62">
        <f>101475111-Q1141-O1141-M1141</f>
        <v>28269340</v>
      </c>
      <c r="T1141" s="106">
        <f t="shared" si="292"/>
        <v>0</v>
      </c>
      <c r="U1141" s="54">
        <f t="shared" si="293"/>
        <v>0</v>
      </c>
      <c r="V1141" s="35" t="s">
        <v>58</v>
      </c>
      <c r="W1141" s="80">
        <f t="shared" si="289"/>
        <v>101475111</v>
      </c>
      <c r="X1141" s="53">
        <f t="shared" si="290"/>
        <v>89.960204787234048</v>
      </c>
      <c r="Y1141" s="35" t="s">
        <v>58</v>
      </c>
      <c r="Z1141" s="106">
        <f t="shared" si="291"/>
        <v>0</v>
      </c>
      <c r="AA1141" s="80">
        <f t="shared" si="287"/>
        <v>101475111</v>
      </c>
      <c r="AB1141" s="53"/>
      <c r="AC1141" s="35" t="s">
        <v>58</v>
      </c>
      <c r="AD1141" s="53"/>
      <c r="AE1141" s="12"/>
      <c r="AH1141" s="25"/>
    </row>
    <row r="1142" spans="1:34" s="33" customFormat="1" ht="74.45" customHeight="1">
      <c r="A1142" s="16"/>
      <c r="B1142" s="17"/>
      <c r="C1142" s="49" t="s">
        <v>1369</v>
      </c>
      <c r="D1142" s="421" t="s">
        <v>1370</v>
      </c>
      <c r="E1142" s="397" t="s">
        <v>1371</v>
      </c>
      <c r="F1142" s="422" t="s">
        <v>58</v>
      </c>
      <c r="G1142" s="52">
        <f>G1143+G1148+G1150+G1156</f>
        <v>4568319450</v>
      </c>
      <c r="H1142" s="423" t="s">
        <v>1372</v>
      </c>
      <c r="I1142" s="52">
        <f>I1143+I1148+I1150+I1156</f>
        <v>6668295215</v>
      </c>
      <c r="J1142" s="92" t="s">
        <v>1373</v>
      </c>
      <c r="K1142" s="52">
        <f>K1143+K1148+K1150+K1156</f>
        <v>1959930275</v>
      </c>
      <c r="L1142" s="262">
        <f>(2190+3388)/37737*100</f>
        <v>14.781249171900257</v>
      </c>
      <c r="M1142" s="42">
        <f>M1143+M1150+M1156</f>
        <v>30843650</v>
      </c>
      <c r="N1142" s="262">
        <f>(2257+2967)/36444*100</f>
        <v>14.334321150257932</v>
      </c>
      <c r="O1142" s="42">
        <f>O1143+O1150+O1156</f>
        <v>291478050</v>
      </c>
      <c r="P1142" s="262">
        <f>(2205+2857)/36311*100</f>
        <v>13.940679133045084</v>
      </c>
      <c r="Q1142" s="42">
        <f>Q1143+Q1150+Q1156</f>
        <v>292831150</v>
      </c>
      <c r="R1142" s="387">
        <f>(1995+2555)/36174</f>
        <v>0.12578094764195277</v>
      </c>
      <c r="S1142" s="42">
        <f>S1143+S1150+S1156</f>
        <v>509893500</v>
      </c>
      <c r="T1142" s="390">
        <f t="shared" si="292"/>
        <v>43.182030402845221</v>
      </c>
      <c r="U1142" s="55">
        <f t="shared" si="293"/>
        <v>541.80715687384225</v>
      </c>
      <c r="V1142" s="99" t="s">
        <v>58</v>
      </c>
      <c r="W1142" s="59">
        <f t="shared" si="289"/>
        <v>1125046350</v>
      </c>
      <c r="X1142" s="100">
        <f t="shared" si="290"/>
        <v>57.402366010188807</v>
      </c>
      <c r="Y1142" s="58" t="s">
        <v>58</v>
      </c>
      <c r="Z1142" s="293">
        <f t="shared" si="291"/>
        <v>43.182030402845221</v>
      </c>
      <c r="AA1142" s="59">
        <f t="shared" si="287"/>
        <v>7793341565</v>
      </c>
      <c r="AB1142" s="100"/>
      <c r="AC1142" s="58" t="s">
        <v>58</v>
      </c>
      <c r="AD1142" s="57"/>
      <c r="AE1142" s="12"/>
      <c r="AH1142" s="25"/>
    </row>
    <row r="1143" spans="1:34" s="33" customFormat="1" ht="155.25" customHeight="1">
      <c r="A1143" s="16"/>
      <c r="B1143" s="17"/>
      <c r="C1143" s="19" t="s">
        <v>1374</v>
      </c>
      <c r="D1143" s="19" t="s">
        <v>1375</v>
      </c>
      <c r="E1143" s="45">
        <v>44</v>
      </c>
      <c r="F1143" s="76" t="s">
        <v>1376</v>
      </c>
      <c r="G1143" s="42">
        <f>SUM(G1144:G1147)</f>
        <v>1211315950</v>
      </c>
      <c r="H1143" s="108">
        <v>44</v>
      </c>
      <c r="I1143" s="42">
        <f>SUM(I1144:I1147)</f>
        <v>1994492715</v>
      </c>
      <c r="J1143" s="45">
        <v>44</v>
      </c>
      <c r="K1143" s="42">
        <f>SUM(K1144:K1147)</f>
        <v>483463825</v>
      </c>
      <c r="L1143" s="108">
        <v>11</v>
      </c>
      <c r="M1143" s="42">
        <f>SUM(M1144:M1147)</f>
        <v>3345000</v>
      </c>
      <c r="N1143" s="108">
        <v>11</v>
      </c>
      <c r="O1143" s="42">
        <f>SUM(O1144:O1147)</f>
        <v>149235550</v>
      </c>
      <c r="P1143" s="108">
        <v>11</v>
      </c>
      <c r="Q1143" s="42">
        <f>SUM(Q1144:Q1147)</f>
        <v>166621850</v>
      </c>
      <c r="R1143" s="278">
        <v>11</v>
      </c>
      <c r="S1143" s="42">
        <f>SUM(S1144:S1147)</f>
        <v>150700300</v>
      </c>
      <c r="T1143" s="424">
        <f t="shared" si="292"/>
        <v>44</v>
      </c>
      <c r="U1143" s="239">
        <f t="shared" si="293"/>
        <v>100</v>
      </c>
      <c r="V1143" s="240" t="s">
        <v>58</v>
      </c>
      <c r="W1143" s="94">
        <f t="shared" si="289"/>
        <v>469902700</v>
      </c>
      <c r="X1143" s="239">
        <f t="shared" si="290"/>
        <v>97.195007299667139</v>
      </c>
      <c r="Y1143" s="240" t="s">
        <v>58</v>
      </c>
      <c r="Z1143" s="424">
        <f t="shared" si="291"/>
        <v>88</v>
      </c>
      <c r="AA1143" s="94">
        <f t="shared" si="287"/>
        <v>2464395415</v>
      </c>
      <c r="AB1143" s="57"/>
      <c r="AC1143" s="58" t="s">
        <v>58</v>
      </c>
      <c r="AD1143" s="57"/>
      <c r="AE1143" s="12"/>
      <c r="AH1143" s="25"/>
    </row>
    <row r="1144" spans="1:34" s="33" customFormat="1" ht="270">
      <c r="A1144" s="16"/>
      <c r="B1144" s="17"/>
      <c r="C1144" s="26" t="s">
        <v>1377</v>
      </c>
      <c r="D1144" s="29" t="s">
        <v>1378</v>
      </c>
      <c r="E1144" s="20">
        <v>9</v>
      </c>
      <c r="F1144" s="47" t="s">
        <v>1326</v>
      </c>
      <c r="G1144" s="23">
        <f>49157400+79098775*2</f>
        <v>207354950</v>
      </c>
      <c r="H1144" s="20">
        <v>18</v>
      </c>
      <c r="I1144" s="23">
        <v>51490750</v>
      </c>
      <c r="J1144" s="20">
        <v>9</v>
      </c>
      <c r="K1144" s="23">
        <v>37963825</v>
      </c>
      <c r="L1144" s="20">
        <v>8</v>
      </c>
      <c r="M1144" s="23">
        <v>3345000</v>
      </c>
      <c r="N1144" s="20">
        <v>0</v>
      </c>
      <c r="O1144" s="23">
        <f>13689550-M1144</f>
        <v>10344550</v>
      </c>
      <c r="P1144" s="20">
        <v>0</v>
      </c>
      <c r="Q1144" s="23">
        <v>19360000</v>
      </c>
      <c r="R1144" s="20">
        <v>0</v>
      </c>
      <c r="S1144" s="23">
        <f>33049550-Q1144-O1144-M1144</f>
        <v>0</v>
      </c>
      <c r="T1144" s="106">
        <f t="shared" si="292"/>
        <v>8</v>
      </c>
      <c r="U1144" s="54">
        <f t="shared" si="293"/>
        <v>88.888888888888886</v>
      </c>
      <c r="V1144" s="35" t="s">
        <v>58</v>
      </c>
      <c r="W1144" s="40">
        <f t="shared" si="289"/>
        <v>33049550</v>
      </c>
      <c r="X1144" s="53">
        <f t="shared" si="290"/>
        <v>87.055374425522189</v>
      </c>
      <c r="Y1144" s="35" t="s">
        <v>58</v>
      </c>
      <c r="Z1144" s="106">
        <f t="shared" si="291"/>
        <v>26</v>
      </c>
      <c r="AA1144" s="40">
        <f t="shared" si="287"/>
        <v>84540300</v>
      </c>
      <c r="AB1144" s="53"/>
      <c r="AC1144" s="35" t="s">
        <v>58</v>
      </c>
      <c r="AD1144" s="53"/>
      <c r="AE1144" s="12"/>
      <c r="AH1144" s="25"/>
    </row>
    <row r="1145" spans="1:34" s="33" customFormat="1" ht="240">
      <c r="A1145" s="16"/>
      <c r="B1145" s="17"/>
      <c r="C1145" s="26" t="s">
        <v>1379</v>
      </c>
      <c r="D1145" s="29" t="s">
        <v>1380</v>
      </c>
      <c r="E1145" s="20">
        <v>12</v>
      </c>
      <c r="F1145" s="47" t="s">
        <v>173</v>
      </c>
      <c r="G1145" s="23">
        <v>810084000</v>
      </c>
      <c r="H1145" s="20">
        <v>22</v>
      </c>
      <c r="I1145" s="23">
        <v>1656992565</v>
      </c>
      <c r="J1145" s="20">
        <v>12</v>
      </c>
      <c r="K1145" s="23">
        <v>445500000</v>
      </c>
      <c r="L1145" s="20">
        <v>3</v>
      </c>
      <c r="M1145" s="23">
        <v>0</v>
      </c>
      <c r="N1145" s="20">
        <v>3</v>
      </c>
      <c r="O1145" s="23">
        <f>70950000+67941000</f>
        <v>138891000</v>
      </c>
      <c r="P1145" s="20">
        <v>3</v>
      </c>
      <c r="Q1145" s="23">
        <v>147261850</v>
      </c>
      <c r="R1145" s="20">
        <v>3</v>
      </c>
      <c r="S1145" s="23">
        <f>436853150-Q1145-O1145-M1145</f>
        <v>150700300</v>
      </c>
      <c r="T1145" s="106">
        <f t="shared" si="292"/>
        <v>12</v>
      </c>
      <c r="U1145" s="54">
        <f t="shared" si="293"/>
        <v>100</v>
      </c>
      <c r="V1145" s="35" t="s">
        <v>58</v>
      </c>
      <c r="W1145" s="40">
        <f t="shared" si="289"/>
        <v>436853150</v>
      </c>
      <c r="X1145" s="53">
        <f t="shared" si="290"/>
        <v>98.059068462401797</v>
      </c>
      <c r="Y1145" s="35" t="s">
        <v>58</v>
      </c>
      <c r="Z1145" s="106">
        <f t="shared" si="291"/>
        <v>34</v>
      </c>
      <c r="AA1145" s="40">
        <f t="shared" si="287"/>
        <v>2093845715</v>
      </c>
      <c r="AB1145" s="53"/>
      <c r="AC1145" s="35" t="s">
        <v>58</v>
      </c>
      <c r="AD1145" s="53"/>
      <c r="AE1145" s="12"/>
      <c r="AH1145" s="25"/>
    </row>
    <row r="1146" spans="1:34" s="33" customFormat="1" ht="225">
      <c r="A1146" s="16"/>
      <c r="B1146" s="17"/>
      <c r="C1146" s="26" t="s">
        <v>1381</v>
      </c>
      <c r="D1146" s="29" t="s">
        <v>1382</v>
      </c>
      <c r="E1146" s="20">
        <v>11</v>
      </c>
      <c r="F1146" s="47" t="s">
        <v>138</v>
      </c>
      <c r="G1146" s="23">
        <v>168187000</v>
      </c>
      <c r="H1146" s="20">
        <v>22</v>
      </c>
      <c r="I1146" s="23">
        <v>262141400</v>
      </c>
      <c r="J1146" s="20"/>
      <c r="K1146" s="23"/>
      <c r="L1146" s="20"/>
      <c r="M1146" s="23"/>
      <c r="N1146" s="20"/>
      <c r="O1146" s="23"/>
      <c r="P1146" s="20"/>
      <c r="Q1146" s="23"/>
      <c r="R1146" s="20"/>
      <c r="S1146" s="23"/>
      <c r="T1146" s="106"/>
      <c r="U1146" s="54"/>
      <c r="V1146" s="35"/>
      <c r="W1146" s="40"/>
      <c r="X1146" s="53"/>
      <c r="Y1146" s="35"/>
      <c r="Z1146" s="106">
        <f t="shared" si="291"/>
        <v>22</v>
      </c>
      <c r="AA1146" s="40">
        <f t="shared" si="287"/>
        <v>262141400</v>
      </c>
      <c r="AB1146" s="53"/>
      <c r="AC1146" s="35" t="s">
        <v>58</v>
      </c>
      <c r="AD1146" s="53"/>
      <c r="AE1146" s="12"/>
      <c r="AH1146" s="25"/>
    </row>
    <row r="1147" spans="1:34" s="33" customFormat="1" ht="61.5" customHeight="1">
      <c r="A1147" s="16"/>
      <c r="B1147" s="17"/>
      <c r="C1147" s="26" t="s">
        <v>1383</v>
      </c>
      <c r="D1147" s="29" t="s">
        <v>1384</v>
      </c>
      <c r="E1147" s="20">
        <v>0</v>
      </c>
      <c r="F1147" s="47" t="s">
        <v>173</v>
      </c>
      <c r="G1147" s="23">
        <v>25690000</v>
      </c>
      <c r="H1147" s="44">
        <v>40</v>
      </c>
      <c r="I1147" s="23">
        <v>23868000</v>
      </c>
      <c r="J1147" s="20"/>
      <c r="K1147" s="23"/>
      <c r="L1147" s="20"/>
      <c r="M1147" s="23"/>
      <c r="N1147" s="20"/>
      <c r="O1147" s="23"/>
      <c r="P1147" s="20"/>
      <c r="Q1147" s="23"/>
      <c r="R1147" s="20"/>
      <c r="S1147" s="23"/>
      <c r="T1147" s="106"/>
      <c r="U1147" s="54"/>
      <c r="V1147" s="35"/>
      <c r="W1147" s="40"/>
      <c r="X1147" s="53"/>
      <c r="Y1147" s="35"/>
      <c r="Z1147" s="106">
        <f t="shared" si="291"/>
        <v>40</v>
      </c>
      <c r="AA1147" s="40">
        <f t="shared" si="287"/>
        <v>23868000</v>
      </c>
      <c r="AB1147" s="53"/>
      <c r="AC1147" s="35" t="s">
        <v>58</v>
      </c>
      <c r="AD1147" s="53"/>
      <c r="AE1147" s="12"/>
      <c r="AH1147" s="25"/>
    </row>
    <row r="1148" spans="1:34" s="33" customFormat="1" ht="84.75" customHeight="1">
      <c r="A1148" s="16"/>
      <c r="B1148" s="17"/>
      <c r="C1148" s="18" t="s">
        <v>1385</v>
      </c>
      <c r="D1148" s="19" t="s">
        <v>1386</v>
      </c>
      <c r="E1148" s="390">
        <v>34812</v>
      </c>
      <c r="F1148" s="76" t="s">
        <v>1387</v>
      </c>
      <c r="G1148" s="42">
        <f>SUM(G1149)</f>
        <v>888000000</v>
      </c>
      <c r="H1148" s="390">
        <v>33691</v>
      </c>
      <c r="I1148" s="42">
        <f>SUM(I1149)</f>
        <v>1473850000</v>
      </c>
      <c r="J1148" s="390">
        <v>35212</v>
      </c>
      <c r="K1148" s="42">
        <f>SUM(K1149)</f>
        <v>810415000</v>
      </c>
      <c r="L1148" s="390">
        <v>0</v>
      </c>
      <c r="M1148" s="42">
        <f>SUM(M1149)</f>
        <v>0</v>
      </c>
      <c r="N1148" s="390">
        <v>26807</v>
      </c>
      <c r="O1148" s="42">
        <f>SUM(O1149)</f>
        <v>292660000</v>
      </c>
      <c r="P1148" s="390">
        <v>26468</v>
      </c>
      <c r="Q1148" s="42">
        <f>SUM(Q1149)</f>
        <v>269222000</v>
      </c>
      <c r="R1148" s="42">
        <v>26603</v>
      </c>
      <c r="S1148" s="42">
        <f>SUM(S1149)</f>
        <v>246356000</v>
      </c>
      <c r="T1148" s="390">
        <f>N1148</f>
        <v>26807</v>
      </c>
      <c r="U1148" s="57">
        <f t="shared" ref="U1148:U1154" si="294">T1148/J1148*100</f>
        <v>76.130296489833015</v>
      </c>
      <c r="V1148" s="58" t="s">
        <v>58</v>
      </c>
      <c r="W1148" s="59">
        <f t="shared" ref="W1148:W1154" si="295">SUM(M1148,O1148,Q1148,S1148)</f>
        <v>808238000</v>
      </c>
      <c r="X1148" s="57">
        <f t="shared" ref="X1148:X1154" si="296">W1148/K1148*100</f>
        <v>99.731372198194762</v>
      </c>
      <c r="Y1148" s="58" t="s">
        <v>58</v>
      </c>
      <c r="Z1148" s="390">
        <f t="shared" si="291"/>
        <v>60498</v>
      </c>
      <c r="AA1148" s="59">
        <f t="shared" si="287"/>
        <v>2282088000</v>
      </c>
      <c r="AB1148" s="57"/>
      <c r="AC1148" s="58" t="s">
        <v>58</v>
      </c>
      <c r="AD1148" s="57"/>
      <c r="AE1148" s="12"/>
      <c r="AH1148" s="25"/>
    </row>
    <row r="1149" spans="1:34" s="33" customFormat="1" ht="135">
      <c r="A1149" s="16"/>
      <c r="B1149" s="17"/>
      <c r="C1149" s="26" t="s">
        <v>1388</v>
      </c>
      <c r="D1149" s="29" t="s">
        <v>1389</v>
      </c>
      <c r="E1149" s="20">
        <v>676</v>
      </c>
      <c r="F1149" s="47" t="s">
        <v>57</v>
      </c>
      <c r="G1149" s="23">
        <v>888000000</v>
      </c>
      <c r="H1149" s="44">
        <v>1446</v>
      </c>
      <c r="I1149" s="23">
        <v>1473850000</v>
      </c>
      <c r="J1149" s="20">
        <v>740</v>
      </c>
      <c r="K1149" s="23">
        <v>810415000</v>
      </c>
      <c r="L1149" s="20">
        <v>740</v>
      </c>
      <c r="M1149" s="23">
        <v>0</v>
      </c>
      <c r="N1149" s="20">
        <v>0</v>
      </c>
      <c r="O1149" s="23">
        <v>292660000</v>
      </c>
      <c r="P1149" s="20">
        <v>0</v>
      </c>
      <c r="Q1149" s="23">
        <v>269222000</v>
      </c>
      <c r="R1149" s="20">
        <v>0</v>
      </c>
      <c r="S1149" s="23">
        <f>808238000-Q1149-O1149-M1149</f>
        <v>246356000</v>
      </c>
      <c r="T1149" s="106">
        <f>AVERAGE(N1149,P1149,R1149)</f>
        <v>0</v>
      </c>
      <c r="U1149" s="54">
        <f t="shared" si="294"/>
        <v>0</v>
      </c>
      <c r="V1149" s="35" t="s">
        <v>58</v>
      </c>
      <c r="W1149" s="40">
        <f t="shared" si="295"/>
        <v>808238000</v>
      </c>
      <c r="X1149" s="53">
        <f t="shared" si="296"/>
        <v>99.731372198194762</v>
      </c>
      <c r="Y1149" s="35" t="s">
        <v>58</v>
      </c>
      <c r="Z1149" s="106">
        <f t="shared" si="291"/>
        <v>1446</v>
      </c>
      <c r="AA1149" s="40">
        <f t="shared" si="287"/>
        <v>2282088000</v>
      </c>
      <c r="AB1149" s="53"/>
      <c r="AC1149" s="35" t="s">
        <v>58</v>
      </c>
      <c r="AD1149" s="53"/>
      <c r="AE1149" s="12"/>
      <c r="AH1149" s="25"/>
    </row>
    <row r="1150" spans="1:34" s="33" customFormat="1" ht="146.25" customHeight="1">
      <c r="A1150" s="16"/>
      <c r="B1150" s="414"/>
      <c r="C1150" s="18" t="s">
        <v>1390</v>
      </c>
      <c r="D1150" s="18" t="s">
        <v>1391</v>
      </c>
      <c r="E1150" s="45">
        <v>25</v>
      </c>
      <c r="F1150" s="76" t="s">
        <v>1392</v>
      </c>
      <c r="G1150" s="42">
        <f>SUM(G1151:G1155)</f>
        <v>1878748600</v>
      </c>
      <c r="H1150" s="45">
        <v>25</v>
      </c>
      <c r="I1150" s="42">
        <f>SUM(I1151:I1155)</f>
        <v>2028693500</v>
      </c>
      <c r="J1150" s="45">
        <v>25</v>
      </c>
      <c r="K1150" s="42">
        <f>SUM(K1151:K1155)</f>
        <v>276506550</v>
      </c>
      <c r="L1150" s="108">
        <v>25</v>
      </c>
      <c r="M1150" s="42">
        <f>SUM(M1151:M1154)</f>
        <v>17462500</v>
      </c>
      <c r="N1150" s="294">
        <v>0</v>
      </c>
      <c r="O1150" s="42">
        <f>SUM(O1151:O1154)</f>
        <v>92742500</v>
      </c>
      <c r="P1150" s="294">
        <v>0</v>
      </c>
      <c r="Q1150" s="42">
        <f>SUM(Q1151:Q1154)</f>
        <v>45209300</v>
      </c>
      <c r="R1150" s="107">
        <v>0</v>
      </c>
      <c r="S1150" s="42">
        <f>SUM(S1151:S1154)</f>
        <v>111443200</v>
      </c>
      <c r="T1150" s="425">
        <f>SUM(L1150,N1150,P1150,R1150)</f>
        <v>25</v>
      </c>
      <c r="U1150" s="55">
        <f t="shared" si="294"/>
        <v>100</v>
      </c>
      <c r="V1150" s="58" t="s">
        <v>58</v>
      </c>
      <c r="W1150" s="59">
        <f t="shared" si="295"/>
        <v>266857500</v>
      </c>
      <c r="X1150" s="57">
        <f t="shared" si="296"/>
        <v>96.510371996612747</v>
      </c>
      <c r="Y1150" s="58" t="s">
        <v>58</v>
      </c>
      <c r="Z1150" s="390">
        <f t="shared" si="291"/>
        <v>50</v>
      </c>
      <c r="AA1150" s="59">
        <f t="shared" si="287"/>
        <v>2295551000</v>
      </c>
      <c r="AB1150" s="57"/>
      <c r="AC1150" s="58" t="s">
        <v>58</v>
      </c>
      <c r="AD1150" s="57"/>
      <c r="AE1150" s="12"/>
      <c r="AH1150" s="25"/>
    </row>
    <row r="1151" spans="1:34" s="33" customFormat="1" ht="255">
      <c r="A1151" s="16"/>
      <c r="B1151" s="17"/>
      <c r="C1151" s="26" t="s">
        <v>1393</v>
      </c>
      <c r="D1151" s="29" t="s">
        <v>1394</v>
      </c>
      <c r="E1151" s="20">
        <v>12</v>
      </c>
      <c r="F1151" s="47" t="s">
        <v>173</v>
      </c>
      <c r="G1151" s="23">
        <v>653036000</v>
      </c>
      <c r="H1151" s="20">
        <v>36</v>
      </c>
      <c r="I1151" s="23">
        <v>315933500</v>
      </c>
      <c r="J1151" s="20">
        <v>12</v>
      </c>
      <c r="K1151" s="23">
        <v>99636600</v>
      </c>
      <c r="L1151" s="20">
        <v>3</v>
      </c>
      <c r="M1151" s="23">
        <v>0</v>
      </c>
      <c r="N1151" s="20">
        <v>3</v>
      </c>
      <c r="O1151" s="23">
        <v>40960000</v>
      </c>
      <c r="P1151" s="20">
        <v>3</v>
      </c>
      <c r="Q1151" s="23">
        <v>40596800</v>
      </c>
      <c r="R1151" s="20">
        <v>3</v>
      </c>
      <c r="S1151" s="23">
        <f>93909500-Q1151-O1151-M1151</f>
        <v>12352700</v>
      </c>
      <c r="T1151" s="106">
        <f>SUM(L1151,N1151,P1151,R1151)</f>
        <v>12</v>
      </c>
      <c r="U1151" s="53">
        <f t="shared" si="294"/>
        <v>100</v>
      </c>
      <c r="V1151" s="35" t="s">
        <v>58</v>
      </c>
      <c r="W1151" s="40">
        <f t="shared" si="295"/>
        <v>93909500</v>
      </c>
      <c r="X1151" s="53">
        <f t="shared" si="296"/>
        <v>94.252011810920891</v>
      </c>
      <c r="Y1151" s="35" t="s">
        <v>58</v>
      </c>
      <c r="Z1151" s="106">
        <f t="shared" si="291"/>
        <v>48</v>
      </c>
      <c r="AA1151" s="40">
        <f t="shared" si="287"/>
        <v>409843000</v>
      </c>
      <c r="AB1151" s="53"/>
      <c r="AC1151" s="35" t="s">
        <v>58</v>
      </c>
      <c r="AD1151" s="53"/>
      <c r="AE1151" s="12"/>
      <c r="AH1151" s="25"/>
    </row>
    <row r="1152" spans="1:34" s="33" customFormat="1" ht="150">
      <c r="A1152" s="16"/>
      <c r="B1152" s="17"/>
      <c r="C1152" s="26" t="s">
        <v>1395</v>
      </c>
      <c r="D1152" s="29" t="s">
        <v>1396</v>
      </c>
      <c r="E1152" s="106">
        <v>2759</v>
      </c>
      <c r="F1152" s="47" t="s">
        <v>57</v>
      </c>
      <c r="G1152" s="23">
        <f>71025000+110000000*2</f>
        <v>291025000</v>
      </c>
      <c r="H1152" s="106">
        <v>2255</v>
      </c>
      <c r="I1152" s="23">
        <v>116156000</v>
      </c>
      <c r="J1152" s="106">
        <v>4569</v>
      </c>
      <c r="K1152" s="23">
        <v>110000000</v>
      </c>
      <c r="L1152" s="106">
        <v>2017</v>
      </c>
      <c r="M1152" s="23">
        <v>1500000</v>
      </c>
      <c r="N1152" s="106">
        <v>1978</v>
      </c>
      <c r="O1152" s="23">
        <f>35700000-M1152</f>
        <v>34200000</v>
      </c>
      <c r="P1152" s="23">
        <v>1992</v>
      </c>
      <c r="Q1152" s="23">
        <v>1600000</v>
      </c>
      <c r="R1152" s="106">
        <v>0</v>
      </c>
      <c r="S1152" s="23">
        <f>109700000-Q1152-O1152-M1152</f>
        <v>72400000</v>
      </c>
      <c r="T1152" s="106">
        <f>R1152</f>
        <v>0</v>
      </c>
      <c r="U1152" s="54">
        <f t="shared" si="294"/>
        <v>0</v>
      </c>
      <c r="V1152" s="35" t="s">
        <v>58</v>
      </c>
      <c r="W1152" s="40">
        <f t="shared" si="295"/>
        <v>109700000</v>
      </c>
      <c r="X1152" s="53">
        <f t="shared" si="296"/>
        <v>99.727272727272734</v>
      </c>
      <c r="Y1152" s="35" t="s">
        <v>58</v>
      </c>
      <c r="Z1152" s="106">
        <f t="shared" si="291"/>
        <v>2255</v>
      </c>
      <c r="AA1152" s="40">
        <f t="shared" si="287"/>
        <v>225856000</v>
      </c>
      <c r="AB1152" s="53"/>
      <c r="AC1152" s="35" t="s">
        <v>58</v>
      </c>
      <c r="AD1152" s="53"/>
      <c r="AE1152" s="12"/>
      <c r="AH1152" s="25"/>
    </row>
    <row r="1153" spans="1:34" s="33" customFormat="1" ht="210">
      <c r="A1153" s="16"/>
      <c r="B1153" s="17"/>
      <c r="C1153" s="26" t="s">
        <v>1397</v>
      </c>
      <c r="D1153" s="29" t="s">
        <v>1398</v>
      </c>
      <c r="E1153" s="20">
        <v>70</v>
      </c>
      <c r="F1153" s="47" t="s">
        <v>57</v>
      </c>
      <c r="G1153" s="23">
        <f>10095000+10094950+10095000</f>
        <v>30284950</v>
      </c>
      <c r="H1153" s="44">
        <v>140</v>
      </c>
      <c r="I1153" s="23">
        <v>9055500</v>
      </c>
      <c r="J1153" s="20">
        <v>70</v>
      </c>
      <c r="K1153" s="23">
        <v>10094950</v>
      </c>
      <c r="L1153" s="20">
        <v>70</v>
      </c>
      <c r="M1153" s="23">
        <v>2600000</v>
      </c>
      <c r="N1153" s="20">
        <v>0</v>
      </c>
      <c r="O1153" s="23">
        <f>8212500-M1153</f>
        <v>5612500</v>
      </c>
      <c r="P1153" s="20">
        <v>0</v>
      </c>
      <c r="Q1153" s="23">
        <v>0</v>
      </c>
      <c r="R1153" s="20">
        <v>0</v>
      </c>
      <c r="S1153" s="23">
        <f>8212500-Q1153-O1153-M1153</f>
        <v>0</v>
      </c>
      <c r="T1153" s="106">
        <f>SUM(L1153,N1153,P1153,R1153)</f>
        <v>70</v>
      </c>
      <c r="U1153" s="54">
        <f t="shared" si="294"/>
        <v>100</v>
      </c>
      <c r="V1153" s="35" t="s">
        <v>58</v>
      </c>
      <c r="W1153" s="40">
        <f t="shared" si="295"/>
        <v>8212500</v>
      </c>
      <c r="X1153" s="53">
        <f t="shared" si="296"/>
        <v>81.352557466852232</v>
      </c>
      <c r="Y1153" s="35" t="s">
        <v>58</v>
      </c>
      <c r="Z1153" s="106">
        <f t="shared" si="291"/>
        <v>210</v>
      </c>
      <c r="AA1153" s="40">
        <f t="shared" si="287"/>
        <v>17268000</v>
      </c>
      <c r="AB1153" s="53"/>
      <c r="AC1153" s="35" t="s">
        <v>58</v>
      </c>
      <c r="AD1153" s="53"/>
      <c r="AE1153" s="12"/>
      <c r="AH1153" s="25"/>
    </row>
    <row r="1154" spans="1:34" s="33" customFormat="1" ht="90">
      <c r="A1154" s="16"/>
      <c r="B1154" s="17"/>
      <c r="C1154" s="26" t="s">
        <v>1399</v>
      </c>
      <c r="D1154" s="29" t="s">
        <v>1400</v>
      </c>
      <c r="E1154" s="20">
        <v>11</v>
      </c>
      <c r="F1154" s="47" t="s">
        <v>173</v>
      </c>
      <c r="G1154" s="23">
        <f>50597825+37597000+50597825</f>
        <v>138792650</v>
      </c>
      <c r="H1154" s="20">
        <v>22</v>
      </c>
      <c r="I1154" s="23">
        <v>48610000</v>
      </c>
      <c r="J1154" s="20">
        <f>2+3+3+3</f>
        <v>11</v>
      </c>
      <c r="K1154" s="23">
        <v>56775000</v>
      </c>
      <c r="L1154" s="20">
        <v>1</v>
      </c>
      <c r="M1154" s="23">
        <f>5000000+8362500</f>
        <v>13362500</v>
      </c>
      <c r="N1154" s="20">
        <v>3</v>
      </c>
      <c r="O1154" s="23">
        <f>25332500-M1154</f>
        <v>11970000</v>
      </c>
      <c r="P1154" s="20">
        <v>4</v>
      </c>
      <c r="Q1154" s="23">
        <v>3012500</v>
      </c>
      <c r="R1154" s="20">
        <v>4</v>
      </c>
      <c r="S1154" s="23">
        <f>55035500-Q1154-O1154-M1154</f>
        <v>26690500</v>
      </c>
      <c r="T1154" s="106">
        <f>SUM(L1154,N1154,P1154,R1154)</f>
        <v>12</v>
      </c>
      <c r="U1154" s="54">
        <f t="shared" si="294"/>
        <v>109.09090909090908</v>
      </c>
      <c r="V1154" s="35" t="s">
        <v>58</v>
      </c>
      <c r="W1154" s="40">
        <f t="shared" si="295"/>
        <v>55035500</v>
      </c>
      <c r="X1154" s="53">
        <f t="shared" si="296"/>
        <v>96.936151475121093</v>
      </c>
      <c r="Y1154" s="35" t="s">
        <v>58</v>
      </c>
      <c r="Z1154" s="106">
        <f t="shared" si="291"/>
        <v>34</v>
      </c>
      <c r="AA1154" s="40">
        <f t="shared" si="287"/>
        <v>103645500</v>
      </c>
      <c r="AB1154" s="53"/>
      <c r="AC1154" s="35" t="s">
        <v>58</v>
      </c>
      <c r="AD1154" s="53"/>
      <c r="AE1154" s="12"/>
      <c r="AH1154" s="25"/>
    </row>
    <row r="1155" spans="1:34" s="33" customFormat="1" ht="88.5" customHeight="1">
      <c r="A1155" s="16"/>
      <c r="B1155" s="17"/>
      <c r="C1155" s="26" t="s">
        <v>1401</v>
      </c>
      <c r="D1155" s="29" t="s">
        <v>1402</v>
      </c>
      <c r="E1155" s="20">
        <v>11</v>
      </c>
      <c r="F1155" s="47" t="s">
        <v>138</v>
      </c>
      <c r="G1155" s="23">
        <v>765610000</v>
      </c>
      <c r="H1155" s="20">
        <v>22</v>
      </c>
      <c r="I1155" s="23">
        <v>1538938500</v>
      </c>
      <c r="J1155" s="20"/>
      <c r="K1155" s="23"/>
      <c r="L1155" s="20"/>
      <c r="M1155" s="23"/>
      <c r="N1155" s="20"/>
      <c r="O1155" s="23"/>
      <c r="P1155" s="20"/>
      <c r="Q1155" s="23"/>
      <c r="R1155" s="20"/>
      <c r="S1155" s="23"/>
      <c r="T1155" s="106"/>
      <c r="U1155" s="54"/>
      <c r="V1155" s="35"/>
      <c r="W1155" s="40"/>
      <c r="X1155" s="53"/>
      <c r="Y1155" s="35" t="s">
        <v>58</v>
      </c>
      <c r="Z1155" s="106">
        <f t="shared" si="291"/>
        <v>22</v>
      </c>
      <c r="AA1155" s="40">
        <f t="shared" si="287"/>
        <v>1538938500</v>
      </c>
      <c r="AB1155" s="53"/>
      <c r="AC1155" s="35" t="s">
        <v>58</v>
      </c>
      <c r="AD1155" s="53"/>
      <c r="AE1155" s="12"/>
      <c r="AH1155" s="25"/>
    </row>
    <row r="1156" spans="1:34" s="39" customFormat="1" ht="198.75" customHeight="1">
      <c r="A1156" s="16"/>
      <c r="B1156" s="17"/>
      <c r="C1156" s="18" t="s">
        <v>1403</v>
      </c>
      <c r="D1156" s="18" t="s">
        <v>1404</v>
      </c>
      <c r="E1156" s="108">
        <v>35412</v>
      </c>
      <c r="F1156" s="107" t="s">
        <v>1387</v>
      </c>
      <c r="G1156" s="42">
        <f>SUM(G1157:G1158)</f>
        <v>590254900</v>
      </c>
      <c r="H1156" s="108">
        <v>35012</v>
      </c>
      <c r="I1156" s="42">
        <f>SUM(I1157:I1158)</f>
        <v>1171259000</v>
      </c>
      <c r="J1156" s="45">
        <v>35212</v>
      </c>
      <c r="K1156" s="42">
        <f>SUM(K1157:K1158)</f>
        <v>389544900</v>
      </c>
      <c r="L1156" s="45">
        <v>27174</v>
      </c>
      <c r="M1156" s="42">
        <f>SUM(M1157:M1158)</f>
        <v>10036150</v>
      </c>
      <c r="N1156" s="45">
        <v>26807</v>
      </c>
      <c r="O1156" s="42">
        <f>SUM(O1157:O1158)</f>
        <v>49500000</v>
      </c>
      <c r="P1156" s="45">
        <v>26468</v>
      </c>
      <c r="Q1156" s="42">
        <f>SUM(Q1157:Q1158)</f>
        <v>81000000</v>
      </c>
      <c r="R1156" s="42">
        <v>26603</v>
      </c>
      <c r="S1156" s="42">
        <f>SUM(S1157:S1158)</f>
        <v>247750000</v>
      </c>
      <c r="T1156" s="293">
        <f>AVERAGE(L1156,N1156,P1156,R1156)</f>
        <v>26763</v>
      </c>
      <c r="U1156" s="55">
        <f t="shared" ref="U1156:U1194" si="297">T1156/J1156*100</f>
        <v>76.005339088946954</v>
      </c>
      <c r="V1156" s="58" t="s">
        <v>58</v>
      </c>
      <c r="W1156" s="59">
        <f t="shared" ref="W1156:W1190" si="298">SUM(M1156,O1156,Q1156,S1156)</f>
        <v>388286150</v>
      </c>
      <c r="X1156" s="57">
        <f t="shared" ref="X1156:X1190" si="299">W1156/K1156*100</f>
        <v>99.676866517826312</v>
      </c>
      <c r="Y1156" s="58" t="s">
        <v>58</v>
      </c>
      <c r="Z1156" s="390">
        <f t="shared" si="291"/>
        <v>61775</v>
      </c>
      <c r="AA1156" s="59">
        <f t="shared" si="287"/>
        <v>1559545150</v>
      </c>
      <c r="AB1156" s="57"/>
      <c r="AC1156" s="58" t="s">
        <v>58</v>
      </c>
      <c r="AD1156" s="57"/>
      <c r="AE1156" s="419"/>
      <c r="AH1156" s="79"/>
    </row>
    <row r="1157" spans="1:34" s="33" customFormat="1" ht="270">
      <c r="A1157" s="16"/>
      <c r="B1157" s="414"/>
      <c r="C1157" s="26" t="s">
        <v>1405</v>
      </c>
      <c r="D1157" s="29" t="s">
        <v>1406</v>
      </c>
      <c r="E1157" s="106">
        <v>5</v>
      </c>
      <c r="F1157" s="47" t="s">
        <v>1326</v>
      </c>
      <c r="G1157" s="23">
        <f>10045000+10044900+10045000</f>
        <v>30134900</v>
      </c>
      <c r="H1157" s="106">
        <v>10</v>
      </c>
      <c r="I1157" s="23">
        <v>19669000</v>
      </c>
      <c r="J1157" s="106">
        <v>5</v>
      </c>
      <c r="K1157" s="23">
        <v>10044900</v>
      </c>
      <c r="L1157" s="106">
        <v>5</v>
      </c>
      <c r="M1157" s="23">
        <v>10036150</v>
      </c>
      <c r="N1157" s="106">
        <v>0</v>
      </c>
      <c r="O1157" s="23">
        <v>0</v>
      </c>
      <c r="P1157" s="106">
        <v>0</v>
      </c>
      <c r="Q1157" s="23">
        <v>0</v>
      </c>
      <c r="R1157" s="106">
        <v>0</v>
      </c>
      <c r="S1157" s="23">
        <f>10036150-Q1157-O1157-M1157</f>
        <v>0</v>
      </c>
      <c r="T1157" s="106">
        <f>SUM(L1157,N1157,P1157,R1157)</f>
        <v>5</v>
      </c>
      <c r="U1157" s="53">
        <f t="shared" si="297"/>
        <v>100</v>
      </c>
      <c r="V1157" s="35" t="s">
        <v>58</v>
      </c>
      <c r="W1157" s="40">
        <f t="shared" si="298"/>
        <v>10036150</v>
      </c>
      <c r="X1157" s="53">
        <f t="shared" si="299"/>
        <v>99.912891118876246</v>
      </c>
      <c r="Y1157" s="35" t="s">
        <v>58</v>
      </c>
      <c r="Z1157" s="106">
        <f t="shared" si="291"/>
        <v>15</v>
      </c>
      <c r="AA1157" s="40">
        <f t="shared" si="287"/>
        <v>29705150</v>
      </c>
      <c r="AB1157" s="53"/>
      <c r="AC1157" s="35" t="s">
        <v>58</v>
      </c>
      <c r="AD1157" s="53"/>
      <c r="AE1157" s="12"/>
      <c r="AH1157" s="25"/>
    </row>
    <row r="1158" spans="1:34" s="33" customFormat="1" ht="147" customHeight="1">
      <c r="A1158" s="16"/>
      <c r="B1158" s="17"/>
      <c r="C1158" s="26" t="s">
        <v>1407</v>
      </c>
      <c r="D1158" s="29" t="s">
        <v>1408</v>
      </c>
      <c r="E1158" s="20">
        <v>22</v>
      </c>
      <c r="F1158" s="47" t="s">
        <v>1267</v>
      </c>
      <c r="G1158" s="23">
        <v>560120000</v>
      </c>
      <c r="H1158" s="20">
        <v>44</v>
      </c>
      <c r="I1158" s="23">
        <v>1151590000</v>
      </c>
      <c r="J1158" s="20">
        <v>22</v>
      </c>
      <c r="K1158" s="23">
        <v>379500000</v>
      </c>
      <c r="L1158" s="20">
        <v>0</v>
      </c>
      <c r="M1158" s="42">
        <f>M1159</f>
        <v>0</v>
      </c>
      <c r="N1158" s="20">
        <v>22</v>
      </c>
      <c r="O1158" s="23">
        <v>49500000</v>
      </c>
      <c r="P1158" s="20">
        <v>0</v>
      </c>
      <c r="Q1158" s="23">
        <v>81000000</v>
      </c>
      <c r="R1158" s="20">
        <v>0</v>
      </c>
      <c r="S1158" s="23">
        <f>378250000-Q1158-O1158-M1158</f>
        <v>247750000</v>
      </c>
      <c r="T1158" s="106">
        <f>SUM(L1158,N1158,P1158,R1158)</f>
        <v>22</v>
      </c>
      <c r="U1158" s="54">
        <f t="shared" si="297"/>
        <v>100</v>
      </c>
      <c r="V1158" s="35" t="s">
        <v>58</v>
      </c>
      <c r="W1158" s="40">
        <f t="shared" si="298"/>
        <v>378250000</v>
      </c>
      <c r="X1158" s="53">
        <f t="shared" si="299"/>
        <v>99.670619235836625</v>
      </c>
      <c r="Y1158" s="35" t="s">
        <v>58</v>
      </c>
      <c r="Z1158" s="106">
        <f t="shared" si="291"/>
        <v>66</v>
      </c>
      <c r="AA1158" s="40">
        <f t="shared" si="287"/>
        <v>1529840000</v>
      </c>
      <c r="AB1158" s="53"/>
      <c r="AC1158" s="35" t="s">
        <v>58</v>
      </c>
      <c r="AD1158" s="53"/>
      <c r="AE1158" s="12"/>
      <c r="AH1158" s="25"/>
    </row>
    <row r="1159" spans="1:34" s="33" customFormat="1" ht="99.6" customHeight="1">
      <c r="A1159" s="16"/>
      <c r="B1159" s="17"/>
      <c r="C1159" s="18" t="s">
        <v>1409</v>
      </c>
      <c r="D1159" s="18" t="s">
        <v>1410</v>
      </c>
      <c r="E1159" s="45" t="s">
        <v>1411</v>
      </c>
      <c r="F1159" s="76" t="s">
        <v>58</v>
      </c>
      <c r="G1159" s="42">
        <f>G1160</f>
        <v>420335750</v>
      </c>
      <c r="H1159" s="107" t="s">
        <v>1412</v>
      </c>
      <c r="I1159" s="42">
        <f>I1160</f>
        <v>84990800</v>
      </c>
      <c r="J1159" s="258">
        <f>225/315*100</f>
        <v>71.428571428571431</v>
      </c>
      <c r="K1159" s="42">
        <f>K1160</f>
        <v>1850355100</v>
      </c>
      <c r="L1159" s="45">
        <v>0</v>
      </c>
      <c r="M1159" s="42">
        <f>M1160</f>
        <v>0</v>
      </c>
      <c r="N1159" s="107">
        <f>60/315*100</f>
        <v>19.047619047619047</v>
      </c>
      <c r="O1159" s="42">
        <f>O1160</f>
        <v>103602300</v>
      </c>
      <c r="P1159" s="107">
        <v>0</v>
      </c>
      <c r="Q1159" s="42">
        <f>Q1160</f>
        <v>253514973</v>
      </c>
      <c r="R1159" s="107">
        <v>0</v>
      </c>
      <c r="S1159" s="42">
        <f>S1160</f>
        <v>1116244900</v>
      </c>
      <c r="T1159" s="293">
        <f t="shared" ref="T1159:T1163" si="300">SUM(L1159,N1159,P1159,R1159)</f>
        <v>19.047619047619047</v>
      </c>
      <c r="U1159" s="57">
        <f t="shared" si="297"/>
        <v>26.666666666666668</v>
      </c>
      <c r="V1159" s="58" t="s">
        <v>58</v>
      </c>
      <c r="W1159" s="59">
        <f t="shared" si="298"/>
        <v>1473362173</v>
      </c>
      <c r="X1159" s="57">
        <f t="shared" si="299"/>
        <v>79.62591466902758</v>
      </c>
      <c r="Y1159" s="58" t="s">
        <v>58</v>
      </c>
      <c r="Z1159" s="390">
        <f t="shared" si="291"/>
        <v>19.047619047619047</v>
      </c>
      <c r="AA1159" s="59">
        <f t="shared" si="287"/>
        <v>1558352973</v>
      </c>
      <c r="AB1159" s="57"/>
      <c r="AC1159" s="58" t="s">
        <v>58</v>
      </c>
      <c r="AD1159" s="57"/>
      <c r="AE1159" s="12"/>
      <c r="AH1159" s="25"/>
    </row>
    <row r="1160" spans="1:34" s="33" customFormat="1" ht="133.15" customHeight="1">
      <c r="A1160" s="16"/>
      <c r="B1160" s="17"/>
      <c r="C1160" s="18" t="s">
        <v>1413</v>
      </c>
      <c r="D1160" s="18" t="s">
        <v>1414</v>
      </c>
      <c r="E1160" s="108">
        <v>42</v>
      </c>
      <c r="F1160" s="76" t="s">
        <v>1312</v>
      </c>
      <c r="G1160" s="42">
        <f>SUM(G1161:G1163)</f>
        <v>420335750</v>
      </c>
      <c r="H1160" s="45">
        <v>22</v>
      </c>
      <c r="I1160" s="42">
        <f>SUM(I1161:I1163)</f>
        <v>84990800</v>
      </c>
      <c r="J1160" s="265">
        <v>32</v>
      </c>
      <c r="K1160" s="42">
        <f>SUM(K1161:K1163)</f>
        <v>1850355100</v>
      </c>
      <c r="L1160" s="45">
        <v>22</v>
      </c>
      <c r="M1160" s="42">
        <f>SUM(M1161:M1163)</f>
        <v>0</v>
      </c>
      <c r="N1160" s="108">
        <v>3</v>
      </c>
      <c r="O1160" s="42">
        <f>SUM(O1161:O1163)</f>
        <v>103602300</v>
      </c>
      <c r="P1160" s="108">
        <v>3</v>
      </c>
      <c r="Q1160" s="42">
        <f>SUM(Q1161:Q1163)</f>
        <v>253514973</v>
      </c>
      <c r="R1160" s="107">
        <v>4</v>
      </c>
      <c r="S1160" s="42">
        <f>SUM(S1161:S1163)</f>
        <v>1116244900</v>
      </c>
      <c r="T1160" s="293">
        <f t="shared" si="300"/>
        <v>32</v>
      </c>
      <c r="U1160" s="55">
        <f t="shared" si="297"/>
        <v>100</v>
      </c>
      <c r="V1160" s="58" t="s">
        <v>58</v>
      </c>
      <c r="W1160" s="59">
        <f t="shared" si="298"/>
        <v>1473362173</v>
      </c>
      <c r="X1160" s="57">
        <f t="shared" si="299"/>
        <v>79.62591466902758</v>
      </c>
      <c r="Y1160" s="58" t="s">
        <v>58</v>
      </c>
      <c r="Z1160" s="293">
        <f t="shared" si="291"/>
        <v>54</v>
      </c>
      <c r="AA1160" s="59">
        <f t="shared" si="287"/>
        <v>1558352973</v>
      </c>
      <c r="AB1160" s="57"/>
      <c r="AC1160" s="58" t="s">
        <v>58</v>
      </c>
      <c r="AD1160" s="57"/>
      <c r="AE1160" s="12"/>
      <c r="AH1160" s="25"/>
    </row>
    <row r="1161" spans="1:34" s="33" customFormat="1" ht="171.75" customHeight="1">
      <c r="A1161" s="16"/>
      <c r="B1161" s="17"/>
      <c r="C1161" s="26" t="s">
        <v>1415</v>
      </c>
      <c r="D1161" s="26" t="s">
        <v>1416</v>
      </c>
      <c r="E1161" s="20">
        <v>240</v>
      </c>
      <c r="F1161" s="47" t="s">
        <v>1417</v>
      </c>
      <c r="G1161" s="23">
        <f>32620000+169846375*2</f>
        <v>372312750</v>
      </c>
      <c r="H1161" s="44">
        <v>210</v>
      </c>
      <c r="I1161" s="23">
        <v>70538000</v>
      </c>
      <c r="J1161" s="20">
        <v>225</v>
      </c>
      <c r="K1161" s="23">
        <v>423843500</v>
      </c>
      <c r="L1161" s="20">
        <v>0</v>
      </c>
      <c r="M1161" s="23">
        <v>0</v>
      </c>
      <c r="N1161" s="20">
        <v>60</v>
      </c>
      <c r="O1161" s="23">
        <f>79200000+6311000</f>
        <v>85511000</v>
      </c>
      <c r="P1161" s="426">
        <v>0</v>
      </c>
      <c r="Q1161" s="23">
        <v>39600000</v>
      </c>
      <c r="R1161" s="20">
        <v>0</v>
      </c>
      <c r="S1161" s="23">
        <f>361886000-Q1161-O1161-M1161</f>
        <v>236775000</v>
      </c>
      <c r="T1161" s="106">
        <f>SUM(L1161,N1161,P1161,R1161)</f>
        <v>60</v>
      </c>
      <c r="U1161" s="53">
        <f t="shared" si="297"/>
        <v>26.666666666666668</v>
      </c>
      <c r="V1161" s="35" t="s">
        <v>58</v>
      </c>
      <c r="W1161" s="40">
        <f t="shared" si="298"/>
        <v>361886000</v>
      </c>
      <c r="X1161" s="53">
        <f t="shared" si="299"/>
        <v>85.381986511530798</v>
      </c>
      <c r="Y1161" s="35" t="s">
        <v>58</v>
      </c>
      <c r="Z1161" s="106">
        <f t="shared" si="291"/>
        <v>270</v>
      </c>
      <c r="AA1161" s="40">
        <f t="shared" si="287"/>
        <v>432424000</v>
      </c>
      <c r="AB1161" s="53"/>
      <c r="AC1161" s="35" t="s">
        <v>58</v>
      </c>
      <c r="AD1161" s="53"/>
      <c r="AE1161" s="12"/>
      <c r="AH1161" s="25"/>
    </row>
    <row r="1162" spans="1:34" s="33" customFormat="1" ht="201.6" customHeight="1">
      <c r="A1162" s="240"/>
      <c r="B1162" s="18"/>
      <c r="C1162" s="26" t="s">
        <v>1418</v>
      </c>
      <c r="D1162" s="29" t="s">
        <v>1419</v>
      </c>
      <c r="E1162" s="20">
        <v>630</v>
      </c>
      <c r="F1162" s="47" t="s">
        <v>57</v>
      </c>
      <c r="G1162" s="23"/>
      <c r="H1162" s="44"/>
      <c r="I1162" s="23"/>
      <c r="J1162" s="20">
        <v>630</v>
      </c>
      <c r="K1162" s="23">
        <v>1411900000</v>
      </c>
      <c r="L1162" s="20">
        <v>0</v>
      </c>
      <c r="M1162" s="23">
        <v>0</v>
      </c>
      <c r="N1162" s="20">
        <v>630</v>
      </c>
      <c r="O1162" s="23">
        <v>3479700</v>
      </c>
      <c r="P1162" s="20">
        <v>0</v>
      </c>
      <c r="Q1162" s="23">
        <v>213914973</v>
      </c>
      <c r="R1162" s="20">
        <v>0</v>
      </c>
      <c r="S1162" s="23">
        <f>1096864573-Q1162-O1162-M1162</f>
        <v>879469900</v>
      </c>
      <c r="T1162" s="106">
        <f>SUM(L1162,N1162,P1162,R1162)</f>
        <v>630</v>
      </c>
      <c r="U1162" s="54">
        <f t="shared" si="297"/>
        <v>100</v>
      </c>
      <c r="V1162" s="35" t="s">
        <v>58</v>
      </c>
      <c r="W1162" s="40">
        <f t="shared" si="298"/>
        <v>1096864573</v>
      </c>
      <c r="X1162" s="53">
        <f t="shared" si="299"/>
        <v>77.68712890431334</v>
      </c>
      <c r="Y1162" s="35" t="s">
        <v>58</v>
      </c>
      <c r="Z1162" s="106">
        <f t="shared" si="291"/>
        <v>630</v>
      </c>
      <c r="AA1162" s="40">
        <f t="shared" si="287"/>
        <v>1096864573</v>
      </c>
      <c r="AB1162" s="53"/>
      <c r="AC1162" s="35" t="s">
        <v>58</v>
      </c>
      <c r="AD1162" s="53"/>
      <c r="AE1162" s="12"/>
      <c r="AH1162" s="25"/>
    </row>
    <row r="1163" spans="1:34" s="33" customFormat="1" ht="190.9" customHeight="1">
      <c r="A1163" s="240"/>
      <c r="B1163" s="18"/>
      <c r="C1163" s="26" t="s">
        <v>1420</v>
      </c>
      <c r="D1163" s="29" t="s">
        <v>1421</v>
      </c>
      <c r="E1163" s="20">
        <v>2</v>
      </c>
      <c r="F1163" s="47" t="s">
        <v>173</v>
      </c>
      <c r="G1163" s="23">
        <f>14452800+16785100*2</f>
        <v>48023000</v>
      </c>
      <c r="H1163" s="44">
        <v>2</v>
      </c>
      <c r="I1163" s="23">
        <v>14452800</v>
      </c>
      <c r="J1163" s="20">
        <v>2</v>
      </c>
      <c r="K1163" s="23">
        <v>14611600</v>
      </c>
      <c r="L1163" s="20">
        <v>1</v>
      </c>
      <c r="M1163" s="23">
        <v>0</v>
      </c>
      <c r="N1163" s="23">
        <v>0</v>
      </c>
      <c r="O1163" s="23">
        <v>14611600</v>
      </c>
      <c r="P1163" s="23">
        <v>0</v>
      </c>
      <c r="Q1163" s="23">
        <v>0</v>
      </c>
      <c r="R1163" s="20">
        <v>0</v>
      </c>
      <c r="S1163" s="23">
        <f>14611600-Q1163-O1163-M1163</f>
        <v>0</v>
      </c>
      <c r="T1163" s="106">
        <f t="shared" si="300"/>
        <v>1</v>
      </c>
      <c r="U1163" s="54">
        <f t="shared" si="297"/>
        <v>50</v>
      </c>
      <c r="V1163" s="35" t="s">
        <v>58</v>
      </c>
      <c r="W1163" s="40">
        <f t="shared" si="298"/>
        <v>14611600</v>
      </c>
      <c r="X1163" s="53">
        <f t="shared" si="299"/>
        <v>100</v>
      </c>
      <c r="Y1163" s="35" t="s">
        <v>58</v>
      </c>
      <c r="Z1163" s="106">
        <f t="shared" si="291"/>
        <v>3</v>
      </c>
      <c r="AA1163" s="40">
        <f t="shared" si="287"/>
        <v>29064400</v>
      </c>
      <c r="AB1163" s="53"/>
      <c r="AC1163" s="35" t="s">
        <v>58</v>
      </c>
      <c r="AD1163" s="53"/>
      <c r="AE1163" s="12"/>
      <c r="AH1163" s="25"/>
    </row>
    <row r="1164" spans="1:34" ht="110.25">
      <c r="A1164" s="16">
        <v>1</v>
      </c>
      <c r="B1164" s="17" t="s">
        <v>29</v>
      </c>
      <c r="C1164" s="19" t="s">
        <v>68</v>
      </c>
      <c r="D1164" s="19" t="s">
        <v>143</v>
      </c>
      <c r="E1164" s="45">
        <v>100</v>
      </c>
      <c r="F1164" s="46" t="s">
        <v>58</v>
      </c>
      <c r="G1164" s="52">
        <f>5200742146*3</f>
        <v>15602226438</v>
      </c>
      <c r="H1164" s="45">
        <v>200</v>
      </c>
      <c r="I1164" s="52">
        <f>I1165+I1168+I1173+I1180+I1182+I1186</f>
        <v>2608533692</v>
      </c>
      <c r="J1164" s="45">
        <v>100</v>
      </c>
      <c r="K1164" s="52">
        <f>K1165+K1168+K1173+K1180+K1182+K1186</f>
        <v>3432288716</v>
      </c>
      <c r="L1164" s="45">
        <v>100</v>
      </c>
      <c r="M1164" s="52">
        <f>M1165+M1168+M1173+M1180+M1182+M1186</f>
        <v>505859939</v>
      </c>
      <c r="N1164" s="119">
        <v>100</v>
      </c>
      <c r="O1164" s="52">
        <f>O1165+O1168+O1173+O1180+O1182+O1186</f>
        <v>770861964</v>
      </c>
      <c r="P1164" s="119">
        <v>100</v>
      </c>
      <c r="Q1164" s="52">
        <f>Q1165+Q1168+Q1173+Q1180+Q1182+Q1186</f>
        <v>711080757</v>
      </c>
      <c r="R1164" s="119">
        <v>100</v>
      </c>
      <c r="S1164" s="52">
        <f>S1165+S1168+S1173+S1180+S1182+S1186</f>
        <v>662971428</v>
      </c>
      <c r="T1164" s="55">
        <f>AVERAGE(L1164,N1164,P1164,R1164)</f>
        <v>100</v>
      </c>
      <c r="U1164" s="55">
        <f t="shared" si="297"/>
        <v>100</v>
      </c>
      <c r="V1164" s="58" t="s">
        <v>58</v>
      </c>
      <c r="W1164" s="372">
        <f t="shared" si="298"/>
        <v>2650774088</v>
      </c>
      <c r="X1164" s="60">
        <f t="shared" si="299"/>
        <v>77.230510231937018</v>
      </c>
      <c r="Y1164" s="48" t="s">
        <v>58</v>
      </c>
      <c r="Z1164" s="55">
        <f t="shared" si="291"/>
        <v>300</v>
      </c>
      <c r="AA1164" s="372">
        <f t="shared" si="287"/>
        <v>5259307780</v>
      </c>
      <c r="AB1164" s="57"/>
      <c r="AC1164" s="58" t="s">
        <v>58</v>
      </c>
      <c r="AD1164" s="60"/>
      <c r="AE1164" s="24" t="s">
        <v>1422</v>
      </c>
    </row>
    <row r="1165" spans="1:34" ht="126">
      <c r="A1165" s="48">
        <v>2</v>
      </c>
      <c r="B1165" s="49" t="s">
        <v>30</v>
      </c>
      <c r="C1165" s="18" t="s">
        <v>309</v>
      </c>
      <c r="D1165" s="19" t="s">
        <v>139</v>
      </c>
      <c r="E1165" s="20">
        <f>8*3</f>
        <v>24</v>
      </c>
      <c r="F1165" s="21" t="s">
        <v>55</v>
      </c>
      <c r="G1165" s="23">
        <v>28500000</v>
      </c>
      <c r="H1165" s="45">
        <v>30</v>
      </c>
      <c r="I1165" s="42">
        <f t="shared" ref="I1165:S1165" si="301">SUM(I1166:I1167)</f>
        <v>8925000</v>
      </c>
      <c r="J1165" s="45">
        <f t="shared" si="301"/>
        <v>15</v>
      </c>
      <c r="K1165" s="42">
        <f t="shared" si="301"/>
        <v>7599900</v>
      </c>
      <c r="L1165" s="45">
        <f t="shared" si="301"/>
        <v>2</v>
      </c>
      <c r="M1165" s="42">
        <f t="shared" si="301"/>
        <v>1499600</v>
      </c>
      <c r="N1165" s="45">
        <f t="shared" si="301"/>
        <v>5</v>
      </c>
      <c r="O1165" s="42">
        <f t="shared" si="301"/>
        <v>3949900</v>
      </c>
      <c r="P1165" s="45">
        <f t="shared" si="301"/>
        <v>3</v>
      </c>
      <c r="Q1165" s="42">
        <f t="shared" si="301"/>
        <v>1948600</v>
      </c>
      <c r="R1165" s="45">
        <v>5</v>
      </c>
      <c r="S1165" s="42">
        <f t="shared" si="301"/>
        <v>198800</v>
      </c>
      <c r="T1165" s="55">
        <f t="shared" ref="T1165:T1179" si="302">SUM(L1165,N1165,P1165,R1165)</f>
        <v>15</v>
      </c>
      <c r="U1165" s="55">
        <f t="shared" si="297"/>
        <v>100</v>
      </c>
      <c r="V1165" s="58" t="s">
        <v>58</v>
      </c>
      <c r="W1165" s="59">
        <f t="shared" si="298"/>
        <v>7596900</v>
      </c>
      <c r="X1165" s="57">
        <f t="shared" si="299"/>
        <v>99.960525796392048</v>
      </c>
      <c r="Y1165" s="58" t="s">
        <v>58</v>
      </c>
      <c r="Z1165" s="55">
        <f t="shared" si="291"/>
        <v>45</v>
      </c>
      <c r="AA1165" s="59">
        <f t="shared" si="287"/>
        <v>16521900</v>
      </c>
      <c r="AB1165" s="53"/>
      <c r="AC1165" s="58" t="s">
        <v>58</v>
      </c>
      <c r="AD1165" s="53"/>
      <c r="AE1165" s="11"/>
    </row>
    <row r="1166" spans="1:34" ht="75">
      <c r="A1166" s="16"/>
      <c r="B1166" s="17"/>
      <c r="C1166" s="26" t="s">
        <v>69</v>
      </c>
      <c r="D1166" s="29" t="s">
        <v>211</v>
      </c>
      <c r="E1166" s="20">
        <f>5*3</f>
        <v>15</v>
      </c>
      <c r="F1166" s="21" t="s">
        <v>55</v>
      </c>
      <c r="G1166" s="23">
        <v>24000000</v>
      </c>
      <c r="H1166" s="20">
        <v>5</v>
      </c>
      <c r="I1166" s="23">
        <v>7650000</v>
      </c>
      <c r="J1166" s="20">
        <v>5</v>
      </c>
      <c r="K1166" s="23">
        <v>6399900</v>
      </c>
      <c r="L1166" s="20">
        <v>1</v>
      </c>
      <c r="M1166" s="23">
        <v>1299800</v>
      </c>
      <c r="N1166" s="20">
        <v>2</v>
      </c>
      <c r="O1166" s="23">
        <v>3374700</v>
      </c>
      <c r="P1166" s="20">
        <v>1</v>
      </c>
      <c r="Q1166" s="23">
        <f>1725400-1800</f>
        <v>1723600</v>
      </c>
      <c r="R1166" s="20">
        <v>1</v>
      </c>
      <c r="S1166" s="23">
        <v>0</v>
      </c>
      <c r="T1166" s="54">
        <f t="shared" si="302"/>
        <v>5</v>
      </c>
      <c r="U1166" s="54">
        <f t="shared" si="297"/>
        <v>100</v>
      </c>
      <c r="V1166" s="35" t="s">
        <v>58</v>
      </c>
      <c r="W1166" s="40">
        <f t="shared" si="298"/>
        <v>6398100</v>
      </c>
      <c r="X1166" s="53">
        <f t="shared" si="299"/>
        <v>99.971874560540002</v>
      </c>
      <c r="Y1166" s="35" t="s">
        <v>58</v>
      </c>
      <c r="Z1166" s="54">
        <f t="shared" si="291"/>
        <v>10</v>
      </c>
      <c r="AA1166" s="40">
        <f t="shared" si="287"/>
        <v>14048100</v>
      </c>
      <c r="AB1166" s="53"/>
      <c r="AC1166" s="35" t="s">
        <v>58</v>
      </c>
      <c r="AD1166" s="53"/>
      <c r="AE1166" s="11"/>
    </row>
    <row r="1167" spans="1:34" ht="90">
      <c r="A1167" s="16"/>
      <c r="B1167" s="17"/>
      <c r="C1167" s="26" t="s">
        <v>70</v>
      </c>
      <c r="D1167" s="29" t="s">
        <v>212</v>
      </c>
      <c r="E1167" s="20">
        <f>10*3</f>
        <v>30</v>
      </c>
      <c r="F1167" s="21" t="s">
        <v>173</v>
      </c>
      <c r="G1167" s="28">
        <v>4500000</v>
      </c>
      <c r="H1167" s="20">
        <v>10</v>
      </c>
      <c r="I1167" s="28">
        <v>1275000</v>
      </c>
      <c r="J1167" s="20">
        <v>10</v>
      </c>
      <c r="K1167" s="28">
        <v>1200000</v>
      </c>
      <c r="L1167" s="20">
        <v>1</v>
      </c>
      <c r="M1167" s="28">
        <v>199800</v>
      </c>
      <c r="N1167" s="20">
        <v>3</v>
      </c>
      <c r="O1167" s="28">
        <v>575200</v>
      </c>
      <c r="P1167" s="20">
        <v>2</v>
      </c>
      <c r="Q1167" s="28">
        <v>225000</v>
      </c>
      <c r="R1167" s="20">
        <v>4</v>
      </c>
      <c r="S1167" s="28">
        <v>198800</v>
      </c>
      <c r="T1167" s="54">
        <f t="shared" si="302"/>
        <v>10</v>
      </c>
      <c r="U1167" s="54">
        <f t="shared" si="297"/>
        <v>100</v>
      </c>
      <c r="V1167" s="35" t="s">
        <v>58</v>
      </c>
      <c r="W1167" s="40">
        <f t="shared" si="298"/>
        <v>1198800</v>
      </c>
      <c r="X1167" s="54">
        <f t="shared" si="299"/>
        <v>99.9</v>
      </c>
      <c r="Y1167" s="35" t="s">
        <v>58</v>
      </c>
      <c r="Z1167" s="54">
        <f t="shared" si="291"/>
        <v>20</v>
      </c>
      <c r="AA1167" s="40">
        <f t="shared" si="287"/>
        <v>2473800</v>
      </c>
      <c r="AB1167" s="57"/>
      <c r="AC1167" s="58" t="s">
        <v>58</v>
      </c>
      <c r="AD1167" s="57"/>
      <c r="AE1167" s="11"/>
    </row>
    <row r="1168" spans="1:34" ht="94.5">
      <c r="A1168" s="16"/>
      <c r="B1168" s="17"/>
      <c r="C1168" s="18" t="s">
        <v>71</v>
      </c>
      <c r="D1168" s="19" t="s">
        <v>140</v>
      </c>
      <c r="E1168" s="74">
        <f>SUM(E1170:E1172)</f>
        <v>42</v>
      </c>
      <c r="F1168" s="75" t="s">
        <v>55</v>
      </c>
      <c r="G1168" s="41">
        <f>4564191000*3</f>
        <v>13692573000</v>
      </c>
      <c r="H1168" s="74">
        <f>SUM(H1170:H1172)</f>
        <v>14</v>
      </c>
      <c r="I1168" s="42">
        <f>SUM(I1169:I1172)</f>
        <v>2070552798</v>
      </c>
      <c r="J1168" s="74">
        <f>SUM(J1170:J1172)</f>
        <v>14</v>
      </c>
      <c r="K1168" s="42">
        <f>SUM(K1169:K1172)</f>
        <v>3035220416</v>
      </c>
      <c r="L1168" s="74">
        <f>SUM(L1170:L1172)</f>
        <v>3</v>
      </c>
      <c r="M1168" s="42">
        <f>SUM(M1169:M1172)</f>
        <v>405471341</v>
      </c>
      <c r="N1168" s="74">
        <v>3</v>
      </c>
      <c r="O1168" s="42">
        <f>SUM(O1169:O1172)</f>
        <v>669435916</v>
      </c>
      <c r="P1168" s="74">
        <f>SUM(P1170:P1172)</f>
        <v>4</v>
      </c>
      <c r="Q1168" s="42">
        <f>SUM(Q1169:Q1172)</f>
        <v>638948501</v>
      </c>
      <c r="R1168" s="74">
        <v>4</v>
      </c>
      <c r="S1168" s="42">
        <f>SUM(S1169:S1172)</f>
        <v>558707078</v>
      </c>
      <c r="T1168" s="55">
        <f t="shared" si="302"/>
        <v>14</v>
      </c>
      <c r="U1168" s="55">
        <f t="shared" si="297"/>
        <v>100</v>
      </c>
      <c r="V1168" s="58" t="s">
        <v>58</v>
      </c>
      <c r="W1168" s="59">
        <f t="shared" si="298"/>
        <v>2272562836</v>
      </c>
      <c r="X1168" s="57">
        <f t="shared" si="299"/>
        <v>74.873074259131499</v>
      </c>
      <c r="Y1168" s="58" t="s">
        <v>58</v>
      </c>
      <c r="Z1168" s="55">
        <f t="shared" si="291"/>
        <v>28</v>
      </c>
      <c r="AA1168" s="59">
        <f t="shared" si="287"/>
        <v>4343115634</v>
      </c>
      <c r="AB1168" s="57"/>
      <c r="AC1168" s="58" t="s">
        <v>58</v>
      </c>
      <c r="AD1168" s="57"/>
      <c r="AE1168" s="30"/>
    </row>
    <row r="1169" spans="1:31" ht="90">
      <c r="A1169" s="16"/>
      <c r="B1169" s="17"/>
      <c r="C1169" s="26" t="s">
        <v>72</v>
      </c>
      <c r="D1169" s="26" t="s">
        <v>213</v>
      </c>
      <c r="E1169" s="20">
        <f>15+20+20</f>
        <v>55</v>
      </c>
      <c r="F1169" s="27" t="s">
        <v>57</v>
      </c>
      <c r="G1169" s="23">
        <v>13677573000</v>
      </c>
      <c r="H1169" s="43">
        <v>15</v>
      </c>
      <c r="I1169" s="23">
        <v>2066077798</v>
      </c>
      <c r="J1169" s="43">
        <v>20</v>
      </c>
      <c r="K1169" s="23">
        <v>3031220616</v>
      </c>
      <c r="L1169" s="43">
        <f>AVERAGE(16,15,15)</f>
        <v>15.333333333333334</v>
      </c>
      <c r="M1169" s="23">
        <v>405171341</v>
      </c>
      <c r="N1169" s="43">
        <v>19</v>
      </c>
      <c r="O1169" s="23">
        <v>667635916</v>
      </c>
      <c r="P1169" s="43">
        <v>19</v>
      </c>
      <c r="Q1169" s="23">
        <v>637548701</v>
      </c>
      <c r="R1169" s="43">
        <v>19</v>
      </c>
      <c r="S1169" s="23">
        <v>558207078</v>
      </c>
      <c r="T1169" s="54">
        <f>AVERAGE(L1169,N1169,P1169,R1169)</f>
        <v>18.083333333333336</v>
      </c>
      <c r="U1169" s="54">
        <f t="shared" si="297"/>
        <v>90.416666666666686</v>
      </c>
      <c r="V1169" s="35" t="s">
        <v>58</v>
      </c>
      <c r="W1169" s="40">
        <f t="shared" si="298"/>
        <v>2268563036</v>
      </c>
      <c r="X1169" s="53">
        <f t="shared" si="299"/>
        <v>74.839918415228937</v>
      </c>
      <c r="Y1169" s="35" t="s">
        <v>58</v>
      </c>
      <c r="Z1169" s="54">
        <f>AVERAGE(R1169,T1169,V1169,X1169)</f>
        <v>37.307750582854091</v>
      </c>
      <c r="AA1169" s="40">
        <f t="shared" si="287"/>
        <v>4334640834</v>
      </c>
      <c r="AB1169" s="53"/>
      <c r="AC1169" s="35" t="s">
        <v>58</v>
      </c>
      <c r="AD1169" s="53"/>
      <c r="AE1169" s="11"/>
    </row>
    <row r="1170" spans="1:31" ht="195">
      <c r="A1170" s="16"/>
      <c r="B1170" s="17"/>
      <c r="C1170" s="26" t="s">
        <v>73</v>
      </c>
      <c r="D1170" s="29" t="s">
        <v>214</v>
      </c>
      <c r="E1170" s="43">
        <f>1*3</f>
        <v>3</v>
      </c>
      <c r="F1170" s="27" t="s">
        <v>173</v>
      </c>
      <c r="G1170" s="23">
        <v>6000000</v>
      </c>
      <c r="H1170" s="43">
        <v>1</v>
      </c>
      <c r="I1170" s="23">
        <v>2000000</v>
      </c>
      <c r="J1170" s="43">
        <v>1</v>
      </c>
      <c r="K1170" s="23">
        <v>1599800</v>
      </c>
      <c r="L1170" s="43">
        <v>0</v>
      </c>
      <c r="M1170" s="23">
        <v>300000</v>
      </c>
      <c r="N1170" s="43">
        <v>0</v>
      </c>
      <c r="O1170" s="23">
        <v>0</v>
      </c>
      <c r="P1170" s="43">
        <v>1</v>
      </c>
      <c r="Q1170" s="23">
        <v>799800</v>
      </c>
      <c r="R1170" s="43">
        <v>0</v>
      </c>
      <c r="S1170" s="23">
        <v>500000</v>
      </c>
      <c r="T1170" s="54">
        <f t="shared" si="302"/>
        <v>1</v>
      </c>
      <c r="U1170" s="54">
        <f t="shared" si="297"/>
        <v>100</v>
      </c>
      <c r="V1170" s="35" t="s">
        <v>58</v>
      </c>
      <c r="W1170" s="40">
        <f t="shared" si="298"/>
        <v>1599800</v>
      </c>
      <c r="X1170" s="54">
        <f t="shared" si="299"/>
        <v>100</v>
      </c>
      <c r="Y1170" s="35" t="s">
        <v>58</v>
      </c>
      <c r="Z1170" s="54">
        <f t="shared" si="291"/>
        <v>2</v>
      </c>
      <c r="AA1170" s="40">
        <f t="shared" si="287"/>
        <v>3599800</v>
      </c>
      <c r="AB1170" s="53"/>
      <c r="AC1170" s="35" t="s">
        <v>58</v>
      </c>
      <c r="AD1170" s="53"/>
      <c r="AE1170" s="11"/>
    </row>
    <row r="1171" spans="1:31" ht="210">
      <c r="A1171" s="16"/>
      <c r="B1171" s="17"/>
      <c r="C1171" s="26" t="s">
        <v>74</v>
      </c>
      <c r="D1171" s="29" t="s">
        <v>215</v>
      </c>
      <c r="E1171" s="20">
        <f>12*3</f>
        <v>36</v>
      </c>
      <c r="F1171" s="27" t="s">
        <v>173</v>
      </c>
      <c r="G1171" s="23">
        <v>4500000</v>
      </c>
      <c r="H1171" s="43">
        <v>12</v>
      </c>
      <c r="I1171" s="23">
        <v>975000</v>
      </c>
      <c r="J1171" s="43">
        <v>12</v>
      </c>
      <c r="K1171" s="23">
        <v>1200000</v>
      </c>
      <c r="L1171" s="43">
        <v>3</v>
      </c>
      <c r="M1171" s="23">
        <v>0</v>
      </c>
      <c r="N1171" s="43">
        <v>3</v>
      </c>
      <c r="O1171" s="23">
        <v>600000</v>
      </c>
      <c r="P1171" s="43">
        <v>3</v>
      </c>
      <c r="Q1171" s="23">
        <v>600000</v>
      </c>
      <c r="R1171" s="43">
        <v>3</v>
      </c>
      <c r="S1171" s="23">
        <v>0</v>
      </c>
      <c r="T1171" s="54">
        <f t="shared" si="302"/>
        <v>12</v>
      </c>
      <c r="U1171" s="54">
        <f t="shared" si="297"/>
        <v>100</v>
      </c>
      <c r="V1171" s="35" t="s">
        <v>58</v>
      </c>
      <c r="W1171" s="40">
        <f t="shared" si="298"/>
        <v>1200000</v>
      </c>
      <c r="X1171" s="54">
        <f t="shared" si="299"/>
        <v>100</v>
      </c>
      <c r="Y1171" s="35" t="s">
        <v>58</v>
      </c>
      <c r="Z1171" s="54">
        <f t="shared" si="291"/>
        <v>24</v>
      </c>
      <c r="AA1171" s="40">
        <f t="shared" si="287"/>
        <v>2175000</v>
      </c>
      <c r="AB1171" s="53"/>
      <c r="AC1171" s="35" t="s">
        <v>58</v>
      </c>
      <c r="AD1171" s="53"/>
      <c r="AE1171" s="11"/>
    </row>
    <row r="1172" spans="1:31" ht="105">
      <c r="A1172" s="16"/>
      <c r="B1172" s="17"/>
      <c r="C1172" s="26" t="s">
        <v>75</v>
      </c>
      <c r="D1172" s="29" t="s">
        <v>216</v>
      </c>
      <c r="E1172" s="20">
        <f>1*3</f>
        <v>3</v>
      </c>
      <c r="F1172" s="27" t="s">
        <v>55</v>
      </c>
      <c r="G1172" s="23">
        <v>4500000</v>
      </c>
      <c r="H1172" s="43">
        <v>1</v>
      </c>
      <c r="I1172" s="23">
        <v>1500000</v>
      </c>
      <c r="J1172" s="43">
        <v>1</v>
      </c>
      <c r="K1172" s="23">
        <v>1200000</v>
      </c>
      <c r="L1172" s="43">
        <v>0</v>
      </c>
      <c r="M1172" s="23">
        <v>0</v>
      </c>
      <c r="N1172" s="43">
        <v>0</v>
      </c>
      <c r="O1172" s="23">
        <v>1200000</v>
      </c>
      <c r="P1172" s="43">
        <v>0</v>
      </c>
      <c r="Q1172" s="23">
        <v>0</v>
      </c>
      <c r="R1172" s="43">
        <v>1</v>
      </c>
      <c r="S1172" s="23">
        <v>0</v>
      </c>
      <c r="T1172" s="54">
        <f t="shared" si="302"/>
        <v>1</v>
      </c>
      <c r="U1172" s="54">
        <f t="shared" si="297"/>
        <v>100</v>
      </c>
      <c r="V1172" s="35" t="s">
        <v>58</v>
      </c>
      <c r="W1172" s="40">
        <f t="shared" si="298"/>
        <v>1200000</v>
      </c>
      <c r="X1172" s="54">
        <f t="shared" si="299"/>
        <v>100</v>
      </c>
      <c r="Y1172" s="35" t="s">
        <v>58</v>
      </c>
      <c r="Z1172" s="54">
        <f t="shared" si="291"/>
        <v>2</v>
      </c>
      <c r="AA1172" s="40">
        <f t="shared" si="287"/>
        <v>2700000</v>
      </c>
      <c r="AB1172" s="53"/>
      <c r="AC1172" s="35" t="s">
        <v>58</v>
      </c>
      <c r="AD1172" s="53"/>
      <c r="AE1172" s="11"/>
    </row>
    <row r="1173" spans="1:31" ht="94.5">
      <c r="A1173" s="16"/>
      <c r="B1173" s="17"/>
      <c r="C1173" s="17" t="s">
        <v>76</v>
      </c>
      <c r="D1173" s="19" t="s">
        <v>141</v>
      </c>
      <c r="E1173" s="45">
        <f>1*3</f>
        <v>3</v>
      </c>
      <c r="F1173" s="75" t="s">
        <v>55</v>
      </c>
      <c r="G1173" s="41">
        <f>287351646*3</f>
        <v>862054938</v>
      </c>
      <c r="H1173" s="74">
        <v>1</v>
      </c>
      <c r="I1173" s="42">
        <f>SUM(I1174:I1179)</f>
        <v>209994435</v>
      </c>
      <c r="J1173" s="74">
        <v>1</v>
      </c>
      <c r="K1173" s="42">
        <f>SUM(K1174:K1179)</f>
        <v>204807400</v>
      </c>
      <c r="L1173" s="74">
        <v>0</v>
      </c>
      <c r="M1173" s="42">
        <f>SUM(M1174:M1179)</f>
        <v>67147800</v>
      </c>
      <c r="N1173" s="74">
        <v>1</v>
      </c>
      <c r="O1173" s="42">
        <f>SUM(O1174:O1179)</f>
        <v>33583900</v>
      </c>
      <c r="P1173" s="74"/>
      <c r="Q1173" s="42">
        <f>SUM(Q1174:Q1179)</f>
        <v>34895600</v>
      </c>
      <c r="R1173" s="74">
        <v>0</v>
      </c>
      <c r="S1173" s="42">
        <f>SUM(S1174:S1179)</f>
        <v>65320042</v>
      </c>
      <c r="T1173" s="55">
        <f t="shared" si="302"/>
        <v>1</v>
      </c>
      <c r="U1173" s="55">
        <f t="shared" si="297"/>
        <v>100</v>
      </c>
      <c r="V1173" s="58" t="s">
        <v>58</v>
      </c>
      <c r="W1173" s="59">
        <f t="shared" si="298"/>
        <v>200947342</v>
      </c>
      <c r="X1173" s="57">
        <f t="shared" si="299"/>
        <v>98.115274155133065</v>
      </c>
      <c r="Y1173" s="58" t="s">
        <v>58</v>
      </c>
      <c r="Z1173" s="55">
        <f t="shared" si="291"/>
        <v>2</v>
      </c>
      <c r="AA1173" s="59">
        <f t="shared" si="287"/>
        <v>410941777</v>
      </c>
      <c r="AB1173" s="57"/>
      <c r="AC1173" s="58" t="s">
        <v>58</v>
      </c>
      <c r="AD1173" s="57"/>
      <c r="AE1173" s="11"/>
    </row>
    <row r="1174" spans="1:31" ht="120">
      <c r="A1174" s="16"/>
      <c r="B1174" s="17"/>
      <c r="C1174" s="29" t="s">
        <v>342</v>
      </c>
      <c r="D1174" s="29" t="s">
        <v>343</v>
      </c>
      <c r="E1174" s="20">
        <v>36</v>
      </c>
      <c r="F1174" s="21" t="s">
        <v>59</v>
      </c>
      <c r="G1174" s="23">
        <v>10364934</v>
      </c>
      <c r="H1174" s="43">
        <v>12</v>
      </c>
      <c r="I1174" s="23">
        <v>3454978</v>
      </c>
      <c r="J1174" s="43">
        <v>12</v>
      </c>
      <c r="K1174" s="23">
        <v>3127500</v>
      </c>
      <c r="L1174" s="43">
        <v>12</v>
      </c>
      <c r="M1174" s="23">
        <v>3127500</v>
      </c>
      <c r="N1174" s="43">
        <v>0</v>
      </c>
      <c r="O1174" s="42">
        <v>0</v>
      </c>
      <c r="P1174" s="43"/>
      <c r="Q1174" s="23">
        <v>0</v>
      </c>
      <c r="R1174" s="43">
        <v>0</v>
      </c>
      <c r="S1174" s="23">
        <v>0</v>
      </c>
      <c r="T1174" s="54">
        <f>SUM(L1174,N1174,P1174,R1174)</f>
        <v>12</v>
      </c>
      <c r="U1174" s="54">
        <f t="shared" si="297"/>
        <v>100</v>
      </c>
      <c r="V1174" s="35" t="s">
        <v>58</v>
      </c>
      <c r="W1174" s="40">
        <f t="shared" si="298"/>
        <v>3127500</v>
      </c>
      <c r="X1174" s="54">
        <f t="shared" si="299"/>
        <v>100</v>
      </c>
      <c r="Y1174" s="35" t="s">
        <v>58</v>
      </c>
      <c r="Z1174" s="54">
        <f t="shared" si="291"/>
        <v>24</v>
      </c>
      <c r="AA1174" s="40">
        <f t="shared" si="287"/>
        <v>6582478</v>
      </c>
      <c r="AB1174" s="53"/>
      <c r="AC1174" s="35" t="s">
        <v>58</v>
      </c>
      <c r="AD1174" s="53"/>
      <c r="AE1174" s="11"/>
    </row>
    <row r="1175" spans="1:31" ht="90">
      <c r="A1175" s="16"/>
      <c r="B1175" s="17"/>
      <c r="C1175" s="29" t="s">
        <v>345</v>
      </c>
      <c r="D1175" s="29" t="s">
        <v>217</v>
      </c>
      <c r="E1175" s="20">
        <v>36</v>
      </c>
      <c r="F1175" s="21" t="s">
        <v>59</v>
      </c>
      <c r="G1175" s="23">
        <v>109764504</v>
      </c>
      <c r="H1175" s="43">
        <v>12</v>
      </c>
      <c r="I1175" s="23">
        <v>35988168</v>
      </c>
      <c r="J1175" s="43">
        <v>12</v>
      </c>
      <c r="K1175" s="23">
        <v>32176900</v>
      </c>
      <c r="L1175" s="43">
        <v>11</v>
      </c>
      <c r="M1175" s="23">
        <v>29448300</v>
      </c>
      <c r="N1175" s="43">
        <v>1</v>
      </c>
      <c r="O1175" s="23">
        <v>712000</v>
      </c>
      <c r="P1175" s="43"/>
      <c r="Q1175" s="23">
        <v>0</v>
      </c>
      <c r="R1175" s="43">
        <v>0</v>
      </c>
      <c r="S1175" s="23">
        <v>250000</v>
      </c>
      <c r="T1175" s="54">
        <f t="shared" si="302"/>
        <v>12</v>
      </c>
      <c r="U1175" s="54">
        <f t="shared" si="297"/>
        <v>100</v>
      </c>
      <c r="V1175" s="35" t="s">
        <v>58</v>
      </c>
      <c r="W1175" s="40">
        <f t="shared" si="298"/>
        <v>30410300</v>
      </c>
      <c r="X1175" s="53">
        <f t="shared" si="299"/>
        <v>94.50972592139081</v>
      </c>
      <c r="Y1175" s="35" t="s">
        <v>58</v>
      </c>
      <c r="Z1175" s="54">
        <f t="shared" si="291"/>
        <v>24</v>
      </c>
      <c r="AA1175" s="40">
        <f t="shared" si="287"/>
        <v>66398468</v>
      </c>
      <c r="AB1175" s="53"/>
      <c r="AC1175" s="35" t="s">
        <v>58</v>
      </c>
      <c r="AD1175" s="53"/>
      <c r="AE1175" s="11"/>
    </row>
    <row r="1176" spans="1:31" ht="75">
      <c r="A1176" s="16"/>
      <c r="B1176" s="17"/>
      <c r="C1176" s="29" t="s">
        <v>347</v>
      </c>
      <c r="D1176" s="26" t="s">
        <v>218</v>
      </c>
      <c r="E1176" s="20">
        <v>36</v>
      </c>
      <c r="F1176" s="21" t="s">
        <v>59</v>
      </c>
      <c r="G1176" s="23">
        <v>93405000</v>
      </c>
      <c r="H1176" s="43">
        <v>12</v>
      </c>
      <c r="I1176" s="23">
        <v>15062500</v>
      </c>
      <c r="J1176" s="43">
        <v>12</v>
      </c>
      <c r="K1176" s="23">
        <v>51335000</v>
      </c>
      <c r="L1176" s="43">
        <v>3</v>
      </c>
      <c r="M1176" s="23">
        <v>12390000</v>
      </c>
      <c r="N1176" s="43">
        <v>3</v>
      </c>
      <c r="O1176" s="23">
        <v>4560000</v>
      </c>
      <c r="P1176" s="43">
        <v>3</v>
      </c>
      <c r="Q1176" s="23">
        <v>6890000</v>
      </c>
      <c r="R1176" s="43">
        <v>3</v>
      </c>
      <c r="S1176" s="23">
        <v>26197500</v>
      </c>
      <c r="T1176" s="54">
        <f t="shared" si="302"/>
        <v>12</v>
      </c>
      <c r="U1176" s="54">
        <f t="shared" si="297"/>
        <v>100</v>
      </c>
      <c r="V1176" s="35" t="s">
        <v>58</v>
      </c>
      <c r="W1176" s="40">
        <f t="shared" si="298"/>
        <v>50037500</v>
      </c>
      <c r="X1176" s="54">
        <f t="shared" si="299"/>
        <v>97.472484659588972</v>
      </c>
      <c r="Y1176" s="35" t="s">
        <v>58</v>
      </c>
      <c r="Z1176" s="54">
        <f t="shared" si="291"/>
        <v>24</v>
      </c>
      <c r="AA1176" s="40">
        <f t="shared" si="287"/>
        <v>65100000</v>
      </c>
      <c r="AB1176" s="53"/>
      <c r="AC1176" s="35" t="s">
        <v>58</v>
      </c>
      <c r="AD1176" s="53"/>
      <c r="AE1176" s="11"/>
    </row>
    <row r="1177" spans="1:31" ht="90">
      <c r="A1177" s="16"/>
      <c r="B1177" s="17"/>
      <c r="C1177" s="29" t="s">
        <v>349</v>
      </c>
      <c r="D1177" s="26" t="s">
        <v>219</v>
      </c>
      <c r="E1177" s="20">
        <v>36</v>
      </c>
      <c r="F1177" s="21" t="s">
        <v>59</v>
      </c>
      <c r="G1177" s="23">
        <v>58360500</v>
      </c>
      <c r="H1177" s="43">
        <v>12</v>
      </c>
      <c r="I1177" s="23">
        <v>17727350</v>
      </c>
      <c r="J1177" s="43">
        <v>12</v>
      </c>
      <c r="K1177" s="23">
        <v>25890000</v>
      </c>
      <c r="L1177" s="43">
        <v>3</v>
      </c>
      <c r="M1177" s="23">
        <v>982000</v>
      </c>
      <c r="N1177" s="43">
        <v>3</v>
      </c>
      <c r="O1177" s="23">
        <v>7787500</v>
      </c>
      <c r="P1177" s="43">
        <v>3</v>
      </c>
      <c r="Q1177" s="23">
        <v>2900000</v>
      </c>
      <c r="R1177" s="43">
        <v>3</v>
      </c>
      <c r="S1177" s="23">
        <v>14200000</v>
      </c>
      <c r="T1177" s="54">
        <f t="shared" si="302"/>
        <v>12</v>
      </c>
      <c r="U1177" s="54">
        <f t="shared" si="297"/>
        <v>100</v>
      </c>
      <c r="V1177" s="35" t="s">
        <v>58</v>
      </c>
      <c r="W1177" s="40">
        <f t="shared" si="298"/>
        <v>25869500</v>
      </c>
      <c r="X1177" s="53">
        <f t="shared" si="299"/>
        <v>99.920818848976438</v>
      </c>
      <c r="Y1177" s="35" t="s">
        <v>58</v>
      </c>
      <c r="Z1177" s="54">
        <f t="shared" si="291"/>
        <v>24</v>
      </c>
      <c r="AA1177" s="40">
        <f t="shared" si="287"/>
        <v>43596850</v>
      </c>
      <c r="AB1177" s="53"/>
      <c r="AC1177" s="35" t="s">
        <v>58</v>
      </c>
      <c r="AD1177" s="53"/>
      <c r="AE1177" s="11"/>
    </row>
    <row r="1178" spans="1:31" ht="135">
      <c r="A1178" s="16"/>
      <c r="B1178" s="17"/>
      <c r="C1178" s="29" t="s">
        <v>963</v>
      </c>
      <c r="D1178" s="360" t="s">
        <v>1179</v>
      </c>
      <c r="E1178" s="20">
        <v>36</v>
      </c>
      <c r="F1178" s="21" t="s">
        <v>55</v>
      </c>
      <c r="G1178" s="23">
        <v>10800000</v>
      </c>
      <c r="H1178" s="43">
        <v>12</v>
      </c>
      <c r="I1178" s="23">
        <v>3175000</v>
      </c>
      <c r="J1178" s="43">
        <v>12</v>
      </c>
      <c r="K1178" s="23">
        <v>3600000</v>
      </c>
      <c r="L1178" s="43">
        <v>3</v>
      </c>
      <c r="M1178" s="23">
        <v>870000</v>
      </c>
      <c r="N1178" s="43">
        <v>3</v>
      </c>
      <c r="O1178" s="23">
        <v>290000</v>
      </c>
      <c r="P1178" s="43">
        <v>3</v>
      </c>
      <c r="Q1178" s="23">
        <v>860000</v>
      </c>
      <c r="R1178" s="43">
        <v>3</v>
      </c>
      <c r="S1178" s="23">
        <v>940000</v>
      </c>
      <c r="T1178" s="54">
        <f t="shared" si="302"/>
        <v>12</v>
      </c>
      <c r="U1178" s="54">
        <f t="shared" si="297"/>
        <v>100</v>
      </c>
      <c r="V1178" s="35" t="s">
        <v>58</v>
      </c>
      <c r="W1178" s="40">
        <f t="shared" si="298"/>
        <v>2960000</v>
      </c>
      <c r="X1178" s="53">
        <f t="shared" si="299"/>
        <v>82.222222222222214</v>
      </c>
      <c r="Y1178" s="35" t="s">
        <v>58</v>
      </c>
      <c r="Z1178" s="54">
        <f t="shared" si="291"/>
        <v>24</v>
      </c>
      <c r="AA1178" s="40">
        <f t="shared" si="287"/>
        <v>6135000</v>
      </c>
      <c r="AB1178" s="53"/>
      <c r="AC1178" s="35" t="s">
        <v>58</v>
      </c>
      <c r="AD1178" s="53"/>
      <c r="AE1178" s="11"/>
    </row>
    <row r="1179" spans="1:31" ht="120">
      <c r="A1179" s="16"/>
      <c r="B1179" s="17"/>
      <c r="C1179" s="29" t="s">
        <v>77</v>
      </c>
      <c r="D1179" s="360" t="s">
        <v>220</v>
      </c>
      <c r="E1179" s="20">
        <v>36</v>
      </c>
      <c r="F1179" s="21" t="s">
        <v>173</v>
      </c>
      <c r="G1179" s="23">
        <v>579360000</v>
      </c>
      <c r="H1179" s="43">
        <v>12</v>
      </c>
      <c r="I1179" s="23">
        <v>134586439</v>
      </c>
      <c r="J1179" s="43">
        <v>12</v>
      </c>
      <c r="K1179" s="23">
        <v>88678000</v>
      </c>
      <c r="L1179" s="43">
        <v>3</v>
      </c>
      <c r="M1179" s="23">
        <v>20330000</v>
      </c>
      <c r="N1179" s="43">
        <v>3</v>
      </c>
      <c r="O1179" s="23">
        <v>20234400</v>
      </c>
      <c r="P1179" s="43">
        <v>3</v>
      </c>
      <c r="Q1179" s="23">
        <v>24245600</v>
      </c>
      <c r="R1179" s="43">
        <v>3</v>
      </c>
      <c r="S1179" s="23">
        <v>23732542</v>
      </c>
      <c r="T1179" s="54">
        <f t="shared" si="302"/>
        <v>12</v>
      </c>
      <c r="U1179" s="54">
        <f t="shared" si="297"/>
        <v>100</v>
      </c>
      <c r="V1179" s="35" t="s">
        <v>58</v>
      </c>
      <c r="W1179" s="40">
        <f t="shared" si="298"/>
        <v>88542542</v>
      </c>
      <c r="X1179" s="53">
        <f t="shared" si="299"/>
        <v>99.847247344324401</v>
      </c>
      <c r="Y1179" s="35" t="s">
        <v>58</v>
      </c>
      <c r="Z1179" s="54">
        <f t="shared" si="291"/>
        <v>24</v>
      </c>
      <c r="AA1179" s="40">
        <f t="shared" si="287"/>
        <v>223128981</v>
      </c>
      <c r="AB1179" s="53"/>
      <c r="AC1179" s="35" t="s">
        <v>58</v>
      </c>
      <c r="AD1179" s="53"/>
      <c r="AE1179" s="11"/>
    </row>
    <row r="1180" spans="1:31" ht="110.25">
      <c r="A1180" s="16"/>
      <c r="B1180" s="17"/>
      <c r="C1180" s="19" t="s">
        <v>78</v>
      </c>
      <c r="D1180" s="19" t="s">
        <v>1170</v>
      </c>
      <c r="E1180" s="45">
        <v>100</v>
      </c>
      <c r="F1180" s="75" t="s">
        <v>58</v>
      </c>
      <c r="G1180" s="41">
        <f>103167500*3</f>
        <v>309502500</v>
      </c>
      <c r="H1180" s="74">
        <v>100</v>
      </c>
      <c r="I1180" s="42">
        <f>SUM(I1181)</f>
        <v>102877700</v>
      </c>
      <c r="J1180" s="74">
        <v>100</v>
      </c>
      <c r="K1180" s="42">
        <f>SUM(K1181)</f>
        <v>7935000</v>
      </c>
      <c r="L1180" s="74">
        <v>100</v>
      </c>
      <c r="M1180" s="42">
        <f>SUM(M1181)</f>
        <v>345000</v>
      </c>
      <c r="N1180" s="74">
        <v>100</v>
      </c>
      <c r="O1180" s="42">
        <f>SUM(O1181)</f>
        <v>5799000</v>
      </c>
      <c r="P1180" s="74"/>
      <c r="Q1180" s="42">
        <f>SUM(Q1181)</f>
        <v>0</v>
      </c>
      <c r="R1180" s="74">
        <v>100</v>
      </c>
      <c r="S1180" s="42"/>
      <c r="T1180" s="55">
        <f>AVERAGE(L1180,N1180,P1180,R1180)</f>
        <v>100</v>
      </c>
      <c r="U1180" s="55">
        <f t="shared" si="297"/>
        <v>100</v>
      </c>
      <c r="V1180" s="58" t="s">
        <v>58</v>
      </c>
      <c r="W1180" s="59">
        <f t="shared" si="298"/>
        <v>6144000</v>
      </c>
      <c r="X1180" s="57">
        <f t="shared" si="299"/>
        <v>77.429111531190927</v>
      </c>
      <c r="Y1180" s="58" t="s">
        <v>58</v>
      </c>
      <c r="Z1180" s="55">
        <f t="shared" si="291"/>
        <v>200</v>
      </c>
      <c r="AA1180" s="59">
        <f t="shared" si="287"/>
        <v>109021700</v>
      </c>
      <c r="AB1180" s="57"/>
      <c r="AC1180" s="58" t="s">
        <v>58</v>
      </c>
      <c r="AD1180" s="57"/>
      <c r="AE1180" s="11"/>
    </row>
    <row r="1181" spans="1:31" ht="120">
      <c r="A1181" s="16"/>
      <c r="B1181" s="17"/>
      <c r="C1181" s="29" t="s">
        <v>1283</v>
      </c>
      <c r="D1181" s="29" t="s">
        <v>1284</v>
      </c>
      <c r="E1181" s="20">
        <v>36</v>
      </c>
      <c r="F1181" s="21" t="s">
        <v>138</v>
      </c>
      <c r="G1181" s="23">
        <v>309502500</v>
      </c>
      <c r="H1181" s="43">
        <v>12</v>
      </c>
      <c r="I1181" s="23">
        <v>102877700</v>
      </c>
      <c r="J1181" s="43">
        <v>12</v>
      </c>
      <c r="K1181" s="23">
        <v>7935000</v>
      </c>
      <c r="L1181" s="43">
        <v>2</v>
      </c>
      <c r="M1181" s="23">
        <v>345000</v>
      </c>
      <c r="N1181" s="43">
        <v>10</v>
      </c>
      <c r="O1181" s="23">
        <v>5799000</v>
      </c>
      <c r="P1181" s="43">
        <v>0</v>
      </c>
      <c r="Q1181" s="23">
        <v>0</v>
      </c>
      <c r="R1181" s="43">
        <v>0</v>
      </c>
      <c r="S1181" s="23">
        <v>0</v>
      </c>
      <c r="T1181" s="54">
        <f>SUM(L1181,N1181,P1181,R1181)</f>
        <v>12</v>
      </c>
      <c r="U1181" s="54">
        <f t="shared" si="297"/>
        <v>100</v>
      </c>
      <c r="V1181" s="35" t="s">
        <v>58</v>
      </c>
      <c r="W1181" s="40">
        <f t="shared" si="298"/>
        <v>6144000</v>
      </c>
      <c r="X1181" s="53">
        <f t="shared" si="299"/>
        <v>77.429111531190927</v>
      </c>
      <c r="Y1181" s="35" t="s">
        <v>58</v>
      </c>
      <c r="Z1181" s="54">
        <f t="shared" si="291"/>
        <v>24</v>
      </c>
      <c r="AA1181" s="40">
        <f t="shared" si="287"/>
        <v>109021700</v>
      </c>
      <c r="AB1181" s="53"/>
      <c r="AC1181" s="35" t="s">
        <v>58</v>
      </c>
      <c r="AD1181" s="53"/>
      <c r="AE1181" s="11"/>
    </row>
    <row r="1182" spans="1:31" ht="94.5">
      <c r="A1182" s="16"/>
      <c r="B1182" s="17"/>
      <c r="C1182" s="19" t="s">
        <v>79</v>
      </c>
      <c r="D1182" s="19" t="s">
        <v>142</v>
      </c>
      <c r="E1182" s="45">
        <v>100</v>
      </c>
      <c r="F1182" s="75" t="s">
        <v>58</v>
      </c>
      <c r="G1182" s="41">
        <f>75694000*3</f>
        <v>227082000</v>
      </c>
      <c r="H1182" s="74">
        <v>100</v>
      </c>
      <c r="I1182" s="42">
        <f>SUM(I1183:I1185)</f>
        <v>63083459</v>
      </c>
      <c r="J1182" s="74">
        <v>100</v>
      </c>
      <c r="K1182" s="42">
        <f>SUM(K1183:K1185)</f>
        <v>94676000</v>
      </c>
      <c r="L1182" s="74">
        <v>100</v>
      </c>
      <c r="M1182" s="42">
        <f>SUM(M1183:M1185)</f>
        <v>21141198</v>
      </c>
      <c r="N1182" s="74">
        <v>100</v>
      </c>
      <c r="O1182" s="42">
        <f>SUM(O1183:O1185)</f>
        <v>18670448</v>
      </c>
      <c r="P1182" s="74">
        <v>100</v>
      </c>
      <c r="Q1182" s="42">
        <f>SUM(Q1183:Q1185)</f>
        <v>21379556</v>
      </c>
      <c r="R1182" s="74">
        <v>100</v>
      </c>
      <c r="S1182" s="42">
        <f>SUM(S1183:S1185)</f>
        <v>24519008</v>
      </c>
      <c r="T1182" s="55">
        <f>AVERAGE(L1182,N1182,P1182,R1182)</f>
        <v>100</v>
      </c>
      <c r="U1182" s="55">
        <f t="shared" si="297"/>
        <v>100</v>
      </c>
      <c r="V1182" s="58" t="s">
        <v>58</v>
      </c>
      <c r="W1182" s="59">
        <f t="shared" si="298"/>
        <v>85710210</v>
      </c>
      <c r="X1182" s="57">
        <f t="shared" si="299"/>
        <v>90.530028729561877</v>
      </c>
      <c r="Y1182" s="58" t="s">
        <v>58</v>
      </c>
      <c r="Z1182" s="55">
        <f t="shared" si="291"/>
        <v>200</v>
      </c>
      <c r="AA1182" s="59">
        <f t="shared" si="287"/>
        <v>148793669</v>
      </c>
      <c r="AB1182" s="57"/>
      <c r="AC1182" s="58" t="s">
        <v>58</v>
      </c>
      <c r="AD1182" s="53"/>
      <c r="AE1182" s="11"/>
    </row>
    <row r="1183" spans="1:31" ht="75">
      <c r="A1183" s="16"/>
      <c r="B1183" s="17"/>
      <c r="C1183" s="29" t="s">
        <v>86</v>
      </c>
      <c r="D1183" s="29" t="s">
        <v>222</v>
      </c>
      <c r="E1183" s="382">
        <v>36</v>
      </c>
      <c r="F1183" s="21" t="s">
        <v>173</v>
      </c>
      <c r="G1183" s="23">
        <v>9000000</v>
      </c>
      <c r="H1183" s="44">
        <v>12</v>
      </c>
      <c r="I1183" s="23">
        <v>552200</v>
      </c>
      <c r="J1183" s="44">
        <v>12</v>
      </c>
      <c r="K1183" s="23">
        <v>500000</v>
      </c>
      <c r="L1183" s="44">
        <v>3</v>
      </c>
      <c r="M1183" s="23">
        <v>85575</v>
      </c>
      <c r="N1183" s="44">
        <v>3</v>
      </c>
      <c r="O1183" s="62">
        <v>85575</v>
      </c>
      <c r="P1183" s="44">
        <v>3</v>
      </c>
      <c r="Q1183" s="62">
        <v>37000</v>
      </c>
      <c r="R1183" s="44">
        <v>3</v>
      </c>
      <c r="S1183" s="62">
        <v>61475</v>
      </c>
      <c r="T1183" s="427">
        <f>SUM(L1183,N1183,P1183,R1183)</f>
        <v>12</v>
      </c>
      <c r="U1183" s="427">
        <f t="shared" si="297"/>
        <v>100</v>
      </c>
      <c r="V1183" s="253" t="s">
        <v>58</v>
      </c>
      <c r="W1183" s="80">
        <f t="shared" si="298"/>
        <v>269625</v>
      </c>
      <c r="X1183" s="248">
        <f t="shared" si="299"/>
        <v>53.924999999999997</v>
      </c>
      <c r="Y1183" s="253" t="s">
        <v>58</v>
      </c>
      <c r="Z1183" s="427">
        <f t="shared" si="291"/>
        <v>24</v>
      </c>
      <c r="AA1183" s="80">
        <f t="shared" si="287"/>
        <v>821825</v>
      </c>
      <c r="AB1183" s="248"/>
      <c r="AC1183" s="253" t="s">
        <v>58</v>
      </c>
      <c r="AD1183" s="248"/>
      <c r="AE1183" s="11"/>
    </row>
    <row r="1184" spans="1:31" ht="135">
      <c r="A1184" s="16"/>
      <c r="B1184" s="17"/>
      <c r="C1184" s="29" t="s">
        <v>357</v>
      </c>
      <c r="D1184" s="29" t="s">
        <v>223</v>
      </c>
      <c r="E1184" s="382">
        <v>36</v>
      </c>
      <c r="F1184" s="21" t="s">
        <v>173</v>
      </c>
      <c r="G1184" s="23">
        <v>148350000</v>
      </c>
      <c r="H1184" s="44">
        <v>12</v>
      </c>
      <c r="I1184" s="23">
        <v>39591259</v>
      </c>
      <c r="J1184" s="44">
        <v>12</v>
      </c>
      <c r="K1184" s="23">
        <v>31644000</v>
      </c>
      <c r="L1184" s="44">
        <v>3</v>
      </c>
      <c r="M1184" s="23">
        <v>6040623</v>
      </c>
      <c r="N1184" s="44">
        <v>3</v>
      </c>
      <c r="O1184" s="23">
        <v>3679625</v>
      </c>
      <c r="P1184" s="44">
        <v>3</v>
      </c>
      <c r="Q1184" s="23">
        <v>7037556</v>
      </c>
      <c r="R1184" s="44">
        <v>3</v>
      </c>
      <c r="S1184" s="23">
        <v>8827781</v>
      </c>
      <c r="T1184" s="54">
        <f>SUM(L1184,N1184,P1184,R1184)</f>
        <v>12</v>
      </c>
      <c r="U1184" s="54">
        <f t="shared" si="297"/>
        <v>100</v>
      </c>
      <c r="V1184" s="35" t="s">
        <v>58</v>
      </c>
      <c r="W1184" s="40">
        <f t="shared" si="298"/>
        <v>25585585</v>
      </c>
      <c r="X1184" s="53">
        <f t="shared" si="299"/>
        <v>80.854458981165465</v>
      </c>
      <c r="Y1184" s="35" t="s">
        <v>58</v>
      </c>
      <c r="Z1184" s="54">
        <f t="shared" si="291"/>
        <v>24</v>
      </c>
      <c r="AA1184" s="40">
        <f t="shared" si="287"/>
        <v>65176844</v>
      </c>
      <c r="AB1184" s="53"/>
      <c r="AC1184" s="35" t="s">
        <v>58</v>
      </c>
      <c r="AD1184" s="53"/>
      <c r="AE1184" s="11"/>
    </row>
    <row r="1185" spans="1:31" ht="120">
      <c r="A1185" s="16"/>
      <c r="B1185" s="17"/>
      <c r="C1185" s="29" t="s">
        <v>80</v>
      </c>
      <c r="D1185" s="29" t="s">
        <v>224</v>
      </c>
      <c r="E1185" s="382">
        <v>36</v>
      </c>
      <c r="F1185" s="21" t="s">
        <v>173</v>
      </c>
      <c r="G1185" s="23">
        <v>69732000</v>
      </c>
      <c r="H1185" s="44">
        <v>12</v>
      </c>
      <c r="I1185" s="23">
        <v>22940000</v>
      </c>
      <c r="J1185" s="44">
        <v>12</v>
      </c>
      <c r="K1185" s="23">
        <v>62532000</v>
      </c>
      <c r="L1185" s="44">
        <v>3</v>
      </c>
      <c r="M1185" s="23">
        <v>15015000</v>
      </c>
      <c r="N1185" s="44">
        <v>3</v>
      </c>
      <c r="O1185" s="23">
        <v>14905248</v>
      </c>
      <c r="P1185" s="44">
        <v>3</v>
      </c>
      <c r="Q1185" s="23">
        <v>14305000</v>
      </c>
      <c r="R1185" s="44">
        <v>3</v>
      </c>
      <c r="S1185" s="23">
        <v>15629752</v>
      </c>
      <c r="T1185" s="54">
        <f>SUM(L1185,N1185,P1185,R1185)</f>
        <v>12</v>
      </c>
      <c r="U1185" s="54">
        <f t="shared" si="297"/>
        <v>100</v>
      </c>
      <c r="V1185" s="35" t="s">
        <v>58</v>
      </c>
      <c r="W1185" s="40">
        <f t="shared" si="298"/>
        <v>59855000</v>
      </c>
      <c r="X1185" s="53">
        <f t="shared" si="299"/>
        <v>95.718991876159407</v>
      </c>
      <c r="Y1185" s="35" t="s">
        <v>58</v>
      </c>
      <c r="Z1185" s="54">
        <f t="shared" si="291"/>
        <v>24</v>
      </c>
      <c r="AA1185" s="40">
        <f t="shared" si="287"/>
        <v>82795000</v>
      </c>
      <c r="AB1185" s="53"/>
      <c r="AC1185" s="35" t="s">
        <v>58</v>
      </c>
      <c r="AD1185" s="53"/>
      <c r="AE1185" s="11"/>
    </row>
    <row r="1186" spans="1:31" ht="110.25">
      <c r="A1186" s="16"/>
      <c r="B1186" s="17"/>
      <c r="C1186" s="19" t="s">
        <v>81</v>
      </c>
      <c r="D1186" s="19" t="s">
        <v>142</v>
      </c>
      <c r="E1186" s="45">
        <v>100</v>
      </c>
      <c r="F1186" s="75" t="s">
        <v>58</v>
      </c>
      <c r="G1186" s="41">
        <f>160838000*3</f>
        <v>482514000</v>
      </c>
      <c r="H1186" s="74">
        <v>100</v>
      </c>
      <c r="I1186" s="42">
        <f>SUM(I1187:I1189)</f>
        <v>153100300</v>
      </c>
      <c r="J1186" s="74">
        <v>100</v>
      </c>
      <c r="K1186" s="42">
        <f>SUM(K1187:K1189)</f>
        <v>82050000</v>
      </c>
      <c r="L1186" s="74">
        <v>100</v>
      </c>
      <c r="M1186" s="42">
        <f>SUM(M1187:M1189)</f>
        <v>10255000</v>
      </c>
      <c r="N1186" s="74">
        <v>100</v>
      </c>
      <c r="O1186" s="42">
        <f>SUM(O1187:O1189)</f>
        <v>39422800</v>
      </c>
      <c r="P1186" s="74">
        <v>100</v>
      </c>
      <c r="Q1186" s="42">
        <f>SUM(Q1187:Q1189)</f>
        <v>13908500</v>
      </c>
      <c r="R1186" s="74">
        <v>100</v>
      </c>
      <c r="S1186" s="42">
        <f>SUM(S1187:S1189)</f>
        <v>14226500</v>
      </c>
      <c r="T1186" s="55">
        <f>AVERAGE(L1186,N1186,P1186,R1186)</f>
        <v>100</v>
      </c>
      <c r="U1186" s="55">
        <f t="shared" si="297"/>
        <v>100</v>
      </c>
      <c r="V1186" s="58" t="s">
        <v>58</v>
      </c>
      <c r="W1186" s="59">
        <f t="shared" si="298"/>
        <v>77812800</v>
      </c>
      <c r="X1186" s="57">
        <f t="shared" si="299"/>
        <v>94.835831809872033</v>
      </c>
      <c r="Y1186" s="58" t="s">
        <v>58</v>
      </c>
      <c r="Z1186" s="55">
        <f t="shared" si="291"/>
        <v>200</v>
      </c>
      <c r="AA1186" s="59">
        <f t="shared" si="287"/>
        <v>230913100</v>
      </c>
      <c r="AB1186" s="57"/>
      <c r="AC1186" s="58" t="s">
        <v>58</v>
      </c>
      <c r="AD1186" s="57"/>
      <c r="AE1186" s="11"/>
    </row>
    <row r="1187" spans="1:31" ht="180">
      <c r="A1187" s="16"/>
      <c r="B1187" s="17"/>
      <c r="C1187" s="29" t="s">
        <v>82</v>
      </c>
      <c r="D1187" s="29" t="s">
        <v>226</v>
      </c>
      <c r="E1187" s="20">
        <f>15*3</f>
        <v>45</v>
      </c>
      <c r="F1187" s="21" t="s">
        <v>138</v>
      </c>
      <c r="G1187" s="23">
        <v>222882000</v>
      </c>
      <c r="H1187" s="44">
        <v>15</v>
      </c>
      <c r="I1187" s="23">
        <v>68751300</v>
      </c>
      <c r="J1187" s="44">
        <v>15</v>
      </c>
      <c r="K1187" s="23">
        <v>50350000</v>
      </c>
      <c r="L1187" s="44">
        <v>3</v>
      </c>
      <c r="M1187" s="23">
        <v>2275000</v>
      </c>
      <c r="N1187" s="44">
        <v>6</v>
      </c>
      <c r="O1187" s="23">
        <v>21185300</v>
      </c>
      <c r="P1187" s="44">
        <v>4</v>
      </c>
      <c r="Q1187" s="23">
        <v>12408500</v>
      </c>
      <c r="R1187" s="44">
        <v>2</v>
      </c>
      <c r="S1187" s="23">
        <v>10891500</v>
      </c>
      <c r="T1187" s="54">
        <f t="shared" ref="T1187:T1201" si="303">SUM(L1187,N1187,P1187,R1187)</f>
        <v>15</v>
      </c>
      <c r="U1187" s="54">
        <f t="shared" si="297"/>
        <v>100</v>
      </c>
      <c r="V1187" s="35" t="s">
        <v>58</v>
      </c>
      <c r="W1187" s="40">
        <f t="shared" si="298"/>
        <v>46760300</v>
      </c>
      <c r="X1187" s="53">
        <f t="shared" si="299"/>
        <v>92.87050645481628</v>
      </c>
      <c r="Y1187" s="35" t="s">
        <v>58</v>
      </c>
      <c r="Z1187" s="54">
        <f t="shared" si="291"/>
        <v>30</v>
      </c>
      <c r="AA1187" s="40">
        <f t="shared" si="287"/>
        <v>115511600</v>
      </c>
      <c r="AB1187" s="53"/>
      <c r="AC1187" s="35" t="s">
        <v>58</v>
      </c>
      <c r="AD1187" s="53"/>
      <c r="AE1187" s="11"/>
    </row>
    <row r="1188" spans="1:31" ht="105">
      <c r="A1188" s="16"/>
      <c r="B1188" s="17"/>
      <c r="C1188" s="29" t="s">
        <v>83</v>
      </c>
      <c r="D1188" s="29" t="s">
        <v>365</v>
      </c>
      <c r="E1188" s="20">
        <v>3</v>
      </c>
      <c r="F1188" s="21" t="s">
        <v>138</v>
      </c>
      <c r="G1188" s="23">
        <v>226932000</v>
      </c>
      <c r="H1188" s="44">
        <v>1</v>
      </c>
      <c r="I1188" s="23">
        <v>73499000</v>
      </c>
      <c r="J1188" s="44">
        <v>1</v>
      </c>
      <c r="K1188" s="23">
        <v>21000000</v>
      </c>
      <c r="L1188" s="44">
        <v>0</v>
      </c>
      <c r="M1188" s="23">
        <v>7980000</v>
      </c>
      <c r="N1188" s="44">
        <v>1</v>
      </c>
      <c r="O1188" s="40">
        <v>12987500</v>
      </c>
      <c r="P1188" s="44">
        <v>0</v>
      </c>
      <c r="Q1188" s="40">
        <v>0</v>
      </c>
      <c r="R1188" s="44">
        <v>1</v>
      </c>
      <c r="S1188" s="40">
        <v>0</v>
      </c>
      <c r="T1188" s="54">
        <f t="shared" si="303"/>
        <v>2</v>
      </c>
      <c r="U1188" s="54">
        <f t="shared" si="297"/>
        <v>200</v>
      </c>
      <c r="V1188" s="35" t="s">
        <v>58</v>
      </c>
      <c r="W1188" s="40">
        <f t="shared" si="298"/>
        <v>20967500</v>
      </c>
      <c r="X1188" s="53">
        <f t="shared" si="299"/>
        <v>99.845238095238102</v>
      </c>
      <c r="Y1188" s="35" t="s">
        <v>58</v>
      </c>
      <c r="Z1188" s="54">
        <f t="shared" si="291"/>
        <v>3</v>
      </c>
      <c r="AA1188" s="40">
        <f t="shared" si="287"/>
        <v>94466500</v>
      </c>
      <c r="AB1188" s="53"/>
      <c r="AC1188" s="35" t="s">
        <v>58</v>
      </c>
      <c r="AD1188" s="53"/>
      <c r="AE1188" s="11"/>
    </row>
    <row r="1189" spans="1:31" ht="135">
      <c r="A1189" s="16"/>
      <c r="B1189" s="17"/>
      <c r="C1189" s="29" t="s">
        <v>84</v>
      </c>
      <c r="D1189" s="360" t="s">
        <v>228</v>
      </c>
      <c r="E1189" s="20">
        <f>36*3</f>
        <v>108</v>
      </c>
      <c r="F1189" s="21" t="s">
        <v>138</v>
      </c>
      <c r="G1189" s="23">
        <v>32700000</v>
      </c>
      <c r="H1189" s="44">
        <v>36</v>
      </c>
      <c r="I1189" s="23">
        <v>10850000</v>
      </c>
      <c r="J1189" s="44">
        <v>36</v>
      </c>
      <c r="K1189" s="23">
        <v>10700000</v>
      </c>
      <c r="L1189" s="44">
        <v>0</v>
      </c>
      <c r="M1189" s="23">
        <v>0</v>
      </c>
      <c r="N1189" s="44">
        <v>12</v>
      </c>
      <c r="O1189" s="40">
        <v>5250000</v>
      </c>
      <c r="P1189" s="44">
        <v>12</v>
      </c>
      <c r="Q1189" s="40">
        <v>1500000</v>
      </c>
      <c r="R1189" s="44">
        <v>12</v>
      </c>
      <c r="S1189" s="40">
        <v>3335000</v>
      </c>
      <c r="T1189" s="54">
        <f t="shared" si="303"/>
        <v>36</v>
      </c>
      <c r="U1189" s="54">
        <f t="shared" si="297"/>
        <v>100</v>
      </c>
      <c r="V1189" s="35" t="s">
        <v>58</v>
      </c>
      <c r="W1189" s="40">
        <f t="shared" si="298"/>
        <v>10085000</v>
      </c>
      <c r="X1189" s="54">
        <f t="shared" si="299"/>
        <v>94.252336448598129</v>
      </c>
      <c r="Y1189" s="35" t="s">
        <v>58</v>
      </c>
      <c r="Z1189" s="54">
        <f t="shared" si="291"/>
        <v>72</v>
      </c>
      <c r="AA1189" s="40">
        <f t="shared" ref="AA1189:AA1190" si="304">SUM(I1189,W1189)</f>
        <v>20935000</v>
      </c>
      <c r="AB1189" s="53"/>
      <c r="AC1189" s="35" t="s">
        <v>58</v>
      </c>
      <c r="AD1189" s="40"/>
      <c r="AE1189" s="11"/>
    </row>
    <row r="1190" spans="1:31" ht="157.5">
      <c r="A1190" s="48">
        <v>3</v>
      </c>
      <c r="B1190" s="49" t="s">
        <v>1465</v>
      </c>
      <c r="C1190" s="49" t="s">
        <v>1466</v>
      </c>
      <c r="D1190" s="18" t="s">
        <v>1423</v>
      </c>
      <c r="E1190" s="428">
        <v>100</v>
      </c>
      <c r="F1190" s="75" t="s">
        <v>58</v>
      </c>
      <c r="G1190" s="429">
        <f>G1192</f>
        <v>2690575000</v>
      </c>
      <c r="H1190" s="435">
        <v>111.79</v>
      </c>
      <c r="I1190" s="429">
        <f>I1192</f>
        <v>863298000</v>
      </c>
      <c r="J1190" s="428">
        <v>112</v>
      </c>
      <c r="K1190" s="429">
        <f>K1192</f>
        <v>2175000000</v>
      </c>
      <c r="L1190" s="386">
        <v>0</v>
      </c>
      <c r="M1190" s="429">
        <f>M1192</f>
        <v>9966000</v>
      </c>
      <c r="N1190" s="435">
        <v>0</v>
      </c>
      <c r="O1190" s="429">
        <f>O1192</f>
        <v>308450000</v>
      </c>
      <c r="P1190" s="386"/>
      <c r="Q1190" s="429">
        <f>Q1192</f>
        <v>670050000</v>
      </c>
      <c r="R1190" s="386">
        <v>112</v>
      </c>
      <c r="S1190" s="429">
        <f>S1192</f>
        <v>1186108000</v>
      </c>
      <c r="T1190" s="244">
        <v>112</v>
      </c>
      <c r="U1190" s="239">
        <f t="shared" si="297"/>
        <v>100</v>
      </c>
      <c r="V1190" s="240"/>
      <c r="W1190" s="429">
        <f t="shared" si="298"/>
        <v>2174574000</v>
      </c>
      <c r="X1190" s="60">
        <f t="shared" si="299"/>
        <v>99.980413793103452</v>
      </c>
      <c r="Y1190" s="48" t="s">
        <v>58</v>
      </c>
      <c r="Z1190" s="244">
        <f t="shared" si="291"/>
        <v>223.79000000000002</v>
      </c>
      <c r="AA1190" s="429">
        <f t="shared" si="304"/>
        <v>3037872000</v>
      </c>
      <c r="AB1190" s="239"/>
      <c r="AC1190" s="240" t="s">
        <v>58</v>
      </c>
      <c r="AD1190" s="371"/>
      <c r="AE1190" s="11"/>
    </row>
    <row r="1191" spans="1:31" ht="47.25">
      <c r="A1191" s="16"/>
      <c r="B1191" s="17"/>
      <c r="C1191" s="18"/>
      <c r="D1191" s="19" t="s">
        <v>1424</v>
      </c>
      <c r="E1191" s="267" t="s">
        <v>1425</v>
      </c>
      <c r="F1191" s="46" t="s">
        <v>293</v>
      </c>
      <c r="G1191" s="369"/>
      <c r="H1191" s="294">
        <v>86.33</v>
      </c>
      <c r="I1191" s="430"/>
      <c r="J1191" s="294">
        <v>87.17</v>
      </c>
      <c r="K1191" s="41"/>
      <c r="L1191" s="45">
        <v>0</v>
      </c>
      <c r="M1191" s="41"/>
      <c r="N1191" s="108"/>
      <c r="O1191" s="41"/>
      <c r="P1191" s="108"/>
      <c r="Q1191" s="41"/>
      <c r="R1191" s="108" t="s">
        <v>1426</v>
      </c>
      <c r="S1191" s="41"/>
      <c r="T1191" s="293">
        <v>87.54</v>
      </c>
      <c r="U1191" s="55">
        <f t="shared" si="297"/>
        <v>100.42445795571872</v>
      </c>
      <c r="V1191" s="58"/>
      <c r="W1191" s="94"/>
      <c r="X1191" s="239"/>
      <c r="Y1191" s="240"/>
      <c r="Z1191" s="390">
        <f t="shared" ref="Z1191:Z1195" si="305">SUM(H1191,T1191)</f>
        <v>173.87</v>
      </c>
      <c r="AA1191" s="94"/>
      <c r="AB1191" s="57"/>
      <c r="AC1191" s="58" t="s">
        <v>58</v>
      </c>
      <c r="AD1191" s="86"/>
      <c r="AE1191" s="11"/>
    </row>
    <row r="1192" spans="1:31" ht="173.25">
      <c r="A1192" s="16"/>
      <c r="B1192" s="17"/>
      <c r="C1192" s="18" t="s">
        <v>1467</v>
      </c>
      <c r="D1192" s="19" t="s">
        <v>1427</v>
      </c>
      <c r="E1192" s="267">
        <v>65250</v>
      </c>
      <c r="F1192" s="46" t="s">
        <v>1428</v>
      </c>
      <c r="G1192" s="368">
        <f>SUM(G1193:G1194)</f>
        <v>2690575000</v>
      </c>
      <c r="H1192" s="267">
        <v>61087</v>
      </c>
      <c r="I1192" s="368">
        <f>SUM(I1193:I1194)</f>
        <v>863298000</v>
      </c>
      <c r="J1192" s="267">
        <v>63087</v>
      </c>
      <c r="K1192" s="368">
        <f>SUM(K1193:K1194)</f>
        <v>2175000000</v>
      </c>
      <c r="L1192" s="45">
        <v>0</v>
      </c>
      <c r="M1192" s="368">
        <f>SUM(M1193:M1194)</f>
        <v>9966000</v>
      </c>
      <c r="N1192" s="108">
        <v>0</v>
      </c>
      <c r="O1192" s="368">
        <f>SUM(O1193:O1194)</f>
        <v>308450000</v>
      </c>
      <c r="P1192" s="108"/>
      <c r="Q1192" s="368">
        <f>SUM(Q1193:Q1194)</f>
        <v>670050000</v>
      </c>
      <c r="R1192" s="108"/>
      <c r="S1192" s="368">
        <f>SUM(S1193:S1194)</f>
        <v>1186108000</v>
      </c>
      <c r="T1192" s="390">
        <v>102027</v>
      </c>
      <c r="U1192" s="55">
        <f t="shared" si="297"/>
        <v>161.72428551048552</v>
      </c>
      <c r="V1192" s="58"/>
      <c r="W1192" s="368">
        <f t="shared" ref="W1192:W1194" si="306">SUM(M1192,O1192,Q1192,S1192)</f>
        <v>2174574000</v>
      </c>
      <c r="X1192" s="57">
        <f t="shared" ref="X1192:X1194" si="307">W1192/K1192*100</f>
        <v>99.980413793103452</v>
      </c>
      <c r="Y1192" s="58" t="s">
        <v>58</v>
      </c>
      <c r="Z1192" s="390">
        <f t="shared" si="305"/>
        <v>163114</v>
      </c>
      <c r="AA1192" s="59">
        <f>SUM(I1192,W1192)</f>
        <v>3037872000</v>
      </c>
      <c r="AB1192" s="57"/>
      <c r="AC1192" s="58" t="s">
        <v>58</v>
      </c>
      <c r="AD1192" s="53"/>
      <c r="AE1192" s="11"/>
    </row>
    <row r="1193" spans="1:31" ht="60">
      <c r="A1193" s="16"/>
      <c r="B1193" s="17"/>
      <c r="C1193" s="436" t="s">
        <v>1468</v>
      </c>
      <c r="D1193" s="29" t="s">
        <v>1429</v>
      </c>
      <c r="E1193" s="44">
        <v>6</v>
      </c>
      <c r="F1193" s="21" t="s">
        <v>1430</v>
      </c>
      <c r="G1193" s="50">
        <v>2200575000</v>
      </c>
      <c r="H1193" s="44">
        <v>2</v>
      </c>
      <c r="I1193" s="22">
        <v>723400000</v>
      </c>
      <c r="J1193" s="44">
        <v>2</v>
      </c>
      <c r="K1193" s="23">
        <v>1883800000</v>
      </c>
      <c r="L1193" s="44">
        <v>0</v>
      </c>
      <c r="M1193" s="23">
        <v>0</v>
      </c>
      <c r="N1193" s="44">
        <v>0</v>
      </c>
      <c r="O1193" s="23">
        <v>279000000</v>
      </c>
      <c r="P1193" s="44">
        <v>0</v>
      </c>
      <c r="Q1193" s="23">
        <v>534400000</v>
      </c>
      <c r="R1193" s="44">
        <v>2</v>
      </c>
      <c r="S1193" s="23">
        <v>1070380000</v>
      </c>
      <c r="T1193" s="54">
        <f t="shared" si="303"/>
        <v>2</v>
      </c>
      <c r="U1193" s="54">
        <f t="shared" si="297"/>
        <v>100</v>
      </c>
      <c r="V1193" s="35"/>
      <c r="W1193" s="40">
        <f t="shared" si="306"/>
        <v>1883780000</v>
      </c>
      <c r="X1193" s="53">
        <f t="shared" si="307"/>
        <v>99.998938316169443</v>
      </c>
      <c r="Y1193" s="35" t="s">
        <v>58</v>
      </c>
      <c r="Z1193" s="54">
        <f t="shared" si="305"/>
        <v>4</v>
      </c>
      <c r="AA1193" s="40">
        <f>SUM(I1193,W1193)</f>
        <v>2607180000</v>
      </c>
      <c r="AB1193" s="53"/>
      <c r="AC1193" s="35" t="s">
        <v>58</v>
      </c>
      <c r="AD1193" s="53"/>
      <c r="AE1193" s="11"/>
    </row>
    <row r="1194" spans="1:31" ht="60">
      <c r="A1194" s="16"/>
      <c r="B1194" s="17"/>
      <c r="C1194" s="29" t="s">
        <v>1469</v>
      </c>
      <c r="D1194" s="29" t="s">
        <v>1431</v>
      </c>
      <c r="E1194" s="44">
        <v>6</v>
      </c>
      <c r="F1194" s="21" t="s">
        <v>1430</v>
      </c>
      <c r="G1194" s="40">
        <v>490000000</v>
      </c>
      <c r="H1194" s="44">
        <v>2</v>
      </c>
      <c r="I1194" s="40">
        <v>139898000</v>
      </c>
      <c r="J1194" s="44">
        <v>2</v>
      </c>
      <c r="K1194" s="40">
        <v>291200000</v>
      </c>
      <c r="L1194" s="44">
        <v>0</v>
      </c>
      <c r="M1194" s="40">
        <v>9966000</v>
      </c>
      <c r="N1194" s="20">
        <v>0</v>
      </c>
      <c r="O1194" s="40">
        <v>29450000</v>
      </c>
      <c r="P1194" s="20">
        <v>0</v>
      </c>
      <c r="Q1194" s="40">
        <v>135650000</v>
      </c>
      <c r="R1194" s="20">
        <v>2</v>
      </c>
      <c r="S1194" s="23">
        <v>115728000</v>
      </c>
      <c r="T1194" s="54">
        <f t="shared" si="303"/>
        <v>2</v>
      </c>
      <c r="U1194" s="54">
        <f t="shared" si="297"/>
        <v>100</v>
      </c>
      <c r="V1194" s="35"/>
      <c r="W1194" s="40">
        <f t="shared" si="306"/>
        <v>290794000</v>
      </c>
      <c r="X1194" s="53">
        <f t="shared" si="307"/>
        <v>99.860576923076934</v>
      </c>
      <c r="Y1194" s="35" t="s">
        <v>58</v>
      </c>
      <c r="Z1194" s="54">
        <f t="shared" si="305"/>
        <v>4</v>
      </c>
      <c r="AA1194" s="40">
        <f>SUM(I1194,W1194)</f>
        <v>430692000</v>
      </c>
      <c r="AB1194" s="53"/>
      <c r="AC1194" s="35" t="s">
        <v>58</v>
      </c>
      <c r="AD1194" s="57"/>
      <c r="AE1194" s="11"/>
    </row>
    <row r="1195" spans="1:31" ht="78.75">
      <c r="A1195" s="16"/>
      <c r="B1195" s="17"/>
      <c r="C1195" s="1151" t="s">
        <v>1470</v>
      </c>
      <c r="D1195" s="18" t="s">
        <v>1432</v>
      </c>
      <c r="E1195" s="428">
        <v>100</v>
      </c>
      <c r="F1195" s="75" t="s">
        <v>58</v>
      </c>
      <c r="G1195" s="429">
        <v>1394677500</v>
      </c>
      <c r="H1195" s="435">
        <f>69.021/102*100</f>
        <v>67.667647058823533</v>
      </c>
      <c r="I1195" s="429">
        <f>I1198+I1203+I1207</f>
        <v>1059357910</v>
      </c>
      <c r="J1195" s="435">
        <v>82.37</v>
      </c>
      <c r="K1195" s="429">
        <f>K1198+K1203+K1207</f>
        <v>2081727550</v>
      </c>
      <c r="L1195" s="386">
        <v>0</v>
      </c>
      <c r="M1195" s="429">
        <f>M1198+M1203+M1207</f>
        <v>44515000</v>
      </c>
      <c r="N1195" s="278">
        <v>0</v>
      </c>
      <c r="O1195" s="429">
        <f>O1198+O1203+O1207</f>
        <v>621179494</v>
      </c>
      <c r="P1195" s="74"/>
      <c r="Q1195" s="429">
        <f>Q1198+Q1203+Q1207</f>
        <v>238433500</v>
      </c>
      <c r="R1195" s="74">
        <v>100</v>
      </c>
      <c r="S1195" s="429">
        <f>S1198+S1203+S1207</f>
        <v>618464950</v>
      </c>
      <c r="T1195" s="239">
        <f t="shared" si="303"/>
        <v>100</v>
      </c>
      <c r="U1195" s="244">
        <f>Z1195/J1195*100</f>
        <v>203.55426375964979</v>
      </c>
      <c r="V1195" s="240" t="s">
        <v>58</v>
      </c>
      <c r="W1195" s="429">
        <f>SUM(M1195,O1195,Q1195,S1195)</f>
        <v>1522592944</v>
      </c>
      <c r="X1195" s="60">
        <f>W1195/K1195*100</f>
        <v>73.140836513404466</v>
      </c>
      <c r="Y1195" s="48" t="s">
        <v>58</v>
      </c>
      <c r="Z1195" s="239">
        <f t="shared" si="305"/>
        <v>167.66764705882355</v>
      </c>
      <c r="AA1195" s="429">
        <f>SUM(I1195,W1195)</f>
        <v>2581950854</v>
      </c>
      <c r="AB1195" s="239"/>
      <c r="AC1195" s="240" t="s">
        <v>58</v>
      </c>
      <c r="AD1195" s="429"/>
      <c r="AE1195" s="11"/>
    </row>
    <row r="1196" spans="1:31" ht="126">
      <c r="A1196" s="16"/>
      <c r="B1196" s="17"/>
      <c r="C1196" s="1076"/>
      <c r="D1196" s="19" t="s">
        <v>1433</v>
      </c>
      <c r="E1196" s="45">
        <v>82.02</v>
      </c>
      <c r="F1196" s="75" t="s">
        <v>58</v>
      </c>
      <c r="G1196" s="431"/>
      <c r="H1196" s="107">
        <v>89.1</v>
      </c>
      <c r="I1196" s="432"/>
      <c r="J1196" s="45">
        <v>76.06</v>
      </c>
      <c r="K1196" s="432"/>
      <c r="L1196" s="45">
        <v>0</v>
      </c>
      <c r="M1196" s="432"/>
      <c r="N1196" s="108"/>
      <c r="O1196" s="432"/>
      <c r="P1196" s="107"/>
      <c r="Q1196" s="432"/>
      <c r="R1196" s="107"/>
      <c r="S1196" s="432"/>
      <c r="T1196" s="239">
        <f t="shared" si="303"/>
        <v>0</v>
      </c>
      <c r="U1196" s="244">
        <f t="shared" ref="U1196:U1201" si="308">T1196/J1196*100</f>
        <v>0</v>
      </c>
      <c r="V1196" s="240" t="s">
        <v>58</v>
      </c>
      <c r="W1196" s="432"/>
      <c r="X1196" s="241"/>
      <c r="Y1196" s="16"/>
      <c r="Z1196" s="239">
        <f>T1196</f>
        <v>0</v>
      </c>
      <c r="AA1196" s="432"/>
      <c r="AB1196" s="239"/>
      <c r="AC1196" s="240"/>
      <c r="AD1196" s="432"/>
      <c r="AE1196" s="11"/>
    </row>
    <row r="1197" spans="1:31" ht="31.5">
      <c r="A1197" s="16"/>
      <c r="B1197" s="17"/>
      <c r="C1197" s="1152"/>
      <c r="D1197" s="19" t="s">
        <v>1434</v>
      </c>
      <c r="E1197" s="45">
        <v>108</v>
      </c>
      <c r="F1197" s="46" t="s">
        <v>1435</v>
      </c>
      <c r="G1197" s="369"/>
      <c r="H1197" s="107">
        <v>106.35</v>
      </c>
      <c r="I1197" s="430"/>
      <c r="J1197" s="45">
        <v>107</v>
      </c>
      <c r="K1197" s="430"/>
      <c r="L1197" s="45">
        <v>0</v>
      </c>
      <c r="M1197" s="430"/>
      <c r="N1197" s="108"/>
      <c r="O1197" s="430"/>
      <c r="P1197" s="107"/>
      <c r="Q1197" s="430"/>
      <c r="R1197" s="107"/>
      <c r="S1197" s="430"/>
      <c r="T1197" s="239">
        <f t="shared" si="303"/>
        <v>0</v>
      </c>
      <c r="U1197" s="244">
        <f t="shared" si="308"/>
        <v>0</v>
      </c>
      <c r="V1197" s="240" t="s">
        <v>58</v>
      </c>
      <c r="W1197" s="430"/>
      <c r="X1197" s="239"/>
      <c r="Y1197" s="240"/>
      <c r="Z1197" s="239">
        <f>T1197</f>
        <v>0</v>
      </c>
      <c r="AA1197" s="430"/>
      <c r="AB1197" s="239"/>
      <c r="AC1197" s="240"/>
      <c r="AD1197" s="430"/>
      <c r="AE1197" s="11"/>
    </row>
    <row r="1198" spans="1:31" ht="110.25">
      <c r="A1198" s="16"/>
      <c r="B1198" s="17"/>
      <c r="C1198" s="1065" t="s">
        <v>1471</v>
      </c>
      <c r="D1198" s="19" t="s">
        <v>1436</v>
      </c>
      <c r="E1198" s="267">
        <v>1825</v>
      </c>
      <c r="F1198" s="46" t="s">
        <v>173</v>
      </c>
      <c r="G1198" s="52">
        <f>SUM(G1200:G1201)</f>
        <v>502750500</v>
      </c>
      <c r="H1198" s="267">
        <v>1095</v>
      </c>
      <c r="I1198" s="52">
        <f>SUM(I1200:I1201)</f>
        <v>159862000</v>
      </c>
      <c r="J1198" s="267">
        <v>1460</v>
      </c>
      <c r="K1198" s="52">
        <f>SUM(K1200:K1201)</f>
        <v>240177550</v>
      </c>
      <c r="L1198" s="108">
        <f>1095+91</f>
        <v>1186</v>
      </c>
      <c r="M1198" s="52">
        <f>SUM(M1200:M1201)</f>
        <v>34274000</v>
      </c>
      <c r="N1198" s="108">
        <v>91</v>
      </c>
      <c r="O1198" s="52">
        <f>SUM(O1200:O1201)</f>
        <v>54877500</v>
      </c>
      <c r="P1198" s="108">
        <v>91</v>
      </c>
      <c r="Q1198" s="52">
        <f>SUM(Q1200:Q1201)</f>
        <v>36187500</v>
      </c>
      <c r="R1198" s="108">
        <v>92</v>
      </c>
      <c r="S1198" s="52">
        <f>SUM(S1200:S1201)</f>
        <v>70854000</v>
      </c>
      <c r="T1198" s="55">
        <f t="shared" si="303"/>
        <v>1460</v>
      </c>
      <c r="U1198" s="57">
        <f t="shared" si="308"/>
        <v>100</v>
      </c>
      <c r="V1198" s="58" t="s">
        <v>58</v>
      </c>
      <c r="W1198" s="56">
        <f>SUM(M1198,O1198,Q1198,S1198)</f>
        <v>196193000</v>
      </c>
      <c r="X1198" s="60">
        <f>W1198/K1198*100</f>
        <v>81.686652228736605</v>
      </c>
      <c r="Y1198" s="48" t="s">
        <v>58</v>
      </c>
      <c r="Z1198" s="55">
        <f t="shared" ref="Z1198:Z1256" si="309">SUM(H1198,T1198)</f>
        <v>2555</v>
      </c>
      <c r="AA1198" s="56">
        <f>SUM(I1198,W1198)</f>
        <v>356055000</v>
      </c>
      <c r="AB1198" s="57"/>
      <c r="AC1198" s="58" t="s">
        <v>58</v>
      </c>
      <c r="AD1198" s="60"/>
      <c r="AE1198" s="11"/>
    </row>
    <row r="1199" spans="1:31" ht="94.5">
      <c r="A1199" s="16"/>
      <c r="B1199" s="17"/>
      <c r="C1199" s="1067"/>
      <c r="D1199" s="19" t="s">
        <v>1437</v>
      </c>
      <c r="E1199" s="267">
        <v>1825</v>
      </c>
      <c r="F1199" s="46" t="s">
        <v>173</v>
      </c>
      <c r="G1199" s="369"/>
      <c r="H1199" s="267">
        <v>1003</v>
      </c>
      <c r="I1199" s="430"/>
      <c r="J1199" s="267">
        <v>1460</v>
      </c>
      <c r="K1199" s="41"/>
      <c r="L1199" s="108">
        <v>1186</v>
      </c>
      <c r="M1199" s="41"/>
      <c r="N1199" s="108">
        <v>91</v>
      </c>
      <c r="O1199" s="41"/>
      <c r="P1199" s="108">
        <v>91</v>
      </c>
      <c r="Q1199" s="41"/>
      <c r="R1199" s="108">
        <v>92</v>
      </c>
      <c r="S1199" s="41"/>
      <c r="T1199" s="55">
        <f t="shared" si="303"/>
        <v>1460</v>
      </c>
      <c r="U1199" s="57">
        <f t="shared" si="308"/>
        <v>100</v>
      </c>
      <c r="V1199" s="58" t="s">
        <v>58</v>
      </c>
      <c r="W1199" s="94"/>
      <c r="X1199" s="239"/>
      <c r="Y1199" s="240"/>
      <c r="Z1199" s="55">
        <f t="shared" si="309"/>
        <v>2463</v>
      </c>
      <c r="AA1199" s="94"/>
      <c r="AB1199" s="57"/>
      <c r="AC1199" s="58" t="s">
        <v>58</v>
      </c>
      <c r="AD1199" s="239"/>
      <c r="AE1199" s="11"/>
    </row>
    <row r="1200" spans="1:31" ht="75">
      <c r="A1200" s="16"/>
      <c r="B1200" s="17"/>
      <c r="C1200" s="29" t="s">
        <v>1438</v>
      </c>
      <c r="D1200" s="29" t="s">
        <v>1438</v>
      </c>
      <c r="E1200" s="44">
        <v>36</v>
      </c>
      <c r="F1200" s="21" t="s">
        <v>55</v>
      </c>
      <c r="G1200" s="40">
        <v>262476000</v>
      </c>
      <c r="H1200" s="44">
        <v>12</v>
      </c>
      <c r="I1200" s="40">
        <v>84702500</v>
      </c>
      <c r="J1200" s="44">
        <v>12</v>
      </c>
      <c r="K1200" s="40">
        <v>88004000</v>
      </c>
      <c r="L1200" s="44">
        <v>3</v>
      </c>
      <c r="M1200" s="40">
        <v>18144000</v>
      </c>
      <c r="N1200" s="44">
        <v>3</v>
      </c>
      <c r="O1200" s="40">
        <v>27037500</v>
      </c>
      <c r="P1200" s="44">
        <v>3</v>
      </c>
      <c r="Q1200" s="40">
        <v>21937500</v>
      </c>
      <c r="R1200" s="44">
        <v>3</v>
      </c>
      <c r="S1200" s="40">
        <v>20829000</v>
      </c>
      <c r="T1200" s="54">
        <f t="shared" si="303"/>
        <v>12</v>
      </c>
      <c r="U1200" s="54">
        <f t="shared" si="308"/>
        <v>100</v>
      </c>
      <c r="V1200" s="35" t="s">
        <v>58</v>
      </c>
      <c r="W1200" s="40">
        <f>SUM(M1200,O1200,Q1200,S1200)</f>
        <v>87948000</v>
      </c>
      <c r="X1200" s="53">
        <f>W1200/K1200*100</f>
        <v>99.936366528794139</v>
      </c>
      <c r="Y1200" s="35" t="s">
        <v>58</v>
      </c>
      <c r="Z1200" s="54">
        <f t="shared" si="309"/>
        <v>24</v>
      </c>
      <c r="AA1200" s="40">
        <f t="shared" ref="AA1200:AA1207" si="310">SUM(I1200,W1200)</f>
        <v>172650500</v>
      </c>
      <c r="AB1200" s="53"/>
      <c r="AC1200" s="35" t="s">
        <v>58</v>
      </c>
      <c r="AD1200" s="57"/>
      <c r="AE1200" s="11"/>
    </row>
    <row r="1201" spans="1:31" ht="135">
      <c r="A1201" s="16"/>
      <c r="B1201" s="17"/>
      <c r="C1201" s="26" t="s">
        <v>1472</v>
      </c>
      <c r="D1201" s="29" t="s">
        <v>1439</v>
      </c>
      <c r="E1201" s="44">
        <v>8</v>
      </c>
      <c r="F1201" s="47" t="s">
        <v>138</v>
      </c>
      <c r="G1201" s="50">
        <v>240274500</v>
      </c>
      <c r="H1201" s="44">
        <v>6</v>
      </c>
      <c r="I1201" s="22">
        <v>75159500</v>
      </c>
      <c r="J1201" s="44">
        <v>2</v>
      </c>
      <c r="K1201" s="23">
        <v>152173550</v>
      </c>
      <c r="L1201" s="44">
        <v>0</v>
      </c>
      <c r="M1201" s="23">
        <v>16130000</v>
      </c>
      <c r="N1201" s="44">
        <v>1</v>
      </c>
      <c r="O1201" s="23">
        <v>27840000</v>
      </c>
      <c r="P1201" s="44">
        <v>0</v>
      </c>
      <c r="Q1201" s="23">
        <v>14250000</v>
      </c>
      <c r="R1201" s="44">
        <v>1</v>
      </c>
      <c r="S1201" s="23">
        <v>50025000</v>
      </c>
      <c r="T1201" s="54">
        <f t="shared" si="303"/>
        <v>2</v>
      </c>
      <c r="U1201" s="54">
        <f t="shared" si="308"/>
        <v>100</v>
      </c>
      <c r="V1201" s="35" t="s">
        <v>58</v>
      </c>
      <c r="W1201" s="40">
        <f>SUM(M1201,O1201,Q1201,S1201)</f>
        <v>108245000</v>
      </c>
      <c r="X1201" s="53">
        <f>W1201/K1201*100</f>
        <v>71.132598273484447</v>
      </c>
      <c r="Y1201" s="35" t="s">
        <v>58</v>
      </c>
      <c r="Z1201" s="54">
        <f t="shared" si="309"/>
        <v>8</v>
      </c>
      <c r="AA1201" s="40">
        <f t="shared" si="310"/>
        <v>183404500</v>
      </c>
      <c r="AB1201" s="53"/>
      <c r="AC1201" s="35" t="s">
        <v>58</v>
      </c>
      <c r="AD1201" s="53"/>
      <c r="AE1201" s="11"/>
    </row>
    <row r="1202" spans="1:31" ht="150">
      <c r="A1202" s="16"/>
      <c r="B1202" s="17"/>
      <c r="C1202" s="436" t="s">
        <v>1473</v>
      </c>
      <c r="D1202" s="29" t="s">
        <v>1440</v>
      </c>
      <c r="E1202" s="44">
        <v>6</v>
      </c>
      <c r="F1202" s="47" t="s">
        <v>173</v>
      </c>
      <c r="G1202" s="50">
        <v>10150000</v>
      </c>
      <c r="H1202" s="44">
        <v>2</v>
      </c>
      <c r="I1202" s="22">
        <v>0</v>
      </c>
      <c r="J1202" s="44"/>
      <c r="K1202" s="23"/>
      <c r="L1202" s="20"/>
      <c r="M1202" s="23"/>
      <c r="N1202" s="104"/>
      <c r="O1202" s="23">
        <v>0</v>
      </c>
      <c r="P1202" s="20"/>
      <c r="Q1202" s="23"/>
      <c r="R1202" s="20"/>
      <c r="S1202" s="23"/>
      <c r="T1202" s="54"/>
      <c r="U1202" s="54"/>
      <c r="V1202" s="35"/>
      <c r="W1202" s="40"/>
      <c r="X1202" s="54"/>
      <c r="Y1202" s="35"/>
      <c r="Z1202" s="54">
        <f t="shared" si="309"/>
        <v>2</v>
      </c>
      <c r="AA1202" s="40">
        <f t="shared" si="310"/>
        <v>0</v>
      </c>
      <c r="AB1202" s="53"/>
      <c r="AC1202" s="35" t="s">
        <v>58</v>
      </c>
      <c r="AD1202" s="53"/>
      <c r="AE1202" s="11"/>
    </row>
    <row r="1203" spans="1:31" ht="126">
      <c r="A1203" s="16"/>
      <c r="B1203" s="17"/>
      <c r="C1203" s="18" t="s">
        <v>1474</v>
      </c>
      <c r="D1203" s="19" t="s">
        <v>1441</v>
      </c>
      <c r="E1203" s="267">
        <v>104021</v>
      </c>
      <c r="F1203" s="46" t="s">
        <v>1428</v>
      </c>
      <c r="G1203" s="42">
        <f>SUM(G1204:G1206)</f>
        <v>521251800</v>
      </c>
      <c r="H1203" s="267">
        <v>69021</v>
      </c>
      <c r="I1203" s="42">
        <f>SUM(I1204:I1206)</f>
        <v>100483500</v>
      </c>
      <c r="J1203" s="267">
        <v>84021</v>
      </c>
      <c r="K1203" s="42">
        <f>SUM(K1204:K1205)</f>
        <v>925353800</v>
      </c>
      <c r="L1203" s="267">
        <f>L1204</f>
        <v>0</v>
      </c>
      <c r="M1203" s="42">
        <f>SUM(M1204:M1205)</f>
        <v>1500000</v>
      </c>
      <c r="N1203" s="267">
        <v>84021</v>
      </c>
      <c r="O1203" s="42">
        <f>SUM(O1204:O1205)</f>
        <v>295144994</v>
      </c>
      <c r="P1203" s="267"/>
      <c r="Q1203" s="42">
        <f>Q1204+Q1205</f>
        <v>7100000</v>
      </c>
      <c r="R1203" s="267">
        <v>7666</v>
      </c>
      <c r="S1203" s="42">
        <f>S1204+S1205</f>
        <v>547610950</v>
      </c>
      <c r="T1203" s="390">
        <f>SUM(L1203,N1203,P1203,R1203)</f>
        <v>91687</v>
      </c>
      <c r="U1203" s="55">
        <f>Z1203/J1203*100</f>
        <v>191.27122981159474</v>
      </c>
      <c r="V1203" s="58" t="s">
        <v>58</v>
      </c>
      <c r="W1203" s="59">
        <f>SUM(M1203,O1203,Q1203,S1203)</f>
        <v>851355944</v>
      </c>
      <c r="X1203" s="55">
        <f>W1203/K1203*100</f>
        <v>92.003290417135588</v>
      </c>
      <c r="Y1203" s="58" t="s">
        <v>58</v>
      </c>
      <c r="Z1203" s="390">
        <f t="shared" si="309"/>
        <v>160708</v>
      </c>
      <c r="AA1203" s="59">
        <f t="shared" si="310"/>
        <v>951839444</v>
      </c>
      <c r="AB1203" s="57"/>
      <c r="AC1203" s="58" t="s">
        <v>58</v>
      </c>
      <c r="AD1203" s="57"/>
      <c r="AE1203" s="11"/>
    </row>
    <row r="1204" spans="1:31" ht="90">
      <c r="A1204" s="16"/>
      <c r="B1204" s="17"/>
      <c r="C1204" s="29" t="s">
        <v>1475</v>
      </c>
      <c r="D1204" s="29" t="s">
        <v>1442</v>
      </c>
      <c r="E1204" s="433">
        <v>24.75</v>
      </c>
      <c r="F1204" s="21" t="s">
        <v>1118</v>
      </c>
      <c r="G1204" s="40">
        <v>495726800</v>
      </c>
      <c r="H1204" s="433">
        <v>14.25</v>
      </c>
      <c r="I1204" s="40">
        <v>93974250</v>
      </c>
      <c r="J1204" s="285">
        <v>9.5</v>
      </c>
      <c r="K1204" s="40">
        <v>921353800</v>
      </c>
      <c r="L1204" s="44">
        <v>0</v>
      </c>
      <c r="M1204" s="40">
        <v>1500000</v>
      </c>
      <c r="N1204" s="104" t="s">
        <v>1371</v>
      </c>
      <c r="O1204" s="40">
        <v>291144994</v>
      </c>
      <c r="P1204" s="104">
        <v>0</v>
      </c>
      <c r="Q1204" s="40">
        <v>7100000</v>
      </c>
      <c r="R1204" s="104" t="s">
        <v>1443</v>
      </c>
      <c r="S1204" s="40">
        <v>547610950</v>
      </c>
      <c r="T1204" s="437">
        <v>10.8</v>
      </c>
      <c r="U1204" s="54">
        <f>T1204/J1204*100</f>
        <v>113.68421052631578</v>
      </c>
      <c r="V1204" s="35" t="s">
        <v>58</v>
      </c>
      <c r="W1204" s="40">
        <f>SUM(M1204,O1204,Q1204,S1204)</f>
        <v>847355944</v>
      </c>
      <c r="X1204" s="54">
        <f>W1204/K1204*100</f>
        <v>91.968573201738565</v>
      </c>
      <c r="Y1204" s="35" t="s">
        <v>58</v>
      </c>
      <c r="Z1204" s="54">
        <f t="shared" si="309"/>
        <v>25.05</v>
      </c>
      <c r="AA1204" s="40">
        <f t="shared" si="310"/>
        <v>941330194</v>
      </c>
      <c r="AB1204" s="53"/>
      <c r="AC1204" s="35" t="s">
        <v>58</v>
      </c>
      <c r="AD1204" s="57"/>
      <c r="AE1204" s="11"/>
    </row>
    <row r="1205" spans="1:31" ht="105">
      <c r="A1205" s="16"/>
      <c r="B1205" s="17"/>
      <c r="C1205" s="26" t="s">
        <v>1476</v>
      </c>
      <c r="D1205" s="29" t="s">
        <v>1444</v>
      </c>
      <c r="E1205" s="434">
        <v>30</v>
      </c>
      <c r="F1205" s="21" t="s">
        <v>1118</v>
      </c>
      <c r="G1205" s="50">
        <v>13000000</v>
      </c>
      <c r="H1205" s="434">
        <v>10</v>
      </c>
      <c r="I1205" s="22">
        <v>4000000</v>
      </c>
      <c r="J1205" s="434">
        <v>10</v>
      </c>
      <c r="K1205" s="23">
        <v>4000000</v>
      </c>
      <c r="L1205" s="104">
        <v>0</v>
      </c>
      <c r="M1205" s="23">
        <v>0</v>
      </c>
      <c r="N1205" s="104">
        <v>10</v>
      </c>
      <c r="O1205" s="23">
        <v>4000000</v>
      </c>
      <c r="P1205" s="104">
        <v>0</v>
      </c>
      <c r="Q1205" s="23">
        <v>0</v>
      </c>
      <c r="R1205" s="104"/>
      <c r="S1205" s="23">
        <v>0</v>
      </c>
      <c r="T1205" s="106">
        <f>SUM(L1205,N1205,P1205,R1205)</f>
        <v>10</v>
      </c>
      <c r="U1205" s="54">
        <f>T1205/J1205*100</f>
        <v>100</v>
      </c>
      <c r="V1205" s="35" t="s">
        <v>58</v>
      </c>
      <c r="W1205" s="40">
        <f>SUM(M1205,O1205,Q1205,S1205)</f>
        <v>4000000</v>
      </c>
      <c r="X1205" s="54">
        <f>W1205/K1205*100</f>
        <v>100</v>
      </c>
      <c r="Y1205" s="35" t="s">
        <v>58</v>
      </c>
      <c r="Z1205" s="106">
        <f t="shared" si="309"/>
        <v>20</v>
      </c>
      <c r="AA1205" s="40">
        <f t="shared" si="310"/>
        <v>8000000</v>
      </c>
      <c r="AB1205" s="53"/>
      <c r="AC1205" s="35" t="s">
        <v>58</v>
      </c>
      <c r="AD1205" s="53"/>
      <c r="AE1205" s="11"/>
    </row>
    <row r="1206" spans="1:31" ht="135">
      <c r="A1206" s="16"/>
      <c r="B1206" s="17"/>
      <c r="C1206" s="436" t="s">
        <v>1477</v>
      </c>
      <c r="D1206" s="29" t="s">
        <v>1445</v>
      </c>
      <c r="E1206" s="20">
        <v>6</v>
      </c>
      <c r="F1206" s="21" t="s">
        <v>173</v>
      </c>
      <c r="G1206" s="50">
        <v>12525000</v>
      </c>
      <c r="H1206" s="102">
        <v>4</v>
      </c>
      <c r="I1206" s="22">
        <v>2509250</v>
      </c>
      <c r="J1206" s="20"/>
      <c r="K1206" s="23"/>
      <c r="L1206" s="20"/>
      <c r="M1206" s="23"/>
      <c r="N1206" s="20"/>
      <c r="O1206" s="23"/>
      <c r="P1206" s="20"/>
      <c r="Q1206" s="23"/>
      <c r="R1206" s="20"/>
      <c r="S1206" s="23"/>
      <c r="T1206" s="54"/>
      <c r="U1206" s="54"/>
      <c r="V1206" s="35"/>
      <c r="W1206" s="40"/>
      <c r="X1206" s="54"/>
      <c r="Y1206" s="35"/>
      <c r="Z1206" s="54">
        <f t="shared" si="309"/>
        <v>4</v>
      </c>
      <c r="AA1206" s="40">
        <f t="shared" si="310"/>
        <v>2509250</v>
      </c>
      <c r="AB1206" s="53"/>
      <c r="AC1206" s="35" t="s">
        <v>58</v>
      </c>
      <c r="AD1206" s="53"/>
      <c r="AE1206" s="11"/>
    </row>
    <row r="1207" spans="1:31" ht="189">
      <c r="A1207" s="16"/>
      <c r="B1207" s="17"/>
      <c r="C1207" s="49" t="s">
        <v>1478</v>
      </c>
      <c r="D1207" s="19" t="s">
        <v>1446</v>
      </c>
      <c r="E1207" s="45">
        <v>740</v>
      </c>
      <c r="F1207" s="46" t="s">
        <v>1447</v>
      </c>
      <c r="G1207" s="52">
        <f>SUM(G1209:G1211)</f>
        <v>784205000</v>
      </c>
      <c r="H1207" s="108">
        <v>859</v>
      </c>
      <c r="I1207" s="52">
        <f>SUM(I1209:I1211)</f>
        <v>799012410</v>
      </c>
      <c r="J1207" s="45">
        <v>680</v>
      </c>
      <c r="K1207" s="52">
        <f>SUM(K1209:K1211)</f>
        <v>916196200</v>
      </c>
      <c r="L1207" s="107">
        <v>170</v>
      </c>
      <c r="M1207" s="52">
        <f>SUM(M1209:M1211)</f>
        <v>8741000</v>
      </c>
      <c r="N1207" s="107">
        <v>170</v>
      </c>
      <c r="O1207" s="52">
        <f>SUM(O1209:O1211)</f>
        <v>271157000</v>
      </c>
      <c r="P1207" s="107">
        <v>170</v>
      </c>
      <c r="Q1207" s="52">
        <f>Q1209+Q1210+Q1211</f>
        <v>195146000</v>
      </c>
      <c r="R1207" s="107">
        <v>170</v>
      </c>
      <c r="S1207" s="52"/>
      <c r="T1207" s="57">
        <f>SUM(L1207,N1207,P1207,R1207)</f>
        <v>680</v>
      </c>
      <c r="U1207" s="57">
        <f>T1207/J1207*100</f>
        <v>100</v>
      </c>
      <c r="V1207" s="58" t="s">
        <v>58</v>
      </c>
      <c r="W1207" s="56">
        <f>SUM(M1207,O1207,Q1207,S1207)</f>
        <v>475044000</v>
      </c>
      <c r="X1207" s="60">
        <f>W1207/K1207*100</f>
        <v>51.84959291470539</v>
      </c>
      <c r="Y1207" s="48" t="s">
        <v>58</v>
      </c>
      <c r="Z1207" s="55">
        <f t="shared" si="309"/>
        <v>1539</v>
      </c>
      <c r="AA1207" s="56">
        <f t="shared" si="310"/>
        <v>1274056410</v>
      </c>
      <c r="AB1207" s="57"/>
      <c r="AC1207" s="58" t="s">
        <v>58</v>
      </c>
      <c r="AD1207" s="248"/>
      <c r="AE1207" s="11"/>
    </row>
    <row r="1208" spans="1:31" ht="31.5">
      <c r="A1208" s="16"/>
      <c r="B1208" s="17"/>
      <c r="C1208" s="18"/>
      <c r="D1208" s="19" t="s">
        <v>1448</v>
      </c>
      <c r="E1208" s="45">
        <v>86.17</v>
      </c>
      <c r="F1208" s="46" t="s">
        <v>293</v>
      </c>
      <c r="G1208" s="369"/>
      <c r="H1208" s="107">
        <v>89.91</v>
      </c>
      <c r="I1208" s="430"/>
      <c r="J1208" s="45">
        <v>85.32</v>
      </c>
      <c r="K1208" s="41"/>
      <c r="L1208" s="107">
        <v>0</v>
      </c>
      <c r="M1208" s="41"/>
      <c r="N1208" s="107">
        <v>0</v>
      </c>
      <c r="O1208" s="41"/>
      <c r="P1208" s="107"/>
      <c r="Q1208" s="41"/>
      <c r="R1208" s="107" t="s">
        <v>1449</v>
      </c>
      <c r="S1208" s="41"/>
      <c r="T1208" s="57">
        <v>96.38</v>
      </c>
      <c r="U1208" s="57">
        <f>T1208/J1208*100</f>
        <v>112.96296296296298</v>
      </c>
      <c r="V1208" s="58" t="s">
        <v>58</v>
      </c>
      <c r="W1208" s="94"/>
      <c r="X1208" s="239"/>
      <c r="Y1208" s="240"/>
      <c r="Z1208" s="57">
        <f t="shared" si="309"/>
        <v>186.29</v>
      </c>
      <c r="AA1208" s="94"/>
      <c r="AB1208" s="57"/>
      <c r="AC1208" s="58" t="s">
        <v>58</v>
      </c>
      <c r="AD1208" s="86"/>
      <c r="AE1208" s="11"/>
    </row>
    <row r="1209" spans="1:31" ht="120">
      <c r="A1209" s="16"/>
      <c r="B1209" s="17"/>
      <c r="C1209" s="436" t="s">
        <v>1479</v>
      </c>
      <c r="D1209" s="29" t="s">
        <v>1450</v>
      </c>
      <c r="E1209" s="44">
        <v>12</v>
      </c>
      <c r="F1209" s="21" t="s">
        <v>55</v>
      </c>
      <c r="G1209" s="50"/>
      <c r="H1209" s="44">
        <v>4</v>
      </c>
      <c r="I1209" s="22"/>
      <c r="J1209" s="44">
        <v>4</v>
      </c>
      <c r="K1209" s="23">
        <v>6940000</v>
      </c>
      <c r="L1209" s="44">
        <v>1</v>
      </c>
      <c r="M1209" s="23">
        <v>111000</v>
      </c>
      <c r="N1209" s="44">
        <v>1</v>
      </c>
      <c r="O1209" s="23">
        <v>0</v>
      </c>
      <c r="P1209" s="44">
        <v>1</v>
      </c>
      <c r="Q1209" s="23">
        <v>2995000</v>
      </c>
      <c r="R1209" s="44">
        <v>1</v>
      </c>
      <c r="S1209" s="23">
        <v>2834000</v>
      </c>
      <c r="T1209" s="54">
        <f>SUM(L1209,N1209,P1209,R1209)</f>
        <v>4</v>
      </c>
      <c r="U1209" s="53">
        <f>T1209/J1209*100</f>
        <v>100</v>
      </c>
      <c r="V1209" s="35" t="s">
        <v>58</v>
      </c>
      <c r="W1209" s="40">
        <f>SUM(M1209,O1209,Q1209,S1209)</f>
        <v>5940000</v>
      </c>
      <c r="X1209" s="53">
        <f>W1209/K1209*100</f>
        <v>85.590778097982707</v>
      </c>
      <c r="Y1209" s="35" t="s">
        <v>58</v>
      </c>
      <c r="Z1209" s="54">
        <f t="shared" si="309"/>
        <v>8</v>
      </c>
      <c r="AA1209" s="40">
        <f t="shared" ref="AA1209:AA1216" si="311">SUM(I1209,W1209)</f>
        <v>5940000</v>
      </c>
      <c r="AB1209" s="53"/>
      <c r="AC1209" s="35" t="s">
        <v>58</v>
      </c>
      <c r="AD1209" s="53"/>
      <c r="AE1209" s="11"/>
    </row>
    <row r="1210" spans="1:31" ht="180">
      <c r="A1210" s="16"/>
      <c r="B1210" s="17"/>
      <c r="C1210" s="436" t="s">
        <v>1480</v>
      </c>
      <c r="D1210" s="29" t="s">
        <v>1451</v>
      </c>
      <c r="E1210" s="44">
        <v>11</v>
      </c>
      <c r="F1210" s="21" t="s">
        <v>173</v>
      </c>
      <c r="G1210" s="50">
        <v>765380000</v>
      </c>
      <c r="H1210" s="44">
        <v>11</v>
      </c>
      <c r="I1210" s="22">
        <v>792737410</v>
      </c>
      <c r="J1210" s="44">
        <v>7</v>
      </c>
      <c r="K1210" s="23">
        <v>903437200</v>
      </c>
      <c r="L1210" s="44">
        <v>0</v>
      </c>
      <c r="M1210" s="23">
        <v>8630000</v>
      </c>
      <c r="N1210" s="44">
        <v>4</v>
      </c>
      <c r="O1210" s="23">
        <v>267725000</v>
      </c>
      <c r="P1210" s="44">
        <v>2</v>
      </c>
      <c r="Q1210" s="23">
        <v>191102500</v>
      </c>
      <c r="R1210" s="44">
        <v>1</v>
      </c>
      <c r="S1210" s="23">
        <v>372147000</v>
      </c>
      <c r="T1210" s="54">
        <f>SUM(L1210,N1210,P1210,R1210)</f>
        <v>7</v>
      </c>
      <c r="U1210" s="53">
        <f>T1210/J1210*100</f>
        <v>100</v>
      </c>
      <c r="V1210" s="35" t="s">
        <v>58</v>
      </c>
      <c r="W1210" s="40">
        <f>SUM(M1210,O1210,Q1210,S1210)</f>
        <v>839604500</v>
      </c>
      <c r="X1210" s="53">
        <f>W1210/K1210*100</f>
        <v>92.934461853020892</v>
      </c>
      <c r="Y1210" s="35" t="s">
        <v>58</v>
      </c>
      <c r="Z1210" s="54">
        <f t="shared" si="309"/>
        <v>18</v>
      </c>
      <c r="AA1210" s="40">
        <f t="shared" si="311"/>
        <v>1632341910</v>
      </c>
      <c r="AB1210" s="53"/>
      <c r="AC1210" s="35" t="s">
        <v>58</v>
      </c>
      <c r="AD1210" s="53"/>
      <c r="AE1210" s="11"/>
    </row>
    <row r="1211" spans="1:31" ht="135">
      <c r="A1211" s="16"/>
      <c r="B1211" s="17"/>
      <c r="C1211" s="29" t="s">
        <v>1481</v>
      </c>
      <c r="D1211" s="29" t="s">
        <v>1452</v>
      </c>
      <c r="E1211" s="44">
        <v>12</v>
      </c>
      <c r="F1211" s="21" t="s">
        <v>173</v>
      </c>
      <c r="G1211" s="40">
        <v>18825000</v>
      </c>
      <c r="H1211" s="44">
        <v>6</v>
      </c>
      <c r="I1211" s="40">
        <v>6275000</v>
      </c>
      <c r="J1211" s="44">
        <v>4</v>
      </c>
      <c r="K1211" s="40">
        <v>5819000</v>
      </c>
      <c r="L1211" s="44">
        <v>1</v>
      </c>
      <c r="M1211" s="40">
        <v>0</v>
      </c>
      <c r="N1211" s="20">
        <v>1</v>
      </c>
      <c r="O1211" s="40">
        <v>3432000</v>
      </c>
      <c r="P1211" s="20">
        <v>1</v>
      </c>
      <c r="Q1211" s="40">
        <v>1048500</v>
      </c>
      <c r="R1211" s="20">
        <v>1</v>
      </c>
      <c r="S1211" s="40">
        <v>1138500</v>
      </c>
      <c r="T1211" s="54">
        <f>SUM(L1211,N1211,P1211,R1211)</f>
        <v>4</v>
      </c>
      <c r="U1211" s="53">
        <f>T1211/J1211*100</f>
        <v>100</v>
      </c>
      <c r="V1211" s="35" t="s">
        <v>58</v>
      </c>
      <c r="W1211" s="40">
        <f>SUM(M1211,O1211,Q1211,S1211)</f>
        <v>5619000</v>
      </c>
      <c r="X1211" s="53">
        <f>W1211/K1211*100</f>
        <v>96.562983330469152</v>
      </c>
      <c r="Y1211" s="35" t="s">
        <v>58</v>
      </c>
      <c r="Z1211" s="54">
        <f t="shared" si="309"/>
        <v>10</v>
      </c>
      <c r="AA1211" s="40">
        <f t="shared" si="311"/>
        <v>11894000</v>
      </c>
      <c r="AB1211" s="53"/>
      <c r="AC1211" s="35" t="s">
        <v>58</v>
      </c>
      <c r="AD1211" s="57"/>
      <c r="AE1211" s="11"/>
    </row>
    <row r="1212" spans="1:31" ht="78.75">
      <c r="A1212" s="16"/>
      <c r="B1212" s="17"/>
      <c r="C1212" s="18" t="s">
        <v>1482</v>
      </c>
      <c r="D1212" s="18" t="s">
        <v>1453</v>
      </c>
      <c r="E1212" s="438">
        <v>2.7</v>
      </c>
      <c r="F1212" s="75" t="s">
        <v>58</v>
      </c>
      <c r="G1212" s="430">
        <f>G1213</f>
        <v>8475000</v>
      </c>
      <c r="H1212" s="278">
        <v>3.38</v>
      </c>
      <c r="I1212" s="430">
        <f>I1213</f>
        <v>2825000</v>
      </c>
      <c r="J1212" s="439"/>
      <c r="K1212" s="430"/>
      <c r="L1212" s="74"/>
      <c r="M1212" s="430"/>
      <c r="N1212" s="74"/>
      <c r="O1212" s="430"/>
      <c r="P1212" s="74"/>
      <c r="Q1212" s="430"/>
      <c r="R1212" s="74"/>
      <c r="S1212" s="430"/>
      <c r="T1212" s="239"/>
      <c r="U1212" s="239"/>
      <c r="V1212" s="240"/>
      <c r="W1212" s="430"/>
      <c r="X1212" s="239"/>
      <c r="Y1212" s="240"/>
      <c r="Z1212" s="239">
        <f t="shared" si="309"/>
        <v>3.38</v>
      </c>
      <c r="AA1212" s="430">
        <f t="shared" si="311"/>
        <v>2825000</v>
      </c>
      <c r="AB1212" s="239">
        <f>(E1212-(H1212-E1212))/E1212*100</f>
        <v>74.814814814814824</v>
      </c>
      <c r="AC1212" s="240" t="s">
        <v>58</v>
      </c>
      <c r="AD1212" s="430"/>
      <c r="AE1212" s="11"/>
    </row>
    <row r="1213" spans="1:31" ht="110.25">
      <c r="A1213" s="16"/>
      <c r="B1213" s="17"/>
      <c r="C1213" s="18" t="s">
        <v>1483</v>
      </c>
      <c r="D1213" s="19" t="s">
        <v>1454</v>
      </c>
      <c r="E1213" s="45">
        <v>6</v>
      </c>
      <c r="F1213" s="46" t="s">
        <v>173</v>
      </c>
      <c r="G1213" s="368">
        <f>G1214</f>
        <v>8475000</v>
      </c>
      <c r="H1213" s="108">
        <v>5</v>
      </c>
      <c r="I1213" s="368">
        <f>I1214</f>
        <v>2825000</v>
      </c>
      <c r="J1213" s="45"/>
      <c r="K1213" s="42"/>
      <c r="L1213" s="45"/>
      <c r="M1213" s="42"/>
      <c r="N1213" s="45"/>
      <c r="O1213" s="42"/>
      <c r="P1213" s="45"/>
      <c r="Q1213" s="42"/>
      <c r="R1213" s="45"/>
      <c r="S1213" s="42"/>
      <c r="T1213" s="55"/>
      <c r="U1213" s="57"/>
      <c r="V1213" s="58"/>
      <c r="W1213" s="59"/>
      <c r="X1213" s="55"/>
      <c r="Y1213" s="58"/>
      <c r="Z1213" s="55">
        <f t="shared" si="309"/>
        <v>5</v>
      </c>
      <c r="AA1213" s="59">
        <f t="shared" si="311"/>
        <v>2825000</v>
      </c>
      <c r="AB1213" s="57">
        <f>H1213/E1213*100</f>
        <v>83.333333333333343</v>
      </c>
      <c r="AC1213" s="58" t="s">
        <v>58</v>
      </c>
      <c r="AD1213" s="53"/>
      <c r="AE1213" s="11"/>
    </row>
    <row r="1214" spans="1:31" ht="120">
      <c r="A1214" s="16"/>
      <c r="B1214" s="17"/>
      <c r="C1214" s="436" t="s">
        <v>1484</v>
      </c>
      <c r="D1214" s="29" t="s">
        <v>1455</v>
      </c>
      <c r="E1214" s="44">
        <v>6</v>
      </c>
      <c r="F1214" s="47" t="s">
        <v>55</v>
      </c>
      <c r="G1214" s="50">
        <v>8475000</v>
      </c>
      <c r="H1214" s="44">
        <v>5</v>
      </c>
      <c r="I1214" s="22">
        <v>2825000</v>
      </c>
      <c r="J1214" s="44"/>
      <c r="K1214" s="23"/>
      <c r="L1214" s="20"/>
      <c r="M1214" s="23"/>
      <c r="N1214" s="20"/>
      <c r="O1214" s="23"/>
      <c r="P1214" s="20"/>
      <c r="Q1214" s="23"/>
      <c r="R1214" s="20"/>
      <c r="S1214" s="23"/>
      <c r="T1214" s="54"/>
      <c r="U1214" s="53"/>
      <c r="V1214" s="35"/>
      <c r="W1214" s="40"/>
      <c r="X1214" s="54"/>
      <c r="Y1214" s="35"/>
      <c r="Z1214" s="54">
        <f t="shared" si="309"/>
        <v>5</v>
      </c>
      <c r="AA1214" s="40">
        <f t="shared" si="311"/>
        <v>2825000</v>
      </c>
      <c r="AB1214" s="53"/>
      <c r="AC1214" s="35" t="s">
        <v>58</v>
      </c>
      <c r="AD1214" s="53"/>
      <c r="AE1214" s="11"/>
    </row>
    <row r="1215" spans="1:31" ht="110.25">
      <c r="A1215" s="16"/>
      <c r="B1215" s="17"/>
      <c r="C1215" s="18" t="s">
        <v>1485</v>
      </c>
      <c r="D1215" s="19" t="s">
        <v>1456</v>
      </c>
      <c r="E1215" s="45">
        <v>100</v>
      </c>
      <c r="F1215" s="46" t="s">
        <v>58</v>
      </c>
      <c r="G1215" s="42">
        <f>SUM(G1216)</f>
        <v>103192500</v>
      </c>
      <c r="H1215" s="108">
        <v>100</v>
      </c>
      <c r="I1215" s="42">
        <f>SUM(I1216)</f>
        <v>33152900</v>
      </c>
      <c r="J1215" s="108">
        <v>100</v>
      </c>
      <c r="K1215" s="42">
        <f>SUM(K1216)</f>
        <v>30389900</v>
      </c>
      <c r="L1215" s="45">
        <v>100</v>
      </c>
      <c r="M1215" s="42">
        <f>SUM(M1216)</f>
        <v>0</v>
      </c>
      <c r="N1215" s="45">
        <v>100</v>
      </c>
      <c r="O1215" s="42">
        <f>SUM(O1216)</f>
        <v>24025000</v>
      </c>
      <c r="P1215" s="45">
        <v>100</v>
      </c>
      <c r="Q1215" s="42">
        <f>Q1216</f>
        <v>1300000</v>
      </c>
      <c r="R1215" s="107">
        <v>100</v>
      </c>
      <c r="S1215" s="42">
        <f>S1216</f>
        <v>4869900</v>
      </c>
      <c r="T1215" s="55">
        <f>AVERAGE(L1215,N1215,P1215,R1215)</f>
        <v>100</v>
      </c>
      <c r="U1215" s="55">
        <f t="shared" ref="U1215:U1236" si="312">T1215/J1215*100</f>
        <v>100</v>
      </c>
      <c r="V1215" s="58" t="s">
        <v>58</v>
      </c>
      <c r="W1215" s="59">
        <f>SUM(M1215,O1215,Q1215,S1215)</f>
        <v>30194900</v>
      </c>
      <c r="X1215" s="57">
        <f>W1215/K1215*100</f>
        <v>99.358339448303539</v>
      </c>
      <c r="Y1215" s="58" t="s">
        <v>58</v>
      </c>
      <c r="Z1215" s="55">
        <f t="shared" si="309"/>
        <v>200</v>
      </c>
      <c r="AA1215" s="59">
        <f t="shared" si="311"/>
        <v>63347800</v>
      </c>
      <c r="AB1215" s="57"/>
      <c r="AC1215" s="58" t="s">
        <v>58</v>
      </c>
      <c r="AD1215" s="57"/>
      <c r="AE1215" s="11"/>
    </row>
    <row r="1216" spans="1:31" ht="157.5">
      <c r="A1216" s="16"/>
      <c r="B1216" s="17"/>
      <c r="C1216" s="49" t="s">
        <v>1486</v>
      </c>
      <c r="D1216" s="19" t="s">
        <v>1457</v>
      </c>
      <c r="E1216" s="45">
        <f>11*3</f>
        <v>33</v>
      </c>
      <c r="F1216" s="76" t="s">
        <v>1458</v>
      </c>
      <c r="G1216" s="52">
        <f>SUM(G1218:G1221)</f>
        <v>103192500</v>
      </c>
      <c r="H1216" s="108">
        <v>11</v>
      </c>
      <c r="I1216" s="52">
        <f>SUM(I1218:I1221)</f>
        <v>33152900</v>
      </c>
      <c r="J1216" s="108">
        <v>11</v>
      </c>
      <c r="K1216" s="52">
        <f>SUM(K1218:K1221)</f>
        <v>30389900</v>
      </c>
      <c r="L1216" s="45">
        <v>0</v>
      </c>
      <c r="M1216" s="52">
        <f>SUM(M1218:M1221)</f>
        <v>0</v>
      </c>
      <c r="N1216" s="45">
        <v>8</v>
      </c>
      <c r="O1216" s="41">
        <f>O1218+O1219+O1220+O1221</f>
        <v>24025000</v>
      </c>
      <c r="P1216" s="45">
        <v>2</v>
      </c>
      <c r="Q1216" s="52">
        <f>Q1218+Q1219+Q1220+Q1221</f>
        <v>1300000</v>
      </c>
      <c r="R1216" s="45">
        <v>1</v>
      </c>
      <c r="S1216" s="52">
        <f>S1218+S1219+S1220+S1221</f>
        <v>4869900</v>
      </c>
      <c r="T1216" s="55">
        <f t="shared" ref="T1216:T1236" si="313">SUM(L1216,N1216,P1216,R1216)</f>
        <v>11</v>
      </c>
      <c r="U1216" s="55">
        <f t="shared" si="312"/>
        <v>100</v>
      </c>
      <c r="V1216" s="58" t="s">
        <v>58</v>
      </c>
      <c r="W1216" s="56">
        <f t="shared" ref="W1216" si="314">SUM(M1216,O1216,Q1216,S1216)</f>
        <v>30194900</v>
      </c>
      <c r="X1216" s="60">
        <f t="shared" ref="X1216" si="315">W1216/K1216*100</f>
        <v>99.358339448303539</v>
      </c>
      <c r="Y1216" s="48" t="s">
        <v>58</v>
      </c>
      <c r="Z1216" s="55">
        <f t="shared" si="309"/>
        <v>22</v>
      </c>
      <c r="AA1216" s="56">
        <f t="shared" si="311"/>
        <v>63347800</v>
      </c>
      <c r="AB1216" s="57"/>
      <c r="AC1216" s="58" t="s">
        <v>58</v>
      </c>
      <c r="AD1216" s="60"/>
      <c r="AE1216" s="11"/>
    </row>
    <row r="1217" spans="1:34" ht="63">
      <c r="A1217" s="16"/>
      <c r="B1217" s="17"/>
      <c r="C1217" s="18"/>
      <c r="D1217" s="19" t="s">
        <v>1459</v>
      </c>
      <c r="E1217" s="45">
        <v>14</v>
      </c>
      <c r="F1217" s="76" t="s">
        <v>1460</v>
      </c>
      <c r="G1217" s="369"/>
      <c r="H1217" s="108">
        <v>25</v>
      </c>
      <c r="I1217" s="430"/>
      <c r="J1217" s="108">
        <v>14</v>
      </c>
      <c r="K1217" s="41"/>
      <c r="L1217" s="45">
        <v>0</v>
      </c>
      <c r="M1217" s="41"/>
      <c r="N1217" s="45">
        <v>4</v>
      </c>
      <c r="P1217" s="45">
        <v>8</v>
      </c>
      <c r="Q1217" s="41"/>
      <c r="R1217" s="45">
        <v>2</v>
      </c>
      <c r="S1217" s="41"/>
      <c r="T1217" s="55">
        <f t="shared" si="313"/>
        <v>14</v>
      </c>
      <c r="U1217" s="55">
        <f t="shared" si="312"/>
        <v>100</v>
      </c>
      <c r="V1217" s="58" t="s">
        <v>58</v>
      </c>
      <c r="W1217" s="94"/>
      <c r="X1217" s="239"/>
      <c r="Y1217" s="240"/>
      <c r="Z1217" s="55">
        <f t="shared" si="309"/>
        <v>39</v>
      </c>
      <c r="AA1217" s="94"/>
      <c r="AB1217" s="57"/>
      <c r="AC1217" s="58" t="s">
        <v>58</v>
      </c>
      <c r="AD1217" s="239"/>
      <c r="AE1217" s="11"/>
    </row>
    <row r="1218" spans="1:34" ht="120">
      <c r="A1218" s="16"/>
      <c r="B1218" s="17"/>
      <c r="C1218" s="436" t="s">
        <v>1487</v>
      </c>
      <c r="D1218" s="29" t="s">
        <v>1461</v>
      </c>
      <c r="E1218" s="105">
        <v>3</v>
      </c>
      <c r="F1218" s="47" t="s">
        <v>55</v>
      </c>
      <c r="G1218" s="50"/>
      <c r="H1218" s="105">
        <v>1</v>
      </c>
      <c r="I1218" s="22"/>
      <c r="J1218" s="105">
        <v>1</v>
      </c>
      <c r="K1218" s="23">
        <v>8720000</v>
      </c>
      <c r="L1218" s="20">
        <v>0</v>
      </c>
      <c r="N1218" s="105">
        <v>1</v>
      </c>
      <c r="O1218" s="23">
        <v>8525000</v>
      </c>
      <c r="P1218" s="105">
        <v>0</v>
      </c>
      <c r="Q1218" s="23">
        <v>0</v>
      </c>
      <c r="R1218" s="105">
        <v>0</v>
      </c>
      <c r="S1218" s="23">
        <v>0</v>
      </c>
      <c r="T1218" s="106">
        <f t="shared" si="313"/>
        <v>1</v>
      </c>
      <c r="U1218" s="54">
        <f t="shared" si="312"/>
        <v>100</v>
      </c>
      <c r="V1218" s="35" t="s">
        <v>58</v>
      </c>
      <c r="W1218" s="40">
        <f t="shared" ref="W1218:W1221" si="316">SUM(M1218,O1218,Q1218,S1218)</f>
        <v>8525000</v>
      </c>
      <c r="X1218" s="53">
        <f t="shared" ref="X1218:X1236" si="317">W1218/K1218*100</f>
        <v>97.763761467889907</v>
      </c>
      <c r="Y1218" s="35" t="s">
        <v>58</v>
      </c>
      <c r="Z1218" s="54">
        <f t="shared" si="309"/>
        <v>2</v>
      </c>
      <c r="AA1218" s="40">
        <f>SUM(I1218,W1218)</f>
        <v>8525000</v>
      </c>
      <c r="AB1218" s="53"/>
      <c r="AC1218" s="35" t="s">
        <v>58</v>
      </c>
      <c r="AD1218" s="53"/>
      <c r="AE1218" s="11"/>
    </row>
    <row r="1219" spans="1:34" ht="135">
      <c r="A1219" s="16"/>
      <c r="B1219" s="17"/>
      <c r="C1219" s="436" t="s">
        <v>1488</v>
      </c>
      <c r="D1219" s="29" t="s">
        <v>1462</v>
      </c>
      <c r="E1219" s="105">
        <v>3</v>
      </c>
      <c r="F1219" s="47" t="s">
        <v>55</v>
      </c>
      <c r="G1219" s="50">
        <v>12150000</v>
      </c>
      <c r="H1219" s="105">
        <v>1</v>
      </c>
      <c r="I1219" s="22">
        <v>3400000</v>
      </c>
      <c r="J1219" s="105">
        <v>1</v>
      </c>
      <c r="K1219" s="23">
        <v>3240000</v>
      </c>
      <c r="L1219" s="20">
        <v>0</v>
      </c>
      <c r="N1219" s="105">
        <v>1</v>
      </c>
      <c r="O1219" s="23">
        <v>3000000</v>
      </c>
      <c r="P1219" s="105">
        <v>0</v>
      </c>
      <c r="Q1219" s="23">
        <v>0</v>
      </c>
      <c r="R1219" s="105">
        <v>0</v>
      </c>
      <c r="S1219" s="23">
        <v>240000</v>
      </c>
      <c r="T1219" s="106">
        <f t="shared" si="313"/>
        <v>1</v>
      </c>
      <c r="U1219" s="54">
        <f t="shared" si="312"/>
        <v>100</v>
      </c>
      <c r="V1219" s="35" t="s">
        <v>58</v>
      </c>
      <c r="W1219" s="40">
        <f t="shared" si="316"/>
        <v>3240000</v>
      </c>
      <c r="X1219" s="53">
        <f t="shared" si="317"/>
        <v>100</v>
      </c>
      <c r="Y1219" s="35" t="s">
        <v>58</v>
      </c>
      <c r="Z1219" s="54">
        <f t="shared" si="309"/>
        <v>2</v>
      </c>
      <c r="AA1219" s="40">
        <f>SUM(I1219,W1219)</f>
        <v>6640000</v>
      </c>
      <c r="AB1219" s="53"/>
      <c r="AC1219" s="35" t="s">
        <v>58</v>
      </c>
      <c r="AD1219" s="53"/>
      <c r="AE1219" s="11"/>
    </row>
    <row r="1220" spans="1:34" ht="135">
      <c r="A1220" s="16"/>
      <c r="B1220" s="17"/>
      <c r="C1220" s="29" t="s">
        <v>1489</v>
      </c>
      <c r="D1220" s="29" t="s">
        <v>1463</v>
      </c>
      <c r="E1220" s="44">
        <v>3</v>
      </c>
      <c r="F1220" s="47" t="s">
        <v>55</v>
      </c>
      <c r="G1220" s="40">
        <v>14542500</v>
      </c>
      <c r="H1220" s="44">
        <v>1</v>
      </c>
      <c r="I1220" s="40">
        <v>4847500</v>
      </c>
      <c r="J1220" s="44">
        <v>1</v>
      </c>
      <c r="K1220" s="40">
        <v>3829900</v>
      </c>
      <c r="L1220" s="44">
        <v>0</v>
      </c>
      <c r="N1220" s="20">
        <v>0</v>
      </c>
      <c r="O1220" s="40">
        <v>0</v>
      </c>
      <c r="P1220" s="20">
        <v>0</v>
      </c>
      <c r="Q1220" s="40">
        <v>0</v>
      </c>
      <c r="R1220" s="20">
        <v>1</v>
      </c>
      <c r="S1220" s="40">
        <v>3829900</v>
      </c>
      <c r="T1220" s="54">
        <f t="shared" si="313"/>
        <v>1</v>
      </c>
      <c r="U1220" s="53">
        <f t="shared" si="312"/>
        <v>100</v>
      </c>
      <c r="V1220" s="35" t="s">
        <v>58</v>
      </c>
      <c r="W1220" s="40">
        <f t="shared" si="316"/>
        <v>3829900</v>
      </c>
      <c r="X1220" s="54">
        <f t="shared" si="317"/>
        <v>100</v>
      </c>
      <c r="Y1220" s="35" t="s">
        <v>58</v>
      </c>
      <c r="Z1220" s="54">
        <f t="shared" si="309"/>
        <v>2</v>
      </c>
      <c r="AA1220" s="40">
        <f>SUM(I1220,W1220)</f>
        <v>8677400</v>
      </c>
      <c r="AB1220" s="53"/>
      <c r="AC1220" s="35" t="s">
        <v>58</v>
      </c>
      <c r="AD1220" s="57"/>
      <c r="AE1220" s="11"/>
    </row>
    <row r="1221" spans="1:34" ht="180">
      <c r="A1221" s="16"/>
      <c r="B1221" s="17"/>
      <c r="C1221" s="26" t="s">
        <v>1490</v>
      </c>
      <c r="D1221" s="29" t="s">
        <v>1464</v>
      </c>
      <c r="E1221" s="20">
        <v>3</v>
      </c>
      <c r="F1221" s="21" t="s">
        <v>55</v>
      </c>
      <c r="G1221" s="50">
        <v>76500000</v>
      </c>
      <c r="H1221" s="44">
        <v>1</v>
      </c>
      <c r="I1221" s="22">
        <v>24905400</v>
      </c>
      <c r="J1221" s="20">
        <v>1</v>
      </c>
      <c r="K1221" s="23">
        <v>14600000</v>
      </c>
      <c r="L1221" s="20">
        <v>0</v>
      </c>
      <c r="N1221" s="20">
        <v>1</v>
      </c>
      <c r="O1221" s="23">
        <v>12500000</v>
      </c>
      <c r="P1221" s="20">
        <v>0</v>
      </c>
      <c r="Q1221" s="23">
        <v>1300000</v>
      </c>
      <c r="R1221" s="20">
        <v>0</v>
      </c>
      <c r="S1221" s="23">
        <v>800000</v>
      </c>
      <c r="T1221" s="54">
        <f t="shared" si="313"/>
        <v>1</v>
      </c>
      <c r="U1221" s="53">
        <f t="shared" si="312"/>
        <v>100</v>
      </c>
      <c r="V1221" s="35" t="s">
        <v>58</v>
      </c>
      <c r="W1221" s="40">
        <f t="shared" si="316"/>
        <v>14600000</v>
      </c>
      <c r="X1221" s="53">
        <f t="shared" si="317"/>
        <v>100</v>
      </c>
      <c r="Y1221" s="35" t="s">
        <v>58</v>
      </c>
      <c r="Z1221" s="54">
        <f t="shared" si="309"/>
        <v>2</v>
      </c>
      <c r="AA1221" s="40">
        <f>SUM(I1221,W1221)</f>
        <v>39505400</v>
      </c>
      <c r="AB1221" s="53"/>
      <c r="AC1221" s="35" t="s">
        <v>58</v>
      </c>
      <c r="AD1221" s="53"/>
      <c r="AE1221" s="11"/>
    </row>
    <row r="1222" spans="1:34" ht="123.75" customHeight="1">
      <c r="A1222" s="48">
        <v>1</v>
      </c>
      <c r="B1222" s="19" t="s">
        <v>1491</v>
      </c>
      <c r="C1222" s="19" t="s">
        <v>68</v>
      </c>
      <c r="D1222" s="19" t="s">
        <v>143</v>
      </c>
      <c r="E1222" s="45">
        <v>100</v>
      </c>
      <c r="F1222" s="46" t="s">
        <v>58</v>
      </c>
      <c r="G1222" s="52">
        <f>G1223+G1226+G1231+G1238+G1242</f>
        <v>15831852200</v>
      </c>
      <c r="H1222" s="45">
        <v>100</v>
      </c>
      <c r="I1222" s="52">
        <f>I1223+I1226+I1231+I1238+I1242</f>
        <v>3741409362</v>
      </c>
      <c r="J1222" s="45">
        <v>100</v>
      </c>
      <c r="K1222" s="52">
        <f>K1223+K1226+K1231+K1238+K1242</f>
        <v>4303049501</v>
      </c>
      <c r="L1222" s="45">
        <v>25</v>
      </c>
      <c r="M1222" s="52">
        <f>M1223+M1226+M1231+M1238+M1242</f>
        <v>765366697</v>
      </c>
      <c r="N1222" s="45">
        <v>25</v>
      </c>
      <c r="O1222" s="52">
        <f>O1223+O1226+O1231+O1238+O1242</f>
        <v>1088182377</v>
      </c>
      <c r="P1222" s="45">
        <v>25</v>
      </c>
      <c r="Q1222" s="52">
        <f>Q1223+Q1226+Q1231+Q1238+Q1242</f>
        <v>919598737</v>
      </c>
      <c r="R1222" s="45">
        <v>25</v>
      </c>
      <c r="S1222" s="52">
        <f>S1223+S1226+S1231+S1238+S1242</f>
        <v>1322969128</v>
      </c>
      <c r="T1222" s="55">
        <f t="shared" si="313"/>
        <v>100</v>
      </c>
      <c r="U1222" s="55">
        <f t="shared" si="312"/>
        <v>100</v>
      </c>
      <c r="V1222" s="58" t="s">
        <v>58</v>
      </c>
      <c r="W1222" s="56">
        <f>S1222+Q1222+O1222+M1222</f>
        <v>4096116939</v>
      </c>
      <c r="X1222" s="60">
        <f t="shared" si="317"/>
        <v>95.191025296085712</v>
      </c>
      <c r="Y1222" s="48" t="s">
        <v>58</v>
      </c>
      <c r="Z1222" s="55">
        <f t="shared" si="309"/>
        <v>200</v>
      </c>
      <c r="AA1222" s="56">
        <f t="shared" ref="AA1222:AA1256" si="318">SUM(I1222,W1222)</f>
        <v>7837526301</v>
      </c>
      <c r="AB1222" s="57"/>
      <c r="AC1222" s="58" t="s">
        <v>58</v>
      </c>
      <c r="AD1222" s="60"/>
      <c r="AE1222" s="24" t="s">
        <v>1492</v>
      </c>
      <c r="AG1222" s="441">
        <v>2773872811</v>
      </c>
      <c r="AH1222" s="25"/>
    </row>
    <row r="1223" spans="1:34" s="78" customFormat="1" ht="128.25" customHeight="1">
      <c r="A1223" s="48"/>
      <c r="B1223" s="49"/>
      <c r="C1223" s="18" t="s">
        <v>309</v>
      </c>
      <c r="D1223" s="19" t="s">
        <v>139</v>
      </c>
      <c r="E1223" s="45">
        <v>30</v>
      </c>
      <c r="F1223" s="46" t="s">
        <v>55</v>
      </c>
      <c r="G1223" s="42">
        <f>SUM(G1224:G1225)</f>
        <v>28062500</v>
      </c>
      <c r="H1223" s="45">
        <v>10</v>
      </c>
      <c r="I1223" s="42">
        <f>SUM(I1224:I1225)</f>
        <v>8887000</v>
      </c>
      <c r="J1223" s="45">
        <v>10</v>
      </c>
      <c r="K1223" s="42">
        <f t="shared" ref="K1223:S1223" si="319">SUM(K1224:K1225)</f>
        <v>9281250</v>
      </c>
      <c r="L1223" s="45">
        <f t="shared" si="319"/>
        <v>4</v>
      </c>
      <c r="M1223" s="42">
        <f t="shared" si="319"/>
        <v>701500</v>
      </c>
      <c r="N1223" s="45">
        <f t="shared" si="319"/>
        <v>2</v>
      </c>
      <c r="O1223" s="42">
        <f t="shared" si="319"/>
        <v>583750</v>
      </c>
      <c r="P1223" s="45">
        <f t="shared" si="319"/>
        <v>2</v>
      </c>
      <c r="Q1223" s="42">
        <f t="shared" si="319"/>
        <v>2064000</v>
      </c>
      <c r="R1223" s="45">
        <v>2</v>
      </c>
      <c r="S1223" s="42">
        <f t="shared" si="319"/>
        <v>4333150</v>
      </c>
      <c r="T1223" s="55">
        <f t="shared" si="313"/>
        <v>10</v>
      </c>
      <c r="U1223" s="57">
        <f t="shared" si="312"/>
        <v>100</v>
      </c>
      <c r="V1223" s="46" t="s">
        <v>58</v>
      </c>
      <c r="W1223" s="56">
        <f t="shared" ref="W1223:W1236" si="320">SUM(M1223,O1223,Q1223,S1223)</f>
        <v>7682400</v>
      </c>
      <c r="X1223" s="60">
        <f t="shared" si="317"/>
        <v>82.773333333333326</v>
      </c>
      <c r="Y1223" s="46" t="s">
        <v>58</v>
      </c>
      <c r="Z1223" s="55">
        <f t="shared" si="309"/>
        <v>20</v>
      </c>
      <c r="AA1223" s="59">
        <f t="shared" si="318"/>
        <v>16569400</v>
      </c>
      <c r="AB1223" s="57"/>
      <c r="AC1223" s="46" t="s">
        <v>58</v>
      </c>
      <c r="AD1223" s="57"/>
      <c r="AE1223" s="77"/>
      <c r="AG1223" s="442"/>
      <c r="AH1223" s="79"/>
    </row>
    <row r="1224" spans="1:34" ht="75">
      <c r="A1224" s="16"/>
      <c r="B1224" s="17"/>
      <c r="C1224" s="26" t="s">
        <v>69</v>
      </c>
      <c r="D1224" s="29" t="s">
        <v>211</v>
      </c>
      <c r="E1224" s="20">
        <v>18</v>
      </c>
      <c r="F1224" s="21" t="s">
        <v>55</v>
      </c>
      <c r="G1224" s="23">
        <v>23462500</v>
      </c>
      <c r="H1224" s="20">
        <v>6</v>
      </c>
      <c r="I1224" s="23">
        <v>7395500</v>
      </c>
      <c r="J1224" s="20">
        <v>6</v>
      </c>
      <c r="K1224" s="23">
        <v>7731250</v>
      </c>
      <c r="L1224" s="20">
        <v>3</v>
      </c>
      <c r="M1224" s="23">
        <v>701500</v>
      </c>
      <c r="N1224" s="20">
        <v>1</v>
      </c>
      <c r="O1224" s="23">
        <v>583750</v>
      </c>
      <c r="P1224" s="20">
        <v>1</v>
      </c>
      <c r="Q1224" s="23">
        <v>1345250</v>
      </c>
      <c r="R1224" s="20">
        <v>1</v>
      </c>
      <c r="S1224" s="23">
        <v>3687350</v>
      </c>
      <c r="T1224" s="54">
        <f t="shared" si="313"/>
        <v>6</v>
      </c>
      <c r="U1224" s="54">
        <f t="shared" si="312"/>
        <v>100</v>
      </c>
      <c r="V1224" s="35" t="s">
        <v>58</v>
      </c>
      <c r="W1224" s="40">
        <f t="shared" si="320"/>
        <v>6317850</v>
      </c>
      <c r="X1224" s="53">
        <f t="shared" si="317"/>
        <v>81.718350848827811</v>
      </c>
      <c r="Y1224" s="35" t="s">
        <v>58</v>
      </c>
      <c r="Z1224" s="54">
        <f t="shared" si="309"/>
        <v>12</v>
      </c>
      <c r="AA1224" s="40">
        <f t="shared" si="318"/>
        <v>13713350</v>
      </c>
      <c r="AB1224" s="53"/>
      <c r="AC1224" s="35" t="s">
        <v>58</v>
      </c>
      <c r="AD1224" s="53"/>
      <c r="AE1224" s="11"/>
      <c r="AF1224"/>
      <c r="AG1224" s="441"/>
      <c r="AH1224" s="25"/>
    </row>
    <row r="1225" spans="1:34" ht="90">
      <c r="A1225" s="16"/>
      <c r="B1225" s="17"/>
      <c r="C1225" s="26" t="s">
        <v>70</v>
      </c>
      <c r="D1225" s="29" t="s">
        <v>212</v>
      </c>
      <c r="E1225" s="20">
        <v>12</v>
      </c>
      <c r="F1225" s="21" t="s">
        <v>173</v>
      </c>
      <c r="G1225" s="28">
        <v>4600000</v>
      </c>
      <c r="H1225" s="20">
        <v>4</v>
      </c>
      <c r="I1225" s="28">
        <v>1491500</v>
      </c>
      <c r="J1225" s="20">
        <v>4</v>
      </c>
      <c r="K1225" s="28">
        <v>1550000</v>
      </c>
      <c r="L1225" s="20">
        <v>1</v>
      </c>
      <c r="M1225" s="28">
        <v>0</v>
      </c>
      <c r="N1225" s="20">
        <v>1</v>
      </c>
      <c r="O1225" s="28" t="s">
        <v>449</v>
      </c>
      <c r="P1225" s="20">
        <v>1</v>
      </c>
      <c r="Q1225" s="28">
        <v>718750</v>
      </c>
      <c r="R1225" s="20">
        <v>1</v>
      </c>
      <c r="S1225" s="23">
        <v>645800</v>
      </c>
      <c r="T1225" s="54">
        <f t="shared" si="313"/>
        <v>4</v>
      </c>
      <c r="U1225" s="54">
        <f t="shared" si="312"/>
        <v>100</v>
      </c>
      <c r="V1225" s="35" t="s">
        <v>58</v>
      </c>
      <c r="W1225" s="40">
        <f t="shared" si="320"/>
        <v>1364550</v>
      </c>
      <c r="X1225" s="53">
        <f t="shared" si="317"/>
        <v>88.035483870967752</v>
      </c>
      <c r="Y1225" s="35" t="s">
        <v>58</v>
      </c>
      <c r="Z1225" s="54">
        <f t="shared" si="309"/>
        <v>8</v>
      </c>
      <c r="AA1225" s="40">
        <f t="shared" si="318"/>
        <v>2856050</v>
      </c>
      <c r="AB1225" s="53"/>
      <c r="AC1225" s="35" t="s">
        <v>58</v>
      </c>
      <c r="AD1225" s="53"/>
      <c r="AE1225" s="11"/>
      <c r="AF1225"/>
      <c r="AG1225" s="441"/>
      <c r="AH1225" s="25"/>
    </row>
    <row r="1226" spans="1:34" ht="94.5">
      <c r="A1226" s="16"/>
      <c r="B1226" s="17"/>
      <c r="C1226" s="18" t="s">
        <v>71</v>
      </c>
      <c r="D1226" s="19" t="s">
        <v>140</v>
      </c>
      <c r="E1226" s="74">
        <v>42</v>
      </c>
      <c r="F1226" s="75" t="s">
        <v>55</v>
      </c>
      <c r="G1226" s="42">
        <f>SUM(G1227:G1230)</f>
        <v>10314643500</v>
      </c>
      <c r="H1226" s="74">
        <v>14</v>
      </c>
      <c r="I1226" s="42">
        <f>SUM(I1227:I1230)</f>
        <v>2174709346</v>
      </c>
      <c r="J1226" s="74">
        <f>SUM(J1228:J1230)</f>
        <v>14</v>
      </c>
      <c r="K1226" s="42">
        <f>SUM(K1227:K1230)</f>
        <v>2436166246</v>
      </c>
      <c r="L1226" s="74">
        <f>SUM(L1228:L1230)</f>
        <v>3</v>
      </c>
      <c r="M1226" s="42">
        <f>SUM(M1227:M1230)</f>
        <v>439200796</v>
      </c>
      <c r="N1226" s="74">
        <v>4</v>
      </c>
      <c r="O1226" s="42">
        <f>SUM(O1227:O1230)</f>
        <v>736952740</v>
      </c>
      <c r="P1226" s="74">
        <v>4</v>
      </c>
      <c r="Q1226" s="42">
        <f>SUM(Q1227:Q1230)</f>
        <v>588969631</v>
      </c>
      <c r="R1226" s="74">
        <v>3</v>
      </c>
      <c r="S1226" s="42">
        <f>SUM(S1227:S1230)</f>
        <v>576702318</v>
      </c>
      <c r="T1226" s="55">
        <f t="shared" si="313"/>
        <v>14</v>
      </c>
      <c r="U1226" s="57">
        <f t="shared" si="312"/>
        <v>100</v>
      </c>
      <c r="V1226" s="58" t="s">
        <v>58</v>
      </c>
      <c r="W1226" s="59">
        <f t="shared" si="320"/>
        <v>2341825485</v>
      </c>
      <c r="X1226" s="57">
        <f t="shared" si="317"/>
        <v>96.127490841197698</v>
      </c>
      <c r="Y1226" s="58" t="s">
        <v>58</v>
      </c>
      <c r="Z1226" s="55">
        <f t="shared" si="309"/>
        <v>28</v>
      </c>
      <c r="AA1226" s="59">
        <f t="shared" si="318"/>
        <v>4516534831</v>
      </c>
      <c r="AB1226" s="57"/>
      <c r="AC1226" s="58" t="s">
        <v>58</v>
      </c>
      <c r="AD1226" s="57"/>
      <c r="AE1226" s="30"/>
      <c r="AG1226" s="441"/>
      <c r="AH1226" s="25"/>
    </row>
    <row r="1227" spans="1:34" ht="90">
      <c r="A1227" s="16"/>
      <c r="B1227" s="17"/>
      <c r="C1227" s="26" t="s">
        <v>72</v>
      </c>
      <c r="D1227" s="26" t="s">
        <v>213</v>
      </c>
      <c r="E1227" s="43">
        <v>57</v>
      </c>
      <c r="F1227" s="27" t="s">
        <v>57</v>
      </c>
      <c r="G1227" s="23">
        <v>10298256000</v>
      </c>
      <c r="H1227" s="43">
        <v>19</v>
      </c>
      <c r="I1227" s="23">
        <v>2170239346</v>
      </c>
      <c r="J1227" s="43">
        <v>19</v>
      </c>
      <c r="K1227" s="443">
        <v>2431772496</v>
      </c>
      <c r="L1227" s="43">
        <v>19</v>
      </c>
      <c r="M1227" s="23">
        <v>438383946</v>
      </c>
      <c r="N1227" s="43">
        <v>19</v>
      </c>
      <c r="O1227" s="23">
        <v>736582990</v>
      </c>
      <c r="P1227" s="43">
        <v>19</v>
      </c>
      <c r="Q1227" s="23">
        <v>587852131</v>
      </c>
      <c r="R1227" s="43">
        <v>19</v>
      </c>
      <c r="S1227" s="23">
        <v>575212518</v>
      </c>
      <c r="T1227" s="54">
        <f>AVERAGE(L1227,N1227,P1227,R1227)</f>
        <v>19</v>
      </c>
      <c r="U1227" s="53">
        <f t="shared" si="312"/>
        <v>100</v>
      </c>
      <c r="V1227" s="35" t="s">
        <v>58</v>
      </c>
      <c r="W1227" s="40">
        <f t="shared" si="320"/>
        <v>2338031585</v>
      </c>
      <c r="X1227" s="53">
        <f t="shared" si="317"/>
        <v>96.145161146686476</v>
      </c>
      <c r="Y1227" s="35" t="s">
        <v>58</v>
      </c>
      <c r="Z1227" s="54">
        <f t="shared" si="309"/>
        <v>38</v>
      </c>
      <c r="AA1227" s="40">
        <f t="shared" si="318"/>
        <v>4508270931</v>
      </c>
      <c r="AB1227" s="53"/>
      <c r="AC1227" s="35" t="s">
        <v>58</v>
      </c>
      <c r="AD1227" s="53"/>
      <c r="AE1227" s="11"/>
      <c r="AF1227"/>
      <c r="AG1227" s="441"/>
      <c r="AH1227" s="25"/>
    </row>
    <row r="1228" spans="1:34" ht="195">
      <c r="A1228" s="16"/>
      <c r="B1228" s="17"/>
      <c r="C1228" s="26" t="s">
        <v>73</v>
      </c>
      <c r="D1228" s="29" t="s">
        <v>214</v>
      </c>
      <c r="E1228" s="43">
        <v>3</v>
      </c>
      <c r="F1228" s="27" t="s">
        <v>173</v>
      </c>
      <c r="G1228" s="23">
        <v>6562500</v>
      </c>
      <c r="H1228" s="43">
        <v>1</v>
      </c>
      <c r="I1228" s="23">
        <v>1812500</v>
      </c>
      <c r="J1228" s="43">
        <v>1</v>
      </c>
      <c r="K1228" s="23">
        <v>2281250</v>
      </c>
      <c r="L1228" s="43">
        <v>0</v>
      </c>
      <c r="M1228" s="23">
        <v>816850</v>
      </c>
      <c r="N1228" s="43">
        <v>0</v>
      </c>
      <c r="O1228" s="23">
        <v>0</v>
      </c>
      <c r="P1228" s="43">
        <v>0</v>
      </c>
      <c r="Q1228" s="23">
        <v>0</v>
      </c>
      <c r="R1228" s="43">
        <v>1</v>
      </c>
      <c r="S1228" s="23">
        <v>1215600</v>
      </c>
      <c r="T1228" s="54">
        <f t="shared" si="313"/>
        <v>1</v>
      </c>
      <c r="U1228" s="54">
        <f t="shared" si="312"/>
        <v>100</v>
      </c>
      <c r="V1228" s="35" t="s">
        <v>58</v>
      </c>
      <c r="W1228" s="40">
        <f t="shared" si="320"/>
        <v>2032450</v>
      </c>
      <c r="X1228" s="53">
        <f t="shared" si="317"/>
        <v>89.093698630136984</v>
      </c>
      <c r="Y1228" s="35" t="s">
        <v>58</v>
      </c>
      <c r="Z1228" s="54">
        <f t="shared" si="309"/>
        <v>2</v>
      </c>
      <c r="AA1228" s="40">
        <f t="shared" si="318"/>
        <v>3844950</v>
      </c>
      <c r="AB1228" s="53"/>
      <c r="AC1228" s="35" t="s">
        <v>58</v>
      </c>
      <c r="AD1228" s="53"/>
      <c r="AE1228" s="11"/>
      <c r="AF1228"/>
      <c r="AG1228" s="441"/>
      <c r="AH1228" s="25"/>
    </row>
    <row r="1229" spans="1:34" ht="210">
      <c r="A1229" s="16"/>
      <c r="B1229" s="17"/>
      <c r="C1229" s="26" t="s">
        <v>74</v>
      </c>
      <c r="D1229" s="29" t="s">
        <v>215</v>
      </c>
      <c r="E1229" s="43">
        <v>36</v>
      </c>
      <c r="F1229" s="27" t="s">
        <v>173</v>
      </c>
      <c r="G1229" s="23">
        <v>5025000</v>
      </c>
      <c r="H1229" s="43">
        <v>12</v>
      </c>
      <c r="I1229" s="23">
        <v>1207500</v>
      </c>
      <c r="J1229" s="43">
        <v>12</v>
      </c>
      <c r="K1229" s="23">
        <v>1762500</v>
      </c>
      <c r="L1229" s="43">
        <v>3</v>
      </c>
      <c r="M1229" s="23">
        <v>0</v>
      </c>
      <c r="N1229" s="43">
        <v>3</v>
      </c>
      <c r="O1229" s="23">
        <v>369750</v>
      </c>
      <c r="P1229" s="43">
        <v>3</v>
      </c>
      <c r="Q1229" s="23">
        <v>878250</v>
      </c>
      <c r="R1229" s="43">
        <v>3</v>
      </c>
      <c r="S1229" s="23">
        <v>274200</v>
      </c>
      <c r="T1229" s="54">
        <f t="shared" si="313"/>
        <v>12</v>
      </c>
      <c r="U1229" s="54">
        <f t="shared" si="312"/>
        <v>100</v>
      </c>
      <c r="V1229" s="35" t="s">
        <v>58</v>
      </c>
      <c r="W1229" s="40">
        <f t="shared" si="320"/>
        <v>1522200</v>
      </c>
      <c r="X1229" s="53">
        <f t="shared" si="317"/>
        <v>86.365957446808508</v>
      </c>
      <c r="Y1229" s="35" t="s">
        <v>58</v>
      </c>
      <c r="Z1229" s="54">
        <f t="shared" si="309"/>
        <v>24</v>
      </c>
      <c r="AA1229" s="40">
        <f t="shared" si="318"/>
        <v>2729700</v>
      </c>
      <c r="AB1229" s="53"/>
      <c r="AC1229" s="35" t="s">
        <v>58</v>
      </c>
      <c r="AD1229" s="53"/>
      <c r="AE1229" s="11"/>
      <c r="AF1229"/>
      <c r="AG1229" s="441"/>
      <c r="AH1229" s="25"/>
    </row>
    <row r="1230" spans="1:34" ht="103.5" customHeight="1">
      <c r="A1230" s="16"/>
      <c r="B1230" s="17"/>
      <c r="C1230" s="26" t="s">
        <v>75</v>
      </c>
      <c r="D1230" s="29" t="s">
        <v>216</v>
      </c>
      <c r="E1230" s="43">
        <v>3</v>
      </c>
      <c r="F1230" s="27" t="s">
        <v>55</v>
      </c>
      <c r="G1230" s="23">
        <v>4800000</v>
      </c>
      <c r="H1230" s="43">
        <v>1</v>
      </c>
      <c r="I1230" s="23">
        <v>1450000</v>
      </c>
      <c r="J1230" s="43">
        <v>1</v>
      </c>
      <c r="K1230" s="23">
        <v>350000</v>
      </c>
      <c r="L1230" s="43">
        <v>0</v>
      </c>
      <c r="M1230" s="23">
        <v>0</v>
      </c>
      <c r="N1230" s="43">
        <v>1</v>
      </c>
      <c r="O1230" s="23">
        <v>0</v>
      </c>
      <c r="P1230" s="43">
        <v>0</v>
      </c>
      <c r="Q1230" s="23">
        <v>239250</v>
      </c>
      <c r="R1230" s="43"/>
      <c r="S1230" s="23" t="s">
        <v>449</v>
      </c>
      <c r="T1230" s="54">
        <f t="shared" si="313"/>
        <v>1</v>
      </c>
      <c r="U1230" s="54">
        <f t="shared" si="312"/>
        <v>100</v>
      </c>
      <c r="V1230" s="35" t="s">
        <v>58</v>
      </c>
      <c r="W1230" s="40">
        <f t="shared" si="320"/>
        <v>239250</v>
      </c>
      <c r="X1230" s="53">
        <f t="shared" si="317"/>
        <v>68.357142857142861</v>
      </c>
      <c r="Y1230" s="35" t="s">
        <v>58</v>
      </c>
      <c r="Z1230" s="54">
        <f t="shared" si="309"/>
        <v>2</v>
      </c>
      <c r="AA1230" s="40">
        <f t="shared" si="318"/>
        <v>1689250</v>
      </c>
      <c r="AB1230" s="53"/>
      <c r="AC1230" s="35" t="s">
        <v>58</v>
      </c>
      <c r="AD1230" s="53"/>
      <c r="AE1230" s="11"/>
      <c r="AF1230"/>
      <c r="AG1230" s="441"/>
      <c r="AH1230" s="25"/>
    </row>
    <row r="1231" spans="1:34" ht="94.5">
      <c r="A1231" s="16"/>
      <c r="B1231" s="17"/>
      <c r="C1231" s="17" t="s">
        <v>76</v>
      </c>
      <c r="D1231" s="396" t="s">
        <v>1493</v>
      </c>
      <c r="E1231" s="74">
        <v>100</v>
      </c>
      <c r="F1231" s="75" t="s">
        <v>58</v>
      </c>
      <c r="G1231" s="42">
        <f>SUM(G1232:G1237)</f>
        <v>1057787800</v>
      </c>
      <c r="H1231" s="74">
        <v>100</v>
      </c>
      <c r="I1231" s="42">
        <f>SUM(I1232:I1237)</f>
        <v>254673825</v>
      </c>
      <c r="J1231" s="74">
        <v>100</v>
      </c>
      <c r="K1231" s="42">
        <f>SUM(K1232:K1237)</f>
        <v>534998000</v>
      </c>
      <c r="L1231" s="74">
        <v>25</v>
      </c>
      <c r="M1231" s="42">
        <f>SUM(M1232:M1237)</f>
        <v>22605106</v>
      </c>
      <c r="N1231" s="74">
        <v>25</v>
      </c>
      <c r="O1231" s="42">
        <f>SUM(O1232:O1237)</f>
        <v>70308500</v>
      </c>
      <c r="P1231" s="74">
        <v>25</v>
      </c>
      <c r="Q1231" s="42">
        <f>SUM(Q1232:Q1237)</f>
        <v>24723000</v>
      </c>
      <c r="R1231" s="74">
        <v>25</v>
      </c>
      <c r="S1231" s="23">
        <f>SUM(S1232:S1236)</f>
        <v>384197377</v>
      </c>
      <c r="T1231" s="55">
        <f t="shared" si="313"/>
        <v>100</v>
      </c>
      <c r="U1231" s="55">
        <f t="shared" si="312"/>
        <v>100</v>
      </c>
      <c r="V1231" s="58" t="s">
        <v>58</v>
      </c>
      <c r="W1231" s="59">
        <f t="shared" si="320"/>
        <v>501833983</v>
      </c>
      <c r="X1231" s="57">
        <f t="shared" si="317"/>
        <v>93.801095144280907</v>
      </c>
      <c r="Y1231" s="58" t="s">
        <v>58</v>
      </c>
      <c r="Z1231" s="55">
        <f t="shared" si="309"/>
        <v>200</v>
      </c>
      <c r="AA1231" s="59">
        <f t="shared" si="318"/>
        <v>756507808</v>
      </c>
      <c r="AB1231" s="57"/>
      <c r="AC1231" s="58" t="s">
        <v>58</v>
      </c>
      <c r="AD1231" s="57"/>
      <c r="AE1231" s="11"/>
      <c r="AG1231" s="441"/>
      <c r="AH1231" s="25"/>
    </row>
    <row r="1232" spans="1:34" ht="120">
      <c r="A1232" s="16"/>
      <c r="B1232" s="17"/>
      <c r="C1232" s="29" t="s">
        <v>342</v>
      </c>
      <c r="D1232" s="29" t="s">
        <v>343</v>
      </c>
      <c r="E1232" s="43">
        <v>36</v>
      </c>
      <c r="F1232" s="27" t="s">
        <v>59</v>
      </c>
      <c r="G1232" s="23">
        <v>10794000</v>
      </c>
      <c r="H1232" s="43">
        <v>12</v>
      </c>
      <c r="I1232" s="23">
        <v>3434000</v>
      </c>
      <c r="J1232" s="43">
        <v>12</v>
      </c>
      <c r="K1232" s="23">
        <v>1879700</v>
      </c>
      <c r="L1232" s="43">
        <v>3</v>
      </c>
      <c r="M1232" s="23">
        <v>0</v>
      </c>
      <c r="N1232" s="43">
        <v>3</v>
      </c>
      <c r="O1232" s="23">
        <v>0</v>
      </c>
      <c r="P1232" s="43">
        <v>6</v>
      </c>
      <c r="Q1232" s="23">
        <v>1329700</v>
      </c>
      <c r="R1232" s="43"/>
      <c r="S1232" s="23" t="s">
        <v>449</v>
      </c>
      <c r="T1232" s="54">
        <f t="shared" si="313"/>
        <v>12</v>
      </c>
      <c r="U1232" s="54">
        <f t="shared" si="312"/>
        <v>100</v>
      </c>
      <c r="V1232" s="35" t="s">
        <v>58</v>
      </c>
      <c r="W1232" s="40">
        <f t="shared" si="320"/>
        <v>1329700</v>
      </c>
      <c r="X1232" s="53">
        <f t="shared" si="317"/>
        <v>70.740011703995322</v>
      </c>
      <c r="Y1232" s="35" t="s">
        <v>58</v>
      </c>
      <c r="Z1232" s="54">
        <f t="shared" si="309"/>
        <v>24</v>
      </c>
      <c r="AA1232" s="40">
        <f t="shared" si="318"/>
        <v>4763700</v>
      </c>
      <c r="AB1232" s="53"/>
      <c r="AC1232" s="35" t="s">
        <v>58</v>
      </c>
      <c r="AD1232" s="53"/>
      <c r="AE1232" s="11"/>
      <c r="AF1232"/>
      <c r="AG1232" s="441"/>
      <c r="AH1232" s="25"/>
    </row>
    <row r="1233" spans="1:34" ht="78" customHeight="1">
      <c r="A1233" s="16"/>
      <c r="B1233" s="17"/>
      <c r="C1233" s="29" t="s">
        <v>345</v>
      </c>
      <c r="D1233" s="29" t="s">
        <v>217</v>
      </c>
      <c r="E1233" s="43">
        <v>36</v>
      </c>
      <c r="F1233" s="27" t="s">
        <v>59</v>
      </c>
      <c r="G1233" s="23">
        <v>249080600</v>
      </c>
      <c r="H1233" s="43">
        <v>12</v>
      </c>
      <c r="I1233" s="23">
        <v>71917725</v>
      </c>
      <c r="J1233" s="43">
        <v>12</v>
      </c>
      <c r="K1233" s="443">
        <v>93969000</v>
      </c>
      <c r="L1233" s="43">
        <v>3</v>
      </c>
      <c r="M1233" s="23">
        <v>200000</v>
      </c>
      <c r="N1233" s="43">
        <v>3</v>
      </c>
      <c r="O1233" s="23">
        <v>7806000</v>
      </c>
      <c r="P1233" s="43">
        <v>3</v>
      </c>
      <c r="Q1233" s="23">
        <v>9393300</v>
      </c>
      <c r="R1233" s="43">
        <v>3</v>
      </c>
      <c r="S1233" s="23">
        <v>68997700</v>
      </c>
      <c r="T1233" s="54">
        <f t="shared" si="313"/>
        <v>12</v>
      </c>
      <c r="U1233" s="54">
        <f t="shared" si="312"/>
        <v>100</v>
      </c>
      <c r="V1233" s="35" t="s">
        <v>58</v>
      </c>
      <c r="W1233" s="40">
        <f t="shared" si="320"/>
        <v>86397000</v>
      </c>
      <c r="X1233" s="53">
        <f t="shared" si="317"/>
        <v>91.942023433259905</v>
      </c>
      <c r="Y1233" s="35" t="s">
        <v>58</v>
      </c>
      <c r="Z1233" s="54">
        <f t="shared" si="309"/>
        <v>24</v>
      </c>
      <c r="AA1233" s="40">
        <f t="shared" si="318"/>
        <v>158314725</v>
      </c>
      <c r="AB1233" s="53"/>
      <c r="AC1233" s="35" t="s">
        <v>58</v>
      </c>
      <c r="AD1233" s="53"/>
      <c r="AE1233" s="11"/>
      <c r="AF1233"/>
      <c r="AG1233" s="441"/>
      <c r="AH1233" s="25"/>
    </row>
    <row r="1234" spans="1:34" ht="75">
      <c r="A1234" s="16"/>
      <c r="B1234" s="17"/>
      <c r="C1234" s="29" t="s">
        <v>347</v>
      </c>
      <c r="D1234" s="26" t="s">
        <v>218</v>
      </c>
      <c r="E1234" s="43">
        <v>36</v>
      </c>
      <c r="F1234" s="27" t="s">
        <v>59</v>
      </c>
      <c r="G1234" s="23">
        <v>139178500</v>
      </c>
      <c r="H1234" s="43">
        <v>12</v>
      </c>
      <c r="I1234" s="23">
        <v>19873000</v>
      </c>
      <c r="J1234" s="43">
        <v>12</v>
      </c>
      <c r="K1234" s="444">
        <v>51778000</v>
      </c>
      <c r="L1234" s="43">
        <v>3</v>
      </c>
      <c r="M1234" s="23">
        <v>1912500</v>
      </c>
      <c r="N1234" s="43">
        <v>3</v>
      </c>
      <c r="O1234" s="23">
        <v>11792000</v>
      </c>
      <c r="P1234" s="43">
        <v>3</v>
      </c>
      <c r="Q1234" s="23">
        <v>1500000</v>
      </c>
      <c r="R1234" s="43">
        <v>3</v>
      </c>
      <c r="S1234" s="23">
        <v>21795000</v>
      </c>
      <c r="T1234" s="54">
        <f t="shared" si="313"/>
        <v>12</v>
      </c>
      <c r="U1234" s="54">
        <f t="shared" si="312"/>
        <v>100</v>
      </c>
      <c r="V1234" s="35" t="s">
        <v>58</v>
      </c>
      <c r="W1234" s="40">
        <f t="shared" si="320"/>
        <v>36999500</v>
      </c>
      <c r="X1234" s="53">
        <f t="shared" si="317"/>
        <v>71.457955116072455</v>
      </c>
      <c r="Y1234" s="35" t="s">
        <v>58</v>
      </c>
      <c r="Z1234" s="54">
        <f t="shared" si="309"/>
        <v>24</v>
      </c>
      <c r="AA1234" s="40">
        <f t="shared" si="318"/>
        <v>56872500</v>
      </c>
      <c r="AB1234" s="53"/>
      <c r="AC1234" s="35" t="s">
        <v>58</v>
      </c>
      <c r="AD1234" s="53"/>
      <c r="AE1234" s="11"/>
      <c r="AF1234"/>
      <c r="AG1234" s="441"/>
      <c r="AH1234" s="25"/>
    </row>
    <row r="1235" spans="1:34" ht="90">
      <c r="A1235" s="16"/>
      <c r="B1235" s="17"/>
      <c r="C1235" s="29" t="s">
        <v>349</v>
      </c>
      <c r="D1235" s="26" t="s">
        <v>219</v>
      </c>
      <c r="E1235" s="43">
        <v>36</v>
      </c>
      <c r="F1235" s="27" t="s">
        <v>59</v>
      </c>
      <c r="G1235" s="23">
        <v>83454700</v>
      </c>
      <c r="H1235" s="43">
        <v>12</v>
      </c>
      <c r="I1235" s="23">
        <v>19790000</v>
      </c>
      <c r="J1235" s="43">
        <v>12</v>
      </c>
      <c r="K1235" s="443">
        <v>27371300</v>
      </c>
      <c r="L1235" s="43">
        <v>3</v>
      </c>
      <c r="M1235" s="23">
        <v>1500000</v>
      </c>
      <c r="N1235" s="43">
        <v>3</v>
      </c>
      <c r="O1235" s="23">
        <v>4585000</v>
      </c>
      <c r="P1235" s="43">
        <v>3</v>
      </c>
      <c r="Q1235" s="23">
        <v>6180000</v>
      </c>
      <c r="R1235" s="43">
        <v>3</v>
      </c>
      <c r="S1235" s="23">
        <v>4957800</v>
      </c>
      <c r="T1235" s="54">
        <f t="shared" si="313"/>
        <v>12</v>
      </c>
      <c r="U1235" s="54">
        <f t="shared" si="312"/>
        <v>100</v>
      </c>
      <c r="V1235" s="35" t="s">
        <v>58</v>
      </c>
      <c r="W1235" s="40">
        <f t="shared" si="320"/>
        <v>17222800</v>
      </c>
      <c r="X1235" s="53">
        <f t="shared" si="317"/>
        <v>62.922842539448254</v>
      </c>
      <c r="Y1235" s="35" t="s">
        <v>58</v>
      </c>
      <c r="Z1235" s="54">
        <f t="shared" si="309"/>
        <v>24</v>
      </c>
      <c r="AA1235" s="40">
        <f t="shared" si="318"/>
        <v>37012800</v>
      </c>
      <c r="AB1235" s="53"/>
      <c r="AC1235" s="35" t="s">
        <v>58</v>
      </c>
      <c r="AD1235" s="53"/>
      <c r="AE1235" s="11"/>
      <c r="AF1235"/>
      <c r="AG1235" s="441"/>
      <c r="AH1235" s="25"/>
    </row>
    <row r="1236" spans="1:34" ht="120">
      <c r="A1236" s="16"/>
      <c r="B1236" s="17"/>
      <c r="C1236" s="29" t="s">
        <v>77</v>
      </c>
      <c r="D1236" s="360" t="s">
        <v>220</v>
      </c>
      <c r="E1236" s="43">
        <v>36</v>
      </c>
      <c r="F1236" s="27" t="s">
        <v>173</v>
      </c>
      <c r="G1236" s="23">
        <v>570000000</v>
      </c>
      <c r="H1236" s="43">
        <v>12</v>
      </c>
      <c r="I1236" s="23">
        <f>138581600-162500</f>
        <v>138419100</v>
      </c>
      <c r="J1236" s="43">
        <v>12</v>
      </c>
      <c r="K1236" s="443">
        <v>360000000</v>
      </c>
      <c r="L1236" s="43">
        <v>3</v>
      </c>
      <c r="M1236" s="23">
        <v>18992606</v>
      </c>
      <c r="N1236" s="43">
        <v>3</v>
      </c>
      <c r="O1236" s="23">
        <v>46125500</v>
      </c>
      <c r="P1236" s="43">
        <v>3</v>
      </c>
      <c r="Q1236" s="23">
        <v>6320000</v>
      </c>
      <c r="R1236" s="43">
        <v>3</v>
      </c>
      <c r="S1236" s="23">
        <v>288446877</v>
      </c>
      <c r="T1236" s="54">
        <f t="shared" si="313"/>
        <v>12</v>
      </c>
      <c r="U1236" s="54">
        <f t="shared" si="312"/>
        <v>100</v>
      </c>
      <c r="V1236" s="35" t="s">
        <v>58</v>
      </c>
      <c r="W1236" s="40">
        <f t="shared" si="320"/>
        <v>359884983</v>
      </c>
      <c r="X1236" s="53">
        <f t="shared" si="317"/>
        <v>99.968050833333336</v>
      </c>
      <c r="Y1236" s="35" t="s">
        <v>58</v>
      </c>
      <c r="Z1236" s="54">
        <f t="shared" si="309"/>
        <v>24</v>
      </c>
      <c r="AA1236" s="40">
        <f t="shared" si="318"/>
        <v>498304083</v>
      </c>
      <c r="AB1236" s="53"/>
      <c r="AC1236" s="35" t="s">
        <v>58</v>
      </c>
      <c r="AD1236" s="53"/>
      <c r="AE1236" s="11"/>
      <c r="AF1236"/>
      <c r="AG1236" s="441"/>
      <c r="AH1236" s="25"/>
    </row>
    <row r="1237" spans="1:34" ht="138.75" customHeight="1">
      <c r="A1237" s="16"/>
      <c r="B1237" s="17"/>
      <c r="C1237" s="29" t="s">
        <v>963</v>
      </c>
      <c r="D1237" s="360" t="s">
        <v>1179</v>
      </c>
      <c r="E1237" s="43"/>
      <c r="F1237" s="27" t="s">
        <v>55</v>
      </c>
      <c r="G1237" s="23">
        <v>5280000</v>
      </c>
      <c r="H1237" s="43">
        <v>12</v>
      </c>
      <c r="I1237" s="23">
        <v>1240000</v>
      </c>
      <c r="J1237" s="43"/>
      <c r="K1237" s="23"/>
      <c r="L1237" s="43"/>
      <c r="M1237" s="23"/>
      <c r="N1237" s="43"/>
      <c r="O1237" s="23"/>
      <c r="P1237" s="43"/>
      <c r="Q1237" s="23"/>
      <c r="R1237" s="43"/>
      <c r="S1237" s="23"/>
      <c r="T1237" s="54"/>
      <c r="U1237" s="54"/>
      <c r="V1237" s="35"/>
      <c r="W1237" s="40"/>
      <c r="X1237" s="53"/>
      <c r="Y1237" s="35"/>
      <c r="Z1237" s="54">
        <f t="shared" si="309"/>
        <v>12</v>
      </c>
      <c r="AA1237" s="40">
        <f t="shared" si="318"/>
        <v>1240000</v>
      </c>
      <c r="AB1237" s="53"/>
      <c r="AC1237" s="35" t="s">
        <v>58</v>
      </c>
      <c r="AD1237" s="53"/>
      <c r="AE1237" s="11"/>
      <c r="AG1237" s="441"/>
      <c r="AH1237" s="25"/>
    </row>
    <row r="1238" spans="1:34" ht="141.75">
      <c r="A1238" s="16"/>
      <c r="B1238" s="17"/>
      <c r="C1238" s="19" t="s">
        <v>79</v>
      </c>
      <c r="D1238" s="445" t="s">
        <v>1494</v>
      </c>
      <c r="E1238" s="74">
        <v>100</v>
      </c>
      <c r="F1238" s="75" t="s">
        <v>58</v>
      </c>
      <c r="G1238" s="42">
        <f>SUM(G1239:G1241)</f>
        <v>4267382000</v>
      </c>
      <c r="H1238" s="74">
        <v>100</v>
      </c>
      <c r="I1238" s="42">
        <f>SUM(I1239:I1241)</f>
        <v>1257212240</v>
      </c>
      <c r="J1238" s="74">
        <v>100</v>
      </c>
      <c r="K1238" s="42">
        <f>SUM(K1239:K1241)</f>
        <v>1279013805</v>
      </c>
      <c r="L1238" s="74">
        <v>25</v>
      </c>
      <c r="M1238" s="42">
        <f>SUM(M1239:M1241)</f>
        <v>302859295</v>
      </c>
      <c r="N1238" s="74">
        <v>25</v>
      </c>
      <c r="O1238" s="42">
        <f>SUM(O1239:O1241)</f>
        <v>278209200</v>
      </c>
      <c r="P1238" s="74">
        <v>25</v>
      </c>
      <c r="Q1238" s="42">
        <f>SUM(Q1239:Q1241)</f>
        <v>296902106</v>
      </c>
      <c r="R1238" s="74">
        <v>25</v>
      </c>
      <c r="S1238" s="42">
        <f>SUM(S1239:S1241)</f>
        <v>333123483</v>
      </c>
      <c r="T1238" s="55">
        <f t="shared" ref="T1238:T1244" si="321">SUM(L1238,N1238,P1238,R1238)</f>
        <v>100</v>
      </c>
      <c r="U1238" s="55">
        <f t="shared" ref="U1238:U1244" si="322">T1238/J1238*100</f>
        <v>100</v>
      </c>
      <c r="V1238" s="58" t="s">
        <v>58</v>
      </c>
      <c r="W1238" s="59">
        <f t="shared" ref="W1238:W1244" si="323">SUM(M1238,O1238,Q1238,S1238)</f>
        <v>1211094084</v>
      </c>
      <c r="X1238" s="57">
        <f t="shared" ref="X1238:X1244" si="324">W1238/K1238*100</f>
        <v>94.689680382300494</v>
      </c>
      <c r="Y1238" s="58" t="s">
        <v>58</v>
      </c>
      <c r="Z1238" s="55">
        <f t="shared" si="309"/>
        <v>200</v>
      </c>
      <c r="AA1238" s="59">
        <f t="shared" si="318"/>
        <v>2468306324</v>
      </c>
      <c r="AB1238" s="57"/>
      <c r="AC1238" s="58" t="s">
        <v>58</v>
      </c>
      <c r="AD1238" s="57"/>
      <c r="AE1238" s="11"/>
      <c r="AG1238" s="441"/>
      <c r="AH1238" s="25"/>
    </row>
    <row r="1239" spans="1:34" ht="75">
      <c r="A1239" s="16"/>
      <c r="B1239" s="17"/>
      <c r="C1239" s="29" t="s">
        <v>86</v>
      </c>
      <c r="D1239" s="29" t="s">
        <v>222</v>
      </c>
      <c r="E1239" s="44">
        <v>36</v>
      </c>
      <c r="F1239" s="21" t="s">
        <v>173</v>
      </c>
      <c r="G1239" s="23">
        <v>800000</v>
      </c>
      <c r="H1239" s="44">
        <v>12</v>
      </c>
      <c r="I1239" s="23">
        <v>254000</v>
      </c>
      <c r="J1239" s="44">
        <v>12</v>
      </c>
      <c r="K1239" s="23">
        <v>250000</v>
      </c>
      <c r="L1239" s="44">
        <v>3</v>
      </c>
      <c r="M1239" s="23">
        <v>0</v>
      </c>
      <c r="N1239" s="44">
        <v>3</v>
      </c>
      <c r="O1239" s="23">
        <v>0</v>
      </c>
      <c r="P1239" s="44">
        <v>3</v>
      </c>
      <c r="Q1239" s="23">
        <v>204500</v>
      </c>
      <c r="R1239" s="44">
        <v>3</v>
      </c>
      <c r="S1239" s="23" t="s">
        <v>449</v>
      </c>
      <c r="T1239" s="54">
        <f t="shared" si="321"/>
        <v>12</v>
      </c>
      <c r="U1239" s="54">
        <f t="shared" si="322"/>
        <v>100</v>
      </c>
      <c r="V1239" s="35" t="s">
        <v>58</v>
      </c>
      <c r="W1239" s="40">
        <f t="shared" si="323"/>
        <v>204500</v>
      </c>
      <c r="X1239" s="53">
        <f t="shared" si="324"/>
        <v>81.8</v>
      </c>
      <c r="Y1239" s="35" t="s">
        <v>58</v>
      </c>
      <c r="Z1239" s="54">
        <f t="shared" si="309"/>
        <v>24</v>
      </c>
      <c r="AA1239" s="40">
        <f t="shared" si="318"/>
        <v>458500</v>
      </c>
      <c r="AB1239" s="53"/>
      <c r="AC1239" s="35" t="s">
        <v>58</v>
      </c>
      <c r="AD1239" s="53"/>
      <c r="AE1239" s="11"/>
      <c r="AG1239" s="441"/>
      <c r="AH1239" s="25"/>
    </row>
    <row r="1240" spans="1:34" ht="135">
      <c r="A1240" s="16"/>
      <c r="B1240" s="17"/>
      <c r="C1240" s="29" t="s">
        <v>357</v>
      </c>
      <c r="D1240" s="29" t="s">
        <v>223</v>
      </c>
      <c r="E1240" s="44">
        <v>36</v>
      </c>
      <c r="F1240" s="21" t="s">
        <v>173</v>
      </c>
      <c r="G1240" s="23">
        <v>101400000</v>
      </c>
      <c r="H1240" s="44">
        <v>12</v>
      </c>
      <c r="I1240" s="23">
        <v>24868750</v>
      </c>
      <c r="J1240" s="44">
        <v>12</v>
      </c>
      <c r="K1240" s="23">
        <v>25850805</v>
      </c>
      <c r="L1240" s="44">
        <v>3</v>
      </c>
      <c r="M1240" s="23">
        <v>4352855</v>
      </c>
      <c r="N1240" s="44">
        <v>3</v>
      </c>
      <c r="O1240" s="23">
        <v>3611080</v>
      </c>
      <c r="P1240" s="44">
        <v>3</v>
      </c>
      <c r="Q1240" s="23">
        <v>4874806</v>
      </c>
      <c r="R1240" s="44">
        <v>3</v>
      </c>
      <c r="S1240" s="23">
        <v>5266923</v>
      </c>
      <c r="T1240" s="54">
        <f t="shared" si="321"/>
        <v>12</v>
      </c>
      <c r="U1240" s="54">
        <f t="shared" si="322"/>
        <v>100</v>
      </c>
      <c r="V1240" s="35" t="s">
        <v>58</v>
      </c>
      <c r="W1240" s="40">
        <f t="shared" si="323"/>
        <v>18105664</v>
      </c>
      <c r="X1240" s="53">
        <f t="shared" si="324"/>
        <v>70.03907228420934</v>
      </c>
      <c r="Y1240" s="35" t="s">
        <v>58</v>
      </c>
      <c r="Z1240" s="54">
        <f t="shared" si="309"/>
        <v>24</v>
      </c>
      <c r="AA1240" s="40">
        <f t="shared" si="318"/>
        <v>42974414</v>
      </c>
      <c r="AB1240" s="53"/>
      <c r="AC1240" s="35" t="s">
        <v>58</v>
      </c>
      <c r="AD1240" s="53"/>
      <c r="AE1240" s="11"/>
      <c r="AG1240" s="441"/>
      <c r="AH1240" s="25"/>
    </row>
    <row r="1241" spans="1:34" ht="120">
      <c r="A1241" s="16"/>
      <c r="B1241" s="17"/>
      <c r="C1241" s="29" t="s">
        <v>80</v>
      </c>
      <c r="D1241" s="29" t="s">
        <v>224</v>
      </c>
      <c r="E1241" s="44">
        <v>36</v>
      </c>
      <c r="F1241" s="21" t="s">
        <v>173</v>
      </c>
      <c r="G1241" s="23">
        <v>4165182000</v>
      </c>
      <c r="H1241" s="44">
        <v>12</v>
      </c>
      <c r="I1241" s="23">
        <v>1232089490</v>
      </c>
      <c r="J1241" s="44">
        <v>12</v>
      </c>
      <c r="K1241" s="443">
        <v>1252913000</v>
      </c>
      <c r="L1241" s="44">
        <v>3</v>
      </c>
      <c r="M1241" s="23">
        <v>298506440</v>
      </c>
      <c r="N1241" s="44">
        <v>3</v>
      </c>
      <c r="O1241" s="23">
        <v>274598120</v>
      </c>
      <c r="P1241" s="44">
        <v>3</v>
      </c>
      <c r="Q1241" s="23">
        <v>291822800</v>
      </c>
      <c r="R1241" s="44">
        <v>3</v>
      </c>
      <c r="S1241" s="23">
        <v>327856560</v>
      </c>
      <c r="T1241" s="54">
        <f t="shared" si="321"/>
        <v>12</v>
      </c>
      <c r="U1241" s="54">
        <f t="shared" si="322"/>
        <v>100</v>
      </c>
      <c r="V1241" s="35" t="s">
        <v>58</v>
      </c>
      <c r="W1241" s="40">
        <f t="shared" si="323"/>
        <v>1192783920</v>
      </c>
      <c r="X1241" s="53">
        <f t="shared" si="324"/>
        <v>95.20085752163159</v>
      </c>
      <c r="Y1241" s="35" t="s">
        <v>58</v>
      </c>
      <c r="Z1241" s="54">
        <f t="shared" si="309"/>
        <v>24</v>
      </c>
      <c r="AA1241" s="40">
        <f t="shared" si="318"/>
        <v>2424873410</v>
      </c>
      <c r="AB1241" s="53"/>
      <c r="AC1241" s="35" t="s">
        <v>58</v>
      </c>
      <c r="AD1241" s="53"/>
      <c r="AE1241" s="11"/>
      <c r="AG1241" s="441"/>
      <c r="AH1241" s="25"/>
    </row>
    <row r="1242" spans="1:34" ht="220.5">
      <c r="A1242" s="16"/>
      <c r="B1242" s="17"/>
      <c r="C1242" s="19" t="s">
        <v>81</v>
      </c>
      <c r="D1242" s="19" t="s">
        <v>1495</v>
      </c>
      <c r="E1242" s="74">
        <v>100</v>
      </c>
      <c r="F1242" s="75" t="s">
        <v>58</v>
      </c>
      <c r="G1242" s="42">
        <f>SUM(G1243:G1245)</f>
        <v>163976400</v>
      </c>
      <c r="H1242" s="74">
        <v>100</v>
      </c>
      <c r="I1242" s="42">
        <f>SUM(I1243:I1245)</f>
        <v>45926951</v>
      </c>
      <c r="J1242" s="74">
        <v>100</v>
      </c>
      <c r="K1242" s="42">
        <f>SUM(K1243:K1245)</f>
        <v>43590200</v>
      </c>
      <c r="L1242" s="74">
        <v>25</v>
      </c>
      <c r="M1242" s="42">
        <f>SUM(M1243:M1245)</f>
        <v>0</v>
      </c>
      <c r="N1242" s="74">
        <v>25</v>
      </c>
      <c r="O1242" s="42">
        <f>SUM(O1243:O1245)</f>
        <v>2128187</v>
      </c>
      <c r="P1242" s="74">
        <v>25</v>
      </c>
      <c r="Q1242" s="42">
        <f>SUM(Q1243:Q1245)</f>
        <v>6940000</v>
      </c>
      <c r="R1242" s="74">
        <v>25</v>
      </c>
      <c r="S1242" s="42">
        <f>SUM(S1243:S1244)</f>
        <v>24612800</v>
      </c>
      <c r="T1242" s="55">
        <f t="shared" si="321"/>
        <v>100</v>
      </c>
      <c r="U1242" s="55">
        <f t="shared" si="322"/>
        <v>100</v>
      </c>
      <c r="V1242" s="58" t="s">
        <v>58</v>
      </c>
      <c r="W1242" s="59">
        <f t="shared" si="323"/>
        <v>33680987</v>
      </c>
      <c r="X1242" s="57">
        <f t="shared" si="324"/>
        <v>77.267337612582637</v>
      </c>
      <c r="Y1242" s="58" t="s">
        <v>58</v>
      </c>
      <c r="Z1242" s="55">
        <f t="shared" si="309"/>
        <v>200</v>
      </c>
      <c r="AA1242" s="59">
        <f t="shared" si="318"/>
        <v>79607938</v>
      </c>
      <c r="AB1242" s="57"/>
      <c r="AC1242" s="58" t="s">
        <v>58</v>
      </c>
      <c r="AD1242" s="57"/>
      <c r="AE1242" s="11"/>
      <c r="AG1242" s="441"/>
      <c r="AH1242" s="25"/>
    </row>
    <row r="1243" spans="1:34" ht="180">
      <c r="A1243" s="16"/>
      <c r="B1243" s="17"/>
      <c r="C1243" s="29" t="s">
        <v>82</v>
      </c>
      <c r="D1243" s="446" t="s">
        <v>226</v>
      </c>
      <c r="E1243" s="44">
        <v>18</v>
      </c>
      <c r="F1243" s="21" t="s">
        <v>138</v>
      </c>
      <c r="G1243" s="23">
        <v>120550000</v>
      </c>
      <c r="H1243" s="44">
        <v>6</v>
      </c>
      <c r="I1243" s="23">
        <v>26287851</v>
      </c>
      <c r="J1243" s="44">
        <v>6</v>
      </c>
      <c r="K1243" s="443">
        <v>36750000</v>
      </c>
      <c r="L1243" s="44">
        <v>0</v>
      </c>
      <c r="M1243" s="23">
        <v>0</v>
      </c>
      <c r="N1243" s="44">
        <v>1</v>
      </c>
      <c r="O1243" s="23">
        <v>2073187</v>
      </c>
      <c r="P1243" s="44">
        <v>1</v>
      </c>
      <c r="Q1243" s="23">
        <v>6240000</v>
      </c>
      <c r="R1243" s="44">
        <v>4</v>
      </c>
      <c r="S1243" s="23">
        <v>22092800</v>
      </c>
      <c r="T1243" s="54">
        <f t="shared" si="321"/>
        <v>6</v>
      </c>
      <c r="U1243" s="54">
        <f t="shared" si="322"/>
        <v>100</v>
      </c>
      <c r="V1243" s="35" t="s">
        <v>58</v>
      </c>
      <c r="W1243" s="40">
        <f t="shared" si="323"/>
        <v>30405987</v>
      </c>
      <c r="X1243" s="53">
        <f t="shared" si="324"/>
        <v>82.737379591836742</v>
      </c>
      <c r="Y1243" s="35" t="s">
        <v>58</v>
      </c>
      <c r="Z1243" s="54">
        <f t="shared" si="309"/>
        <v>12</v>
      </c>
      <c r="AA1243" s="40">
        <f t="shared" si="318"/>
        <v>56693838</v>
      </c>
      <c r="AB1243" s="53"/>
      <c r="AC1243" s="35" t="s">
        <v>58</v>
      </c>
      <c r="AD1243" s="53"/>
      <c r="AE1243" s="11"/>
      <c r="AG1243" s="441"/>
      <c r="AH1243" s="25"/>
    </row>
    <row r="1244" spans="1:34" ht="135">
      <c r="A1244" s="16"/>
      <c r="B1244" s="17"/>
      <c r="C1244" s="26" t="s">
        <v>84</v>
      </c>
      <c r="D1244" s="360" t="s">
        <v>228</v>
      </c>
      <c r="E1244" s="44">
        <v>63</v>
      </c>
      <c r="F1244" s="21" t="s">
        <v>138</v>
      </c>
      <c r="G1244" s="23">
        <v>23782400</v>
      </c>
      <c r="H1244" s="44">
        <v>21</v>
      </c>
      <c r="I1244" s="23">
        <v>1550000</v>
      </c>
      <c r="J1244" s="44">
        <v>21</v>
      </c>
      <c r="K1244" s="23">
        <v>6840200</v>
      </c>
      <c r="L1244" s="44">
        <v>0</v>
      </c>
      <c r="M1244" s="23">
        <v>0</v>
      </c>
      <c r="N1244" s="44">
        <v>1</v>
      </c>
      <c r="O1244" s="23">
        <v>55000</v>
      </c>
      <c r="P1244" s="44">
        <v>7</v>
      </c>
      <c r="Q1244" s="23">
        <v>700000</v>
      </c>
      <c r="R1244" s="44">
        <v>13</v>
      </c>
      <c r="S1244" s="23">
        <v>2520000</v>
      </c>
      <c r="T1244" s="54">
        <f t="shared" si="321"/>
        <v>21</v>
      </c>
      <c r="U1244" s="54">
        <f t="shared" si="322"/>
        <v>100</v>
      </c>
      <c r="V1244" s="35" t="s">
        <v>58</v>
      </c>
      <c r="W1244" s="40">
        <f t="shared" si="323"/>
        <v>3275000</v>
      </c>
      <c r="X1244" s="53">
        <f t="shared" si="324"/>
        <v>47.878716996579044</v>
      </c>
      <c r="Y1244" s="35" t="s">
        <v>58</v>
      </c>
      <c r="Z1244" s="54">
        <f t="shared" si="309"/>
        <v>42</v>
      </c>
      <c r="AA1244" s="40">
        <f t="shared" si="318"/>
        <v>4825000</v>
      </c>
      <c r="AB1244" s="53"/>
      <c r="AC1244" s="35" t="s">
        <v>58</v>
      </c>
      <c r="AD1244" s="57"/>
      <c r="AE1244" s="11"/>
      <c r="AG1244" s="441"/>
      <c r="AH1244" s="25"/>
    </row>
    <row r="1245" spans="1:34" ht="105">
      <c r="A1245" s="16"/>
      <c r="B1245" s="17"/>
      <c r="C1245" s="26" t="s">
        <v>83</v>
      </c>
      <c r="D1245" s="446" t="s">
        <v>365</v>
      </c>
      <c r="E1245" s="44">
        <v>36</v>
      </c>
      <c r="F1245" s="21" t="s">
        <v>138</v>
      </c>
      <c r="G1245" s="23">
        <v>19644000</v>
      </c>
      <c r="H1245" s="44">
        <v>12</v>
      </c>
      <c r="I1245" s="23">
        <v>18089100</v>
      </c>
      <c r="J1245" s="44"/>
      <c r="K1245" s="23"/>
      <c r="L1245" s="44"/>
      <c r="M1245" s="23"/>
      <c r="N1245" s="44"/>
      <c r="O1245" s="23"/>
      <c r="P1245" s="44"/>
      <c r="Q1245" s="23"/>
      <c r="R1245" s="44"/>
      <c r="S1245" s="23"/>
      <c r="T1245" s="54"/>
      <c r="U1245" s="54"/>
      <c r="V1245" s="35"/>
      <c r="W1245" s="40"/>
      <c r="X1245" s="53"/>
      <c r="Y1245" s="35"/>
      <c r="Z1245" s="54">
        <f t="shared" si="309"/>
        <v>12</v>
      </c>
      <c r="AA1245" s="40">
        <f t="shared" si="318"/>
        <v>18089100</v>
      </c>
      <c r="AB1245" s="53"/>
      <c r="AC1245" s="35" t="s">
        <v>58</v>
      </c>
      <c r="AD1245" s="53"/>
      <c r="AE1245" s="11"/>
      <c r="AG1245" s="441"/>
      <c r="AH1245" s="25"/>
    </row>
    <row r="1246" spans="1:34" ht="135.75" customHeight="1">
      <c r="A1246" s="48">
        <v>2</v>
      </c>
      <c r="B1246" s="49" t="s">
        <v>1496</v>
      </c>
      <c r="C1246" s="18" t="s">
        <v>1497</v>
      </c>
      <c r="D1246" s="19" t="s">
        <v>1498</v>
      </c>
      <c r="E1246" s="45">
        <v>76.38</v>
      </c>
      <c r="F1246" s="76" t="s">
        <v>58</v>
      </c>
      <c r="G1246" s="42">
        <f>G1247</f>
        <v>546636050</v>
      </c>
      <c r="H1246" s="57">
        <v>0</v>
      </c>
      <c r="I1246" s="42">
        <f>I1247</f>
        <v>0</v>
      </c>
      <c r="J1246" s="107">
        <v>32.64</v>
      </c>
      <c r="K1246" s="42">
        <f>K1247</f>
        <v>28904950</v>
      </c>
      <c r="L1246" s="107">
        <f>3/144*100</f>
        <v>2.083333333333333</v>
      </c>
      <c r="M1246" s="42">
        <f>M1247</f>
        <v>0</v>
      </c>
      <c r="N1246" s="107">
        <f>3/144*100</f>
        <v>2.083333333333333</v>
      </c>
      <c r="O1246" s="42">
        <f>O1247</f>
        <v>0</v>
      </c>
      <c r="P1246" s="107"/>
      <c r="Q1246" s="42">
        <f>Q1247</f>
        <v>0</v>
      </c>
      <c r="R1246" s="107">
        <f>29/144*100</f>
        <v>20.138888888888889</v>
      </c>
      <c r="S1246" s="42">
        <f>S1247</f>
        <v>21483500</v>
      </c>
      <c r="T1246" s="57">
        <f t="shared" ref="T1246:T1256" si="325">SUM(L1246,N1246,P1246,R1246)</f>
        <v>24.305555555555557</v>
      </c>
      <c r="U1246" s="57">
        <f>Z1246/J1246*100</f>
        <v>74.465550108932462</v>
      </c>
      <c r="V1246" s="58" t="s">
        <v>58</v>
      </c>
      <c r="W1246" s="59">
        <f t="shared" ref="W1246:W1256" si="326">SUM(M1246,O1246,Q1246,S1246)</f>
        <v>21483500</v>
      </c>
      <c r="X1246" s="57">
        <f t="shared" ref="X1246:X1255" si="327">W1246/K1246*100</f>
        <v>74.324639897318619</v>
      </c>
      <c r="Y1246" s="58" t="s">
        <v>58</v>
      </c>
      <c r="Z1246" s="57">
        <f t="shared" si="309"/>
        <v>24.305555555555557</v>
      </c>
      <c r="AA1246" s="59">
        <f t="shared" si="318"/>
        <v>21483500</v>
      </c>
      <c r="AB1246" s="57"/>
      <c r="AC1246" s="58" t="s">
        <v>58</v>
      </c>
      <c r="AD1246" s="53"/>
      <c r="AE1246" s="11"/>
      <c r="AG1246" s="441">
        <v>0</v>
      </c>
      <c r="AH1246" s="25"/>
    </row>
    <row r="1247" spans="1:34" ht="125.25" customHeight="1">
      <c r="A1247" s="16"/>
      <c r="B1247" s="17" t="s">
        <v>1499</v>
      </c>
      <c r="C1247" s="18" t="s">
        <v>1500</v>
      </c>
      <c r="D1247" s="19" t="s">
        <v>1501</v>
      </c>
      <c r="E1247" s="45">
        <v>76.38</v>
      </c>
      <c r="F1247" s="76" t="s">
        <v>58</v>
      </c>
      <c r="G1247" s="42">
        <f>SUM(G1248:G1249)</f>
        <v>546636050</v>
      </c>
      <c r="H1247" s="57">
        <v>0</v>
      </c>
      <c r="I1247" s="42">
        <f>SUM(I1248:I1249)</f>
        <v>0</v>
      </c>
      <c r="J1247" s="57">
        <v>32.64</v>
      </c>
      <c r="K1247" s="42">
        <f>SUM(K1248:K1249)</f>
        <v>28904950</v>
      </c>
      <c r="L1247" s="107">
        <f>3/144*100</f>
        <v>2.083333333333333</v>
      </c>
      <c r="M1247" s="42">
        <f>SUM(M1248:M1249)</f>
        <v>0</v>
      </c>
      <c r="N1247" s="107">
        <f>3/144*100</f>
        <v>2.083333333333333</v>
      </c>
      <c r="O1247" s="42">
        <f>SUM(O1248:O1249)</f>
        <v>0</v>
      </c>
      <c r="P1247" s="107"/>
      <c r="Q1247" s="42">
        <f>SUM(Q1248:Q1249)</f>
        <v>0</v>
      </c>
      <c r="R1247" s="45">
        <v>28.472000000000001</v>
      </c>
      <c r="S1247" s="42">
        <f>S1248+S1249</f>
        <v>21483500</v>
      </c>
      <c r="T1247" s="55">
        <f t="shared" si="325"/>
        <v>32.638666666666666</v>
      </c>
      <c r="U1247" s="57">
        <f>Z1247/J1247*100</f>
        <v>99.995915032679733</v>
      </c>
      <c r="V1247" s="58" t="s">
        <v>58</v>
      </c>
      <c r="W1247" s="59">
        <f t="shared" si="326"/>
        <v>21483500</v>
      </c>
      <c r="X1247" s="57">
        <f t="shared" si="327"/>
        <v>74.324639897318619</v>
      </c>
      <c r="Y1247" s="58" t="s">
        <v>58</v>
      </c>
      <c r="Z1247" s="57">
        <f t="shared" si="309"/>
        <v>32.638666666666666</v>
      </c>
      <c r="AA1247" s="59">
        <f t="shared" si="318"/>
        <v>21483500</v>
      </c>
      <c r="AB1247" s="57"/>
      <c r="AC1247" s="58" t="s">
        <v>58</v>
      </c>
      <c r="AD1247" s="57"/>
      <c r="AE1247" s="11"/>
      <c r="AG1247" s="441">
        <v>0</v>
      </c>
      <c r="AH1247" s="25"/>
    </row>
    <row r="1248" spans="1:34" ht="75">
      <c r="A1248" s="16"/>
      <c r="B1248" s="17"/>
      <c r="C1248" s="436" t="s">
        <v>1502</v>
      </c>
      <c r="D1248" s="440" t="s">
        <v>1503</v>
      </c>
      <c r="E1248" s="20">
        <v>110</v>
      </c>
      <c r="F1248" s="47" t="s">
        <v>1088</v>
      </c>
      <c r="G1248" s="243">
        <v>44636050</v>
      </c>
      <c r="H1248" s="384">
        <v>0</v>
      </c>
      <c r="I1248" s="22">
        <v>0</v>
      </c>
      <c r="J1248" s="35">
        <v>47</v>
      </c>
      <c r="K1248" s="243">
        <v>18104950</v>
      </c>
      <c r="L1248" s="20">
        <v>3</v>
      </c>
      <c r="M1248" s="23">
        <v>0</v>
      </c>
      <c r="N1248" s="20">
        <v>3</v>
      </c>
      <c r="O1248" s="23">
        <v>0</v>
      </c>
      <c r="P1248" s="20">
        <v>0</v>
      </c>
      <c r="Q1248" s="23">
        <v>0</v>
      </c>
      <c r="R1248" s="20">
        <v>41</v>
      </c>
      <c r="S1248" s="23">
        <v>10915500</v>
      </c>
      <c r="T1248" s="54">
        <f t="shared" si="325"/>
        <v>47</v>
      </c>
      <c r="U1248" s="54">
        <f>T1248/J1248*100</f>
        <v>100</v>
      </c>
      <c r="V1248" s="35" t="s">
        <v>58</v>
      </c>
      <c r="W1248" s="40">
        <f t="shared" si="326"/>
        <v>10915500</v>
      </c>
      <c r="X1248" s="53">
        <f t="shared" si="327"/>
        <v>60.29014164634534</v>
      </c>
      <c r="Y1248" s="35" t="s">
        <v>58</v>
      </c>
      <c r="Z1248" s="54">
        <f t="shared" si="309"/>
        <v>47</v>
      </c>
      <c r="AA1248" s="40">
        <f t="shared" si="318"/>
        <v>10915500</v>
      </c>
      <c r="AB1248" s="53"/>
      <c r="AC1248" s="35" t="s">
        <v>58</v>
      </c>
      <c r="AD1248" s="53"/>
      <c r="AE1248" s="11"/>
      <c r="AG1248" s="441">
        <v>0</v>
      </c>
      <c r="AH1248" s="25"/>
    </row>
    <row r="1249" spans="1:34" ht="90">
      <c r="A1249" s="16"/>
      <c r="B1249" s="17"/>
      <c r="C1249" s="436" t="s">
        <v>1504</v>
      </c>
      <c r="D1249" s="440" t="s">
        <v>1505</v>
      </c>
      <c r="E1249" s="20">
        <v>1</v>
      </c>
      <c r="F1249" s="47" t="s">
        <v>1430</v>
      </c>
      <c r="G1249" s="243">
        <v>502000000</v>
      </c>
      <c r="H1249" s="384">
        <v>0</v>
      </c>
      <c r="I1249" s="22">
        <v>0</v>
      </c>
      <c r="J1249" s="35">
        <v>1</v>
      </c>
      <c r="K1249" s="443">
        <v>10800000</v>
      </c>
      <c r="L1249" s="20">
        <v>0</v>
      </c>
      <c r="M1249" s="23">
        <v>0</v>
      </c>
      <c r="N1249" s="20">
        <v>0</v>
      </c>
      <c r="O1249" s="23">
        <v>0</v>
      </c>
      <c r="P1249" s="20">
        <v>0</v>
      </c>
      <c r="Q1249" s="23">
        <v>0</v>
      </c>
      <c r="R1249" s="20">
        <v>1</v>
      </c>
      <c r="S1249" s="23">
        <v>10568000</v>
      </c>
      <c r="T1249" s="54">
        <f t="shared" si="325"/>
        <v>1</v>
      </c>
      <c r="U1249" s="54">
        <f>T1249/J1249*100</f>
        <v>100</v>
      </c>
      <c r="V1249" s="35" t="s">
        <v>58</v>
      </c>
      <c r="W1249" s="40">
        <f t="shared" si="326"/>
        <v>10568000</v>
      </c>
      <c r="X1249" s="53">
        <f t="shared" si="327"/>
        <v>97.851851851851862</v>
      </c>
      <c r="Y1249" s="35" t="s">
        <v>58</v>
      </c>
      <c r="Z1249" s="54">
        <f t="shared" si="309"/>
        <v>1</v>
      </c>
      <c r="AA1249" s="40">
        <f t="shared" si="318"/>
        <v>10568000</v>
      </c>
      <c r="AB1249" s="53"/>
      <c r="AC1249" s="35" t="s">
        <v>58</v>
      </c>
      <c r="AD1249" s="53"/>
      <c r="AE1249" s="11"/>
      <c r="AG1249" s="441"/>
      <c r="AH1249" s="25"/>
    </row>
    <row r="1250" spans="1:34" ht="138" customHeight="1">
      <c r="A1250" s="48">
        <v>3</v>
      </c>
      <c r="B1250" s="49" t="s">
        <v>1506</v>
      </c>
      <c r="C1250" s="18" t="s">
        <v>1507</v>
      </c>
      <c r="D1250" s="19" t="s">
        <v>1508</v>
      </c>
      <c r="E1250" s="45">
        <v>22.92</v>
      </c>
      <c r="F1250" s="46" t="s">
        <v>58</v>
      </c>
      <c r="G1250" s="42">
        <f>G1251</f>
        <v>54854872</v>
      </c>
      <c r="H1250" s="447">
        <v>20.6</v>
      </c>
      <c r="I1250" s="42">
        <f>I1251</f>
        <v>18433900</v>
      </c>
      <c r="J1250" s="107">
        <v>21.76</v>
      </c>
      <c r="K1250" s="42">
        <f>K1251</f>
        <v>14375000</v>
      </c>
      <c r="L1250" s="107">
        <v>0</v>
      </c>
      <c r="M1250" s="42">
        <f>M1251</f>
        <v>0</v>
      </c>
      <c r="N1250" s="107">
        <v>0</v>
      </c>
      <c r="O1250" s="42">
        <f>O1251</f>
        <v>2500000</v>
      </c>
      <c r="P1250" s="107">
        <v>0</v>
      </c>
      <c r="Q1250" s="42">
        <f>Q1251</f>
        <v>7000000</v>
      </c>
      <c r="R1250" s="107">
        <v>1.1599999999999999</v>
      </c>
      <c r="S1250" s="42">
        <f>S1251</f>
        <v>3750000</v>
      </c>
      <c r="T1250" s="57">
        <f t="shared" si="325"/>
        <v>1.1599999999999999</v>
      </c>
      <c r="U1250" s="57">
        <f>Z1250/J1250*100</f>
        <v>100</v>
      </c>
      <c r="V1250" s="58" t="s">
        <v>58</v>
      </c>
      <c r="W1250" s="59">
        <f t="shared" si="326"/>
        <v>13250000</v>
      </c>
      <c r="X1250" s="57">
        <f t="shared" si="327"/>
        <v>92.173913043478265</v>
      </c>
      <c r="Y1250" s="58" t="s">
        <v>58</v>
      </c>
      <c r="Z1250" s="57">
        <f t="shared" si="309"/>
        <v>21.76</v>
      </c>
      <c r="AA1250" s="59">
        <f t="shared" si="318"/>
        <v>31683900</v>
      </c>
      <c r="AB1250" s="57"/>
      <c r="AC1250" s="58" t="s">
        <v>58</v>
      </c>
      <c r="AD1250" s="53"/>
      <c r="AE1250" s="11"/>
      <c r="AG1250" s="441">
        <v>9500000</v>
      </c>
      <c r="AH1250" s="25"/>
    </row>
    <row r="1251" spans="1:34" ht="137.25" customHeight="1">
      <c r="A1251" s="16"/>
      <c r="B1251" s="17" t="s">
        <v>1509</v>
      </c>
      <c r="C1251" s="18" t="s">
        <v>1510</v>
      </c>
      <c r="D1251" s="19" t="s">
        <v>1511</v>
      </c>
      <c r="E1251" s="45">
        <f>17/144*100</f>
        <v>11.805555555555555</v>
      </c>
      <c r="F1251" s="76" t="s">
        <v>58</v>
      </c>
      <c r="G1251" s="42">
        <f>SUM(G1252)</f>
        <v>54854872</v>
      </c>
      <c r="H1251" s="57">
        <f>11/144*100</f>
        <v>7.6388888888888893</v>
      </c>
      <c r="I1251" s="42">
        <f>SUM(I1252)</f>
        <v>18433900</v>
      </c>
      <c r="J1251" s="57">
        <f>14/144*100</f>
        <v>9.7222222222222232</v>
      </c>
      <c r="K1251" s="42">
        <f>SUM(K1252)</f>
        <v>14375000</v>
      </c>
      <c r="L1251" s="45">
        <v>0</v>
      </c>
      <c r="M1251" s="42">
        <f>SUM(M1252)</f>
        <v>0</v>
      </c>
      <c r="N1251" s="45">
        <v>2.0830000000000002</v>
      </c>
      <c r="O1251" s="42">
        <f>SUM(O1252)</f>
        <v>2500000</v>
      </c>
      <c r="P1251" s="45">
        <v>0</v>
      </c>
      <c r="Q1251" s="42">
        <f>SUM(Q1252)</f>
        <v>7000000</v>
      </c>
      <c r="R1251" s="107"/>
      <c r="S1251" s="42">
        <f>S1252</f>
        <v>3750000</v>
      </c>
      <c r="T1251" s="55">
        <f t="shared" si="325"/>
        <v>2.0830000000000002</v>
      </c>
      <c r="U1251" s="57">
        <f>Z1251/J1251*100</f>
        <v>99.996571428571428</v>
      </c>
      <c r="V1251" s="58" t="s">
        <v>58</v>
      </c>
      <c r="W1251" s="59">
        <f t="shared" si="326"/>
        <v>13250000</v>
      </c>
      <c r="X1251" s="57">
        <f t="shared" si="327"/>
        <v>92.173913043478265</v>
      </c>
      <c r="Y1251" s="58" t="s">
        <v>58</v>
      </c>
      <c r="Z1251" s="57">
        <f t="shared" si="309"/>
        <v>9.7218888888888895</v>
      </c>
      <c r="AA1251" s="59">
        <f t="shared" si="318"/>
        <v>31683900</v>
      </c>
      <c r="AB1251" s="57"/>
      <c r="AC1251" s="58" t="s">
        <v>58</v>
      </c>
      <c r="AD1251" s="57"/>
      <c r="AE1251" s="11"/>
      <c r="AG1251" s="441"/>
      <c r="AH1251" s="25"/>
    </row>
    <row r="1252" spans="1:34" ht="135">
      <c r="A1252" s="16"/>
      <c r="B1252" s="17"/>
      <c r="C1252" s="436" t="s">
        <v>1512</v>
      </c>
      <c r="D1252" s="440" t="s">
        <v>1513</v>
      </c>
      <c r="E1252" s="20">
        <v>3</v>
      </c>
      <c r="F1252" s="47" t="s">
        <v>55</v>
      </c>
      <c r="G1252" s="243">
        <f>20239936+14375000+20239936</f>
        <v>54854872</v>
      </c>
      <c r="H1252" s="384">
        <v>1</v>
      </c>
      <c r="I1252" s="22">
        <v>18433900</v>
      </c>
      <c r="J1252" s="35">
        <v>1</v>
      </c>
      <c r="K1252" s="243">
        <v>14375000</v>
      </c>
      <c r="L1252" s="20">
        <v>0</v>
      </c>
      <c r="M1252" s="23">
        <v>0</v>
      </c>
      <c r="N1252" s="20">
        <v>0</v>
      </c>
      <c r="O1252" s="23">
        <v>2500000</v>
      </c>
      <c r="P1252" s="20">
        <v>0</v>
      </c>
      <c r="Q1252" s="23">
        <v>7000000</v>
      </c>
      <c r="R1252" s="20">
        <v>1</v>
      </c>
      <c r="S1252" s="23">
        <v>3750000</v>
      </c>
      <c r="T1252" s="54">
        <f t="shared" si="325"/>
        <v>1</v>
      </c>
      <c r="U1252" s="54">
        <f>T1252/J1252*100</f>
        <v>100</v>
      </c>
      <c r="V1252" s="35" t="s">
        <v>58</v>
      </c>
      <c r="W1252" s="40">
        <f t="shared" si="326"/>
        <v>13250000</v>
      </c>
      <c r="X1252" s="53">
        <f t="shared" si="327"/>
        <v>92.173913043478265</v>
      </c>
      <c r="Y1252" s="35" t="s">
        <v>58</v>
      </c>
      <c r="Z1252" s="54">
        <f t="shared" si="309"/>
        <v>2</v>
      </c>
      <c r="AA1252" s="40">
        <f t="shared" si="318"/>
        <v>31683900</v>
      </c>
      <c r="AB1252" s="53"/>
      <c r="AC1252" s="35" t="s">
        <v>58</v>
      </c>
      <c r="AD1252" s="53"/>
      <c r="AE1252" s="11"/>
      <c r="AG1252" s="441"/>
      <c r="AH1252" s="25"/>
    </row>
    <row r="1253" spans="1:34" ht="117.75" customHeight="1">
      <c r="A1253" s="302">
        <v>3</v>
      </c>
      <c r="B1253" s="49" t="s">
        <v>1514</v>
      </c>
      <c r="C1253" s="448" t="s">
        <v>1515</v>
      </c>
      <c r="D1253" s="19" t="s">
        <v>1516</v>
      </c>
      <c r="E1253" s="45">
        <v>100</v>
      </c>
      <c r="F1253" s="46" t="s">
        <v>58</v>
      </c>
      <c r="G1253" s="52">
        <f>G1255</f>
        <v>557485000</v>
      </c>
      <c r="H1253" s="449">
        <v>100</v>
      </c>
      <c r="I1253" s="52">
        <f>I1255</f>
        <v>108790850</v>
      </c>
      <c r="J1253" s="60">
        <v>100</v>
      </c>
      <c r="K1253" s="52">
        <f>K1255</f>
        <v>328726600</v>
      </c>
      <c r="L1253" s="423">
        <v>0</v>
      </c>
      <c r="M1253" s="52">
        <f>M1255</f>
        <v>27235000</v>
      </c>
      <c r="N1253" s="423">
        <v>0</v>
      </c>
      <c r="O1253" s="52">
        <f>O1255</f>
        <v>168926700</v>
      </c>
      <c r="P1253" s="423">
        <v>0</v>
      </c>
      <c r="Q1253" s="1148">
        <f>Q1255</f>
        <v>51718250</v>
      </c>
      <c r="R1253" s="423"/>
      <c r="S1253" s="450">
        <f>S1255</f>
        <v>39712500</v>
      </c>
      <c r="T1253" s="57">
        <f t="shared" si="325"/>
        <v>0</v>
      </c>
      <c r="U1253" s="55">
        <f>Z1253/J1253*100</f>
        <v>100</v>
      </c>
      <c r="V1253" s="58" t="s">
        <v>58</v>
      </c>
      <c r="W1253" s="59">
        <f t="shared" si="326"/>
        <v>287592450</v>
      </c>
      <c r="X1253" s="57">
        <f t="shared" si="327"/>
        <v>87.486820354665554</v>
      </c>
      <c r="Y1253" s="58" t="s">
        <v>58</v>
      </c>
      <c r="Z1253" s="57">
        <f t="shared" si="309"/>
        <v>100</v>
      </c>
      <c r="AA1253" s="59">
        <f t="shared" si="318"/>
        <v>396383300</v>
      </c>
      <c r="AB1253" s="57"/>
      <c r="AC1253" s="58" t="s">
        <v>58</v>
      </c>
      <c r="AD1253" s="53"/>
      <c r="AE1253" s="11"/>
      <c r="AG1253" s="441"/>
      <c r="AH1253" s="25"/>
    </row>
    <row r="1254" spans="1:34" ht="139.5" customHeight="1">
      <c r="A1254" s="302"/>
      <c r="B1254" s="17" t="s">
        <v>1517</v>
      </c>
      <c r="C1254" s="448"/>
      <c r="D1254" s="19" t="s">
        <v>1518</v>
      </c>
      <c r="E1254" s="45">
        <v>83.33</v>
      </c>
      <c r="F1254" s="46"/>
      <c r="G1254" s="41"/>
      <c r="H1254" s="451" t="s">
        <v>1519</v>
      </c>
      <c r="I1254" s="41"/>
      <c r="J1254" s="239">
        <v>66.67</v>
      </c>
      <c r="K1254" s="41"/>
      <c r="L1254" s="278"/>
      <c r="M1254" s="41">
        <f>M1256</f>
        <v>0</v>
      </c>
      <c r="N1254" s="278"/>
      <c r="O1254" s="41">
        <f>O1256</f>
        <v>0</v>
      </c>
      <c r="P1254" s="239">
        <v>66.67</v>
      </c>
      <c r="Q1254" s="1149">
        <f>Q1256</f>
        <v>0</v>
      </c>
      <c r="R1254" s="278"/>
      <c r="S1254"/>
      <c r="T1254" s="57">
        <f t="shared" si="325"/>
        <v>66.67</v>
      </c>
      <c r="U1254" s="55">
        <f>Z1254/J1254*100</f>
        <v>100</v>
      </c>
      <c r="V1254" s="58" t="s">
        <v>58</v>
      </c>
      <c r="W1254" s="59">
        <f t="shared" si="326"/>
        <v>0</v>
      </c>
      <c r="X1254" s="57"/>
      <c r="Y1254" s="58" t="s">
        <v>58</v>
      </c>
      <c r="Z1254" s="57">
        <f t="shared" si="309"/>
        <v>66.67</v>
      </c>
      <c r="AA1254" s="59">
        <f t="shared" si="318"/>
        <v>0</v>
      </c>
      <c r="AB1254" s="57"/>
      <c r="AC1254" s="58" t="s">
        <v>58</v>
      </c>
      <c r="AD1254" s="53"/>
      <c r="AE1254" s="11"/>
      <c r="AG1254" s="441"/>
      <c r="AH1254" s="25"/>
    </row>
    <row r="1255" spans="1:34" ht="199.5" customHeight="1">
      <c r="A1255" s="16"/>
      <c r="B1255" s="17" t="s">
        <v>1520</v>
      </c>
      <c r="C1255" s="18" t="s">
        <v>1521</v>
      </c>
      <c r="D1255" s="19" t="s">
        <v>1522</v>
      </c>
      <c r="E1255" s="45">
        <v>40.28</v>
      </c>
      <c r="F1255" s="76" t="s">
        <v>58</v>
      </c>
      <c r="G1255" s="52">
        <f>SUM(G1257:G1262)</f>
        <v>557485000</v>
      </c>
      <c r="H1255" s="449">
        <v>25</v>
      </c>
      <c r="I1255" s="52">
        <f>SUM(I1257:I1262)</f>
        <v>108790850</v>
      </c>
      <c r="J1255" s="60">
        <v>32.64</v>
      </c>
      <c r="K1255" s="52">
        <f>SUM(K1257:K1262)</f>
        <v>328726600</v>
      </c>
      <c r="L1255" s="423">
        <f>2/144*100</f>
        <v>1.3888888888888888</v>
      </c>
      <c r="M1255" s="52">
        <f>SUM(M1257:M1262)</f>
        <v>27235000</v>
      </c>
      <c r="N1255" s="423">
        <f>3/144*100</f>
        <v>2.083333333333333</v>
      </c>
      <c r="O1255" s="52">
        <f>SUM(O1257:O1262)</f>
        <v>168926700</v>
      </c>
      <c r="P1255" s="423">
        <v>0</v>
      </c>
      <c r="Q1255" s="52">
        <f>SUM(Q1257:Q1262)</f>
        <v>51718250</v>
      </c>
      <c r="R1255" s="423">
        <v>4.17</v>
      </c>
      <c r="S1255" s="52">
        <f>SUM(S1257:S1262)</f>
        <v>39712500</v>
      </c>
      <c r="T1255" s="57">
        <f t="shared" si="325"/>
        <v>7.6422222222222214</v>
      </c>
      <c r="U1255" s="55">
        <f>Z1255/J1255*100</f>
        <v>100.0068082788671</v>
      </c>
      <c r="V1255" s="58" t="s">
        <v>58</v>
      </c>
      <c r="W1255" s="59">
        <f t="shared" si="326"/>
        <v>287592450</v>
      </c>
      <c r="X1255" s="57">
        <f t="shared" si="327"/>
        <v>87.486820354665554</v>
      </c>
      <c r="Y1255" s="58" t="s">
        <v>58</v>
      </c>
      <c r="Z1255" s="57">
        <f t="shared" si="309"/>
        <v>32.642222222222223</v>
      </c>
      <c r="AA1255" s="59">
        <f t="shared" si="318"/>
        <v>396383300</v>
      </c>
      <c r="AB1255" s="57"/>
      <c r="AC1255" s="58" t="s">
        <v>58</v>
      </c>
      <c r="AD1255" s="57"/>
      <c r="AE1255" s="11"/>
      <c r="AG1255" s="441"/>
      <c r="AH1255" s="25"/>
    </row>
    <row r="1256" spans="1:34" ht="162.75" customHeight="1">
      <c r="A1256" s="16"/>
      <c r="B1256" s="17" t="s">
        <v>1523</v>
      </c>
      <c r="C1256" s="18"/>
      <c r="D1256" s="19" t="s">
        <v>1524</v>
      </c>
      <c r="E1256" s="45">
        <v>100</v>
      </c>
      <c r="F1256" s="76"/>
      <c r="G1256" s="41"/>
      <c r="H1256" s="244">
        <v>0</v>
      </c>
      <c r="I1256" s="41"/>
      <c r="J1256" s="239">
        <v>29.86</v>
      </c>
      <c r="K1256" s="41"/>
      <c r="L1256" s="278"/>
      <c r="M1256" s="41">
        <f>M1258</f>
        <v>0</v>
      </c>
      <c r="N1256" s="278"/>
      <c r="O1256" s="41"/>
      <c r="P1256" s="239"/>
      <c r="Q1256" s="41">
        <f>Q1258</f>
        <v>0</v>
      </c>
      <c r="R1256" s="278">
        <v>29.86</v>
      </c>
      <c r="S1256" s="41"/>
      <c r="T1256" s="57">
        <f t="shared" si="325"/>
        <v>29.86</v>
      </c>
      <c r="U1256" s="55">
        <f>Z1256/J1256*100</f>
        <v>100</v>
      </c>
      <c r="V1256" s="58" t="s">
        <v>58</v>
      </c>
      <c r="W1256" s="59">
        <f t="shared" si="326"/>
        <v>0</v>
      </c>
      <c r="X1256" s="57"/>
      <c r="Y1256" s="58" t="s">
        <v>58</v>
      </c>
      <c r="Z1256" s="57">
        <f t="shared" si="309"/>
        <v>29.86</v>
      </c>
      <c r="AA1256" s="59">
        <f t="shared" si="318"/>
        <v>0</v>
      </c>
      <c r="AB1256" s="57"/>
      <c r="AC1256" s="58" t="s">
        <v>58</v>
      </c>
      <c r="AD1256" s="53"/>
      <c r="AE1256" s="11"/>
      <c r="AG1256" s="441"/>
      <c r="AH1256" s="25"/>
    </row>
    <row r="1257" spans="1:34" ht="108" customHeight="1">
      <c r="A1257" s="16"/>
      <c r="B1257" s="17"/>
      <c r="C1257" s="436" t="s">
        <v>1525</v>
      </c>
      <c r="D1257" s="366" t="s">
        <v>1526</v>
      </c>
      <c r="E1257" s="20">
        <v>22</v>
      </c>
      <c r="F1257" s="47" t="s">
        <v>55</v>
      </c>
      <c r="G1257" s="243">
        <v>26600000</v>
      </c>
      <c r="H1257" s="20">
        <v>0</v>
      </c>
      <c r="I1257" s="22"/>
      <c r="J1257" s="20">
        <v>11</v>
      </c>
      <c r="K1257" s="444">
        <v>11637500</v>
      </c>
      <c r="L1257" s="20">
        <v>2</v>
      </c>
      <c r="M1257" s="23"/>
      <c r="N1257" s="20">
        <v>3</v>
      </c>
      <c r="O1257" s="23">
        <v>1125000</v>
      </c>
      <c r="P1257" s="20">
        <v>3</v>
      </c>
      <c r="Q1257" s="23">
        <v>2250000</v>
      </c>
      <c r="R1257" s="20">
        <v>3</v>
      </c>
      <c r="S1257" s="23">
        <v>4687500</v>
      </c>
      <c r="T1257" s="54">
        <f>SUM(L1257,N1257,P1257,R1257)</f>
        <v>11</v>
      </c>
      <c r="U1257" s="54">
        <f>T1257/J1257*100</f>
        <v>100</v>
      </c>
      <c r="V1257" s="35" t="s">
        <v>58</v>
      </c>
      <c r="W1257" s="40">
        <f>SUM(M1257,O1257,Q1257,S1257)</f>
        <v>8062500</v>
      </c>
      <c r="X1257" s="53">
        <f>W1257/K1257*100</f>
        <v>69.280343716433947</v>
      </c>
      <c r="Y1257" s="35" t="s">
        <v>58</v>
      </c>
      <c r="Z1257" s="242">
        <f>SUM(H1257,T1257)</f>
        <v>11</v>
      </c>
      <c r="AA1257" s="40">
        <f>SUM(I1257,W1257)</f>
        <v>8062500</v>
      </c>
      <c r="AB1257" s="53"/>
      <c r="AC1257" s="35" t="s">
        <v>58</v>
      </c>
      <c r="AD1257" s="53"/>
      <c r="AE1257" s="11"/>
      <c r="AG1257" s="441"/>
      <c r="AH1257" s="25"/>
    </row>
    <row r="1258" spans="1:34" ht="105">
      <c r="A1258" s="16"/>
      <c r="B1258" s="17"/>
      <c r="C1258" s="436" t="s">
        <v>1527</v>
      </c>
      <c r="D1258" s="440" t="s">
        <v>1528</v>
      </c>
      <c r="E1258" s="20">
        <v>864</v>
      </c>
      <c r="F1258" s="47" t="s">
        <v>55</v>
      </c>
      <c r="G1258" s="243">
        <v>210585000</v>
      </c>
      <c r="H1258" s="20">
        <v>288</v>
      </c>
      <c r="I1258" s="22">
        <v>51429600</v>
      </c>
      <c r="J1258" s="20">
        <v>288</v>
      </c>
      <c r="K1258" s="444">
        <v>31637500</v>
      </c>
      <c r="L1258" s="20">
        <v>0</v>
      </c>
      <c r="M1258" s="23">
        <v>0</v>
      </c>
      <c r="N1258" s="20">
        <v>0</v>
      </c>
      <c r="O1258" s="23">
        <v>12800000</v>
      </c>
      <c r="P1258" s="20">
        <v>288</v>
      </c>
      <c r="Q1258" s="23">
        <v>0</v>
      </c>
      <c r="R1258" s="20"/>
      <c r="S1258" s="23">
        <v>17825000</v>
      </c>
      <c r="T1258" s="54">
        <f>SUM(L1258,N1258,P1258,R1258)</f>
        <v>288</v>
      </c>
      <c r="U1258" s="54">
        <f>T1258/J1258*100</f>
        <v>100</v>
      </c>
      <c r="V1258" s="35" t="s">
        <v>58</v>
      </c>
      <c r="W1258" s="40">
        <f>SUM(M1258,O1258,Q1258,S1258)</f>
        <v>30625000</v>
      </c>
      <c r="X1258" s="53">
        <f>W1258/K1258*100</f>
        <v>96.799683919399442</v>
      </c>
      <c r="Y1258" s="35" t="s">
        <v>58</v>
      </c>
      <c r="Z1258" s="242">
        <f>SUM(H1258,T1258)</f>
        <v>576</v>
      </c>
      <c r="AA1258" s="40">
        <f>SUM(I1258,W1258)</f>
        <v>82054600</v>
      </c>
      <c r="AB1258" s="53"/>
      <c r="AC1258" s="35" t="s">
        <v>58</v>
      </c>
      <c r="AD1258" s="53"/>
      <c r="AE1258" s="11"/>
      <c r="AG1258" s="441"/>
      <c r="AH1258" s="25"/>
    </row>
    <row r="1259" spans="1:34" ht="145.5" customHeight="1">
      <c r="A1259" s="16"/>
      <c r="B1259" s="17"/>
      <c r="C1259" s="436" t="s">
        <v>1529</v>
      </c>
      <c r="D1259" s="366" t="s">
        <v>1530</v>
      </c>
      <c r="E1259" s="20">
        <v>1</v>
      </c>
      <c r="F1259" s="47" t="s">
        <v>173</v>
      </c>
      <c r="G1259" s="243">
        <v>130370000</v>
      </c>
      <c r="H1259" s="20">
        <v>0</v>
      </c>
      <c r="I1259" s="22"/>
      <c r="J1259" s="20">
        <v>1</v>
      </c>
      <c r="K1259" s="443">
        <v>203420000</v>
      </c>
      <c r="L1259" s="20">
        <v>0</v>
      </c>
      <c r="M1259" s="23">
        <v>27235000</v>
      </c>
      <c r="N1259" s="20">
        <v>0</v>
      </c>
      <c r="O1259" s="23">
        <v>122751700</v>
      </c>
      <c r="P1259" s="20">
        <v>1</v>
      </c>
      <c r="Q1259" s="23">
        <v>22318250</v>
      </c>
      <c r="R1259" s="20"/>
      <c r="S1259" s="23"/>
      <c r="T1259" s="54">
        <f>SUM(L1259,N1259,P1259,R1259)</f>
        <v>1</v>
      </c>
      <c r="U1259" s="54">
        <f>T1259/J1259*100</f>
        <v>100</v>
      </c>
      <c r="V1259" s="35" t="s">
        <v>58</v>
      </c>
      <c r="W1259" s="40">
        <f>SUM(M1259,O1259,Q1259,S1259)</f>
        <v>172304950</v>
      </c>
      <c r="X1259" s="53">
        <f>W1259/K1259*100</f>
        <v>84.704035984662269</v>
      </c>
      <c r="Y1259" s="35" t="s">
        <v>58</v>
      </c>
      <c r="Z1259" s="242">
        <f>SUM(H1259,T1259)</f>
        <v>1</v>
      </c>
      <c r="AA1259" s="40">
        <f>SUM(I1259,W1259)</f>
        <v>172304950</v>
      </c>
      <c r="AB1259" s="53"/>
      <c r="AC1259" s="35" t="s">
        <v>58</v>
      </c>
      <c r="AD1259" s="53"/>
      <c r="AE1259" s="11"/>
      <c r="AG1259" s="441"/>
      <c r="AH1259" s="25"/>
    </row>
    <row r="1260" spans="1:34" ht="105">
      <c r="A1260" s="16"/>
      <c r="B1260" s="17"/>
      <c r="C1260" s="436" t="s">
        <v>1531</v>
      </c>
      <c r="D1260" s="366" t="s">
        <v>1532</v>
      </c>
      <c r="E1260" s="20">
        <v>2</v>
      </c>
      <c r="F1260" s="47" t="s">
        <v>55</v>
      </c>
      <c r="G1260" s="23">
        <v>42570000</v>
      </c>
      <c r="H1260" s="20">
        <v>0</v>
      </c>
      <c r="I1260" s="22"/>
      <c r="J1260" s="20">
        <v>2</v>
      </c>
      <c r="K1260" s="443">
        <v>48611600</v>
      </c>
      <c r="L1260" s="20">
        <v>0</v>
      </c>
      <c r="M1260" s="23">
        <v>0</v>
      </c>
      <c r="N1260" s="20">
        <v>0</v>
      </c>
      <c r="O1260" s="23">
        <v>0</v>
      </c>
      <c r="P1260" s="20">
        <v>2</v>
      </c>
      <c r="Q1260" s="23">
        <v>27150000</v>
      </c>
      <c r="R1260" s="20"/>
      <c r="S1260" s="23">
        <v>17200000</v>
      </c>
      <c r="T1260" s="54">
        <f>SUM(L1260,N1260,P1260,R1260)</f>
        <v>2</v>
      </c>
      <c r="U1260" s="54">
        <f>T1260/J1260*100</f>
        <v>100</v>
      </c>
      <c r="V1260" s="35" t="s">
        <v>58</v>
      </c>
      <c r="W1260" s="40">
        <f>SUM(M1260,O1260,Q1260,S1260)</f>
        <v>44350000</v>
      </c>
      <c r="X1260" s="53">
        <f>W1260/K1260*100</f>
        <v>91.233368167268708</v>
      </c>
      <c r="Y1260" s="35" t="s">
        <v>58</v>
      </c>
      <c r="Z1260" s="242">
        <f>SUM(H1260,T1260)</f>
        <v>2</v>
      </c>
      <c r="AA1260" s="40">
        <f>SUM(I1260,W1260)</f>
        <v>44350000</v>
      </c>
      <c r="AB1260" s="53"/>
      <c r="AC1260" s="35" t="s">
        <v>58</v>
      </c>
      <c r="AD1260" s="53"/>
      <c r="AE1260" s="11"/>
      <c r="AG1260" s="441"/>
      <c r="AH1260" s="25"/>
    </row>
    <row r="1261" spans="1:34" ht="135">
      <c r="A1261" s="16"/>
      <c r="B1261" s="17"/>
      <c r="C1261" s="436" t="s">
        <v>1533</v>
      </c>
      <c r="D1261" s="366" t="s">
        <v>1534</v>
      </c>
      <c r="E1261" s="20">
        <v>3</v>
      </c>
      <c r="F1261" s="47" t="s">
        <v>55</v>
      </c>
      <c r="G1261" s="23">
        <f>48080000+33480000+48080000</f>
        <v>129640000</v>
      </c>
      <c r="H1261" s="20">
        <v>1</v>
      </c>
      <c r="I1261" s="22">
        <v>42420000</v>
      </c>
      <c r="J1261" s="20">
        <v>1</v>
      </c>
      <c r="K1261" s="243">
        <v>33420000</v>
      </c>
      <c r="L1261" s="20">
        <v>0</v>
      </c>
      <c r="M1261" s="23">
        <v>0</v>
      </c>
      <c r="N1261" s="20">
        <v>1</v>
      </c>
      <c r="O1261" s="23">
        <v>32250000</v>
      </c>
      <c r="P1261" s="20">
        <v>0</v>
      </c>
      <c r="Q1261" s="23">
        <v>0</v>
      </c>
      <c r="R1261" s="20"/>
      <c r="S1261" s="23" t="s">
        <v>449</v>
      </c>
      <c r="T1261" s="54">
        <f>SUM(L1261,N1261,P1261,R1261)</f>
        <v>1</v>
      </c>
      <c r="U1261" s="54">
        <f>T1261/J1261*100</f>
        <v>100</v>
      </c>
      <c r="V1261" s="35" t="s">
        <v>58</v>
      </c>
      <c r="W1261" s="40">
        <f>SUM(M1261,O1261,Q1261,S1261)</f>
        <v>32250000</v>
      </c>
      <c r="X1261" s="53">
        <f>W1261/K1261*100</f>
        <v>96.499102333931774</v>
      </c>
      <c r="Y1261" s="35" t="s">
        <v>58</v>
      </c>
      <c r="Z1261" s="242">
        <f t="shared" ref="Z1261:Z1324" si="328">SUM(H1261,T1261)</f>
        <v>2</v>
      </c>
      <c r="AA1261" s="40">
        <f t="shared" ref="AA1261:AA1294" si="329">SUM(I1261,W1261)</f>
        <v>74670000</v>
      </c>
      <c r="AB1261" s="53"/>
      <c r="AC1261" s="35" t="s">
        <v>58</v>
      </c>
      <c r="AD1261" s="53"/>
      <c r="AE1261" s="11"/>
      <c r="AG1261" s="441"/>
      <c r="AH1261" s="25"/>
    </row>
    <row r="1262" spans="1:34" ht="127.5" customHeight="1">
      <c r="A1262" s="16"/>
      <c r="B1262" s="17"/>
      <c r="C1262" s="436" t="s">
        <v>1535</v>
      </c>
      <c r="D1262" s="440" t="s">
        <v>1536</v>
      </c>
      <c r="E1262" s="20">
        <v>288</v>
      </c>
      <c r="F1262" s="47" t="s">
        <v>57</v>
      </c>
      <c r="G1262" s="243">
        <v>17720000</v>
      </c>
      <c r="H1262" s="20">
        <v>288</v>
      </c>
      <c r="I1262" s="22">
        <v>14941250</v>
      </c>
      <c r="J1262" s="20"/>
      <c r="K1262" s="243"/>
      <c r="L1262" s="20"/>
      <c r="M1262" s="23"/>
      <c r="N1262" s="20"/>
      <c r="O1262" s="23"/>
      <c r="P1262" s="20"/>
      <c r="Q1262" s="23"/>
      <c r="R1262" s="20"/>
      <c r="S1262" s="23" t="s">
        <v>449</v>
      </c>
      <c r="T1262" s="54"/>
      <c r="U1262" s="54"/>
      <c r="V1262" s="35"/>
      <c r="W1262" s="40"/>
      <c r="X1262" s="53"/>
      <c r="Y1262" s="35"/>
      <c r="Z1262" s="242">
        <f t="shared" si="328"/>
        <v>288</v>
      </c>
      <c r="AA1262" s="40">
        <f t="shared" si="329"/>
        <v>14941250</v>
      </c>
      <c r="AB1262" s="53"/>
      <c r="AC1262" s="35" t="s">
        <v>58</v>
      </c>
      <c r="AD1262" s="53"/>
      <c r="AE1262" s="11"/>
      <c r="AG1262" s="441"/>
      <c r="AH1262" s="25"/>
    </row>
    <row r="1263" spans="1:34" ht="157.5">
      <c r="A1263" s="16">
        <v>4</v>
      </c>
      <c r="B1263" s="49" t="s">
        <v>1537</v>
      </c>
      <c r="C1263" s="18" t="s">
        <v>1538</v>
      </c>
      <c r="D1263" s="19" t="s">
        <v>1539</v>
      </c>
      <c r="E1263" s="397">
        <v>68.06</v>
      </c>
      <c r="F1263" s="452" t="s">
        <v>58</v>
      </c>
      <c r="G1263" s="52">
        <f>SUM(G1265)</f>
        <v>2149518676</v>
      </c>
      <c r="H1263" s="60">
        <v>32.64</v>
      </c>
      <c r="I1263" s="52">
        <f>SUM(I1265)</f>
        <v>560457500</v>
      </c>
      <c r="J1263" s="423">
        <v>60.42</v>
      </c>
      <c r="K1263" s="52">
        <f>SUM(K1265)</f>
        <v>716628700</v>
      </c>
      <c r="L1263" s="423">
        <v>0</v>
      </c>
      <c r="M1263" s="52">
        <f>SUM(M1265)</f>
        <v>38762500</v>
      </c>
      <c r="N1263" s="423"/>
      <c r="O1263" s="52">
        <f>SUM(O1265)</f>
        <v>117030250</v>
      </c>
      <c r="P1263" s="107">
        <v>27.78</v>
      </c>
      <c r="Q1263" s="42">
        <f>SUM(Q1265)</f>
        <v>148812534</v>
      </c>
      <c r="R1263" s="107"/>
      <c r="S1263" s="42">
        <f>SUM(S1265)</f>
        <v>318785710</v>
      </c>
      <c r="T1263" s="57">
        <f t="shared" ref="T1263:T1270" si="330">SUM(L1263,N1263,P1263,R1263)</f>
        <v>27.78</v>
      </c>
      <c r="U1263" s="57">
        <f>Z1263/J1263*100</f>
        <v>100</v>
      </c>
      <c r="V1263" s="58" t="s">
        <v>58</v>
      </c>
      <c r="W1263" s="59">
        <f>SUM(M1263,O1263,Q1263,S1263)</f>
        <v>623390994</v>
      </c>
      <c r="X1263" s="57">
        <f>W1263/K1263*100</f>
        <v>86.989398275564454</v>
      </c>
      <c r="Y1263" s="58" t="s">
        <v>58</v>
      </c>
      <c r="Z1263" s="57">
        <f t="shared" si="328"/>
        <v>60.42</v>
      </c>
      <c r="AA1263" s="59">
        <f t="shared" si="329"/>
        <v>1183848494</v>
      </c>
      <c r="AB1263" s="57"/>
      <c r="AC1263" s="58" t="s">
        <v>58</v>
      </c>
      <c r="AD1263" s="53"/>
      <c r="AE1263" s="11"/>
      <c r="AG1263" s="441"/>
      <c r="AH1263" s="25"/>
    </row>
    <row r="1264" spans="1:34" ht="87" customHeight="1">
      <c r="A1264" s="16"/>
      <c r="B1264" s="17" t="s">
        <v>1540</v>
      </c>
      <c r="C1264" s="18"/>
      <c r="D1264" s="19" t="s">
        <v>1541</v>
      </c>
      <c r="E1264" s="386">
        <v>68.06</v>
      </c>
      <c r="F1264" s="75"/>
      <c r="G1264" s="41"/>
      <c r="H1264" s="239">
        <v>32.64</v>
      </c>
      <c r="I1264" s="41"/>
      <c r="J1264" s="278">
        <v>60.42</v>
      </c>
      <c r="K1264" s="41"/>
      <c r="L1264" s="278"/>
      <c r="M1264" s="41">
        <f>SUM(M1266)</f>
        <v>0</v>
      </c>
      <c r="N1264" s="386"/>
      <c r="O1264" s="41">
        <f>SUM(O1266)</f>
        <v>0</v>
      </c>
      <c r="P1264" s="107">
        <v>27.78</v>
      </c>
      <c r="Q1264" s="42">
        <f>SUM(Q1266)</f>
        <v>0</v>
      </c>
      <c r="R1264" s="107"/>
      <c r="S1264" s="42"/>
      <c r="T1264" s="57">
        <f t="shared" si="330"/>
        <v>27.78</v>
      </c>
      <c r="U1264" s="57">
        <f>Z1264/J1264*100</f>
        <v>100</v>
      </c>
      <c r="V1264" s="58" t="s">
        <v>58</v>
      </c>
      <c r="W1264" s="59">
        <f t="shared" ref="W1264:W1294" si="331">SUM(M1264,O1264,Q1264,S1264)</f>
        <v>0</v>
      </c>
      <c r="X1264" s="57"/>
      <c r="Y1264" s="58" t="s">
        <v>58</v>
      </c>
      <c r="Z1264" s="57">
        <f t="shared" si="328"/>
        <v>60.42</v>
      </c>
      <c r="AA1264" s="59">
        <f t="shared" si="329"/>
        <v>0</v>
      </c>
      <c r="AB1264" s="57"/>
      <c r="AC1264" s="58" t="s">
        <v>58</v>
      </c>
      <c r="AD1264" s="53"/>
      <c r="AE1264" s="11"/>
      <c r="AG1264" s="441">
        <v>0</v>
      </c>
      <c r="AH1264" s="25"/>
    </row>
    <row r="1265" spans="1:34" ht="339" customHeight="1">
      <c r="A1265" s="16"/>
      <c r="B1265" s="17" t="s">
        <v>1542</v>
      </c>
      <c r="C1265" s="453" t="s">
        <v>1543</v>
      </c>
      <c r="D1265" s="19" t="s">
        <v>1544</v>
      </c>
      <c r="E1265" s="397">
        <v>29.86</v>
      </c>
      <c r="F1265" s="398" t="s">
        <v>58</v>
      </c>
      <c r="G1265" s="52">
        <f>SUM(G1268:G1270)</f>
        <v>2149518676</v>
      </c>
      <c r="H1265" s="60">
        <v>14.58</v>
      </c>
      <c r="I1265" s="52">
        <f>SUM(I1268:I1270)</f>
        <v>560457500</v>
      </c>
      <c r="J1265" s="423">
        <v>22.22</v>
      </c>
      <c r="K1265" s="52">
        <f>SUM(K1268:K1270)</f>
        <v>716628700</v>
      </c>
      <c r="L1265" s="423"/>
      <c r="M1265" s="52">
        <f>SUM(M1268:M1270)</f>
        <v>38762500</v>
      </c>
      <c r="N1265" s="423"/>
      <c r="O1265" s="52">
        <f>SUM(O1268:O1270)</f>
        <v>117030250</v>
      </c>
      <c r="P1265" s="423">
        <v>0</v>
      </c>
      <c r="Q1265" s="52">
        <f>SUM(Q1268:Q1270)</f>
        <v>148812534</v>
      </c>
      <c r="R1265" s="423">
        <v>7.64</v>
      </c>
      <c r="S1265" s="52">
        <f>SUM(S1268:S1270)</f>
        <v>318785710</v>
      </c>
      <c r="T1265" s="57">
        <f t="shared" si="330"/>
        <v>7.64</v>
      </c>
      <c r="U1265" s="57">
        <f>Z1265/J1265*100</f>
        <v>100</v>
      </c>
      <c r="V1265" s="58" t="s">
        <v>58</v>
      </c>
      <c r="W1265" s="59">
        <f t="shared" si="331"/>
        <v>623390994</v>
      </c>
      <c r="X1265" s="57">
        <f>W1265/K1265*100</f>
        <v>86.989398275564454</v>
      </c>
      <c r="Y1265" s="58" t="s">
        <v>58</v>
      </c>
      <c r="Z1265" s="57">
        <f t="shared" si="328"/>
        <v>22.22</v>
      </c>
      <c r="AA1265" s="59">
        <f t="shared" si="329"/>
        <v>1183848494</v>
      </c>
      <c r="AB1265" s="57"/>
      <c r="AC1265" s="58" t="s">
        <v>58</v>
      </c>
      <c r="AD1265" s="57"/>
      <c r="AE1265" s="11"/>
      <c r="AG1265" s="441">
        <v>304605284</v>
      </c>
      <c r="AH1265" s="25"/>
    </row>
    <row r="1266" spans="1:34" ht="266.25" customHeight="1">
      <c r="A1266" s="16"/>
      <c r="B1266" s="17" t="s">
        <v>1545</v>
      </c>
      <c r="C1266" s="453"/>
      <c r="D1266" s="454" t="s">
        <v>1546</v>
      </c>
      <c r="E1266" s="24">
        <v>78.23</v>
      </c>
      <c r="F1266" s="455"/>
      <c r="G1266" s="97"/>
      <c r="H1266" s="241">
        <v>45.32</v>
      </c>
      <c r="I1266" s="97"/>
      <c r="J1266" s="456">
        <v>61.77</v>
      </c>
      <c r="K1266" s="97"/>
      <c r="L1266" s="456"/>
      <c r="M1266" s="97">
        <f>SUM(M1268)</f>
        <v>0</v>
      </c>
      <c r="N1266" s="24"/>
      <c r="O1266" s="97"/>
      <c r="P1266" s="456"/>
      <c r="Q1266" s="97"/>
      <c r="R1266" s="456">
        <v>16.45</v>
      </c>
      <c r="S1266" s="97"/>
      <c r="T1266" s="57">
        <f t="shared" si="330"/>
        <v>16.45</v>
      </c>
      <c r="U1266" s="57">
        <f>Z1266/J1266*100</f>
        <v>99.999999999999986</v>
      </c>
      <c r="V1266" s="58" t="s">
        <v>58</v>
      </c>
      <c r="W1266" s="59">
        <f t="shared" si="331"/>
        <v>0</v>
      </c>
      <c r="X1266" s="57"/>
      <c r="Y1266" s="58" t="s">
        <v>58</v>
      </c>
      <c r="Z1266" s="57">
        <f t="shared" si="328"/>
        <v>61.769999999999996</v>
      </c>
      <c r="AA1266" s="59">
        <f t="shared" si="329"/>
        <v>0</v>
      </c>
      <c r="AB1266" s="57"/>
      <c r="AC1266" s="58" t="s">
        <v>58</v>
      </c>
      <c r="AD1266" s="53"/>
      <c r="AE1266" s="11"/>
      <c r="AG1266" s="441">
        <v>0</v>
      </c>
      <c r="AH1266" s="25"/>
    </row>
    <row r="1267" spans="1:34" ht="235.5" customHeight="1">
      <c r="A1267" s="16"/>
      <c r="B1267" s="17" t="s">
        <v>1547</v>
      </c>
      <c r="C1267" s="453"/>
      <c r="D1267" s="454" t="s">
        <v>1548</v>
      </c>
      <c r="E1267" s="386">
        <v>24.77</v>
      </c>
      <c r="F1267" s="420"/>
      <c r="G1267" s="41"/>
      <c r="H1267" s="239">
        <v>14.2</v>
      </c>
      <c r="I1267" s="41"/>
      <c r="J1267" s="278">
        <v>19.7</v>
      </c>
      <c r="K1267" s="41"/>
      <c r="L1267" s="278"/>
      <c r="M1267" s="41">
        <f>SUM(M1269)</f>
        <v>0</v>
      </c>
      <c r="N1267" s="386"/>
      <c r="O1267" s="41">
        <f>SUM(O1269)</f>
        <v>0</v>
      </c>
      <c r="P1267" s="278"/>
      <c r="Q1267" s="41"/>
      <c r="R1267" s="278">
        <v>5.5</v>
      </c>
      <c r="S1267" s="41"/>
      <c r="T1267" s="57">
        <f t="shared" si="330"/>
        <v>5.5</v>
      </c>
      <c r="U1267" s="57">
        <f>Z1267/J1267*100</f>
        <v>100</v>
      </c>
      <c r="V1267" s="58" t="s">
        <v>58</v>
      </c>
      <c r="W1267" s="59">
        <f t="shared" si="331"/>
        <v>0</v>
      </c>
      <c r="X1267" s="57"/>
      <c r="Y1267" s="58" t="s">
        <v>58</v>
      </c>
      <c r="Z1267" s="57">
        <f t="shared" si="328"/>
        <v>19.7</v>
      </c>
      <c r="AA1267" s="59">
        <f t="shared" si="329"/>
        <v>0</v>
      </c>
      <c r="AB1267" s="57"/>
      <c r="AC1267" s="58" t="s">
        <v>58</v>
      </c>
      <c r="AD1267" s="53"/>
      <c r="AE1267" s="11"/>
      <c r="AG1267" s="441">
        <v>0</v>
      </c>
      <c r="AH1267" s="25"/>
    </row>
    <row r="1268" spans="1:34" ht="300">
      <c r="A1268" s="16"/>
      <c r="B1268" s="17"/>
      <c r="C1268" s="436" t="s">
        <v>1549</v>
      </c>
      <c r="D1268" s="457" t="s">
        <v>1550</v>
      </c>
      <c r="E1268" s="20">
        <v>142</v>
      </c>
      <c r="F1268" s="47" t="s">
        <v>1091</v>
      </c>
      <c r="G1268" s="23">
        <f>75008800+54875000+75008800</f>
        <v>204892600</v>
      </c>
      <c r="H1268" s="384">
        <v>77</v>
      </c>
      <c r="I1268" s="22">
        <v>50125000</v>
      </c>
      <c r="J1268" s="20">
        <v>112</v>
      </c>
      <c r="K1268" s="458">
        <v>79800000</v>
      </c>
      <c r="L1268" s="20"/>
      <c r="M1268" s="23">
        <v>0</v>
      </c>
      <c r="N1268" s="20"/>
      <c r="O1268" s="23">
        <v>3937500</v>
      </c>
      <c r="P1268" s="20">
        <v>0</v>
      </c>
      <c r="Q1268" s="23">
        <v>4375000</v>
      </c>
      <c r="R1268" s="20">
        <v>112</v>
      </c>
      <c r="S1268" s="23">
        <v>62562500</v>
      </c>
      <c r="T1268" s="54">
        <f t="shared" si="330"/>
        <v>112</v>
      </c>
      <c r="U1268" s="54">
        <f>T1268/J1268*100</f>
        <v>100</v>
      </c>
      <c r="V1268" s="35" t="s">
        <v>58</v>
      </c>
      <c r="W1268" s="40">
        <f t="shared" si="331"/>
        <v>70875000</v>
      </c>
      <c r="X1268" s="53">
        <f>W1268/K1268*100</f>
        <v>88.81578947368422</v>
      </c>
      <c r="Y1268" s="35" t="s">
        <v>58</v>
      </c>
      <c r="Z1268" s="54">
        <f t="shared" si="328"/>
        <v>189</v>
      </c>
      <c r="AA1268" s="40">
        <f t="shared" si="329"/>
        <v>121000000</v>
      </c>
      <c r="AB1268" s="53"/>
      <c r="AC1268" s="35" t="s">
        <v>58</v>
      </c>
      <c r="AD1268" s="53"/>
      <c r="AE1268" s="11"/>
      <c r="AG1268" s="441"/>
      <c r="AH1268" s="25"/>
    </row>
    <row r="1269" spans="1:34" ht="135">
      <c r="A1269" s="16"/>
      <c r="B1269" s="17"/>
      <c r="C1269" s="436" t="s">
        <v>1551</v>
      </c>
      <c r="D1269" s="459" t="s">
        <v>1552</v>
      </c>
      <c r="E1269" s="20">
        <v>3</v>
      </c>
      <c r="F1269" s="47" t="s">
        <v>173</v>
      </c>
      <c r="G1269" s="23">
        <f>22880500+5877500+22880500</f>
        <v>51638500</v>
      </c>
      <c r="H1269" s="20">
        <v>1</v>
      </c>
      <c r="I1269" s="22">
        <v>19240000</v>
      </c>
      <c r="J1269" s="20">
        <v>1</v>
      </c>
      <c r="K1269" s="243">
        <v>5877500</v>
      </c>
      <c r="L1269" s="20">
        <v>0</v>
      </c>
      <c r="M1269" s="23">
        <v>0</v>
      </c>
      <c r="N1269" s="20">
        <v>0</v>
      </c>
      <c r="O1269" s="23">
        <v>0</v>
      </c>
      <c r="P1269" s="20">
        <v>1</v>
      </c>
      <c r="Q1269" s="23">
        <v>4900000</v>
      </c>
      <c r="R1269" s="20"/>
      <c r="S1269" s="23">
        <v>432500</v>
      </c>
      <c r="T1269" s="54">
        <f t="shared" si="330"/>
        <v>1</v>
      </c>
      <c r="U1269" s="54">
        <f>T1269/J1269*100</f>
        <v>100</v>
      </c>
      <c r="V1269" s="35" t="s">
        <v>58</v>
      </c>
      <c r="W1269" s="40">
        <f t="shared" si="331"/>
        <v>5332500</v>
      </c>
      <c r="X1269" s="53">
        <f>W1269/K1269*100</f>
        <v>90.727350063802632</v>
      </c>
      <c r="Y1269" s="35" t="s">
        <v>58</v>
      </c>
      <c r="Z1269" s="54">
        <f t="shared" si="328"/>
        <v>2</v>
      </c>
      <c r="AA1269" s="40">
        <f t="shared" si="329"/>
        <v>24572500</v>
      </c>
      <c r="AB1269" s="53"/>
      <c r="AC1269" s="35" t="s">
        <v>58</v>
      </c>
      <c r="AD1269" s="53"/>
      <c r="AE1269" s="11"/>
      <c r="AG1269" s="441"/>
      <c r="AH1269" s="25"/>
    </row>
    <row r="1270" spans="1:34" ht="211.5" customHeight="1">
      <c r="A1270" s="16"/>
      <c r="B1270" s="17"/>
      <c r="C1270" s="436" t="s">
        <v>1553</v>
      </c>
      <c r="D1270" s="440" t="s">
        <v>1554</v>
      </c>
      <c r="E1270" s="20">
        <v>3</v>
      </c>
      <c r="F1270" s="47" t="s">
        <v>55</v>
      </c>
      <c r="G1270" s="23">
        <f>631003138+630981300+631003138</f>
        <v>1892987576</v>
      </c>
      <c r="H1270" s="20">
        <v>1</v>
      </c>
      <c r="I1270" s="22">
        <v>491092500</v>
      </c>
      <c r="J1270" s="20">
        <v>1</v>
      </c>
      <c r="K1270" s="243">
        <v>630951200</v>
      </c>
      <c r="L1270" s="20">
        <v>0</v>
      </c>
      <c r="M1270" s="23">
        <v>38762500</v>
      </c>
      <c r="N1270" s="20">
        <v>0</v>
      </c>
      <c r="O1270" s="23">
        <v>113092750</v>
      </c>
      <c r="P1270" s="20">
        <v>0</v>
      </c>
      <c r="Q1270" s="23">
        <v>139537534</v>
      </c>
      <c r="R1270" s="20">
        <v>1</v>
      </c>
      <c r="S1270" s="23">
        <v>255790710</v>
      </c>
      <c r="T1270" s="54">
        <f t="shared" si="330"/>
        <v>1</v>
      </c>
      <c r="U1270" s="54">
        <f>T1270/J1270*100</f>
        <v>100</v>
      </c>
      <c r="V1270" s="35" t="s">
        <v>58</v>
      </c>
      <c r="W1270" s="40">
        <f t="shared" si="331"/>
        <v>547183494</v>
      </c>
      <c r="X1270" s="53">
        <f>W1270/K1270*100</f>
        <v>86.723584010934601</v>
      </c>
      <c r="Y1270" s="35" t="s">
        <v>58</v>
      </c>
      <c r="Z1270" s="54">
        <f t="shared" si="328"/>
        <v>2</v>
      </c>
      <c r="AA1270" s="40">
        <f t="shared" si="329"/>
        <v>1038275994</v>
      </c>
      <c r="AB1270" s="53"/>
      <c r="AC1270" s="35" t="s">
        <v>58</v>
      </c>
      <c r="AD1270" s="53"/>
      <c r="AE1270" s="11"/>
      <c r="AG1270" s="441"/>
      <c r="AH1270" s="25"/>
    </row>
    <row r="1271" spans="1:34" ht="126" customHeight="1">
      <c r="A1271" s="48">
        <v>1</v>
      </c>
      <c r="B1271" s="17" t="s">
        <v>29</v>
      </c>
      <c r="C1271" s="19" t="s">
        <v>68</v>
      </c>
      <c r="D1271" s="19" t="s">
        <v>143</v>
      </c>
      <c r="E1271" s="45">
        <v>100</v>
      </c>
      <c r="F1271" s="46" t="s">
        <v>58</v>
      </c>
      <c r="G1271" s="42">
        <f>G1280+G1272+G1275+G1287+G1291</f>
        <v>5054188000</v>
      </c>
      <c r="H1271" s="45">
        <v>125</v>
      </c>
      <c r="I1271" s="42">
        <f>I1280+I1272+I1275+I1287+I1291</f>
        <v>4015832597</v>
      </c>
      <c r="J1271" s="45">
        <v>100</v>
      </c>
      <c r="K1271" s="42">
        <f>K1280+K1272+K1275+K1287+K1291</f>
        <v>4143864256</v>
      </c>
      <c r="L1271" s="45">
        <v>100</v>
      </c>
      <c r="M1271" s="42">
        <f>M1280+M1272+M1275+M1287+M1291</f>
        <v>673140120</v>
      </c>
      <c r="N1271" s="45">
        <v>100</v>
      </c>
      <c r="O1271" s="42">
        <f>O1280+O1272+O1275+O1287+O1291</f>
        <v>996077240</v>
      </c>
      <c r="P1271" s="45">
        <v>100</v>
      </c>
      <c r="Q1271" s="42">
        <f>Q1280+Q1272+Q1275+Q1287+Q1291</f>
        <v>939837246</v>
      </c>
      <c r="R1271" s="45">
        <v>100</v>
      </c>
      <c r="S1271" s="42">
        <f>S1280+S1272+S1275+S1287+S1291</f>
        <v>1283207561</v>
      </c>
      <c r="T1271" s="55">
        <f>AVERAGE(L1271,N1271,P1271,R1271)</f>
        <v>100</v>
      </c>
      <c r="U1271" s="55">
        <f t="shared" ref="U1271:U1293" si="332">T1271/J1271*100</f>
        <v>100</v>
      </c>
      <c r="V1271" s="58" t="s">
        <v>58</v>
      </c>
      <c r="W1271" s="59">
        <f t="shared" si="331"/>
        <v>3892262167</v>
      </c>
      <c r="X1271" s="57">
        <f t="shared" ref="X1271:X1294" si="333">W1271/K1271*100</f>
        <v>93.928322129864668</v>
      </c>
      <c r="Y1271" s="58" t="s">
        <v>58</v>
      </c>
      <c r="Z1271" s="460">
        <f t="shared" si="328"/>
        <v>225</v>
      </c>
      <c r="AA1271" s="59">
        <f t="shared" si="329"/>
        <v>7908094764</v>
      </c>
      <c r="AB1271" s="460">
        <f>(Z1271/E1271)*100</f>
        <v>225</v>
      </c>
      <c r="AC1271" s="58" t="s">
        <v>58</v>
      </c>
      <c r="AD1271" s="57">
        <f>(AA1271/G1271)*100</f>
        <v>156.46617743542583</v>
      </c>
      <c r="AE1271" s="24" t="s">
        <v>1555</v>
      </c>
      <c r="AH1271" s="25">
        <f>M1271+O1271+Q1271+S1271</f>
        <v>3892262167</v>
      </c>
    </row>
    <row r="1272" spans="1:34" ht="126">
      <c r="A1272" s="48">
        <v>2</v>
      </c>
      <c r="B1272" s="49" t="s">
        <v>30</v>
      </c>
      <c r="C1272" s="19" t="s">
        <v>1276</v>
      </c>
      <c r="D1272" s="19" t="s">
        <v>1556</v>
      </c>
      <c r="E1272" s="386">
        <f>SUM(E1273:E1274)</f>
        <v>45</v>
      </c>
      <c r="F1272" s="46" t="s">
        <v>55</v>
      </c>
      <c r="G1272" s="369">
        <f>SUM(G1273:G1274)</f>
        <v>28830000</v>
      </c>
      <c r="H1272" s="386">
        <v>16</v>
      </c>
      <c r="I1272" s="369">
        <f t="shared" ref="I1272:S1272" si="334">SUM(I1273:I1274)</f>
        <v>9500000</v>
      </c>
      <c r="J1272" s="386">
        <f t="shared" si="334"/>
        <v>15</v>
      </c>
      <c r="K1272" s="369">
        <f t="shared" si="334"/>
        <v>9883800</v>
      </c>
      <c r="L1272" s="386">
        <f t="shared" si="334"/>
        <v>0</v>
      </c>
      <c r="M1272" s="369">
        <f t="shared" si="334"/>
        <v>0</v>
      </c>
      <c r="N1272" s="386">
        <f t="shared" si="334"/>
        <v>0</v>
      </c>
      <c r="O1272" s="369">
        <f t="shared" si="334"/>
        <v>0</v>
      </c>
      <c r="P1272" s="386">
        <f t="shared" si="334"/>
        <v>10</v>
      </c>
      <c r="Q1272" s="369">
        <f t="shared" si="334"/>
        <v>2498800</v>
      </c>
      <c r="R1272" s="386">
        <f t="shared" si="334"/>
        <v>5</v>
      </c>
      <c r="S1272" s="369">
        <f t="shared" si="334"/>
        <v>3072500</v>
      </c>
      <c r="T1272" s="55">
        <f>SUM(L1272,N1272,P1272,R1272)</f>
        <v>15</v>
      </c>
      <c r="U1272" s="55">
        <f t="shared" si="332"/>
        <v>100</v>
      </c>
      <c r="V1272" s="58" t="s">
        <v>58</v>
      </c>
      <c r="W1272" s="59">
        <f t="shared" si="331"/>
        <v>5571300</v>
      </c>
      <c r="X1272" s="55">
        <f t="shared" si="333"/>
        <v>56.367996114854613</v>
      </c>
      <c r="Y1272" s="58" t="s">
        <v>58</v>
      </c>
      <c r="Z1272" s="55">
        <f t="shared" si="328"/>
        <v>31</v>
      </c>
      <c r="AA1272" s="59">
        <f t="shared" si="329"/>
        <v>15071300</v>
      </c>
      <c r="AB1272" s="460">
        <f t="shared" ref="AB1272:AB1311" si="335">(Z1272/E1272)*100</f>
        <v>68.888888888888886</v>
      </c>
      <c r="AC1272" s="58" t="s">
        <v>58</v>
      </c>
      <c r="AD1272" s="57">
        <f t="shared" ref="AD1272:AD1311" si="336">(AA1272/G1272)*100</f>
        <v>52.276448144294143</v>
      </c>
      <c r="AE1272" s="11"/>
      <c r="AH1272" s="25"/>
    </row>
    <row r="1273" spans="1:34" ht="69" customHeight="1">
      <c r="A1273" s="48">
        <v>3</v>
      </c>
      <c r="B1273" s="1150" t="s">
        <v>972</v>
      </c>
      <c r="C1273" s="29" t="s">
        <v>69</v>
      </c>
      <c r="D1273" s="29" t="s">
        <v>211</v>
      </c>
      <c r="E1273" s="20">
        <v>15</v>
      </c>
      <c r="F1273" s="21" t="s">
        <v>55</v>
      </c>
      <c r="G1273" s="461">
        <f>K1273+7500000*2</f>
        <v>22910700</v>
      </c>
      <c r="H1273" s="20">
        <v>5</v>
      </c>
      <c r="I1273" s="82">
        <v>8000000</v>
      </c>
      <c r="J1273" s="20">
        <v>5</v>
      </c>
      <c r="K1273" s="81">
        <v>7910700</v>
      </c>
      <c r="L1273" s="20">
        <v>0</v>
      </c>
      <c r="M1273" s="81">
        <v>0</v>
      </c>
      <c r="N1273" s="20">
        <v>0</v>
      </c>
      <c r="O1273" s="81">
        <v>0</v>
      </c>
      <c r="P1273" s="20">
        <v>2</v>
      </c>
      <c r="Q1273" s="81">
        <v>1369000</v>
      </c>
      <c r="R1273" s="20">
        <v>3</v>
      </c>
      <c r="S1273" s="28">
        <v>2722500</v>
      </c>
      <c r="T1273" s="54">
        <f>SUM(L1273,N1273,P1273,R1273)</f>
        <v>5</v>
      </c>
      <c r="U1273" s="54">
        <f t="shared" si="332"/>
        <v>100</v>
      </c>
      <c r="V1273" s="35" t="s">
        <v>58</v>
      </c>
      <c r="W1273" s="40">
        <f t="shared" si="331"/>
        <v>4091500</v>
      </c>
      <c r="X1273" s="54">
        <f t="shared" si="333"/>
        <v>51.721086629501812</v>
      </c>
      <c r="Y1273" s="35" t="s">
        <v>58</v>
      </c>
      <c r="Z1273" s="54">
        <f t="shared" si="328"/>
        <v>10</v>
      </c>
      <c r="AA1273" s="40">
        <f t="shared" si="329"/>
        <v>12091500</v>
      </c>
      <c r="AB1273" s="460">
        <f t="shared" si="335"/>
        <v>66.666666666666657</v>
      </c>
      <c r="AC1273" s="35" t="s">
        <v>58</v>
      </c>
      <c r="AD1273" s="57">
        <f t="shared" si="336"/>
        <v>52.776650211473239</v>
      </c>
      <c r="AE1273" s="11"/>
      <c r="AH1273" s="25"/>
    </row>
    <row r="1274" spans="1:34" ht="90">
      <c r="A1274" s="16"/>
      <c r="B1274" s="1150"/>
      <c r="C1274" s="29" t="s">
        <v>70</v>
      </c>
      <c r="D1274" s="29" t="s">
        <v>212</v>
      </c>
      <c r="E1274" s="20">
        <v>30</v>
      </c>
      <c r="F1274" s="21" t="s">
        <v>173</v>
      </c>
      <c r="G1274" s="461">
        <f>K1274*3</f>
        <v>5919300</v>
      </c>
      <c r="H1274" s="20">
        <v>11</v>
      </c>
      <c r="I1274" s="82">
        <v>1500000</v>
      </c>
      <c r="J1274" s="20">
        <v>10</v>
      </c>
      <c r="K1274" s="81">
        <v>1973100</v>
      </c>
      <c r="L1274" s="20">
        <v>0</v>
      </c>
      <c r="M1274" s="81">
        <v>0</v>
      </c>
      <c r="N1274" s="20">
        <v>0</v>
      </c>
      <c r="O1274" s="81">
        <v>0</v>
      </c>
      <c r="P1274" s="20">
        <v>8</v>
      </c>
      <c r="Q1274" s="81">
        <v>1129800</v>
      </c>
      <c r="R1274" s="20">
        <v>2</v>
      </c>
      <c r="S1274" s="28">
        <v>350000</v>
      </c>
      <c r="T1274" s="54">
        <f>SUM(L1274,N1274,P1274,R1274)</f>
        <v>10</v>
      </c>
      <c r="U1274" s="54">
        <f t="shared" si="332"/>
        <v>100</v>
      </c>
      <c r="V1274" s="35" t="s">
        <v>58</v>
      </c>
      <c r="W1274" s="40">
        <f t="shared" si="331"/>
        <v>1479800</v>
      </c>
      <c r="X1274" s="54">
        <f t="shared" si="333"/>
        <v>74.998732958288983</v>
      </c>
      <c r="Y1274" s="35" t="s">
        <v>58</v>
      </c>
      <c r="Z1274" s="54">
        <f t="shared" si="328"/>
        <v>21</v>
      </c>
      <c r="AA1274" s="40">
        <f t="shared" si="329"/>
        <v>2979800</v>
      </c>
      <c r="AB1274" s="460">
        <f t="shared" si="335"/>
        <v>70</v>
      </c>
      <c r="AC1274" s="35" t="s">
        <v>58</v>
      </c>
      <c r="AD1274" s="57">
        <f t="shared" si="336"/>
        <v>50.340411873025523</v>
      </c>
      <c r="AE1274" s="11"/>
      <c r="AH1274" s="25"/>
    </row>
    <row r="1275" spans="1:34" ht="90" customHeight="1">
      <c r="A1275" s="11"/>
      <c r="B1275" s="462"/>
      <c r="C1275" s="358" t="s">
        <v>71</v>
      </c>
      <c r="D1275" s="19" t="s">
        <v>140</v>
      </c>
      <c r="E1275" s="74">
        <f>SUM(E1277:E1279)</f>
        <v>42</v>
      </c>
      <c r="F1275" s="46" t="s">
        <v>55</v>
      </c>
      <c r="G1275" s="41">
        <f>SUM(G1276:G1279)</f>
        <v>3879923650</v>
      </c>
      <c r="H1275" s="74">
        <v>17</v>
      </c>
      <c r="I1275" s="41">
        <f>SUM(I1276:I1279)</f>
        <v>2937086267</v>
      </c>
      <c r="J1275" s="74">
        <f>SUM(J1277:J1279)</f>
        <v>14</v>
      </c>
      <c r="K1275" s="41">
        <f>SUM(K1276:K1279)</f>
        <v>3121497903</v>
      </c>
      <c r="L1275" s="74">
        <f>SUM(L1277:L1279)</f>
        <v>0</v>
      </c>
      <c r="M1275" s="41">
        <f>SUM(M1276:M1279)</f>
        <v>585997245</v>
      </c>
      <c r="N1275" s="74">
        <f>SUM(N1277:N1279)</f>
        <v>1.6</v>
      </c>
      <c r="O1275" s="41">
        <f>SUM(O1276:O1279)</f>
        <v>894159130</v>
      </c>
      <c r="P1275" s="74">
        <f>SUM(P1277:P1279)</f>
        <v>11</v>
      </c>
      <c r="Q1275" s="41">
        <f>SUM(Q1276:Q1279)</f>
        <v>818693069</v>
      </c>
      <c r="R1275" s="74">
        <f>SUM(R1277:R1279)</f>
        <v>1.4</v>
      </c>
      <c r="S1275" s="41">
        <f>SUM(S1276:S1279)</f>
        <v>682673090</v>
      </c>
      <c r="T1275" s="55">
        <f>SUM(L1275,N1275,P1275,R1275)</f>
        <v>14</v>
      </c>
      <c r="U1275" s="55">
        <f t="shared" si="332"/>
        <v>100</v>
      </c>
      <c r="V1275" s="58" t="s">
        <v>58</v>
      </c>
      <c r="W1275" s="59">
        <f t="shared" si="331"/>
        <v>2981522534</v>
      </c>
      <c r="X1275" s="57">
        <f t="shared" si="333"/>
        <v>95.515762837275247</v>
      </c>
      <c r="Y1275" s="58" t="s">
        <v>58</v>
      </c>
      <c r="Z1275" s="55">
        <f t="shared" si="328"/>
        <v>31</v>
      </c>
      <c r="AA1275" s="59">
        <f t="shared" si="329"/>
        <v>5918608801</v>
      </c>
      <c r="AB1275" s="460">
        <f t="shared" si="335"/>
        <v>73.80952380952381</v>
      </c>
      <c r="AC1275" s="58" t="s">
        <v>58</v>
      </c>
      <c r="AD1275" s="57">
        <f t="shared" si="336"/>
        <v>152.54446568813279</v>
      </c>
      <c r="AE1275" s="11"/>
      <c r="AH1275" s="25"/>
    </row>
    <row r="1276" spans="1:34" ht="59.1" customHeight="1">
      <c r="A1276" s="16"/>
      <c r="B1276" s="17"/>
      <c r="C1276" s="29" t="s">
        <v>1173</v>
      </c>
      <c r="D1276" s="26" t="s">
        <v>213</v>
      </c>
      <c r="E1276" s="43">
        <v>28</v>
      </c>
      <c r="F1276" s="27" t="s">
        <v>57</v>
      </c>
      <c r="G1276" s="461">
        <v>3860986000</v>
      </c>
      <c r="H1276" s="20">
        <v>56</v>
      </c>
      <c r="I1276" s="82">
        <v>2932086267</v>
      </c>
      <c r="J1276" s="20">
        <v>28</v>
      </c>
      <c r="K1276" s="81">
        <v>3115560253</v>
      </c>
      <c r="L1276" s="20">
        <v>28</v>
      </c>
      <c r="M1276" s="81">
        <v>585997245</v>
      </c>
      <c r="N1276" s="20">
        <v>28</v>
      </c>
      <c r="O1276" s="81">
        <v>893045530</v>
      </c>
      <c r="P1276" s="20">
        <v>25</v>
      </c>
      <c r="Q1276" s="81">
        <v>816876119</v>
      </c>
      <c r="R1276" s="83">
        <v>24</v>
      </c>
      <c r="S1276" s="28">
        <v>681358840</v>
      </c>
      <c r="T1276" s="54">
        <f>AVERAGE(L1276,N1276,P1276,R1276)</f>
        <v>26.25</v>
      </c>
      <c r="U1276" s="54">
        <f t="shared" si="332"/>
        <v>93.75</v>
      </c>
      <c r="V1276" s="35" t="s">
        <v>58</v>
      </c>
      <c r="W1276" s="40">
        <f t="shared" si="331"/>
        <v>2977277734</v>
      </c>
      <c r="X1276" s="53">
        <f t="shared" si="333"/>
        <v>95.561552087883825</v>
      </c>
      <c r="Y1276" s="35" t="s">
        <v>58</v>
      </c>
      <c r="Z1276" s="54">
        <f t="shared" si="328"/>
        <v>82.25</v>
      </c>
      <c r="AA1276" s="40">
        <f t="shared" si="329"/>
        <v>5909364001</v>
      </c>
      <c r="AB1276" s="460">
        <f t="shared" si="335"/>
        <v>293.75</v>
      </c>
      <c r="AC1276" s="35" t="s">
        <v>58</v>
      </c>
      <c r="AD1276" s="57">
        <f t="shared" si="336"/>
        <v>153.05323565016812</v>
      </c>
      <c r="AE1276" s="30"/>
      <c r="AH1276" s="25">
        <f>M1276+O1276+Q1276+S1276</f>
        <v>2977277734</v>
      </c>
    </row>
    <row r="1277" spans="1:34" ht="123" customHeight="1">
      <c r="A1277" s="16"/>
      <c r="B1277" s="17"/>
      <c r="C1277" s="29" t="s">
        <v>73</v>
      </c>
      <c r="D1277" s="29" t="s">
        <v>214</v>
      </c>
      <c r="E1277" s="43">
        <f>J1277*3</f>
        <v>3</v>
      </c>
      <c r="F1277" s="27" t="s">
        <v>173</v>
      </c>
      <c r="G1277" s="461">
        <f>K1277+2500000*2</f>
        <v>6998200</v>
      </c>
      <c r="H1277" s="20">
        <v>1</v>
      </c>
      <c r="I1277" s="22">
        <v>2000000</v>
      </c>
      <c r="J1277" s="20">
        <v>1</v>
      </c>
      <c r="K1277" s="81">
        <v>1998200</v>
      </c>
      <c r="L1277" s="20">
        <v>0</v>
      </c>
      <c r="M1277" s="81">
        <v>0</v>
      </c>
      <c r="N1277" s="20">
        <v>0.6</v>
      </c>
      <c r="O1277" s="81">
        <v>942600</v>
      </c>
      <c r="P1277" s="20">
        <v>0</v>
      </c>
      <c r="Q1277" s="81">
        <v>0</v>
      </c>
      <c r="R1277" s="463">
        <v>0.4</v>
      </c>
      <c r="S1277" s="81">
        <v>651500</v>
      </c>
      <c r="T1277" s="54">
        <f t="shared" ref="T1277:T1293" si="337">SUM(L1277,N1277,P1277,R1277)</f>
        <v>1</v>
      </c>
      <c r="U1277" s="54">
        <f t="shared" si="332"/>
        <v>100</v>
      </c>
      <c r="V1277" s="35" t="s">
        <v>58</v>
      </c>
      <c r="W1277" s="40">
        <f t="shared" si="331"/>
        <v>1594100</v>
      </c>
      <c r="X1277" s="54">
        <f t="shared" si="333"/>
        <v>79.776799119207283</v>
      </c>
      <c r="Y1277" s="35" t="s">
        <v>58</v>
      </c>
      <c r="Z1277" s="54">
        <f t="shared" si="328"/>
        <v>2</v>
      </c>
      <c r="AA1277" s="40">
        <f t="shared" si="329"/>
        <v>3594100</v>
      </c>
      <c r="AB1277" s="460">
        <f t="shared" si="335"/>
        <v>66.666666666666657</v>
      </c>
      <c r="AC1277" s="35" t="s">
        <v>58</v>
      </c>
      <c r="AD1277" s="57">
        <f t="shared" si="336"/>
        <v>51.357491926495378</v>
      </c>
      <c r="AE1277" s="11"/>
      <c r="AH1277" s="25">
        <f>M1277+O1277+Q1277+S1277</f>
        <v>1594100</v>
      </c>
    </row>
    <row r="1278" spans="1:34" ht="177" customHeight="1">
      <c r="A1278" s="16"/>
      <c r="B1278" s="17"/>
      <c r="C1278" s="29" t="s">
        <v>1174</v>
      </c>
      <c r="D1278" s="29" t="s">
        <v>215</v>
      </c>
      <c r="E1278" s="43">
        <f t="shared" ref="E1278:E1293" si="338">J1278*3</f>
        <v>36</v>
      </c>
      <c r="F1278" s="27" t="s">
        <v>173</v>
      </c>
      <c r="G1278" s="461">
        <f>K1278+2000000*2</f>
        <v>5969700</v>
      </c>
      <c r="H1278" s="20">
        <v>15</v>
      </c>
      <c r="I1278" s="22">
        <v>1500000</v>
      </c>
      <c r="J1278" s="20">
        <v>12</v>
      </c>
      <c r="K1278" s="50">
        <v>1969700</v>
      </c>
      <c r="L1278" s="20">
        <v>0</v>
      </c>
      <c r="M1278" s="50">
        <v>0</v>
      </c>
      <c r="N1278" s="20">
        <v>1</v>
      </c>
      <c r="O1278" s="50">
        <v>171000</v>
      </c>
      <c r="P1278" s="20">
        <v>10</v>
      </c>
      <c r="Q1278" s="50">
        <v>854800</v>
      </c>
      <c r="R1278" s="83">
        <v>1</v>
      </c>
      <c r="S1278" s="50">
        <v>662750</v>
      </c>
      <c r="T1278" s="54">
        <f t="shared" si="337"/>
        <v>12</v>
      </c>
      <c r="U1278" s="54">
        <f t="shared" si="332"/>
        <v>100</v>
      </c>
      <c r="V1278" s="35" t="s">
        <v>58</v>
      </c>
      <c r="W1278" s="40">
        <f t="shared" si="331"/>
        <v>1688550</v>
      </c>
      <c r="X1278" s="54">
        <f t="shared" si="333"/>
        <v>85.726252728841956</v>
      </c>
      <c r="Y1278" s="35" t="s">
        <v>58</v>
      </c>
      <c r="Z1278" s="54">
        <f t="shared" si="328"/>
        <v>27</v>
      </c>
      <c r="AA1278" s="40">
        <f t="shared" si="329"/>
        <v>3188550</v>
      </c>
      <c r="AB1278" s="460">
        <f t="shared" si="335"/>
        <v>75</v>
      </c>
      <c r="AC1278" s="35" t="s">
        <v>58</v>
      </c>
      <c r="AD1278" s="57">
        <f t="shared" si="336"/>
        <v>53.412231770440719</v>
      </c>
      <c r="AE1278" s="11"/>
      <c r="AH1278" s="25">
        <f>M1278+O1278+Q1278+S1278</f>
        <v>1688550</v>
      </c>
    </row>
    <row r="1279" spans="1:34" ht="68.25" customHeight="1">
      <c r="A1279" s="16"/>
      <c r="B1279" s="17"/>
      <c r="C1279" s="29" t="s">
        <v>75</v>
      </c>
      <c r="D1279" s="29" t="s">
        <v>216</v>
      </c>
      <c r="E1279" s="43">
        <f t="shared" si="338"/>
        <v>3</v>
      </c>
      <c r="F1279" s="27" t="s">
        <v>55</v>
      </c>
      <c r="G1279" s="461">
        <f>K1279+2000000*2</f>
        <v>5969750</v>
      </c>
      <c r="H1279" s="20">
        <v>1</v>
      </c>
      <c r="I1279" s="22">
        <v>1500000</v>
      </c>
      <c r="J1279" s="20">
        <v>1</v>
      </c>
      <c r="K1279" s="50">
        <v>1969750</v>
      </c>
      <c r="L1279" s="20">
        <v>0</v>
      </c>
      <c r="M1279" s="50">
        <v>0</v>
      </c>
      <c r="N1279" s="20">
        <v>0</v>
      </c>
      <c r="O1279" s="50">
        <v>0</v>
      </c>
      <c r="P1279" s="20">
        <v>1</v>
      </c>
      <c r="Q1279" s="50">
        <v>962150</v>
      </c>
      <c r="R1279" s="83"/>
      <c r="S1279" s="50"/>
      <c r="T1279" s="54">
        <f t="shared" si="337"/>
        <v>1</v>
      </c>
      <c r="U1279" s="54">
        <f t="shared" si="332"/>
        <v>100</v>
      </c>
      <c r="V1279" s="35" t="s">
        <v>58</v>
      </c>
      <c r="W1279" s="40">
        <f t="shared" si="331"/>
        <v>962150</v>
      </c>
      <c r="X1279" s="54">
        <f t="shared" si="333"/>
        <v>48.84630029191522</v>
      </c>
      <c r="Y1279" s="35" t="s">
        <v>58</v>
      </c>
      <c r="Z1279" s="54">
        <f t="shared" si="328"/>
        <v>2</v>
      </c>
      <c r="AA1279" s="40">
        <f t="shared" si="329"/>
        <v>2462150</v>
      </c>
      <c r="AB1279" s="460">
        <f t="shared" si="335"/>
        <v>66.666666666666657</v>
      </c>
      <c r="AC1279" s="35" t="s">
        <v>58</v>
      </c>
      <c r="AD1279" s="57">
        <f t="shared" si="336"/>
        <v>41.243770677164036</v>
      </c>
      <c r="AE1279" s="11"/>
      <c r="AH1279" s="25"/>
    </row>
    <row r="1280" spans="1:34" ht="94.5">
      <c r="A1280" s="16"/>
      <c r="B1280" s="17"/>
      <c r="C1280" s="18" t="s">
        <v>76</v>
      </c>
      <c r="D1280" s="19" t="s">
        <v>141</v>
      </c>
      <c r="E1280" s="45">
        <f t="shared" si="338"/>
        <v>3</v>
      </c>
      <c r="F1280" s="75" t="s">
        <v>55</v>
      </c>
      <c r="G1280" s="464">
        <f>SUM(G1281:G1286)</f>
        <v>718108350</v>
      </c>
      <c r="H1280" s="74">
        <v>1</v>
      </c>
      <c r="I1280" s="464">
        <f>SUM(I1281:I1286)</f>
        <v>547856747</v>
      </c>
      <c r="J1280" s="74">
        <v>1</v>
      </c>
      <c r="K1280" s="464">
        <f>SUM(K1281:K1286)</f>
        <v>470166200</v>
      </c>
      <c r="L1280" s="74">
        <v>0</v>
      </c>
      <c r="M1280" s="464">
        <f>SUM(M1281:M1286)</f>
        <v>21032944</v>
      </c>
      <c r="N1280" s="74">
        <v>0</v>
      </c>
      <c r="O1280" s="464">
        <f>SUM(O1281:O1286)</f>
        <v>59046763</v>
      </c>
      <c r="P1280" s="74">
        <v>0</v>
      </c>
      <c r="Q1280" s="464">
        <f>SUM(Q1281:Q1286)</f>
        <v>48057342</v>
      </c>
      <c r="R1280" s="74">
        <v>1</v>
      </c>
      <c r="S1280" s="464">
        <f>SUM(S1281:S1286)</f>
        <v>299093383</v>
      </c>
      <c r="T1280" s="244">
        <f t="shared" si="337"/>
        <v>1</v>
      </c>
      <c r="U1280" s="244">
        <f t="shared" si="332"/>
        <v>100</v>
      </c>
      <c r="V1280" s="240" t="s">
        <v>58</v>
      </c>
      <c r="W1280" s="94">
        <f t="shared" si="331"/>
        <v>427230432</v>
      </c>
      <c r="X1280" s="239">
        <f t="shared" si="333"/>
        <v>90.867959457740682</v>
      </c>
      <c r="Y1280" s="240" t="s">
        <v>58</v>
      </c>
      <c r="Z1280" s="244">
        <f t="shared" si="328"/>
        <v>2</v>
      </c>
      <c r="AA1280" s="94">
        <f t="shared" si="329"/>
        <v>975087179</v>
      </c>
      <c r="AB1280" s="460">
        <f t="shared" si="335"/>
        <v>66.666666666666657</v>
      </c>
      <c r="AC1280" s="240" t="s">
        <v>58</v>
      </c>
      <c r="AD1280" s="57">
        <f t="shared" si="336"/>
        <v>135.78552303423294</v>
      </c>
      <c r="AE1280" s="24"/>
      <c r="AH1280" s="25"/>
    </row>
    <row r="1281" spans="1:34" ht="120">
      <c r="A1281" s="16"/>
      <c r="B1281" s="17"/>
      <c r="C1281" s="29" t="s">
        <v>1177</v>
      </c>
      <c r="D1281" s="29" t="s">
        <v>343</v>
      </c>
      <c r="E1281" s="20">
        <f>J1281*3</f>
        <v>36</v>
      </c>
      <c r="F1281" s="21" t="s">
        <v>59</v>
      </c>
      <c r="G1281" s="461">
        <v>33062000</v>
      </c>
      <c r="H1281" s="43">
        <v>15</v>
      </c>
      <c r="I1281" s="82">
        <v>26055800</v>
      </c>
      <c r="J1281" s="43">
        <v>12</v>
      </c>
      <c r="K1281" s="81">
        <v>3885000</v>
      </c>
      <c r="L1281" s="43">
        <v>0</v>
      </c>
      <c r="M1281" s="28">
        <v>0</v>
      </c>
      <c r="N1281" s="43">
        <v>0</v>
      </c>
      <c r="O1281" s="28">
        <v>0</v>
      </c>
      <c r="P1281" s="43">
        <v>5</v>
      </c>
      <c r="Q1281" s="28">
        <v>1396800</v>
      </c>
      <c r="R1281" s="43">
        <v>7</v>
      </c>
      <c r="S1281" s="23">
        <v>2487500</v>
      </c>
      <c r="T1281" s="54">
        <f t="shared" si="337"/>
        <v>12</v>
      </c>
      <c r="U1281" s="54">
        <f t="shared" si="332"/>
        <v>100</v>
      </c>
      <c r="V1281" s="35" t="s">
        <v>58</v>
      </c>
      <c r="W1281" s="40">
        <f t="shared" si="331"/>
        <v>3884300</v>
      </c>
      <c r="X1281" s="53">
        <f t="shared" si="333"/>
        <v>99.981981981981988</v>
      </c>
      <c r="Y1281" s="35" t="s">
        <v>58</v>
      </c>
      <c r="Z1281" s="54">
        <f t="shared" si="328"/>
        <v>27</v>
      </c>
      <c r="AA1281" s="40">
        <f t="shared" si="329"/>
        <v>29940100</v>
      </c>
      <c r="AB1281" s="460">
        <f t="shared" si="335"/>
        <v>75</v>
      </c>
      <c r="AC1281" s="35" t="s">
        <v>58</v>
      </c>
      <c r="AD1281" s="57">
        <f t="shared" si="336"/>
        <v>90.557437541588527</v>
      </c>
      <c r="AE1281" s="11"/>
      <c r="AH1281" s="25"/>
    </row>
    <row r="1282" spans="1:34" ht="90">
      <c r="A1282" s="16"/>
      <c r="B1282" s="17"/>
      <c r="C1282" s="29" t="s">
        <v>285</v>
      </c>
      <c r="D1282" s="29" t="s">
        <v>217</v>
      </c>
      <c r="E1282" s="20">
        <f>J1282*3</f>
        <v>36</v>
      </c>
      <c r="F1282" s="21" t="s">
        <v>59</v>
      </c>
      <c r="G1282" s="461">
        <v>121340750</v>
      </c>
      <c r="H1282" s="43">
        <v>15</v>
      </c>
      <c r="I1282" s="82">
        <v>126621447</v>
      </c>
      <c r="J1282" s="43">
        <v>12</v>
      </c>
      <c r="K1282" s="81">
        <v>129548600</v>
      </c>
      <c r="L1282" s="43">
        <v>1</v>
      </c>
      <c r="M1282" s="28">
        <v>3972240</v>
      </c>
      <c r="N1282" s="43">
        <v>2</v>
      </c>
      <c r="O1282" s="28">
        <v>7465050</v>
      </c>
      <c r="P1282" s="43">
        <v>3</v>
      </c>
      <c r="Q1282" s="28">
        <v>6213500</v>
      </c>
      <c r="R1282" s="43">
        <v>6</v>
      </c>
      <c r="S1282" s="28">
        <v>96675900</v>
      </c>
      <c r="T1282" s="54">
        <f t="shared" si="337"/>
        <v>12</v>
      </c>
      <c r="U1282" s="54">
        <f t="shared" si="332"/>
        <v>100</v>
      </c>
      <c r="V1282" s="35" t="s">
        <v>58</v>
      </c>
      <c r="W1282" s="40">
        <f t="shared" si="331"/>
        <v>114326690</v>
      </c>
      <c r="X1282" s="53">
        <f t="shared" si="333"/>
        <v>88.250038981509633</v>
      </c>
      <c r="Y1282" s="35" t="s">
        <v>58</v>
      </c>
      <c r="Z1282" s="54">
        <f t="shared" si="328"/>
        <v>27</v>
      </c>
      <c r="AA1282" s="40">
        <f t="shared" si="329"/>
        <v>240948137</v>
      </c>
      <c r="AB1282" s="460">
        <f t="shared" si="335"/>
        <v>75</v>
      </c>
      <c r="AC1282" s="35" t="s">
        <v>58</v>
      </c>
      <c r="AD1282" s="57">
        <f t="shared" si="336"/>
        <v>198.57149144042708</v>
      </c>
      <c r="AE1282" s="11"/>
      <c r="AH1282" s="25"/>
    </row>
    <row r="1283" spans="1:34" ht="75">
      <c r="A1283" s="16"/>
      <c r="B1283" s="17"/>
      <c r="C1283" s="29" t="s">
        <v>287</v>
      </c>
      <c r="D1283" s="26" t="s">
        <v>218</v>
      </c>
      <c r="E1283" s="20">
        <f>J1283*3</f>
        <v>36</v>
      </c>
      <c r="F1283" s="21" t="s">
        <v>59</v>
      </c>
      <c r="G1283" s="461">
        <v>80100000</v>
      </c>
      <c r="H1283" s="43">
        <v>15</v>
      </c>
      <c r="I1283" s="82">
        <v>26100000</v>
      </c>
      <c r="J1283" s="43">
        <v>12</v>
      </c>
      <c r="K1283" s="81">
        <v>51595200</v>
      </c>
      <c r="L1283" s="43">
        <v>3</v>
      </c>
      <c r="M1283" s="28">
        <v>0</v>
      </c>
      <c r="N1283" s="43">
        <v>3</v>
      </c>
      <c r="O1283" s="28">
        <v>8580000</v>
      </c>
      <c r="P1283" s="43">
        <v>3</v>
      </c>
      <c r="Q1283" s="28">
        <v>1380000</v>
      </c>
      <c r="R1283" s="43">
        <v>3</v>
      </c>
      <c r="S1283" s="28">
        <v>24765000</v>
      </c>
      <c r="T1283" s="54">
        <f t="shared" si="337"/>
        <v>12</v>
      </c>
      <c r="U1283" s="54">
        <f t="shared" si="332"/>
        <v>100</v>
      </c>
      <c r="V1283" s="35" t="s">
        <v>58</v>
      </c>
      <c r="W1283" s="40">
        <f t="shared" si="331"/>
        <v>34725000</v>
      </c>
      <c r="X1283" s="53">
        <f t="shared" si="333"/>
        <v>67.302772350916356</v>
      </c>
      <c r="Y1283" s="35" t="s">
        <v>58</v>
      </c>
      <c r="Z1283" s="54">
        <f t="shared" si="328"/>
        <v>27</v>
      </c>
      <c r="AA1283" s="40">
        <f t="shared" si="329"/>
        <v>60825000</v>
      </c>
      <c r="AB1283" s="460">
        <f t="shared" si="335"/>
        <v>75</v>
      </c>
      <c r="AC1283" s="35" t="s">
        <v>58</v>
      </c>
      <c r="AD1283" s="57">
        <f t="shared" si="336"/>
        <v>75.936329588014985</v>
      </c>
      <c r="AE1283" s="11"/>
      <c r="AH1283" s="25"/>
    </row>
    <row r="1284" spans="1:34" ht="60" customHeight="1">
      <c r="A1284" s="16"/>
      <c r="B1284" s="17"/>
      <c r="C1284" s="26" t="s">
        <v>286</v>
      </c>
      <c r="D1284" s="26" t="s">
        <v>219</v>
      </c>
      <c r="E1284" s="20">
        <f>J1284*3</f>
        <v>36</v>
      </c>
      <c r="F1284" s="21" t="s">
        <v>59</v>
      </c>
      <c r="G1284" s="461">
        <v>41200000</v>
      </c>
      <c r="H1284" s="43">
        <v>15</v>
      </c>
      <c r="I1284" s="22">
        <v>21679500</v>
      </c>
      <c r="J1284" s="43">
        <v>12</v>
      </c>
      <c r="K1284" s="50">
        <v>20377400</v>
      </c>
      <c r="L1284" s="43">
        <v>3</v>
      </c>
      <c r="M1284" s="28">
        <v>292000</v>
      </c>
      <c r="N1284" s="43">
        <v>3</v>
      </c>
      <c r="O1284" s="28">
        <v>1590000</v>
      </c>
      <c r="P1284" s="43">
        <v>3</v>
      </c>
      <c r="Q1284" s="28">
        <v>3305000</v>
      </c>
      <c r="R1284" s="43">
        <v>3</v>
      </c>
      <c r="S1284" s="23">
        <v>5615000</v>
      </c>
      <c r="T1284" s="54">
        <f t="shared" si="337"/>
        <v>12</v>
      </c>
      <c r="U1284" s="54">
        <f t="shared" si="332"/>
        <v>100</v>
      </c>
      <c r="V1284" s="35" t="s">
        <v>58</v>
      </c>
      <c r="W1284" s="40">
        <f t="shared" si="331"/>
        <v>10802000</v>
      </c>
      <c r="X1284" s="53">
        <f t="shared" si="333"/>
        <v>53.00970683207867</v>
      </c>
      <c r="Y1284" s="35" t="s">
        <v>58</v>
      </c>
      <c r="Z1284" s="54">
        <f t="shared" si="328"/>
        <v>27</v>
      </c>
      <c r="AA1284" s="40">
        <f t="shared" si="329"/>
        <v>32481500</v>
      </c>
      <c r="AB1284" s="460">
        <f t="shared" si="335"/>
        <v>75</v>
      </c>
      <c r="AC1284" s="35" t="s">
        <v>58</v>
      </c>
      <c r="AD1284" s="57">
        <f t="shared" si="336"/>
        <v>78.838592233009706</v>
      </c>
      <c r="AE1284" s="11"/>
      <c r="AH1284" s="25"/>
    </row>
    <row r="1285" spans="1:34" ht="135">
      <c r="A1285" s="16"/>
      <c r="B1285" s="17"/>
      <c r="C1285" s="26" t="s">
        <v>1178</v>
      </c>
      <c r="D1285" s="360" t="s">
        <v>1179</v>
      </c>
      <c r="E1285" s="20">
        <f t="shared" si="338"/>
        <v>36</v>
      </c>
      <c r="F1285" s="21" t="s">
        <v>55</v>
      </c>
      <c r="G1285" s="461">
        <v>2400000</v>
      </c>
      <c r="H1285" s="43">
        <v>15</v>
      </c>
      <c r="I1285" s="22">
        <v>2400000</v>
      </c>
      <c r="J1285" s="43">
        <v>12</v>
      </c>
      <c r="K1285" s="50">
        <v>2760000</v>
      </c>
      <c r="L1285" s="43">
        <v>3</v>
      </c>
      <c r="M1285" s="28">
        <v>410000</v>
      </c>
      <c r="N1285" s="43">
        <v>3</v>
      </c>
      <c r="O1285" s="28">
        <v>420000</v>
      </c>
      <c r="P1285" s="43">
        <v>3</v>
      </c>
      <c r="Q1285" s="28">
        <v>645000</v>
      </c>
      <c r="R1285" s="43">
        <v>3</v>
      </c>
      <c r="S1285" s="50">
        <v>1135000</v>
      </c>
      <c r="T1285" s="54">
        <f t="shared" si="337"/>
        <v>12</v>
      </c>
      <c r="U1285" s="54">
        <f t="shared" si="332"/>
        <v>100</v>
      </c>
      <c r="V1285" s="35" t="s">
        <v>58</v>
      </c>
      <c r="W1285" s="40">
        <f t="shared" si="331"/>
        <v>2610000</v>
      </c>
      <c r="X1285" s="53">
        <f t="shared" si="333"/>
        <v>94.565217391304344</v>
      </c>
      <c r="Y1285" s="35" t="s">
        <v>58</v>
      </c>
      <c r="Z1285" s="54">
        <f t="shared" si="328"/>
        <v>27</v>
      </c>
      <c r="AA1285" s="40">
        <f t="shared" si="329"/>
        <v>5010000</v>
      </c>
      <c r="AB1285" s="460">
        <f t="shared" si="335"/>
        <v>75</v>
      </c>
      <c r="AC1285" s="35" t="s">
        <v>58</v>
      </c>
      <c r="AD1285" s="57">
        <f t="shared" si="336"/>
        <v>208.75</v>
      </c>
      <c r="AE1285" s="11"/>
      <c r="AH1285" s="25"/>
    </row>
    <row r="1286" spans="1:34" ht="120">
      <c r="A1286" s="16"/>
      <c r="B1286" s="17"/>
      <c r="C1286" s="29" t="s">
        <v>77</v>
      </c>
      <c r="D1286" s="360" t="s">
        <v>220</v>
      </c>
      <c r="E1286" s="20">
        <f t="shared" si="338"/>
        <v>36</v>
      </c>
      <c r="F1286" s="21" t="s">
        <v>173</v>
      </c>
      <c r="G1286" s="461">
        <v>440005600</v>
      </c>
      <c r="H1286" s="43">
        <v>15</v>
      </c>
      <c r="I1286" s="82">
        <v>345000000</v>
      </c>
      <c r="J1286" s="43">
        <v>12</v>
      </c>
      <c r="K1286" s="81">
        <v>262000000</v>
      </c>
      <c r="L1286" s="43">
        <v>3</v>
      </c>
      <c r="M1286" s="28">
        <v>16358704</v>
      </c>
      <c r="N1286" s="43">
        <v>3</v>
      </c>
      <c r="O1286" s="28">
        <v>40991713</v>
      </c>
      <c r="P1286" s="43">
        <v>3</v>
      </c>
      <c r="Q1286" s="28">
        <v>35117042</v>
      </c>
      <c r="R1286" s="43">
        <v>3</v>
      </c>
      <c r="S1286" s="28">
        <v>168414983</v>
      </c>
      <c r="T1286" s="54">
        <f t="shared" si="337"/>
        <v>12</v>
      </c>
      <c r="U1286" s="54">
        <f t="shared" si="332"/>
        <v>100</v>
      </c>
      <c r="V1286" s="35" t="s">
        <v>58</v>
      </c>
      <c r="W1286" s="40">
        <f t="shared" si="331"/>
        <v>260882442</v>
      </c>
      <c r="X1286" s="53">
        <f t="shared" si="333"/>
        <v>99.573451145038177</v>
      </c>
      <c r="Y1286" s="35" t="s">
        <v>58</v>
      </c>
      <c r="Z1286" s="54">
        <f t="shared" si="328"/>
        <v>27</v>
      </c>
      <c r="AA1286" s="40">
        <f t="shared" si="329"/>
        <v>605882442</v>
      </c>
      <c r="AB1286" s="460">
        <f t="shared" si="335"/>
        <v>75</v>
      </c>
      <c r="AC1286" s="35" t="s">
        <v>58</v>
      </c>
      <c r="AD1286" s="57">
        <f t="shared" si="336"/>
        <v>137.69880246978673</v>
      </c>
      <c r="AE1286" s="11"/>
      <c r="AH1286" s="25"/>
    </row>
    <row r="1287" spans="1:34" ht="67.5" customHeight="1">
      <c r="A1287" s="16"/>
      <c r="B1287" s="17"/>
      <c r="C1287" s="19" t="s">
        <v>79</v>
      </c>
      <c r="D1287" s="19" t="s">
        <v>142</v>
      </c>
      <c r="E1287" s="74">
        <v>100</v>
      </c>
      <c r="F1287" s="75" t="s">
        <v>58</v>
      </c>
      <c r="G1287" s="465">
        <f>SUM(G1288:G1290)</f>
        <v>154544000</v>
      </c>
      <c r="H1287" s="74">
        <v>125</v>
      </c>
      <c r="I1287" s="465">
        <f>SUM(I1288:I1290)</f>
        <v>90285345</v>
      </c>
      <c r="J1287" s="74">
        <v>100</v>
      </c>
      <c r="K1287" s="465">
        <f>SUM(K1288:K1290)</f>
        <v>97672153</v>
      </c>
      <c r="L1287" s="74">
        <v>100</v>
      </c>
      <c r="M1287" s="465">
        <f>SUM(M1288:M1290)</f>
        <v>18592221</v>
      </c>
      <c r="N1287" s="74">
        <v>100</v>
      </c>
      <c r="O1287" s="465">
        <f>+O1288+O1289+O1290</f>
        <v>15763140</v>
      </c>
      <c r="P1287" s="74">
        <v>100</v>
      </c>
      <c r="Q1287" s="465">
        <f>+Q1288+Q1289+Q1290</f>
        <v>14877135</v>
      </c>
      <c r="R1287" s="74">
        <v>100</v>
      </c>
      <c r="S1287" s="465">
        <f>+S1288+S1289+S1290</f>
        <v>26206288</v>
      </c>
      <c r="T1287" s="55">
        <f>AVERAGE(L1287,N1287,P1287,R1287)</f>
        <v>100</v>
      </c>
      <c r="U1287" s="55">
        <f t="shared" si="332"/>
        <v>100</v>
      </c>
      <c r="V1287" s="58" t="s">
        <v>58</v>
      </c>
      <c r="W1287" s="59">
        <f t="shared" si="331"/>
        <v>75438784</v>
      </c>
      <c r="X1287" s="57">
        <f t="shared" si="333"/>
        <v>77.236737066705189</v>
      </c>
      <c r="Y1287" s="58" t="s">
        <v>58</v>
      </c>
      <c r="Z1287" s="55">
        <f t="shared" si="328"/>
        <v>225</v>
      </c>
      <c r="AA1287" s="59">
        <f t="shared" si="329"/>
        <v>165724129</v>
      </c>
      <c r="AB1287" s="460">
        <f t="shared" si="335"/>
        <v>225</v>
      </c>
      <c r="AC1287" s="58" t="s">
        <v>58</v>
      </c>
      <c r="AD1287" s="57">
        <f t="shared" si="336"/>
        <v>107.23426920488663</v>
      </c>
      <c r="AE1287" s="11"/>
      <c r="AH1287" s="25">
        <f>M1287+O1287+Q1287+S1287</f>
        <v>75438784</v>
      </c>
    </row>
    <row r="1288" spans="1:34" ht="54.95" customHeight="1">
      <c r="A1288" s="16"/>
      <c r="B1288" s="17"/>
      <c r="C1288" s="26" t="s">
        <v>86</v>
      </c>
      <c r="D1288" s="29" t="s">
        <v>222</v>
      </c>
      <c r="E1288" s="43">
        <f t="shared" si="338"/>
        <v>36</v>
      </c>
      <c r="F1288" s="21" t="s">
        <v>173</v>
      </c>
      <c r="G1288" s="461">
        <v>1200000</v>
      </c>
      <c r="H1288" s="43">
        <v>15</v>
      </c>
      <c r="I1288" s="22">
        <v>0</v>
      </c>
      <c r="J1288" s="43">
        <v>12</v>
      </c>
      <c r="K1288" s="50">
        <v>1200000</v>
      </c>
      <c r="L1288" s="43">
        <v>0</v>
      </c>
      <c r="M1288" s="50">
        <v>0</v>
      </c>
      <c r="N1288" s="43">
        <v>0</v>
      </c>
      <c r="O1288" s="50">
        <v>0</v>
      </c>
      <c r="P1288" s="43">
        <v>0</v>
      </c>
      <c r="Q1288" s="50">
        <v>0</v>
      </c>
      <c r="R1288" s="43">
        <v>3</v>
      </c>
      <c r="S1288" s="23">
        <v>68500</v>
      </c>
      <c r="T1288" s="54">
        <f t="shared" si="337"/>
        <v>3</v>
      </c>
      <c r="U1288" s="54">
        <f t="shared" si="332"/>
        <v>25</v>
      </c>
      <c r="V1288" s="35" t="s">
        <v>58</v>
      </c>
      <c r="W1288" s="40">
        <f t="shared" si="331"/>
        <v>68500</v>
      </c>
      <c r="X1288" s="54">
        <f t="shared" si="333"/>
        <v>5.708333333333333</v>
      </c>
      <c r="Y1288" s="35" t="s">
        <v>58</v>
      </c>
      <c r="Z1288" s="54">
        <f t="shared" si="328"/>
        <v>18</v>
      </c>
      <c r="AA1288" s="40">
        <f t="shared" si="329"/>
        <v>68500</v>
      </c>
      <c r="AB1288" s="460">
        <f t="shared" si="335"/>
        <v>50</v>
      </c>
      <c r="AC1288" s="35" t="s">
        <v>58</v>
      </c>
      <c r="AD1288" s="57">
        <f t="shared" si="336"/>
        <v>5.708333333333333</v>
      </c>
      <c r="AE1288" s="11"/>
      <c r="AH1288" s="25"/>
    </row>
    <row r="1289" spans="1:34" ht="135">
      <c r="A1289" s="16"/>
      <c r="B1289" s="17"/>
      <c r="C1289" s="26" t="s">
        <v>357</v>
      </c>
      <c r="D1289" s="29" t="s">
        <v>223</v>
      </c>
      <c r="E1289" s="43">
        <f t="shared" si="338"/>
        <v>36</v>
      </c>
      <c r="F1289" s="21" t="s">
        <v>173</v>
      </c>
      <c r="G1289" s="461">
        <v>127200000</v>
      </c>
      <c r="H1289" s="43">
        <v>15</v>
      </c>
      <c r="I1289" s="22">
        <v>68720545</v>
      </c>
      <c r="J1289" s="43">
        <v>12</v>
      </c>
      <c r="K1289" s="50">
        <v>70328153</v>
      </c>
      <c r="L1289" s="43">
        <v>3</v>
      </c>
      <c r="M1289" s="50">
        <v>14092221</v>
      </c>
      <c r="N1289" s="43">
        <v>3</v>
      </c>
      <c r="O1289" s="50">
        <v>10038840</v>
      </c>
      <c r="P1289" s="43">
        <v>3</v>
      </c>
      <c r="Q1289" s="50">
        <v>9882835</v>
      </c>
      <c r="R1289" s="43">
        <v>3</v>
      </c>
      <c r="S1289" s="23">
        <v>20839188</v>
      </c>
      <c r="T1289" s="54">
        <f t="shared" si="337"/>
        <v>12</v>
      </c>
      <c r="U1289" s="54">
        <f t="shared" si="332"/>
        <v>100</v>
      </c>
      <c r="V1289" s="35" t="s">
        <v>58</v>
      </c>
      <c r="W1289" s="40">
        <f t="shared" si="331"/>
        <v>54853084</v>
      </c>
      <c r="X1289" s="53">
        <f t="shared" si="333"/>
        <v>77.995911537730848</v>
      </c>
      <c r="Y1289" s="35" t="s">
        <v>58</v>
      </c>
      <c r="Z1289" s="54">
        <f t="shared" si="328"/>
        <v>27</v>
      </c>
      <c r="AA1289" s="40">
        <f t="shared" si="329"/>
        <v>123573629</v>
      </c>
      <c r="AB1289" s="460">
        <f t="shared" si="335"/>
        <v>75</v>
      </c>
      <c r="AC1289" s="35" t="s">
        <v>58</v>
      </c>
      <c r="AD1289" s="57">
        <f t="shared" si="336"/>
        <v>97.149079402515724</v>
      </c>
      <c r="AE1289" s="11"/>
      <c r="AH1289" s="25"/>
    </row>
    <row r="1290" spans="1:34" ht="120">
      <c r="A1290" s="16"/>
      <c r="B1290" s="17"/>
      <c r="C1290" s="26" t="s">
        <v>80</v>
      </c>
      <c r="D1290" s="29" t="s">
        <v>224</v>
      </c>
      <c r="E1290" s="43">
        <f t="shared" si="338"/>
        <v>36</v>
      </c>
      <c r="F1290" s="21" t="s">
        <v>173</v>
      </c>
      <c r="G1290" s="461">
        <v>26144000</v>
      </c>
      <c r="H1290" s="43">
        <v>15</v>
      </c>
      <c r="I1290" s="22">
        <v>21564800</v>
      </c>
      <c r="J1290" s="43">
        <v>12</v>
      </c>
      <c r="K1290" s="50">
        <v>26144000</v>
      </c>
      <c r="L1290" s="43">
        <v>3</v>
      </c>
      <c r="M1290" s="50">
        <v>4500000</v>
      </c>
      <c r="N1290" s="43">
        <v>3</v>
      </c>
      <c r="O1290" s="50">
        <v>5724300</v>
      </c>
      <c r="P1290" s="43">
        <v>3</v>
      </c>
      <c r="Q1290" s="50">
        <v>4994300</v>
      </c>
      <c r="R1290" s="43">
        <v>3</v>
      </c>
      <c r="S1290" s="23">
        <v>5298600</v>
      </c>
      <c r="T1290" s="54">
        <f t="shared" si="337"/>
        <v>12</v>
      </c>
      <c r="U1290" s="54">
        <f t="shared" si="332"/>
        <v>100</v>
      </c>
      <c r="V1290" s="35" t="s">
        <v>58</v>
      </c>
      <c r="W1290" s="40">
        <f t="shared" si="331"/>
        <v>20517200</v>
      </c>
      <c r="X1290" s="53">
        <f t="shared" si="333"/>
        <v>78.477662178702573</v>
      </c>
      <c r="Y1290" s="35" t="s">
        <v>58</v>
      </c>
      <c r="Z1290" s="54">
        <f t="shared" si="328"/>
        <v>27</v>
      </c>
      <c r="AA1290" s="40">
        <f t="shared" si="329"/>
        <v>42082000</v>
      </c>
      <c r="AB1290" s="460">
        <f t="shared" si="335"/>
        <v>75</v>
      </c>
      <c r="AC1290" s="35" t="s">
        <v>58</v>
      </c>
      <c r="AD1290" s="57">
        <f t="shared" si="336"/>
        <v>160.96236230110159</v>
      </c>
      <c r="AE1290" s="11"/>
      <c r="AH1290" s="25"/>
    </row>
    <row r="1291" spans="1:34" ht="79.5" customHeight="1">
      <c r="A1291" s="16"/>
      <c r="B1291" s="17"/>
      <c r="C1291" s="18" t="s">
        <v>1181</v>
      </c>
      <c r="D1291" s="19" t="s">
        <v>142</v>
      </c>
      <c r="E1291" s="74">
        <v>100</v>
      </c>
      <c r="F1291" s="75" t="s">
        <v>58</v>
      </c>
      <c r="G1291" s="465">
        <f>SUM(G1292:G1293)</f>
        <v>272782000</v>
      </c>
      <c r="H1291" s="74">
        <v>125</v>
      </c>
      <c r="I1291" s="465">
        <f>SUM(I1292:I1293)</f>
        <v>431104238</v>
      </c>
      <c r="J1291" s="74">
        <v>100</v>
      </c>
      <c r="K1291" s="465">
        <f>SUM(K1292:K1293)</f>
        <v>444644200</v>
      </c>
      <c r="L1291" s="74">
        <v>100</v>
      </c>
      <c r="M1291" s="465">
        <f>SUM(M1292:M1293)</f>
        <v>47517710</v>
      </c>
      <c r="N1291" s="74">
        <v>100</v>
      </c>
      <c r="O1291" s="465">
        <f>+O1292+O1293</f>
        <v>27108207</v>
      </c>
      <c r="P1291" s="74">
        <v>100</v>
      </c>
      <c r="Q1291" s="465">
        <f>+Q1292+Q1293</f>
        <v>55710900</v>
      </c>
      <c r="R1291" s="74">
        <v>100</v>
      </c>
      <c r="S1291" s="465">
        <f>+S1292+S1293</f>
        <v>272162300</v>
      </c>
      <c r="T1291" s="55">
        <f>AVERAGE(L1291,N1291,P1291,R1291)</f>
        <v>100</v>
      </c>
      <c r="U1291" s="55">
        <f t="shared" si="332"/>
        <v>100</v>
      </c>
      <c r="V1291" s="58" t="s">
        <v>58</v>
      </c>
      <c r="W1291" s="59">
        <f t="shared" si="331"/>
        <v>402499117</v>
      </c>
      <c r="X1291" s="57">
        <f t="shared" si="333"/>
        <v>90.52161638451598</v>
      </c>
      <c r="Y1291" s="58" t="s">
        <v>58</v>
      </c>
      <c r="Z1291" s="55">
        <f t="shared" si="328"/>
        <v>225</v>
      </c>
      <c r="AA1291" s="59">
        <f t="shared" si="329"/>
        <v>833603355</v>
      </c>
      <c r="AB1291" s="460">
        <f t="shared" si="335"/>
        <v>225</v>
      </c>
      <c r="AC1291" s="58" t="s">
        <v>58</v>
      </c>
      <c r="AD1291" s="57">
        <f t="shared" si="336"/>
        <v>305.59324112294803</v>
      </c>
      <c r="AE1291" s="11"/>
      <c r="AH1291" s="25"/>
    </row>
    <row r="1292" spans="1:34" ht="146.25" customHeight="1">
      <c r="A1292" s="16"/>
      <c r="B1292" s="17"/>
      <c r="C1292" s="26" t="s">
        <v>82</v>
      </c>
      <c r="D1292" s="29" t="s">
        <v>226</v>
      </c>
      <c r="E1292" s="43">
        <f t="shared" si="338"/>
        <v>36</v>
      </c>
      <c r="F1292" s="21" t="s">
        <v>138</v>
      </c>
      <c r="G1292" s="461">
        <v>200282000</v>
      </c>
      <c r="H1292" s="43">
        <v>15</v>
      </c>
      <c r="I1292" s="22">
        <v>176629038</v>
      </c>
      <c r="J1292" s="43">
        <v>12</v>
      </c>
      <c r="K1292" s="50">
        <v>372280800</v>
      </c>
      <c r="L1292" s="43">
        <v>3</v>
      </c>
      <c r="M1292" s="50">
        <v>47262710</v>
      </c>
      <c r="N1292" s="43">
        <v>3</v>
      </c>
      <c r="O1292" s="50">
        <v>25863207</v>
      </c>
      <c r="P1292" s="43">
        <v>3</v>
      </c>
      <c r="Q1292" s="50">
        <v>53790900</v>
      </c>
      <c r="R1292" s="43">
        <v>3</v>
      </c>
      <c r="S1292" s="23">
        <v>220882300</v>
      </c>
      <c r="T1292" s="54">
        <f t="shared" si="337"/>
        <v>12</v>
      </c>
      <c r="U1292" s="54">
        <f t="shared" si="332"/>
        <v>100</v>
      </c>
      <c r="V1292" s="35" t="s">
        <v>58</v>
      </c>
      <c r="W1292" s="40">
        <f t="shared" si="331"/>
        <v>347799117</v>
      </c>
      <c r="X1292" s="53">
        <f t="shared" si="333"/>
        <v>93.42386633960173</v>
      </c>
      <c r="Y1292" s="35" t="s">
        <v>58</v>
      </c>
      <c r="Z1292" s="54">
        <f t="shared" si="328"/>
        <v>27</v>
      </c>
      <c r="AA1292" s="40">
        <f t="shared" si="329"/>
        <v>524428155</v>
      </c>
      <c r="AB1292" s="460">
        <f t="shared" si="335"/>
        <v>75</v>
      </c>
      <c r="AC1292" s="35" t="s">
        <v>58</v>
      </c>
      <c r="AD1292" s="57">
        <f t="shared" si="336"/>
        <v>261.84487622452343</v>
      </c>
      <c r="AE1292" s="11"/>
      <c r="AH1292" s="25"/>
    </row>
    <row r="1293" spans="1:34" ht="135">
      <c r="A1293" s="16"/>
      <c r="B1293" s="17"/>
      <c r="C1293" s="73" t="s">
        <v>84</v>
      </c>
      <c r="D1293" s="360" t="s">
        <v>228</v>
      </c>
      <c r="E1293" s="43">
        <f t="shared" si="338"/>
        <v>36</v>
      </c>
      <c r="F1293" s="21" t="s">
        <v>138</v>
      </c>
      <c r="G1293" s="466">
        <v>72500000</v>
      </c>
      <c r="H1293" s="43">
        <v>15</v>
      </c>
      <c r="I1293" s="371">
        <v>254475200</v>
      </c>
      <c r="J1293" s="43">
        <v>12</v>
      </c>
      <c r="K1293" s="370">
        <v>72363400</v>
      </c>
      <c r="L1293" s="43">
        <v>3</v>
      </c>
      <c r="M1293" s="50">
        <v>255000</v>
      </c>
      <c r="N1293" s="43">
        <v>3</v>
      </c>
      <c r="O1293" s="50">
        <v>1245000</v>
      </c>
      <c r="P1293" s="43">
        <v>3</v>
      </c>
      <c r="Q1293" s="50">
        <v>1920000</v>
      </c>
      <c r="R1293" s="43">
        <v>3</v>
      </c>
      <c r="S1293" s="62">
        <v>51280000</v>
      </c>
      <c r="T1293" s="54">
        <f t="shared" si="337"/>
        <v>12</v>
      </c>
      <c r="U1293" s="54">
        <f t="shared" si="332"/>
        <v>100</v>
      </c>
      <c r="V1293" s="35" t="s">
        <v>58</v>
      </c>
      <c r="W1293" s="80">
        <f t="shared" si="331"/>
        <v>54700000</v>
      </c>
      <c r="X1293" s="53">
        <f t="shared" si="333"/>
        <v>75.590699165600299</v>
      </c>
      <c r="Y1293" s="35" t="s">
        <v>58</v>
      </c>
      <c r="Z1293" s="54">
        <f t="shared" si="328"/>
        <v>27</v>
      </c>
      <c r="AA1293" s="80">
        <f t="shared" si="329"/>
        <v>309175200</v>
      </c>
      <c r="AB1293" s="460">
        <f t="shared" si="335"/>
        <v>75</v>
      </c>
      <c r="AC1293" s="35" t="s">
        <v>58</v>
      </c>
      <c r="AD1293" s="57">
        <f t="shared" si="336"/>
        <v>426.44855172413793</v>
      </c>
      <c r="AE1293" s="11"/>
      <c r="AH1293" s="25"/>
    </row>
    <row r="1294" spans="1:34" s="78" customFormat="1" ht="116.25" customHeight="1">
      <c r="A1294" s="16"/>
      <c r="B1294" s="88"/>
      <c r="C1294" s="19" t="s">
        <v>1557</v>
      </c>
      <c r="D1294" s="19" t="s">
        <v>1558</v>
      </c>
      <c r="E1294" s="108">
        <v>0</v>
      </c>
      <c r="F1294" s="46" t="s">
        <v>58</v>
      </c>
      <c r="G1294" s="465">
        <f>G1296+G1299+G1301+G1305</f>
        <v>4106302612</v>
      </c>
      <c r="H1294" s="108">
        <v>100</v>
      </c>
      <c r="I1294" s="465">
        <f>I1296+I1299+I1301+I1305</f>
        <v>1136451856</v>
      </c>
      <c r="J1294" s="108">
        <v>0</v>
      </c>
      <c r="K1294" s="465">
        <f>K1296+K1299+K1301+K1305</f>
        <v>2128469392</v>
      </c>
      <c r="L1294" s="108">
        <v>0</v>
      </c>
      <c r="M1294" s="465">
        <f>M1296+M1299+M1301+M1305</f>
        <v>139280000</v>
      </c>
      <c r="N1294" s="108">
        <v>0</v>
      </c>
      <c r="O1294" s="465">
        <f>O1296+O1299+O1301+O1305</f>
        <v>352686100</v>
      </c>
      <c r="P1294" s="108">
        <v>0</v>
      </c>
      <c r="Q1294" s="465">
        <f>Q1296+Q1299+Q1301+Q1305</f>
        <v>227511800</v>
      </c>
      <c r="R1294" s="108">
        <v>0</v>
      </c>
      <c r="S1294" s="465">
        <f>S1296+S1299+S1301+S1305</f>
        <v>849123700</v>
      </c>
      <c r="T1294" s="55">
        <f>SUM(L1294,N1294,P1294,R1294)</f>
        <v>0</v>
      </c>
      <c r="U1294" s="55">
        <v>100</v>
      </c>
      <c r="V1294" s="58" t="s">
        <v>58</v>
      </c>
      <c r="W1294" s="56">
        <f t="shared" si="331"/>
        <v>1568601600</v>
      </c>
      <c r="X1294" s="60">
        <f t="shared" si="333"/>
        <v>73.696225367190991</v>
      </c>
      <c r="Y1294" s="48" t="s">
        <v>58</v>
      </c>
      <c r="Z1294" s="55">
        <f t="shared" si="328"/>
        <v>100</v>
      </c>
      <c r="AA1294" s="56">
        <f t="shared" si="329"/>
        <v>2705053456</v>
      </c>
      <c r="AB1294" s="460" t="e">
        <f t="shared" si="335"/>
        <v>#DIV/0!</v>
      </c>
      <c r="AC1294" s="58" t="s">
        <v>58</v>
      </c>
      <c r="AD1294" s="57">
        <f t="shared" si="336"/>
        <v>65.875648036628434</v>
      </c>
      <c r="AE1294" s="77"/>
      <c r="AH1294" s="79"/>
    </row>
    <row r="1295" spans="1:34" s="78" customFormat="1" ht="102.75" customHeight="1">
      <c r="A1295" s="16"/>
      <c r="B1295" s="88"/>
      <c r="C1295" s="18"/>
      <c r="D1295" s="18" t="s">
        <v>1559</v>
      </c>
      <c r="E1295" s="74">
        <v>100</v>
      </c>
      <c r="F1295" s="75" t="s">
        <v>58</v>
      </c>
      <c r="G1295" s="467"/>
      <c r="H1295" s="74">
        <v>25</v>
      </c>
      <c r="I1295" s="467"/>
      <c r="J1295" s="74">
        <v>85</v>
      </c>
      <c r="K1295" s="369"/>
      <c r="L1295" s="74">
        <v>15</v>
      </c>
      <c r="M1295" s="369"/>
      <c r="N1295" s="74">
        <v>20</v>
      </c>
      <c r="O1295" s="369"/>
      <c r="P1295" s="74">
        <v>25</v>
      </c>
      <c r="Q1295" s="369"/>
      <c r="R1295" s="74">
        <v>25</v>
      </c>
      <c r="S1295" s="75"/>
      <c r="T1295" s="55">
        <f>SUM(L1295,N1295,P1295,R1295)</f>
        <v>85</v>
      </c>
      <c r="U1295" s="55">
        <f>T1295/J1295*100</f>
        <v>100</v>
      </c>
      <c r="V1295" s="58" t="s">
        <v>58</v>
      </c>
      <c r="W1295" s="94"/>
      <c r="X1295" s="241"/>
      <c r="Y1295" s="16"/>
      <c r="Z1295" s="55">
        <f t="shared" si="328"/>
        <v>110</v>
      </c>
      <c r="AA1295" s="94"/>
      <c r="AB1295" s="460">
        <f t="shared" si="335"/>
        <v>110.00000000000001</v>
      </c>
      <c r="AC1295" s="58"/>
      <c r="AD1295" s="57" t="e">
        <f t="shared" si="336"/>
        <v>#DIV/0!</v>
      </c>
      <c r="AE1295" s="77"/>
      <c r="AH1295" s="79"/>
    </row>
    <row r="1296" spans="1:34" s="78" customFormat="1" ht="92.25" customHeight="1">
      <c r="A1296" s="16"/>
      <c r="B1296" s="17"/>
      <c r="C1296" s="18" t="s">
        <v>1560</v>
      </c>
      <c r="D1296" s="468" t="s">
        <v>1561</v>
      </c>
      <c r="E1296" s="45">
        <v>100</v>
      </c>
      <c r="F1296" s="46" t="s">
        <v>58</v>
      </c>
      <c r="G1296" s="465">
        <f>SUM(G1297:G1298)</f>
        <v>855573100</v>
      </c>
      <c r="H1296" s="45">
        <v>12.5</v>
      </c>
      <c r="I1296" s="465">
        <f>SUM(I1297:I1298)</f>
        <v>281911650</v>
      </c>
      <c r="J1296" s="45">
        <f>(J1297+J1298)/(J1297+J1298)*100</f>
        <v>100</v>
      </c>
      <c r="K1296" s="465">
        <f>SUM(K1297:K1298)</f>
        <v>635156000</v>
      </c>
      <c r="L1296" s="45">
        <f>(L1297+L1298)/(L1297+L1298)*100</f>
        <v>100</v>
      </c>
      <c r="M1296" s="465">
        <f>SUM(M1297:M1298)</f>
        <v>575000</v>
      </c>
      <c r="N1296" s="45">
        <f>(N1297+N1298)/(N1297+N1298)*100</f>
        <v>100</v>
      </c>
      <c r="O1296" s="465">
        <f>SUM(O1297:O1298)</f>
        <v>7610000</v>
      </c>
      <c r="P1296" s="45">
        <f>(P1297+P1298)/(P1297+P1298)*100</f>
        <v>100</v>
      </c>
      <c r="Q1296" s="465">
        <f>SUM(Q1297:Q1298)</f>
        <v>45670000</v>
      </c>
      <c r="R1296" s="45">
        <f>(R1297+R1298)/(R1297+R1298)*100</f>
        <v>100</v>
      </c>
      <c r="S1296" s="465">
        <f>SUM(S1297:S1298)</f>
        <v>553511600</v>
      </c>
      <c r="T1296" s="55">
        <f>AVERAGE(L1296,N1296,P1296,R1296)</f>
        <v>100</v>
      </c>
      <c r="U1296" s="55">
        <f>T1296/J1296*100</f>
        <v>100</v>
      </c>
      <c r="V1296" s="58" t="s">
        <v>58</v>
      </c>
      <c r="W1296" s="59">
        <f>SUM(M1296,O1296,Q1296,S1296)</f>
        <v>607366600</v>
      </c>
      <c r="X1296" s="57">
        <f>W1296/K1296*100</f>
        <v>95.624791389831785</v>
      </c>
      <c r="Y1296" s="58" t="s">
        <v>58</v>
      </c>
      <c r="Z1296" s="55">
        <f t="shared" si="328"/>
        <v>112.5</v>
      </c>
      <c r="AA1296" s="59">
        <f t="shared" ref="AA1296:AA1345" si="339">SUM(I1296,W1296)</f>
        <v>889278250</v>
      </c>
      <c r="AB1296" s="460">
        <f t="shared" si="335"/>
        <v>112.5</v>
      </c>
      <c r="AC1296" s="58" t="s">
        <v>58</v>
      </c>
      <c r="AD1296" s="57">
        <f t="shared" si="336"/>
        <v>103.93948220204679</v>
      </c>
      <c r="AE1296" s="77"/>
      <c r="AH1296" s="79"/>
    </row>
    <row r="1297" spans="1:34" ht="76.5" customHeight="1">
      <c r="A1297" s="72"/>
      <c r="B1297" s="73"/>
      <c r="C1297" s="26" t="s">
        <v>1560</v>
      </c>
      <c r="D1297" s="366" t="s">
        <v>1562</v>
      </c>
      <c r="E1297" s="20">
        <v>60</v>
      </c>
      <c r="F1297" s="21" t="s">
        <v>138</v>
      </c>
      <c r="G1297" s="50">
        <f>41550000+36356000+41550000</f>
        <v>119456000</v>
      </c>
      <c r="H1297" s="20">
        <v>15</v>
      </c>
      <c r="I1297" s="22">
        <v>41060750</v>
      </c>
      <c r="J1297" s="20">
        <v>27</v>
      </c>
      <c r="K1297" s="50">
        <v>406356000</v>
      </c>
      <c r="L1297" s="20">
        <v>7</v>
      </c>
      <c r="M1297" s="50">
        <v>575000</v>
      </c>
      <c r="N1297" s="20">
        <v>0</v>
      </c>
      <c r="O1297" s="50">
        <v>0</v>
      </c>
      <c r="P1297" s="20">
        <v>0</v>
      </c>
      <c r="Q1297" s="50">
        <v>0</v>
      </c>
      <c r="R1297" s="20">
        <v>20</v>
      </c>
      <c r="S1297" s="23">
        <v>394035600</v>
      </c>
      <c r="T1297" s="54">
        <f>SUM(L1297,N1297,P1297,R1297)</f>
        <v>27</v>
      </c>
      <c r="U1297" s="54">
        <f>T1297/J1297*100</f>
        <v>100</v>
      </c>
      <c r="V1297" s="35" t="s">
        <v>58</v>
      </c>
      <c r="W1297" s="40">
        <f>SUM(M1297,O1297,Q1297,S1297)</f>
        <v>394610600</v>
      </c>
      <c r="X1297" s="54">
        <f>W1297/K1297*100</f>
        <v>97.109578792979562</v>
      </c>
      <c r="Y1297" s="35" t="s">
        <v>58</v>
      </c>
      <c r="Z1297" s="54">
        <f t="shared" si="328"/>
        <v>42</v>
      </c>
      <c r="AA1297" s="40">
        <f t="shared" si="339"/>
        <v>435671350</v>
      </c>
      <c r="AB1297" s="460">
        <f t="shared" si="335"/>
        <v>70</v>
      </c>
      <c r="AC1297" s="35" t="s">
        <v>58</v>
      </c>
      <c r="AD1297" s="57">
        <f t="shared" si="336"/>
        <v>364.7128231315296</v>
      </c>
      <c r="AE1297" s="11"/>
      <c r="AH1297" s="25"/>
    </row>
    <row r="1298" spans="1:34" ht="82.5" customHeight="1">
      <c r="A1298" s="11"/>
      <c r="B1298" s="11"/>
      <c r="C1298" s="26" t="s">
        <v>1563</v>
      </c>
      <c r="D1298" s="29" t="s">
        <v>1564</v>
      </c>
      <c r="E1298" s="20">
        <v>70</v>
      </c>
      <c r="F1298" s="21" t="s">
        <v>138</v>
      </c>
      <c r="G1298" s="23">
        <f>253658550+228800000+253658550</f>
        <v>736117100</v>
      </c>
      <c r="H1298" s="20">
        <v>9</v>
      </c>
      <c r="I1298" s="62">
        <v>240850900</v>
      </c>
      <c r="J1298" s="44">
        <v>5</v>
      </c>
      <c r="K1298" s="23">
        <v>228800000</v>
      </c>
      <c r="L1298" s="44">
        <v>0</v>
      </c>
      <c r="M1298" s="23">
        <v>0</v>
      </c>
      <c r="N1298" s="44">
        <v>1</v>
      </c>
      <c r="O1298" s="23">
        <v>7610000</v>
      </c>
      <c r="P1298" s="44">
        <v>1</v>
      </c>
      <c r="Q1298" s="23">
        <v>45670000</v>
      </c>
      <c r="R1298" s="469">
        <v>3</v>
      </c>
      <c r="S1298" s="62">
        <v>159476000</v>
      </c>
      <c r="T1298" s="427">
        <f>SUM(L1298,N1298,P1298,R1298)</f>
        <v>5</v>
      </c>
      <c r="U1298" s="427">
        <f>T1298/J1298*100</f>
        <v>100</v>
      </c>
      <c r="V1298" s="253" t="s">
        <v>58</v>
      </c>
      <c r="W1298" s="80">
        <f>SUM(M1298,O1298,Q1298,S1298)</f>
        <v>212756000</v>
      </c>
      <c r="X1298" s="248">
        <f>W1298/K1298*100</f>
        <v>92.98776223776224</v>
      </c>
      <c r="Y1298" s="253" t="s">
        <v>58</v>
      </c>
      <c r="Z1298" s="470">
        <f t="shared" si="328"/>
        <v>14</v>
      </c>
      <c r="AA1298" s="80">
        <f t="shared" si="339"/>
        <v>453606900</v>
      </c>
      <c r="AB1298" s="460">
        <f t="shared" si="335"/>
        <v>20</v>
      </c>
      <c r="AC1298" s="253" t="s">
        <v>58</v>
      </c>
      <c r="AD1298" s="57">
        <f t="shared" si="336"/>
        <v>61.621568090185654</v>
      </c>
      <c r="AE1298" s="11"/>
      <c r="AH1298" s="25"/>
    </row>
    <row r="1299" spans="1:34" s="78" customFormat="1" ht="96.75" customHeight="1">
      <c r="A1299" s="16"/>
      <c r="B1299" s="17"/>
      <c r="C1299" s="18" t="s">
        <v>1565</v>
      </c>
      <c r="D1299" s="471" t="s">
        <v>1566</v>
      </c>
      <c r="E1299" s="45">
        <f>E1300/E1300*100</f>
        <v>100</v>
      </c>
      <c r="F1299" s="46" t="s">
        <v>58</v>
      </c>
      <c r="G1299" s="465">
        <f>SUM(G1300)</f>
        <v>654625000</v>
      </c>
      <c r="H1299" s="45">
        <v>100</v>
      </c>
      <c r="I1299" s="465">
        <f>SUM(I1300)</f>
        <v>194388500</v>
      </c>
      <c r="J1299" s="45">
        <f>J1300/J1300*100</f>
        <v>100</v>
      </c>
      <c r="K1299" s="465">
        <f>SUM(K1300)</f>
        <v>612641742</v>
      </c>
      <c r="L1299" s="45">
        <f>L1300/L1300*100</f>
        <v>100</v>
      </c>
      <c r="M1299" s="465">
        <f>SUM(M1300)</f>
        <v>44450000</v>
      </c>
      <c r="N1299" s="45">
        <f>N1300/N1300*100</f>
        <v>100</v>
      </c>
      <c r="O1299" s="465">
        <f>SUM(O1300)</f>
        <v>41150800</v>
      </c>
      <c r="P1299" s="45">
        <f>P1300/P1300*100</f>
        <v>100</v>
      </c>
      <c r="Q1299" s="465">
        <f>SUM(Q1300)</f>
        <v>45540300</v>
      </c>
      <c r="R1299" s="45">
        <f>R1300/R1300*100</f>
        <v>100</v>
      </c>
      <c r="S1299" s="465">
        <f>SUM(S1300)</f>
        <v>65756100</v>
      </c>
      <c r="T1299" s="55">
        <f>AVERAGE(L1299,N1299,P1299,R1299)</f>
        <v>100</v>
      </c>
      <c r="U1299" s="55">
        <f t="shared" ref="U1299:U1338" si="340">T1299/J1299*100</f>
        <v>100</v>
      </c>
      <c r="V1299" s="58" t="s">
        <v>58</v>
      </c>
      <c r="W1299" s="59">
        <f t="shared" ref="W1299:W1338" si="341">SUM(M1299,O1299,Q1299,S1299)</f>
        <v>196897200</v>
      </c>
      <c r="X1299" s="57">
        <f t="shared" ref="X1299:X1338" si="342">W1299/K1299*100</f>
        <v>32.139044159351457</v>
      </c>
      <c r="Y1299" s="58" t="s">
        <v>58</v>
      </c>
      <c r="Z1299" s="55">
        <f t="shared" si="328"/>
        <v>200</v>
      </c>
      <c r="AA1299" s="59">
        <f t="shared" si="339"/>
        <v>391285700</v>
      </c>
      <c r="AB1299" s="460">
        <f t="shared" si="335"/>
        <v>200</v>
      </c>
      <c r="AC1299" s="58" t="s">
        <v>58</v>
      </c>
      <c r="AD1299" s="57">
        <f t="shared" si="336"/>
        <v>59.772495703647124</v>
      </c>
      <c r="AE1299" s="77"/>
      <c r="AH1299" s="79"/>
    </row>
    <row r="1300" spans="1:34" ht="315">
      <c r="A1300" s="72"/>
      <c r="B1300" s="73"/>
      <c r="C1300" s="26" t="s">
        <v>1567</v>
      </c>
      <c r="D1300" s="26" t="s">
        <v>1568</v>
      </c>
      <c r="E1300" s="20">
        <v>2</v>
      </c>
      <c r="F1300" s="47" t="s">
        <v>55</v>
      </c>
      <c r="G1300" s="23">
        <f>218380500+217864000+218380500</f>
        <v>654625000</v>
      </c>
      <c r="H1300" s="20">
        <v>2</v>
      </c>
      <c r="I1300" s="23">
        <v>194388500</v>
      </c>
      <c r="J1300" s="20">
        <v>2</v>
      </c>
      <c r="K1300" s="23">
        <v>612641742</v>
      </c>
      <c r="L1300" s="20">
        <v>0.2</v>
      </c>
      <c r="M1300" s="23">
        <v>44450000</v>
      </c>
      <c r="N1300" s="20">
        <v>0.2</v>
      </c>
      <c r="O1300" s="23">
        <v>41150800</v>
      </c>
      <c r="P1300" s="20">
        <v>0.2</v>
      </c>
      <c r="Q1300" s="23">
        <v>45540300</v>
      </c>
      <c r="R1300" s="20">
        <v>0.2</v>
      </c>
      <c r="S1300" s="23">
        <v>65756100</v>
      </c>
      <c r="T1300" s="127">
        <f t="shared" ref="T1300:T1308" si="343">SUM(L1300,N1300,P1300,R1300)</f>
        <v>0.8</v>
      </c>
      <c r="U1300" s="54">
        <f t="shared" si="340"/>
        <v>40</v>
      </c>
      <c r="V1300" s="35" t="s">
        <v>58</v>
      </c>
      <c r="W1300" s="40">
        <f t="shared" si="341"/>
        <v>196897200</v>
      </c>
      <c r="X1300" s="53">
        <f t="shared" si="342"/>
        <v>32.139044159351457</v>
      </c>
      <c r="Y1300" s="35" t="s">
        <v>58</v>
      </c>
      <c r="Z1300" s="54">
        <f t="shared" si="328"/>
        <v>2.8</v>
      </c>
      <c r="AA1300" s="40">
        <f t="shared" si="339"/>
        <v>391285700</v>
      </c>
      <c r="AB1300" s="460">
        <f t="shared" si="335"/>
        <v>140</v>
      </c>
      <c r="AC1300" s="35" t="s">
        <v>58</v>
      </c>
      <c r="AD1300" s="57">
        <f t="shared" si="336"/>
        <v>59.772495703647124</v>
      </c>
      <c r="AE1300" s="11"/>
      <c r="AH1300" s="25"/>
    </row>
    <row r="1301" spans="1:34" s="78" customFormat="1" ht="94.5">
      <c r="A1301" s="16"/>
      <c r="B1301" s="17"/>
      <c r="C1301" s="18" t="s">
        <v>1569</v>
      </c>
      <c r="D1301" s="19" t="s">
        <v>1570</v>
      </c>
      <c r="E1301" s="428">
        <v>100</v>
      </c>
      <c r="F1301" s="75" t="s">
        <v>58</v>
      </c>
      <c r="G1301" s="465">
        <f>SUM(G1302:G1304)</f>
        <v>1484086512</v>
      </c>
      <c r="H1301" s="428">
        <v>28.955797565663037</v>
      </c>
      <c r="I1301" s="465">
        <f>SUM(I1302:I1304)</f>
        <v>440874206</v>
      </c>
      <c r="J1301" s="267">
        <f>1561/1561*100</f>
        <v>100</v>
      </c>
      <c r="K1301" s="465">
        <f>SUM(K1302:K1304)</f>
        <v>333848000</v>
      </c>
      <c r="L1301" s="108">
        <v>100</v>
      </c>
      <c r="M1301" s="465">
        <f>SUM(M1302:M1304)</f>
        <v>41875000</v>
      </c>
      <c r="N1301" s="108">
        <v>100</v>
      </c>
      <c r="O1301" s="465">
        <f>+O1302+O1303+O1304</f>
        <v>185362200</v>
      </c>
      <c r="P1301" s="108">
        <v>100</v>
      </c>
      <c r="Q1301" s="465">
        <f>+Q1302+Q1303+Q1304</f>
        <v>16817900</v>
      </c>
      <c r="R1301" s="108">
        <v>100</v>
      </c>
      <c r="S1301" s="465">
        <f>+S1302+S1303+S1304</f>
        <v>67740800</v>
      </c>
      <c r="T1301" s="55">
        <f>SUM(L1301,N1301,P1301,R1301)/4</f>
        <v>100</v>
      </c>
      <c r="U1301" s="57">
        <f t="shared" si="340"/>
        <v>100</v>
      </c>
      <c r="V1301" s="58" t="s">
        <v>58</v>
      </c>
      <c r="W1301" s="59">
        <f t="shared" si="341"/>
        <v>311795900</v>
      </c>
      <c r="X1301" s="57">
        <f t="shared" si="342"/>
        <v>93.394568785794732</v>
      </c>
      <c r="Y1301" s="58" t="s">
        <v>58</v>
      </c>
      <c r="Z1301" s="55">
        <f t="shared" si="328"/>
        <v>128.95579756566303</v>
      </c>
      <c r="AA1301" s="59">
        <f t="shared" si="339"/>
        <v>752670106</v>
      </c>
      <c r="AB1301" s="460">
        <f t="shared" si="335"/>
        <v>128.95579756566303</v>
      </c>
      <c r="AC1301" s="58" t="s">
        <v>58</v>
      </c>
      <c r="AD1301" s="57">
        <f t="shared" si="336"/>
        <v>50.716053270080529</v>
      </c>
      <c r="AE1301" s="77"/>
      <c r="AH1301" s="79"/>
    </row>
    <row r="1302" spans="1:34" ht="135">
      <c r="A1302" s="72"/>
      <c r="B1302" s="73"/>
      <c r="C1302" s="26" t="s">
        <v>1571</v>
      </c>
      <c r="D1302" s="360" t="s">
        <v>1572</v>
      </c>
      <c r="E1302" s="43">
        <v>1</v>
      </c>
      <c r="F1302" s="27" t="s">
        <v>138</v>
      </c>
      <c r="G1302" s="50">
        <f>393755256+159764000+393755256</f>
        <v>947274512</v>
      </c>
      <c r="H1302" s="43">
        <v>1</v>
      </c>
      <c r="I1302" s="22">
        <v>369974206</v>
      </c>
      <c r="J1302" s="20">
        <v>1</v>
      </c>
      <c r="K1302" s="50">
        <v>107264000</v>
      </c>
      <c r="L1302" s="20">
        <v>0.25</v>
      </c>
      <c r="M1302" s="23">
        <v>41875000</v>
      </c>
      <c r="N1302" s="20">
        <v>0.25</v>
      </c>
      <c r="O1302" s="23">
        <v>13972200</v>
      </c>
      <c r="P1302" s="20">
        <v>0.25</v>
      </c>
      <c r="Q1302" s="23">
        <v>16067900</v>
      </c>
      <c r="R1302" s="20">
        <v>0.25</v>
      </c>
      <c r="S1302" s="23">
        <v>23485800</v>
      </c>
      <c r="T1302" s="54">
        <f t="shared" si="343"/>
        <v>1</v>
      </c>
      <c r="U1302" s="54">
        <f t="shared" si="340"/>
        <v>100</v>
      </c>
      <c r="V1302" s="35" t="s">
        <v>58</v>
      </c>
      <c r="W1302" s="40">
        <f t="shared" si="341"/>
        <v>95400900</v>
      </c>
      <c r="X1302" s="53">
        <f t="shared" si="342"/>
        <v>88.940278192124097</v>
      </c>
      <c r="Y1302" s="35" t="s">
        <v>58</v>
      </c>
      <c r="Z1302" s="54">
        <f t="shared" si="328"/>
        <v>2</v>
      </c>
      <c r="AA1302" s="40">
        <f t="shared" si="339"/>
        <v>465375106</v>
      </c>
      <c r="AB1302" s="460">
        <f t="shared" si="335"/>
        <v>200</v>
      </c>
      <c r="AC1302" s="35" t="s">
        <v>58</v>
      </c>
      <c r="AD1302" s="57">
        <f t="shared" si="336"/>
        <v>49.127797708548506</v>
      </c>
      <c r="AE1302" s="11"/>
      <c r="AH1302" s="25"/>
    </row>
    <row r="1303" spans="1:34" ht="108.75" customHeight="1">
      <c r="A1303" s="72"/>
      <c r="B1303" s="73"/>
      <c r="C1303" s="26" t="s">
        <v>1573</v>
      </c>
      <c r="D1303" s="29" t="s">
        <v>1574</v>
      </c>
      <c r="E1303" s="43">
        <v>8</v>
      </c>
      <c r="F1303" s="27" t="s">
        <v>138</v>
      </c>
      <c r="G1303" s="50">
        <f>53000000+216928000+216928000</f>
        <v>486856000</v>
      </c>
      <c r="H1303" s="43">
        <v>8</v>
      </c>
      <c r="I1303" s="22">
        <v>50000000</v>
      </c>
      <c r="J1303" s="20">
        <v>8</v>
      </c>
      <c r="K1303" s="50">
        <v>222928000</v>
      </c>
      <c r="L1303" s="20">
        <v>0</v>
      </c>
      <c r="M1303" s="23">
        <v>0</v>
      </c>
      <c r="N1303" s="20">
        <v>4</v>
      </c>
      <c r="O1303" s="23">
        <v>169840000</v>
      </c>
      <c r="P1303" s="20">
        <v>0</v>
      </c>
      <c r="Q1303" s="23">
        <v>0</v>
      </c>
      <c r="R1303" s="20">
        <v>4</v>
      </c>
      <c r="S1303" s="23">
        <v>43205000</v>
      </c>
      <c r="T1303" s="54">
        <f t="shared" si="343"/>
        <v>8</v>
      </c>
      <c r="U1303" s="54">
        <f t="shared" si="340"/>
        <v>100</v>
      </c>
      <c r="V1303" s="35" t="s">
        <v>58</v>
      </c>
      <c r="W1303" s="40">
        <f t="shared" si="341"/>
        <v>213045000</v>
      </c>
      <c r="X1303" s="54">
        <f t="shared" si="342"/>
        <v>95.566730065312569</v>
      </c>
      <c r="Y1303" s="35" t="s">
        <v>58</v>
      </c>
      <c r="Z1303" s="54">
        <f t="shared" si="328"/>
        <v>16</v>
      </c>
      <c r="AA1303" s="40">
        <f t="shared" si="339"/>
        <v>263045000</v>
      </c>
      <c r="AB1303" s="460">
        <f t="shared" si="335"/>
        <v>200</v>
      </c>
      <c r="AC1303" s="35" t="s">
        <v>58</v>
      </c>
      <c r="AD1303" s="57">
        <f t="shared" si="336"/>
        <v>54.029322838786008</v>
      </c>
      <c r="AE1303" s="11"/>
      <c r="AH1303" s="25"/>
    </row>
    <row r="1304" spans="1:34" ht="150">
      <c r="A1304" s="72"/>
      <c r="B1304" s="73"/>
      <c r="C1304" s="26" t="s">
        <v>1575</v>
      </c>
      <c r="D1304" s="29" t="s">
        <v>1576</v>
      </c>
      <c r="E1304" s="43">
        <v>4</v>
      </c>
      <c r="F1304" s="27" t="s">
        <v>173</v>
      </c>
      <c r="G1304" s="461">
        <f>20900000+8156000+20900000</f>
        <v>49956000</v>
      </c>
      <c r="H1304" s="43">
        <v>1</v>
      </c>
      <c r="I1304" s="22">
        <v>20900000</v>
      </c>
      <c r="J1304" s="43">
        <v>4</v>
      </c>
      <c r="K1304" s="50">
        <v>3656000</v>
      </c>
      <c r="L1304" s="20">
        <v>0</v>
      </c>
      <c r="M1304" s="23">
        <v>0</v>
      </c>
      <c r="N1304" s="20">
        <v>2</v>
      </c>
      <c r="O1304" s="23">
        <v>1550000</v>
      </c>
      <c r="P1304" s="20">
        <v>1</v>
      </c>
      <c r="Q1304" s="23">
        <v>750000</v>
      </c>
      <c r="R1304" s="20">
        <v>1</v>
      </c>
      <c r="S1304" s="23">
        <v>1050000</v>
      </c>
      <c r="T1304" s="54">
        <f t="shared" si="343"/>
        <v>4</v>
      </c>
      <c r="U1304" s="54">
        <f t="shared" si="340"/>
        <v>100</v>
      </c>
      <c r="V1304" s="35" t="s">
        <v>58</v>
      </c>
      <c r="W1304" s="40">
        <f t="shared" si="341"/>
        <v>3350000</v>
      </c>
      <c r="X1304" s="54">
        <f t="shared" si="342"/>
        <v>91.630196936542674</v>
      </c>
      <c r="Y1304" s="35" t="s">
        <v>58</v>
      </c>
      <c r="Z1304" s="54">
        <f t="shared" si="328"/>
        <v>5</v>
      </c>
      <c r="AA1304" s="40">
        <f t="shared" si="339"/>
        <v>24250000</v>
      </c>
      <c r="AB1304" s="460">
        <f t="shared" si="335"/>
        <v>125</v>
      </c>
      <c r="AC1304" s="35" t="s">
        <v>58</v>
      </c>
      <c r="AD1304" s="57">
        <f t="shared" si="336"/>
        <v>48.542717591480503</v>
      </c>
      <c r="AE1304" s="11"/>
      <c r="AH1304" s="25"/>
    </row>
    <row r="1305" spans="1:34" s="78" customFormat="1" ht="115.5" customHeight="1">
      <c r="A1305" s="16"/>
      <c r="B1305" s="17"/>
      <c r="C1305" s="18" t="s">
        <v>1577</v>
      </c>
      <c r="D1305" s="468" t="s">
        <v>1578</v>
      </c>
      <c r="E1305" s="45">
        <v>100</v>
      </c>
      <c r="F1305" s="46" t="s">
        <v>58</v>
      </c>
      <c r="G1305" s="465">
        <f>SUM(G1306:G1307)</f>
        <v>1112018000</v>
      </c>
      <c r="H1305" s="45">
        <v>100</v>
      </c>
      <c r="I1305" s="465">
        <f>SUM(I1306:I1307)</f>
        <v>219277500</v>
      </c>
      <c r="J1305" s="45">
        <v>100</v>
      </c>
      <c r="K1305" s="465">
        <f>SUM(K1306:K1307)</f>
        <v>546823650</v>
      </c>
      <c r="L1305" s="45">
        <v>100</v>
      </c>
      <c r="M1305" s="465">
        <f>SUM(M1306:M1307)</f>
        <v>52380000</v>
      </c>
      <c r="N1305" s="45">
        <v>100</v>
      </c>
      <c r="O1305" s="465">
        <f>SUM(O1306:O1307)</f>
        <v>118563100</v>
      </c>
      <c r="P1305" s="45">
        <v>100</v>
      </c>
      <c r="Q1305" s="465">
        <f>SUM(Q1306:Q1307)</f>
        <v>119483600</v>
      </c>
      <c r="R1305" s="244">
        <v>100</v>
      </c>
      <c r="S1305" s="465">
        <f>SUM(S1306:S1307)</f>
        <v>162115200</v>
      </c>
      <c r="T1305" s="55">
        <f>AVERAGE(L1305,N1305,P1305,R1305)</f>
        <v>100</v>
      </c>
      <c r="U1305" s="55">
        <f t="shared" si="340"/>
        <v>100</v>
      </c>
      <c r="V1305" s="58" t="s">
        <v>58</v>
      </c>
      <c r="W1305" s="59">
        <f t="shared" si="341"/>
        <v>452541900</v>
      </c>
      <c r="X1305" s="57">
        <f t="shared" si="342"/>
        <v>82.758289624086302</v>
      </c>
      <c r="Y1305" s="58" t="s">
        <v>58</v>
      </c>
      <c r="Z1305" s="55">
        <f t="shared" si="328"/>
        <v>200</v>
      </c>
      <c r="AA1305" s="59">
        <f t="shared" si="339"/>
        <v>671819400</v>
      </c>
      <c r="AB1305" s="460">
        <f t="shared" si="335"/>
        <v>200</v>
      </c>
      <c r="AC1305" s="58" t="s">
        <v>58</v>
      </c>
      <c r="AD1305" s="57">
        <f t="shared" si="336"/>
        <v>60.41443573755101</v>
      </c>
      <c r="AE1305" s="77"/>
      <c r="AH1305" s="79"/>
    </row>
    <row r="1306" spans="1:34" ht="180">
      <c r="A1306" s="72"/>
      <c r="B1306" s="73"/>
      <c r="C1306" s="29" t="s">
        <v>1579</v>
      </c>
      <c r="D1306" s="26" t="s">
        <v>1580</v>
      </c>
      <c r="E1306" s="20">
        <v>9</v>
      </c>
      <c r="F1306" s="21" t="s">
        <v>173</v>
      </c>
      <c r="G1306" s="62">
        <f>305288000+403365000+403365000</f>
        <v>1112018000</v>
      </c>
      <c r="H1306" s="20">
        <v>9</v>
      </c>
      <c r="I1306" s="62">
        <v>219277500</v>
      </c>
      <c r="J1306" s="20">
        <v>9</v>
      </c>
      <c r="K1306" s="62">
        <v>518165000</v>
      </c>
      <c r="L1306" s="20">
        <v>1</v>
      </c>
      <c r="M1306" s="62">
        <v>52380000</v>
      </c>
      <c r="N1306" s="20">
        <v>2</v>
      </c>
      <c r="O1306" s="62">
        <v>118563100</v>
      </c>
      <c r="P1306" s="20">
        <v>2</v>
      </c>
      <c r="Q1306" s="62">
        <v>112818600</v>
      </c>
      <c r="R1306" s="20">
        <v>4</v>
      </c>
      <c r="S1306" s="62">
        <v>150435200</v>
      </c>
      <c r="T1306" s="54">
        <f>SUM(L1306,N1306,P1306,R1306)</f>
        <v>9</v>
      </c>
      <c r="U1306" s="54">
        <f t="shared" si="340"/>
        <v>100</v>
      </c>
      <c r="V1306" s="35" t="s">
        <v>58</v>
      </c>
      <c r="W1306" s="80">
        <v>434196900</v>
      </c>
      <c r="X1306" s="53">
        <f t="shared" si="342"/>
        <v>83.79510387617843</v>
      </c>
      <c r="Y1306" s="35" t="s">
        <v>58</v>
      </c>
      <c r="Z1306" s="54">
        <f t="shared" si="328"/>
        <v>18</v>
      </c>
      <c r="AA1306" s="80">
        <f t="shared" si="339"/>
        <v>653474400</v>
      </c>
      <c r="AB1306" s="460">
        <f t="shared" si="335"/>
        <v>200</v>
      </c>
      <c r="AC1306" s="35" t="s">
        <v>58</v>
      </c>
      <c r="AD1306" s="57">
        <f t="shared" si="336"/>
        <v>58.764732225557502</v>
      </c>
      <c r="AE1306" s="11"/>
      <c r="AH1306" s="25"/>
    </row>
    <row r="1307" spans="1:34" ht="95.25" customHeight="1">
      <c r="A1307" s="72"/>
      <c r="B1307" s="73"/>
      <c r="C1307" s="73" t="s">
        <v>1581</v>
      </c>
      <c r="D1307" s="26" t="s">
        <v>1582</v>
      </c>
      <c r="E1307" s="20">
        <v>9</v>
      </c>
      <c r="F1307" s="21" t="s">
        <v>173</v>
      </c>
      <c r="G1307" s="62">
        <v>0</v>
      </c>
      <c r="H1307" s="20">
        <v>0</v>
      </c>
      <c r="I1307" s="62">
        <v>0</v>
      </c>
      <c r="J1307" s="20">
        <v>9</v>
      </c>
      <c r="K1307" s="62">
        <v>28658650</v>
      </c>
      <c r="L1307" s="20">
        <v>0</v>
      </c>
      <c r="M1307" s="62">
        <v>0</v>
      </c>
      <c r="N1307" s="20">
        <v>0</v>
      </c>
      <c r="O1307" s="62">
        <v>0</v>
      </c>
      <c r="P1307" s="20">
        <v>4</v>
      </c>
      <c r="Q1307" s="62">
        <v>6665000</v>
      </c>
      <c r="R1307" s="20">
        <v>5</v>
      </c>
      <c r="S1307" s="62">
        <v>11680000</v>
      </c>
      <c r="T1307" s="54">
        <f>SUM(L1307,N1307,P1307,R1307)</f>
        <v>9</v>
      </c>
      <c r="U1307" s="54">
        <f t="shared" si="340"/>
        <v>100</v>
      </c>
      <c r="V1307" s="35" t="s">
        <v>58</v>
      </c>
      <c r="W1307" s="80">
        <f t="shared" si="341"/>
        <v>18345000</v>
      </c>
      <c r="X1307" s="53">
        <f t="shared" si="342"/>
        <v>64.012087101102111</v>
      </c>
      <c r="Y1307" s="35" t="s">
        <v>58</v>
      </c>
      <c r="Z1307" s="54">
        <f t="shared" si="328"/>
        <v>9</v>
      </c>
      <c r="AA1307" s="80">
        <f t="shared" si="339"/>
        <v>18345000</v>
      </c>
      <c r="AB1307" s="460">
        <f t="shared" si="335"/>
        <v>100</v>
      </c>
      <c r="AC1307" s="35" t="s">
        <v>58</v>
      </c>
      <c r="AD1307" s="57" t="e">
        <f t="shared" si="336"/>
        <v>#DIV/0!</v>
      </c>
      <c r="AE1307" s="11"/>
      <c r="AH1307" s="25"/>
    </row>
    <row r="1308" spans="1:34" s="78" customFormat="1" ht="133.5" customHeight="1">
      <c r="A1308" s="16"/>
      <c r="B1308" s="88"/>
      <c r="C1308" s="19" t="s">
        <v>1583</v>
      </c>
      <c r="D1308" s="19" t="s">
        <v>1584</v>
      </c>
      <c r="E1308" s="45">
        <v>100</v>
      </c>
      <c r="F1308" s="46" t="s">
        <v>58</v>
      </c>
      <c r="G1308" s="472">
        <f>SUM(G1309)</f>
        <v>901317300</v>
      </c>
      <c r="H1308" s="45">
        <v>20</v>
      </c>
      <c r="I1308" s="472">
        <f>SUM(I1309)</f>
        <v>307113500</v>
      </c>
      <c r="J1308" s="45">
        <v>85</v>
      </c>
      <c r="K1308" s="472">
        <f>SUM(K1309)</f>
        <v>582217300</v>
      </c>
      <c r="L1308" s="45">
        <v>20</v>
      </c>
      <c r="M1308" s="472">
        <f>M1309</f>
        <v>21514000</v>
      </c>
      <c r="N1308" s="45">
        <v>20</v>
      </c>
      <c r="O1308" s="472">
        <f>O1309</f>
        <v>34805000</v>
      </c>
      <c r="P1308" s="45">
        <v>20</v>
      </c>
      <c r="Q1308" s="472">
        <f>Q1309</f>
        <v>171876500</v>
      </c>
      <c r="R1308" s="45">
        <v>25</v>
      </c>
      <c r="S1308" s="472">
        <f>S1309</f>
        <v>292757750</v>
      </c>
      <c r="T1308" s="55">
        <f t="shared" si="343"/>
        <v>85</v>
      </c>
      <c r="U1308" s="55">
        <f t="shared" si="340"/>
        <v>100</v>
      </c>
      <c r="V1308" s="58" t="s">
        <v>58</v>
      </c>
      <c r="W1308" s="59">
        <f t="shared" si="341"/>
        <v>520953250</v>
      </c>
      <c r="X1308" s="57">
        <f t="shared" si="342"/>
        <v>89.477459704478036</v>
      </c>
      <c r="Y1308" s="58" t="s">
        <v>58</v>
      </c>
      <c r="Z1308" s="55">
        <f t="shared" si="328"/>
        <v>105</v>
      </c>
      <c r="AA1308" s="59">
        <f t="shared" si="339"/>
        <v>828066750</v>
      </c>
      <c r="AB1308" s="460">
        <f t="shared" si="335"/>
        <v>105</v>
      </c>
      <c r="AC1308" s="58" t="s">
        <v>58</v>
      </c>
      <c r="AD1308" s="57">
        <f t="shared" si="336"/>
        <v>91.872945299063929</v>
      </c>
      <c r="AE1308" s="77"/>
      <c r="AH1308" s="79"/>
    </row>
    <row r="1309" spans="1:34" s="78" customFormat="1" ht="178.5" customHeight="1">
      <c r="A1309" s="16"/>
      <c r="B1309" s="17"/>
      <c r="C1309" s="18" t="s">
        <v>1585</v>
      </c>
      <c r="D1309" s="473" t="s">
        <v>1586</v>
      </c>
      <c r="E1309" s="45">
        <v>100</v>
      </c>
      <c r="F1309" s="76" t="s">
        <v>58</v>
      </c>
      <c r="G1309" s="472">
        <f>SUM(G1310:G1311)</f>
        <v>901317300</v>
      </c>
      <c r="H1309" s="45">
        <v>100</v>
      </c>
      <c r="I1309" s="472">
        <f>SUM(I1310:I1311)</f>
        <v>307113500</v>
      </c>
      <c r="J1309" s="45">
        <v>100</v>
      </c>
      <c r="K1309" s="472">
        <f>SUM(K1310:K1311)</f>
        <v>582217300</v>
      </c>
      <c r="L1309" s="45">
        <v>100</v>
      </c>
      <c r="M1309" s="472">
        <f>+M1310+M1311</f>
        <v>21514000</v>
      </c>
      <c r="N1309" s="45">
        <v>100</v>
      </c>
      <c r="O1309" s="472">
        <f>+O1310+O1311</f>
        <v>34805000</v>
      </c>
      <c r="P1309" s="45">
        <v>100</v>
      </c>
      <c r="Q1309" s="472">
        <f>+Q1310+Q1311</f>
        <v>171876500</v>
      </c>
      <c r="R1309" s="45">
        <v>100</v>
      </c>
      <c r="S1309" s="472">
        <f>+S1310+S1311</f>
        <v>292757750</v>
      </c>
      <c r="T1309" s="55">
        <f>AVERAGE(L1309,N1309,P1309,R1309)</f>
        <v>100</v>
      </c>
      <c r="U1309" s="55">
        <f t="shared" si="340"/>
        <v>100</v>
      </c>
      <c r="V1309" s="58" t="s">
        <v>58</v>
      </c>
      <c r="W1309" s="59">
        <f t="shared" si="341"/>
        <v>520953250</v>
      </c>
      <c r="X1309" s="57">
        <f>W1309/K1309*100</f>
        <v>89.477459704478036</v>
      </c>
      <c r="Y1309" s="58" t="s">
        <v>58</v>
      </c>
      <c r="Z1309" s="55">
        <f t="shared" si="328"/>
        <v>200</v>
      </c>
      <c r="AA1309" s="59">
        <f t="shared" si="339"/>
        <v>828066750</v>
      </c>
      <c r="AB1309" s="460">
        <f t="shared" si="335"/>
        <v>200</v>
      </c>
      <c r="AC1309" s="58" t="s">
        <v>58</v>
      </c>
      <c r="AD1309" s="57">
        <f t="shared" si="336"/>
        <v>91.872945299063929</v>
      </c>
      <c r="AE1309" s="77"/>
      <c r="AH1309" s="79"/>
    </row>
    <row r="1310" spans="1:34" ht="75">
      <c r="A1310" s="16"/>
      <c r="B1310" s="17"/>
      <c r="C1310" s="440" t="s">
        <v>1587</v>
      </c>
      <c r="D1310" s="360" t="s">
        <v>1588</v>
      </c>
      <c r="E1310" s="20">
        <v>2</v>
      </c>
      <c r="F1310" s="47" t="s">
        <v>138</v>
      </c>
      <c r="G1310" s="50">
        <v>0</v>
      </c>
      <c r="H1310" s="20">
        <v>0</v>
      </c>
      <c r="I1310" s="22">
        <v>0</v>
      </c>
      <c r="J1310" s="20">
        <v>2</v>
      </c>
      <c r="K1310" s="474">
        <v>350000000</v>
      </c>
      <c r="L1310" s="20">
        <v>0</v>
      </c>
      <c r="M1310" s="474">
        <v>0</v>
      </c>
      <c r="N1310" s="20">
        <v>0</v>
      </c>
      <c r="O1310" s="474">
        <v>0</v>
      </c>
      <c r="P1310" s="20">
        <v>1</v>
      </c>
      <c r="Q1310" s="474">
        <v>108301500</v>
      </c>
      <c r="R1310" s="20">
        <v>1</v>
      </c>
      <c r="S1310" s="23">
        <v>220345500</v>
      </c>
      <c r="T1310" s="54">
        <f t="shared" ref="T1310:T1316" si="344">SUM(L1310,N1310,P1310,R1310)</f>
        <v>2</v>
      </c>
      <c r="U1310" s="54">
        <f t="shared" si="340"/>
        <v>100</v>
      </c>
      <c r="V1310" s="35" t="s">
        <v>58</v>
      </c>
      <c r="W1310" s="40">
        <f t="shared" si="341"/>
        <v>328647000</v>
      </c>
      <c r="X1310" s="53">
        <f t="shared" si="342"/>
        <v>93.899142857142863</v>
      </c>
      <c r="Y1310" s="35" t="s">
        <v>58</v>
      </c>
      <c r="Z1310" s="54">
        <f t="shared" si="328"/>
        <v>2</v>
      </c>
      <c r="AA1310" s="40">
        <f t="shared" si="339"/>
        <v>328647000</v>
      </c>
      <c r="AB1310" s="460">
        <f t="shared" si="335"/>
        <v>100</v>
      </c>
      <c r="AC1310" s="35" t="s">
        <v>58</v>
      </c>
      <c r="AD1310" s="57" t="e">
        <f t="shared" si="336"/>
        <v>#DIV/0!</v>
      </c>
      <c r="AE1310" s="11"/>
      <c r="AH1310" s="25"/>
    </row>
    <row r="1311" spans="1:34" ht="66" customHeight="1">
      <c r="A1311" s="16"/>
      <c r="B1311" s="17"/>
      <c r="C1311" s="440" t="s">
        <v>1589</v>
      </c>
      <c r="D1311" s="360" t="s">
        <v>1590</v>
      </c>
      <c r="E1311" s="20">
        <v>2</v>
      </c>
      <c r="F1311" s="47" t="s">
        <v>138</v>
      </c>
      <c r="G1311" s="474">
        <f>334550000+232217300+334550000</f>
        <v>901317300</v>
      </c>
      <c r="H1311" s="20">
        <v>2</v>
      </c>
      <c r="I1311" s="22">
        <v>307113500</v>
      </c>
      <c r="J1311" s="20">
        <v>2</v>
      </c>
      <c r="K1311" s="474">
        <v>232217300</v>
      </c>
      <c r="L1311" s="20">
        <v>0.5</v>
      </c>
      <c r="M1311" s="474">
        <v>21514000</v>
      </c>
      <c r="N1311" s="20">
        <v>0.5</v>
      </c>
      <c r="O1311" s="474">
        <v>34805000</v>
      </c>
      <c r="P1311" s="20">
        <v>0.5</v>
      </c>
      <c r="Q1311" s="474">
        <v>63575000</v>
      </c>
      <c r="R1311" s="20">
        <v>0.5</v>
      </c>
      <c r="S1311" s="23">
        <v>72412250</v>
      </c>
      <c r="T1311" s="54">
        <f t="shared" si="344"/>
        <v>2</v>
      </c>
      <c r="U1311" s="54">
        <f t="shared" si="340"/>
        <v>100</v>
      </c>
      <c r="V1311" s="35" t="s">
        <v>58</v>
      </c>
      <c r="W1311" s="40">
        <f t="shared" si="341"/>
        <v>192306250</v>
      </c>
      <c r="X1311" s="53">
        <f t="shared" si="342"/>
        <v>82.813059147617338</v>
      </c>
      <c r="Y1311" s="35" t="s">
        <v>58</v>
      </c>
      <c r="Z1311" s="54">
        <f t="shared" si="328"/>
        <v>4</v>
      </c>
      <c r="AA1311" s="40">
        <f t="shared" si="339"/>
        <v>499419750</v>
      </c>
      <c r="AB1311" s="460">
        <f t="shared" si="335"/>
        <v>200</v>
      </c>
      <c r="AC1311" s="35" t="s">
        <v>58</v>
      </c>
      <c r="AD1311" s="57">
        <f t="shared" si="336"/>
        <v>55.409981590279031</v>
      </c>
      <c r="AE1311" s="11"/>
      <c r="AH1311" s="25"/>
    </row>
    <row r="1312" spans="1:34" ht="84" customHeight="1">
      <c r="A1312" s="48">
        <v>1</v>
      </c>
      <c r="B1312" s="49" t="s">
        <v>1491</v>
      </c>
      <c r="C1312" s="49" t="s">
        <v>68</v>
      </c>
      <c r="D1312" s="19" t="s">
        <v>143</v>
      </c>
      <c r="E1312" s="45">
        <v>100</v>
      </c>
      <c r="F1312" s="46" t="s">
        <v>58</v>
      </c>
      <c r="G1312" s="52">
        <f>G1313+G1316+G1321+G1323+G1332+G1336</f>
        <v>10966105776</v>
      </c>
      <c r="H1312" s="475">
        <v>100</v>
      </c>
      <c r="I1312" s="52">
        <f>I1313+I1316+I1321+I1323+I1332+I1336</f>
        <v>3214362121</v>
      </c>
      <c r="J1312" s="108">
        <v>100</v>
      </c>
      <c r="K1312" s="52">
        <f>K1313+K1316+K1321+K1323+K1332+K1336</f>
        <v>3137859038</v>
      </c>
      <c r="L1312" s="45">
        <v>25</v>
      </c>
      <c r="M1312" s="52">
        <f>M1313+M1316+M1321+M1323+M1332+M1336</f>
        <v>422800030</v>
      </c>
      <c r="N1312" s="108">
        <v>25</v>
      </c>
      <c r="O1312" s="52">
        <f>O1313+O1316+O1321+O1323+O1332+O1336</f>
        <v>953910063</v>
      </c>
      <c r="P1312" s="108">
        <v>25</v>
      </c>
      <c r="Q1312" s="52">
        <f>Q1313+Q1316+Q1321+Q1323+Q1332+Q1336</f>
        <v>747136485</v>
      </c>
      <c r="R1312" s="108">
        <v>25</v>
      </c>
      <c r="S1312" s="52"/>
      <c r="T1312" s="55">
        <f t="shared" si="344"/>
        <v>100</v>
      </c>
      <c r="U1312" s="55">
        <f t="shared" si="340"/>
        <v>100</v>
      </c>
      <c r="V1312" s="58" t="s">
        <v>58</v>
      </c>
      <c r="W1312" s="56">
        <f t="shared" si="341"/>
        <v>2123846578</v>
      </c>
      <c r="X1312" s="60">
        <f t="shared" si="342"/>
        <v>67.684575765828271</v>
      </c>
      <c r="Y1312" s="48" t="s">
        <v>58</v>
      </c>
      <c r="Z1312" s="55">
        <f t="shared" si="328"/>
        <v>200</v>
      </c>
      <c r="AA1312" s="56">
        <f t="shared" si="339"/>
        <v>5338208699</v>
      </c>
      <c r="AB1312" s="57"/>
      <c r="AC1312" s="58" t="s">
        <v>58</v>
      </c>
      <c r="AD1312" s="60"/>
      <c r="AE1312" s="24" t="s">
        <v>1591</v>
      </c>
      <c r="AH1312" s="25">
        <f>M1312+O1312+Q1312+S1312</f>
        <v>2123846578</v>
      </c>
    </row>
    <row r="1313" spans="1:34" ht="88.5" customHeight="1">
      <c r="A1313" s="48"/>
      <c r="B1313" s="49" t="s">
        <v>1592</v>
      </c>
      <c r="C1313" s="19" t="s">
        <v>309</v>
      </c>
      <c r="D1313" s="19" t="s">
        <v>139</v>
      </c>
      <c r="E1313" s="45">
        <v>15</v>
      </c>
      <c r="F1313" s="46" t="s">
        <v>55</v>
      </c>
      <c r="G1313" s="42">
        <f>SUM(G1314:G1315)</f>
        <v>28440000</v>
      </c>
      <c r="H1313" s="45">
        <v>30</v>
      </c>
      <c r="I1313" s="42">
        <f t="shared" ref="I1313:O1313" si="345">SUM(I1314:I1315)</f>
        <v>9480000</v>
      </c>
      <c r="J1313" s="45">
        <f t="shared" si="345"/>
        <v>15</v>
      </c>
      <c r="K1313" s="42">
        <f t="shared" si="345"/>
        <v>7583150</v>
      </c>
      <c r="L1313" s="45">
        <f t="shared" si="345"/>
        <v>6</v>
      </c>
      <c r="M1313" s="42">
        <f t="shared" si="345"/>
        <v>1477500</v>
      </c>
      <c r="N1313" s="45">
        <f t="shared" si="345"/>
        <v>3</v>
      </c>
      <c r="O1313" s="42">
        <f t="shared" si="345"/>
        <v>1486900</v>
      </c>
      <c r="P1313" s="45">
        <f>P1314+P1315</f>
        <v>3</v>
      </c>
      <c r="Q1313" s="42">
        <f>Q1314+Q1315</f>
        <v>2403500</v>
      </c>
      <c r="R1313" s="45">
        <v>3</v>
      </c>
      <c r="S1313" s="42">
        <f>S1314+S1315</f>
        <v>2188550</v>
      </c>
      <c r="T1313" s="55">
        <f t="shared" si="344"/>
        <v>15</v>
      </c>
      <c r="U1313" s="55">
        <f t="shared" si="340"/>
        <v>100</v>
      </c>
      <c r="V1313" s="58" t="s">
        <v>58</v>
      </c>
      <c r="W1313" s="59">
        <f t="shared" si="341"/>
        <v>7556450</v>
      </c>
      <c r="X1313" s="57">
        <f t="shared" si="342"/>
        <v>99.647903575690847</v>
      </c>
      <c r="Y1313" s="58" t="s">
        <v>58</v>
      </c>
      <c r="Z1313" s="55">
        <f t="shared" si="328"/>
        <v>45</v>
      </c>
      <c r="AA1313" s="59">
        <f t="shared" si="339"/>
        <v>17036450</v>
      </c>
      <c r="AB1313" s="57"/>
      <c r="AC1313" s="58" t="s">
        <v>58</v>
      </c>
      <c r="AD1313" s="53"/>
      <c r="AE1313" s="11"/>
      <c r="AH1313" s="25"/>
    </row>
    <row r="1314" spans="1:34" ht="75">
      <c r="A1314" s="16"/>
      <c r="B1314" s="17"/>
      <c r="C1314" s="26" t="s">
        <v>69</v>
      </c>
      <c r="D1314" s="29" t="s">
        <v>211</v>
      </c>
      <c r="E1314" s="20">
        <v>15</v>
      </c>
      <c r="F1314" s="21" t="s">
        <v>55</v>
      </c>
      <c r="G1314" s="23">
        <v>23940000</v>
      </c>
      <c r="H1314" s="20">
        <v>5</v>
      </c>
      <c r="I1314" s="23">
        <v>7980000</v>
      </c>
      <c r="J1314" s="20">
        <v>5</v>
      </c>
      <c r="K1314" s="23">
        <v>6383600</v>
      </c>
      <c r="L1314" s="20">
        <v>2</v>
      </c>
      <c r="M1314" s="23">
        <v>1477500</v>
      </c>
      <c r="N1314" s="20">
        <v>2</v>
      </c>
      <c r="O1314" s="23">
        <v>1486900</v>
      </c>
      <c r="P1314" s="20">
        <v>1</v>
      </c>
      <c r="Q1314" s="23">
        <v>2403500</v>
      </c>
      <c r="R1314" s="20">
        <v>0</v>
      </c>
      <c r="S1314" s="23">
        <v>989000</v>
      </c>
      <c r="T1314" s="54">
        <f t="shared" si="344"/>
        <v>5</v>
      </c>
      <c r="U1314" s="54">
        <f t="shared" si="340"/>
        <v>100</v>
      </c>
      <c r="V1314" s="35" t="s">
        <v>58</v>
      </c>
      <c r="W1314" s="40">
        <f t="shared" si="341"/>
        <v>6356900</v>
      </c>
      <c r="X1314" s="53">
        <f t="shared" si="342"/>
        <v>99.581740710570841</v>
      </c>
      <c r="Y1314" s="35" t="s">
        <v>58</v>
      </c>
      <c r="Z1314" s="54">
        <f t="shared" si="328"/>
        <v>10</v>
      </c>
      <c r="AA1314" s="40">
        <f t="shared" si="339"/>
        <v>14336900</v>
      </c>
      <c r="AB1314" s="53"/>
      <c r="AC1314" s="35" t="s">
        <v>58</v>
      </c>
      <c r="AD1314" s="53"/>
      <c r="AE1314" s="11"/>
      <c r="AH1314" s="25"/>
    </row>
    <row r="1315" spans="1:34" ht="90">
      <c r="A1315" s="16"/>
      <c r="B1315" s="17"/>
      <c r="C1315" s="26" t="s">
        <v>70</v>
      </c>
      <c r="D1315" s="29" t="s">
        <v>212</v>
      </c>
      <c r="E1315" s="20">
        <v>30</v>
      </c>
      <c r="F1315" s="21" t="s">
        <v>173</v>
      </c>
      <c r="G1315" s="23">
        <v>4500000</v>
      </c>
      <c r="H1315" s="20">
        <v>10</v>
      </c>
      <c r="I1315" s="28">
        <v>1500000</v>
      </c>
      <c r="J1315" s="20">
        <v>10</v>
      </c>
      <c r="K1315" s="28">
        <v>1199550</v>
      </c>
      <c r="L1315" s="20">
        <v>4</v>
      </c>
      <c r="M1315" s="28">
        <v>0</v>
      </c>
      <c r="N1315" s="20">
        <v>1</v>
      </c>
      <c r="O1315" s="238">
        <v>0</v>
      </c>
      <c r="P1315" s="20">
        <v>2</v>
      </c>
      <c r="Q1315" s="28">
        <v>0</v>
      </c>
      <c r="R1315" s="20">
        <v>3</v>
      </c>
      <c r="S1315" s="28">
        <v>1199550</v>
      </c>
      <c r="T1315" s="54">
        <f t="shared" si="344"/>
        <v>10</v>
      </c>
      <c r="U1315" s="54">
        <f t="shared" si="340"/>
        <v>100</v>
      </c>
      <c r="V1315" s="35" t="s">
        <v>58</v>
      </c>
      <c r="W1315" s="40">
        <f t="shared" si="341"/>
        <v>1199550</v>
      </c>
      <c r="X1315" s="53">
        <f t="shared" si="342"/>
        <v>100</v>
      </c>
      <c r="Y1315" s="35" t="s">
        <v>58</v>
      </c>
      <c r="Z1315" s="54">
        <f t="shared" si="328"/>
        <v>20</v>
      </c>
      <c r="AA1315" s="40">
        <f t="shared" si="339"/>
        <v>2699550</v>
      </c>
      <c r="AB1315" s="53"/>
      <c r="AC1315" s="35" t="s">
        <v>58</v>
      </c>
      <c r="AD1315" s="57"/>
      <c r="AE1315" s="11"/>
      <c r="AH1315" s="25"/>
    </row>
    <row r="1316" spans="1:34" ht="94.5">
      <c r="A1316" s="16"/>
      <c r="B1316" s="19" t="s">
        <v>1593</v>
      </c>
      <c r="C1316" s="18" t="s">
        <v>71</v>
      </c>
      <c r="D1316" s="19" t="s">
        <v>140</v>
      </c>
      <c r="E1316" s="45">
        <v>14</v>
      </c>
      <c r="F1316" s="75" t="s">
        <v>55</v>
      </c>
      <c r="G1316" s="42">
        <f>SUM(G1317:G1320)</f>
        <v>8254714650</v>
      </c>
      <c r="H1316" s="74">
        <v>14</v>
      </c>
      <c r="I1316" s="42">
        <f>SUM(I1317:I1320)</f>
        <v>2162789444</v>
      </c>
      <c r="J1316" s="74">
        <f>SUM(J1318:J1320)</f>
        <v>14</v>
      </c>
      <c r="K1316" s="42">
        <f>SUM(K1317:K1320)</f>
        <v>2513348544</v>
      </c>
      <c r="L1316" s="74">
        <f>SUM(L1318:L1320)</f>
        <v>3</v>
      </c>
      <c r="M1316" s="42">
        <f>SUM(M1317:M1320)</f>
        <v>340338205</v>
      </c>
      <c r="N1316" s="74">
        <v>4</v>
      </c>
      <c r="O1316" s="42">
        <f>SUM(O1317:O1320)</f>
        <v>798529077</v>
      </c>
      <c r="P1316" s="74">
        <v>3</v>
      </c>
      <c r="Q1316" s="42">
        <f>Q1317+Q1318+Q1319+Q1320</f>
        <v>651581995</v>
      </c>
      <c r="R1316" s="74">
        <f>R1318+R1319+R1320</f>
        <v>4</v>
      </c>
      <c r="S1316" s="42">
        <f>S1317+S1318+S1319+S1320</f>
        <v>522953343</v>
      </c>
      <c r="T1316" s="55">
        <f t="shared" si="344"/>
        <v>14</v>
      </c>
      <c r="U1316" s="55">
        <f t="shared" si="340"/>
        <v>100</v>
      </c>
      <c r="V1316" s="58" t="s">
        <v>58</v>
      </c>
      <c r="W1316" s="59">
        <f t="shared" si="341"/>
        <v>2313402620</v>
      </c>
      <c r="X1316" s="57">
        <f t="shared" si="342"/>
        <v>92.044640029043251</v>
      </c>
      <c r="Y1316" s="58" t="s">
        <v>58</v>
      </c>
      <c r="Z1316" s="55">
        <f t="shared" si="328"/>
        <v>28</v>
      </c>
      <c r="AA1316" s="59">
        <f t="shared" si="339"/>
        <v>4476192064</v>
      </c>
      <c r="AB1316" s="57"/>
      <c r="AC1316" s="58" t="s">
        <v>58</v>
      </c>
      <c r="AD1316" s="53"/>
      <c r="AE1316" s="30"/>
      <c r="AH1316" s="25">
        <f t="shared" ref="AH1316:AH1323" si="346">M1316+O1316+Q1316+S1316</f>
        <v>2313402620</v>
      </c>
    </row>
    <row r="1317" spans="1:34" ht="90">
      <c r="A1317" s="16"/>
      <c r="B1317" s="17"/>
      <c r="C1317" s="26" t="s">
        <v>72</v>
      </c>
      <c r="D1317" s="26" t="s">
        <v>213</v>
      </c>
      <c r="E1317" s="43">
        <v>57</v>
      </c>
      <c r="F1317" s="27" t="s">
        <v>326</v>
      </c>
      <c r="G1317" s="23">
        <v>8239723650</v>
      </c>
      <c r="H1317" s="43">
        <v>19</v>
      </c>
      <c r="I1317" s="23">
        <v>2157796444</v>
      </c>
      <c r="J1317" s="43">
        <v>19</v>
      </c>
      <c r="K1317" s="23">
        <v>2509439094</v>
      </c>
      <c r="L1317" s="43">
        <v>19</v>
      </c>
      <c r="M1317" s="23">
        <v>338852305</v>
      </c>
      <c r="N1317" s="43">
        <v>19</v>
      </c>
      <c r="O1317" s="23">
        <v>797333877</v>
      </c>
      <c r="P1317" s="43">
        <v>19</v>
      </c>
      <c r="Q1317" s="23">
        <v>650430895</v>
      </c>
      <c r="R1317" s="43">
        <v>19</v>
      </c>
      <c r="S1317" s="23">
        <v>522953343</v>
      </c>
      <c r="T1317" s="54">
        <f>AVERAGE(L1317,N1317,P1317,R1317)</f>
        <v>19</v>
      </c>
      <c r="U1317" s="54">
        <f t="shared" si="340"/>
        <v>100</v>
      </c>
      <c r="V1317" s="35" t="s">
        <v>58</v>
      </c>
      <c r="W1317" s="40">
        <f t="shared" si="341"/>
        <v>2309570420</v>
      </c>
      <c r="X1317" s="53">
        <f t="shared" si="342"/>
        <v>92.035324767280443</v>
      </c>
      <c r="Y1317" s="35" t="s">
        <v>58</v>
      </c>
      <c r="Z1317" s="54">
        <f t="shared" si="328"/>
        <v>38</v>
      </c>
      <c r="AA1317" s="40">
        <f t="shared" si="339"/>
        <v>4467366864</v>
      </c>
      <c r="AB1317" s="53"/>
      <c r="AC1317" s="35" t="s">
        <v>58</v>
      </c>
      <c r="AD1317" s="53"/>
      <c r="AE1317" s="11"/>
      <c r="AH1317" s="25">
        <f t="shared" si="346"/>
        <v>2309570420</v>
      </c>
    </row>
    <row r="1318" spans="1:34" ht="195">
      <c r="A1318" s="16"/>
      <c r="B1318" s="17"/>
      <c r="C1318" s="26" t="s">
        <v>73</v>
      </c>
      <c r="D1318" s="29" t="s">
        <v>214</v>
      </c>
      <c r="E1318" s="43">
        <v>3</v>
      </c>
      <c r="F1318" s="27" t="s">
        <v>173</v>
      </c>
      <c r="G1318" s="23">
        <v>5998500</v>
      </c>
      <c r="H1318" s="43">
        <v>1</v>
      </c>
      <c r="I1318" s="23">
        <v>1999500</v>
      </c>
      <c r="J1318" s="43">
        <v>1</v>
      </c>
      <c r="K1318" s="23">
        <v>1562750</v>
      </c>
      <c r="L1318" s="43">
        <v>0</v>
      </c>
      <c r="M1318" s="23">
        <v>1485900</v>
      </c>
      <c r="N1318" s="43">
        <v>0</v>
      </c>
      <c r="O1318" s="23">
        <v>0</v>
      </c>
      <c r="P1318" s="43">
        <v>0</v>
      </c>
      <c r="Q1318" s="23">
        <v>0</v>
      </c>
      <c r="R1318" s="43">
        <v>1</v>
      </c>
      <c r="S1318" s="23">
        <v>0</v>
      </c>
      <c r="T1318" s="54">
        <f t="shared" ref="T1318:T1338" si="347">SUM(L1318,N1318,P1318,R1318)</f>
        <v>1</v>
      </c>
      <c r="U1318" s="54">
        <f t="shared" si="340"/>
        <v>100</v>
      </c>
      <c r="V1318" s="35" t="s">
        <v>58</v>
      </c>
      <c r="W1318" s="40">
        <f t="shared" si="341"/>
        <v>1485900</v>
      </c>
      <c r="X1318" s="54">
        <f t="shared" si="342"/>
        <v>95.0823868181091</v>
      </c>
      <c r="Y1318" s="35" t="s">
        <v>58</v>
      </c>
      <c r="Z1318" s="54">
        <f t="shared" si="328"/>
        <v>2</v>
      </c>
      <c r="AA1318" s="40">
        <f t="shared" si="339"/>
        <v>3485400</v>
      </c>
      <c r="AB1318" s="53"/>
      <c r="AC1318" s="35" t="s">
        <v>58</v>
      </c>
      <c r="AD1318" s="53"/>
      <c r="AE1318" s="11"/>
      <c r="AH1318" s="25">
        <f t="shared" si="346"/>
        <v>1485900</v>
      </c>
    </row>
    <row r="1319" spans="1:34" ht="155.25" customHeight="1">
      <c r="A1319" s="16"/>
      <c r="B1319" s="17"/>
      <c r="C1319" s="26" t="s">
        <v>74</v>
      </c>
      <c r="D1319" s="29" t="s">
        <v>215</v>
      </c>
      <c r="E1319" s="43">
        <v>36</v>
      </c>
      <c r="F1319" s="27" t="s">
        <v>173</v>
      </c>
      <c r="G1319" s="23">
        <v>4494000</v>
      </c>
      <c r="H1319" s="43">
        <v>12</v>
      </c>
      <c r="I1319" s="23">
        <v>1498000</v>
      </c>
      <c r="J1319" s="43">
        <v>12</v>
      </c>
      <c r="K1319" s="23">
        <v>1195600</v>
      </c>
      <c r="L1319" s="43">
        <v>3</v>
      </c>
      <c r="M1319" s="23">
        <v>0</v>
      </c>
      <c r="N1319" s="43">
        <v>3</v>
      </c>
      <c r="O1319" s="23">
        <v>1195200</v>
      </c>
      <c r="P1319" s="43">
        <v>3</v>
      </c>
      <c r="Q1319" s="23">
        <v>0</v>
      </c>
      <c r="R1319" s="43">
        <v>3</v>
      </c>
      <c r="S1319" s="23">
        <v>0</v>
      </c>
      <c r="T1319" s="54">
        <f t="shared" si="347"/>
        <v>12</v>
      </c>
      <c r="U1319" s="54">
        <f t="shared" si="340"/>
        <v>100</v>
      </c>
      <c r="V1319" s="35" t="s">
        <v>58</v>
      </c>
      <c r="W1319" s="40">
        <f t="shared" si="341"/>
        <v>1195200</v>
      </c>
      <c r="X1319" s="54">
        <f t="shared" si="342"/>
        <v>99.96654399464704</v>
      </c>
      <c r="Y1319" s="35" t="s">
        <v>58</v>
      </c>
      <c r="Z1319" s="54">
        <f t="shared" si="328"/>
        <v>24</v>
      </c>
      <c r="AA1319" s="40">
        <f t="shared" si="339"/>
        <v>2693200</v>
      </c>
      <c r="AB1319" s="53"/>
      <c r="AC1319" s="35" t="s">
        <v>58</v>
      </c>
      <c r="AD1319" s="53"/>
      <c r="AE1319" s="11"/>
      <c r="AH1319" s="25">
        <f t="shared" si="346"/>
        <v>1195200</v>
      </c>
    </row>
    <row r="1320" spans="1:34" ht="62.25" customHeight="1">
      <c r="A1320" s="16"/>
      <c r="B1320" s="17"/>
      <c r="C1320" s="26" t="s">
        <v>75</v>
      </c>
      <c r="D1320" s="29" t="s">
        <v>216</v>
      </c>
      <c r="E1320" s="43">
        <v>3</v>
      </c>
      <c r="F1320" s="27" t="s">
        <v>55</v>
      </c>
      <c r="G1320" s="23">
        <v>4498500</v>
      </c>
      <c r="H1320" s="43">
        <v>1</v>
      </c>
      <c r="I1320" s="23">
        <v>1495500</v>
      </c>
      <c r="J1320" s="43">
        <v>1</v>
      </c>
      <c r="K1320" s="23">
        <v>1151100</v>
      </c>
      <c r="L1320" s="43">
        <v>0</v>
      </c>
      <c r="M1320" s="23">
        <v>0</v>
      </c>
      <c r="N1320" s="43">
        <v>1</v>
      </c>
      <c r="O1320" s="23">
        <v>0</v>
      </c>
      <c r="P1320" s="43">
        <v>0</v>
      </c>
      <c r="Q1320" s="23">
        <v>1151100</v>
      </c>
      <c r="R1320" s="43">
        <v>0</v>
      </c>
      <c r="S1320" s="23">
        <v>0</v>
      </c>
      <c r="T1320" s="54">
        <f t="shared" si="347"/>
        <v>1</v>
      </c>
      <c r="U1320" s="54">
        <f t="shared" si="340"/>
        <v>100</v>
      </c>
      <c r="V1320" s="35" t="s">
        <v>58</v>
      </c>
      <c r="W1320" s="40">
        <f t="shared" si="341"/>
        <v>1151100</v>
      </c>
      <c r="X1320" s="53">
        <f t="shared" si="342"/>
        <v>100</v>
      </c>
      <c r="Y1320" s="35" t="s">
        <v>58</v>
      </c>
      <c r="Z1320" s="54">
        <f t="shared" si="328"/>
        <v>2</v>
      </c>
      <c r="AA1320" s="40">
        <f t="shared" si="339"/>
        <v>2646600</v>
      </c>
      <c r="AB1320" s="53"/>
      <c r="AC1320" s="35" t="s">
        <v>58</v>
      </c>
      <c r="AD1320" s="53"/>
      <c r="AE1320" s="11"/>
      <c r="AH1320" s="25">
        <f t="shared" si="346"/>
        <v>1151100</v>
      </c>
    </row>
    <row r="1321" spans="1:34" s="78" customFormat="1" ht="94.5">
      <c r="A1321" s="16"/>
      <c r="B1321" s="281" t="s">
        <v>1594</v>
      </c>
      <c r="C1321" s="17" t="s">
        <v>1595</v>
      </c>
      <c r="D1321" s="17" t="s">
        <v>1596</v>
      </c>
      <c r="E1321" s="45">
        <v>100</v>
      </c>
      <c r="F1321" s="75" t="s">
        <v>58</v>
      </c>
      <c r="G1321" s="41">
        <f>SUM(G1322)</f>
        <v>121500000</v>
      </c>
      <c r="H1321" s="74">
        <v>100</v>
      </c>
      <c r="I1321" s="41">
        <f>SUM(I1322)</f>
        <v>39900000</v>
      </c>
      <c r="J1321" s="74">
        <v>100</v>
      </c>
      <c r="K1321" s="42">
        <f>SUM(K1322)</f>
        <v>8400000</v>
      </c>
      <c r="L1321" s="74">
        <v>100</v>
      </c>
      <c r="M1321" s="42">
        <f>M1322</f>
        <v>8400000</v>
      </c>
      <c r="N1321" s="74">
        <v>0</v>
      </c>
      <c r="O1321" s="42">
        <f>O1322</f>
        <v>0</v>
      </c>
      <c r="P1321" s="74">
        <v>0</v>
      </c>
      <c r="Q1321" s="42">
        <v>0</v>
      </c>
      <c r="R1321" s="74">
        <f>R1322</f>
        <v>0</v>
      </c>
      <c r="S1321" s="42">
        <f>S1322</f>
        <v>0</v>
      </c>
      <c r="T1321" s="55">
        <f t="shared" si="347"/>
        <v>100</v>
      </c>
      <c r="U1321" s="55">
        <f t="shared" si="340"/>
        <v>100</v>
      </c>
      <c r="V1321" s="58" t="s">
        <v>58</v>
      </c>
      <c r="W1321" s="59">
        <f t="shared" si="341"/>
        <v>8400000</v>
      </c>
      <c r="X1321" s="57">
        <f t="shared" si="342"/>
        <v>100</v>
      </c>
      <c r="Y1321" s="58" t="s">
        <v>58</v>
      </c>
      <c r="Z1321" s="55">
        <f t="shared" si="328"/>
        <v>200</v>
      </c>
      <c r="AA1321" s="59">
        <f t="shared" si="339"/>
        <v>48300000</v>
      </c>
      <c r="AB1321" s="57"/>
      <c r="AC1321" s="58" t="s">
        <v>58</v>
      </c>
      <c r="AD1321" s="57"/>
      <c r="AE1321" s="77"/>
      <c r="AH1321" s="79">
        <f t="shared" si="346"/>
        <v>8400000</v>
      </c>
    </row>
    <row r="1322" spans="1:34" ht="105">
      <c r="A1322" s="72"/>
      <c r="B1322" s="73"/>
      <c r="C1322" s="29" t="s">
        <v>1597</v>
      </c>
      <c r="D1322" s="29" t="s">
        <v>1598</v>
      </c>
      <c r="E1322" s="43">
        <v>3</v>
      </c>
      <c r="F1322" s="21" t="s">
        <v>59</v>
      </c>
      <c r="G1322" s="23">
        <v>121500000</v>
      </c>
      <c r="H1322" s="20">
        <v>1</v>
      </c>
      <c r="I1322" s="23">
        <v>39900000</v>
      </c>
      <c r="J1322" s="43">
        <v>1</v>
      </c>
      <c r="K1322" s="23">
        <v>8400000</v>
      </c>
      <c r="L1322" s="43">
        <v>1</v>
      </c>
      <c r="M1322" s="23">
        <v>8400000</v>
      </c>
      <c r="N1322" s="43">
        <v>0</v>
      </c>
      <c r="O1322" s="23">
        <v>0</v>
      </c>
      <c r="P1322" s="43">
        <v>0</v>
      </c>
      <c r="Q1322" s="23">
        <v>0</v>
      </c>
      <c r="R1322" s="43">
        <v>0</v>
      </c>
      <c r="S1322" s="23">
        <v>0</v>
      </c>
      <c r="T1322" s="54">
        <f t="shared" si="347"/>
        <v>1</v>
      </c>
      <c r="U1322" s="54">
        <f t="shared" si="340"/>
        <v>100</v>
      </c>
      <c r="V1322" s="35" t="s">
        <v>58</v>
      </c>
      <c r="W1322" s="40">
        <f t="shared" si="341"/>
        <v>8400000</v>
      </c>
      <c r="X1322" s="53">
        <f t="shared" si="342"/>
        <v>100</v>
      </c>
      <c r="Y1322" s="35" t="s">
        <v>58</v>
      </c>
      <c r="Z1322" s="54">
        <f t="shared" si="328"/>
        <v>2</v>
      </c>
      <c r="AA1322" s="40">
        <f t="shared" si="339"/>
        <v>48300000</v>
      </c>
      <c r="AB1322" s="53"/>
      <c r="AC1322" s="35" t="s">
        <v>58</v>
      </c>
      <c r="AD1322" s="53"/>
      <c r="AE1322" s="11"/>
      <c r="AH1322" s="25">
        <f t="shared" si="346"/>
        <v>8400000</v>
      </c>
    </row>
    <row r="1323" spans="1:34" s="78" customFormat="1" ht="94.5">
      <c r="A1323" s="16"/>
      <c r="B1323" s="281" t="s">
        <v>1599</v>
      </c>
      <c r="C1323" s="17" t="s">
        <v>76</v>
      </c>
      <c r="D1323" s="17" t="s">
        <v>1596</v>
      </c>
      <c r="E1323" s="45">
        <v>100</v>
      </c>
      <c r="F1323" s="75" t="s">
        <v>58</v>
      </c>
      <c r="G1323" s="42">
        <f>SUM(G1324:G1329)</f>
        <v>1296276126</v>
      </c>
      <c r="H1323" s="74">
        <v>0</v>
      </c>
      <c r="I1323" s="42">
        <f>SUM(I1324:I1329)</f>
        <v>338343142</v>
      </c>
      <c r="J1323" s="74">
        <v>100</v>
      </c>
      <c r="K1323" s="42">
        <f>SUM(K1324:K1329)</f>
        <v>452337820</v>
      </c>
      <c r="L1323" s="74">
        <v>25</v>
      </c>
      <c r="M1323" s="42">
        <f>SUM(M1324:M1329)</f>
        <v>50913336</v>
      </c>
      <c r="N1323" s="74">
        <v>25</v>
      </c>
      <c r="O1323" s="42">
        <f>SUM(O1324:O1329)</f>
        <v>121396700</v>
      </c>
      <c r="P1323" s="74">
        <v>25</v>
      </c>
      <c r="Q1323" s="42">
        <f>SUM(Q1324:Q1329)</f>
        <v>76805510</v>
      </c>
      <c r="R1323" s="74">
        <v>25</v>
      </c>
      <c r="S1323" s="42"/>
      <c r="T1323" s="55">
        <f t="shared" si="347"/>
        <v>100</v>
      </c>
      <c r="U1323" s="55">
        <f t="shared" si="340"/>
        <v>100</v>
      </c>
      <c r="V1323" s="58" t="s">
        <v>58</v>
      </c>
      <c r="W1323" s="59">
        <f t="shared" si="341"/>
        <v>249115546</v>
      </c>
      <c r="X1323" s="57">
        <f t="shared" si="342"/>
        <v>55.072897950474278</v>
      </c>
      <c r="Y1323" s="58" t="s">
        <v>58</v>
      </c>
      <c r="Z1323" s="55">
        <f t="shared" si="328"/>
        <v>100</v>
      </c>
      <c r="AA1323" s="59">
        <f t="shared" si="339"/>
        <v>587458688</v>
      </c>
      <c r="AB1323" s="57"/>
      <c r="AC1323" s="58" t="s">
        <v>58</v>
      </c>
      <c r="AD1323" s="57"/>
      <c r="AE1323" s="77"/>
      <c r="AH1323" s="79">
        <f t="shared" si="346"/>
        <v>249115546</v>
      </c>
    </row>
    <row r="1324" spans="1:34" ht="90">
      <c r="A1324" s="16"/>
      <c r="B1324" s="17"/>
      <c r="C1324" s="29" t="s">
        <v>345</v>
      </c>
      <c r="D1324" s="29" t="s">
        <v>217</v>
      </c>
      <c r="E1324" s="20">
        <v>36</v>
      </c>
      <c r="F1324" s="21" t="s">
        <v>59</v>
      </c>
      <c r="G1324" s="23">
        <v>173568501</v>
      </c>
      <c r="H1324" s="20">
        <v>12</v>
      </c>
      <c r="I1324" s="23">
        <v>56484850</v>
      </c>
      <c r="J1324" s="43">
        <v>12</v>
      </c>
      <c r="K1324" s="23">
        <v>54435470</v>
      </c>
      <c r="L1324" s="43">
        <v>3</v>
      </c>
      <c r="M1324" s="23">
        <v>25617536</v>
      </c>
      <c r="N1324" s="43">
        <v>3</v>
      </c>
      <c r="O1324" s="23">
        <v>5795400</v>
      </c>
      <c r="P1324" s="43">
        <v>3</v>
      </c>
      <c r="Q1324" s="23">
        <v>19343500</v>
      </c>
      <c r="R1324" s="43">
        <v>3</v>
      </c>
      <c r="S1324" s="23">
        <v>0</v>
      </c>
      <c r="T1324" s="54">
        <f t="shared" si="347"/>
        <v>12</v>
      </c>
      <c r="U1324" s="54">
        <f t="shared" si="340"/>
        <v>100</v>
      </c>
      <c r="V1324" s="35" t="s">
        <v>58</v>
      </c>
      <c r="W1324" s="40">
        <f t="shared" si="341"/>
        <v>50756436</v>
      </c>
      <c r="X1324" s="53">
        <f t="shared" si="342"/>
        <v>93.241476559309575</v>
      </c>
      <c r="Y1324" s="35" t="s">
        <v>58</v>
      </c>
      <c r="Z1324" s="54">
        <f t="shared" si="328"/>
        <v>24</v>
      </c>
      <c r="AA1324" s="40">
        <f t="shared" si="339"/>
        <v>107241286</v>
      </c>
      <c r="AB1324" s="53"/>
      <c r="AC1324" s="35" t="s">
        <v>58</v>
      </c>
      <c r="AD1324" s="53"/>
      <c r="AE1324" s="11"/>
      <c r="AH1324" s="25"/>
    </row>
    <row r="1325" spans="1:34" ht="50.25" customHeight="1">
      <c r="A1325" s="16"/>
      <c r="B1325" s="17"/>
      <c r="C1325" s="29" t="s">
        <v>347</v>
      </c>
      <c r="D1325" s="26" t="s">
        <v>218</v>
      </c>
      <c r="E1325" s="20">
        <v>36</v>
      </c>
      <c r="F1325" s="21" t="s">
        <v>59</v>
      </c>
      <c r="G1325" s="23">
        <v>203100000</v>
      </c>
      <c r="H1325" s="20">
        <v>12</v>
      </c>
      <c r="I1325" s="23">
        <v>51000000</v>
      </c>
      <c r="J1325" s="43">
        <v>12</v>
      </c>
      <c r="K1325" s="23">
        <v>76497200</v>
      </c>
      <c r="L1325" s="43">
        <v>3</v>
      </c>
      <c r="M1325" s="23">
        <v>7200000</v>
      </c>
      <c r="N1325" s="43">
        <v>3</v>
      </c>
      <c r="O1325" s="23">
        <v>14430000</v>
      </c>
      <c r="P1325" s="43">
        <v>3</v>
      </c>
      <c r="Q1325" s="23">
        <v>10350000</v>
      </c>
      <c r="R1325" s="43">
        <v>3</v>
      </c>
      <c r="S1325" s="23">
        <v>34598600</v>
      </c>
      <c r="T1325" s="54">
        <f t="shared" si="347"/>
        <v>12</v>
      </c>
      <c r="U1325" s="54">
        <f t="shared" si="340"/>
        <v>100</v>
      </c>
      <c r="V1325" s="35" t="s">
        <v>58</v>
      </c>
      <c r="W1325" s="40">
        <f t="shared" si="341"/>
        <v>66578600</v>
      </c>
      <c r="X1325" s="53">
        <f t="shared" si="342"/>
        <v>87.034035232662106</v>
      </c>
      <c r="Y1325" s="35" t="s">
        <v>58</v>
      </c>
      <c r="Z1325" s="54">
        <f t="shared" ref="Z1325:Z1388" si="348">SUM(H1325,T1325)</f>
        <v>24</v>
      </c>
      <c r="AA1325" s="40">
        <f t="shared" si="339"/>
        <v>117578600</v>
      </c>
      <c r="AB1325" s="53"/>
      <c r="AC1325" s="35" t="s">
        <v>58</v>
      </c>
      <c r="AD1325" s="53"/>
      <c r="AE1325" s="11"/>
      <c r="AH1325" s="25"/>
    </row>
    <row r="1326" spans="1:34" ht="90">
      <c r="A1326" s="16"/>
      <c r="B1326" s="17"/>
      <c r="C1326" s="29" t="s">
        <v>349</v>
      </c>
      <c r="D1326" s="26" t="s">
        <v>219</v>
      </c>
      <c r="E1326" s="20">
        <v>36</v>
      </c>
      <c r="F1326" s="21" t="s">
        <v>59</v>
      </c>
      <c r="G1326" s="23">
        <v>258840000</v>
      </c>
      <c r="H1326" s="20">
        <v>12</v>
      </c>
      <c r="I1326" s="23">
        <v>71474550</v>
      </c>
      <c r="J1326" s="43">
        <v>12</v>
      </c>
      <c r="K1326" s="23">
        <v>75871550</v>
      </c>
      <c r="L1326" s="43">
        <v>3</v>
      </c>
      <c r="M1326" s="23">
        <v>7770000</v>
      </c>
      <c r="N1326" s="43">
        <v>3</v>
      </c>
      <c r="O1326" s="23">
        <v>34697800</v>
      </c>
      <c r="P1326" s="43">
        <v>3</v>
      </c>
      <c r="Q1326" s="23">
        <v>17494750</v>
      </c>
      <c r="R1326" s="43">
        <v>3</v>
      </c>
      <c r="S1326" s="23">
        <v>10319500</v>
      </c>
      <c r="T1326" s="54">
        <f t="shared" si="347"/>
        <v>12</v>
      </c>
      <c r="U1326" s="54">
        <f t="shared" si="340"/>
        <v>100</v>
      </c>
      <c r="V1326" s="35" t="s">
        <v>58</v>
      </c>
      <c r="W1326" s="40">
        <f t="shared" si="341"/>
        <v>70282050</v>
      </c>
      <c r="X1326" s="53">
        <f t="shared" si="342"/>
        <v>92.63294344190939</v>
      </c>
      <c r="Y1326" s="35" t="s">
        <v>58</v>
      </c>
      <c r="Z1326" s="54">
        <f t="shared" si="348"/>
        <v>24</v>
      </c>
      <c r="AA1326" s="40">
        <f t="shared" si="339"/>
        <v>141756600</v>
      </c>
      <c r="AB1326" s="53"/>
      <c r="AC1326" s="35" t="s">
        <v>58</v>
      </c>
      <c r="AD1326" s="53"/>
      <c r="AE1326" s="11"/>
      <c r="AH1326" s="25"/>
    </row>
    <row r="1327" spans="1:34" ht="135">
      <c r="A1327" s="16"/>
      <c r="B1327" s="17"/>
      <c r="C1327" s="29" t="s">
        <v>963</v>
      </c>
      <c r="D1327" s="360" t="s">
        <v>1179</v>
      </c>
      <c r="E1327" s="20">
        <v>36</v>
      </c>
      <c r="F1327" s="21" t="s">
        <v>55</v>
      </c>
      <c r="G1327" s="23">
        <v>7200000</v>
      </c>
      <c r="H1327" s="20">
        <v>12</v>
      </c>
      <c r="I1327" s="23">
        <v>2050000</v>
      </c>
      <c r="J1327" s="43">
        <v>12</v>
      </c>
      <c r="K1327" s="23">
        <v>5438400</v>
      </c>
      <c r="L1327" s="43">
        <v>3</v>
      </c>
      <c r="M1327" s="23">
        <v>410000</v>
      </c>
      <c r="N1327" s="43">
        <v>3</v>
      </c>
      <c r="O1327" s="23">
        <v>840000</v>
      </c>
      <c r="P1327" s="43">
        <v>3</v>
      </c>
      <c r="Q1327" s="23">
        <v>645000</v>
      </c>
      <c r="R1327" s="43">
        <v>3</v>
      </c>
      <c r="S1327" s="23">
        <v>685000</v>
      </c>
      <c r="T1327" s="54">
        <f t="shared" si="347"/>
        <v>12</v>
      </c>
      <c r="U1327" s="54">
        <f t="shared" si="340"/>
        <v>100</v>
      </c>
      <c r="V1327" s="35" t="s">
        <v>58</v>
      </c>
      <c r="W1327" s="40">
        <f t="shared" si="341"/>
        <v>2580000</v>
      </c>
      <c r="X1327" s="53">
        <f t="shared" si="342"/>
        <v>47.440423654015888</v>
      </c>
      <c r="Y1327" s="35" t="s">
        <v>58</v>
      </c>
      <c r="Z1327" s="54">
        <f t="shared" si="348"/>
        <v>24</v>
      </c>
      <c r="AA1327" s="40">
        <f t="shared" si="339"/>
        <v>4630000</v>
      </c>
      <c r="AB1327" s="53"/>
      <c r="AC1327" s="35" t="s">
        <v>58</v>
      </c>
      <c r="AD1327" s="53"/>
      <c r="AE1327" s="11"/>
      <c r="AH1327" s="25"/>
    </row>
    <row r="1328" spans="1:34" ht="78" customHeight="1">
      <c r="A1328" s="16"/>
      <c r="B1328" s="17"/>
      <c r="C1328" s="29" t="s">
        <v>77</v>
      </c>
      <c r="D1328" s="360" t="s">
        <v>220</v>
      </c>
      <c r="E1328" s="20">
        <v>36</v>
      </c>
      <c r="F1328" s="21" t="s">
        <v>173</v>
      </c>
      <c r="G1328" s="23">
        <v>650344875</v>
      </c>
      <c r="H1328" s="20">
        <v>12</v>
      </c>
      <c r="I1328" s="23">
        <v>154144742</v>
      </c>
      <c r="J1328" s="43">
        <v>12</v>
      </c>
      <c r="K1328" s="23">
        <v>190095200</v>
      </c>
      <c r="L1328" s="43">
        <v>3</v>
      </c>
      <c r="M1328" s="23">
        <v>9915800</v>
      </c>
      <c r="N1328" s="43">
        <v>3</v>
      </c>
      <c r="O1328" s="23">
        <v>65633500</v>
      </c>
      <c r="P1328" s="43">
        <v>3</v>
      </c>
      <c r="Q1328" s="23">
        <v>28972260</v>
      </c>
      <c r="R1328" s="43">
        <v>3</v>
      </c>
      <c r="S1328" s="23">
        <v>85195166</v>
      </c>
      <c r="T1328" s="54">
        <f t="shared" si="347"/>
        <v>12</v>
      </c>
      <c r="U1328" s="102">
        <f t="shared" si="340"/>
        <v>100</v>
      </c>
      <c r="V1328" s="35" t="s">
        <v>58</v>
      </c>
      <c r="W1328" s="40">
        <f t="shared" si="341"/>
        <v>189716726</v>
      </c>
      <c r="X1328" s="53">
        <f t="shared" si="342"/>
        <v>99.800902916012618</v>
      </c>
      <c r="Y1328" s="35" t="s">
        <v>58</v>
      </c>
      <c r="Z1328" s="102">
        <f t="shared" si="348"/>
        <v>24</v>
      </c>
      <c r="AA1328" s="40">
        <f t="shared" si="339"/>
        <v>343861468</v>
      </c>
      <c r="AB1328" s="53"/>
      <c r="AC1328" s="35" t="s">
        <v>58</v>
      </c>
      <c r="AD1328" s="53"/>
      <c r="AE1328" s="11"/>
      <c r="AH1328" s="25"/>
    </row>
    <row r="1329" spans="1:34" ht="120">
      <c r="A1329" s="72"/>
      <c r="B1329" s="73"/>
      <c r="C1329" s="29" t="s">
        <v>342</v>
      </c>
      <c r="D1329" s="29" t="s">
        <v>343</v>
      </c>
      <c r="E1329" s="20">
        <v>25</v>
      </c>
      <c r="F1329" s="21" t="s">
        <v>59</v>
      </c>
      <c r="G1329" s="23">
        <v>3222750</v>
      </c>
      <c r="H1329" s="20">
        <v>12</v>
      </c>
      <c r="I1329" s="23">
        <v>3189000</v>
      </c>
      <c r="J1329" s="43">
        <v>1</v>
      </c>
      <c r="K1329" s="23">
        <v>50000000</v>
      </c>
      <c r="L1329" s="43">
        <v>0</v>
      </c>
      <c r="M1329" s="23">
        <v>0</v>
      </c>
      <c r="N1329" s="43">
        <v>0</v>
      </c>
      <c r="O1329" s="23">
        <v>0</v>
      </c>
      <c r="P1329" s="43">
        <v>0</v>
      </c>
      <c r="Q1329" s="23">
        <v>0</v>
      </c>
      <c r="R1329" s="43">
        <v>1</v>
      </c>
      <c r="S1329" s="23">
        <v>45500000</v>
      </c>
      <c r="T1329" s="54">
        <f t="shared" si="347"/>
        <v>1</v>
      </c>
      <c r="U1329" s="102">
        <f t="shared" si="340"/>
        <v>100</v>
      </c>
      <c r="V1329" s="35" t="s">
        <v>58</v>
      </c>
      <c r="W1329" s="40">
        <f t="shared" si="341"/>
        <v>45500000</v>
      </c>
      <c r="X1329" s="53">
        <f t="shared" si="342"/>
        <v>91</v>
      </c>
      <c r="Y1329" s="35" t="s">
        <v>58</v>
      </c>
      <c r="Z1329" s="54">
        <f t="shared" si="348"/>
        <v>13</v>
      </c>
      <c r="AA1329" s="40">
        <f t="shared" si="339"/>
        <v>48689000</v>
      </c>
      <c r="AB1329" s="53"/>
      <c r="AC1329" s="35" t="s">
        <v>58</v>
      </c>
      <c r="AD1329" s="53"/>
      <c r="AE1329" s="11"/>
      <c r="AH1329" s="25"/>
    </row>
    <row r="1330" spans="1:34" ht="65.45" customHeight="1">
      <c r="A1330" s="72"/>
      <c r="B1330" s="281" t="s">
        <v>1599</v>
      </c>
      <c r="C1330" s="19" t="s">
        <v>78</v>
      </c>
      <c r="D1330" s="19" t="s">
        <v>1596</v>
      </c>
      <c r="E1330" s="74">
        <v>100</v>
      </c>
      <c r="F1330" s="75" t="s">
        <v>58</v>
      </c>
      <c r="G1330" s="42">
        <f>G1331</f>
        <v>102117500</v>
      </c>
      <c r="H1330" s="386">
        <v>100</v>
      </c>
      <c r="I1330" s="42">
        <v>0</v>
      </c>
      <c r="J1330" s="74">
        <v>100</v>
      </c>
      <c r="K1330" s="42">
        <f>K1331</f>
        <v>102117500</v>
      </c>
      <c r="L1330" s="74">
        <v>0</v>
      </c>
      <c r="M1330" s="42">
        <v>0</v>
      </c>
      <c r="N1330" s="74">
        <v>0</v>
      </c>
      <c r="O1330" s="42">
        <v>0</v>
      </c>
      <c r="P1330" s="74">
        <v>0</v>
      </c>
      <c r="Q1330" s="42">
        <v>0</v>
      </c>
      <c r="R1330" s="74">
        <v>100</v>
      </c>
      <c r="S1330" s="42">
        <f>S1331</f>
        <v>99900000</v>
      </c>
      <c r="T1330" s="55">
        <f t="shared" si="347"/>
        <v>100</v>
      </c>
      <c r="U1330" s="55">
        <f t="shared" si="340"/>
        <v>100</v>
      </c>
      <c r="V1330" s="58" t="s">
        <v>58</v>
      </c>
      <c r="W1330" s="59">
        <f t="shared" si="341"/>
        <v>99900000</v>
      </c>
      <c r="X1330" s="57">
        <f t="shared" si="342"/>
        <v>97.828481895855262</v>
      </c>
      <c r="Y1330" s="58" t="s">
        <v>58</v>
      </c>
      <c r="Z1330" s="55">
        <f t="shared" si="348"/>
        <v>200</v>
      </c>
      <c r="AA1330" s="59">
        <f t="shared" si="339"/>
        <v>99900000</v>
      </c>
      <c r="AB1330" s="57"/>
      <c r="AC1330" s="58" t="s">
        <v>58</v>
      </c>
      <c r="AD1330" s="57"/>
      <c r="AE1330" s="77"/>
      <c r="AH1330" s="25"/>
    </row>
    <row r="1331" spans="1:34" ht="66.599999999999994" customHeight="1">
      <c r="A1331" s="72"/>
      <c r="B1331" s="73"/>
      <c r="C1331" s="29" t="s">
        <v>1600</v>
      </c>
      <c r="D1331" s="29" t="s">
        <v>1601</v>
      </c>
      <c r="E1331" s="118">
        <v>128</v>
      </c>
      <c r="F1331" s="27" t="s">
        <v>1430</v>
      </c>
      <c r="G1331" s="23">
        <v>102117500</v>
      </c>
      <c r="H1331" s="118">
        <v>0</v>
      </c>
      <c r="I1331" s="23">
        <v>0</v>
      </c>
      <c r="J1331" s="43">
        <v>13</v>
      </c>
      <c r="K1331" s="23">
        <v>102117500</v>
      </c>
      <c r="L1331" s="43">
        <v>0</v>
      </c>
      <c r="M1331" s="23">
        <v>0</v>
      </c>
      <c r="N1331" s="43">
        <v>0</v>
      </c>
      <c r="O1331" s="23">
        <v>0</v>
      </c>
      <c r="P1331" s="43">
        <v>0</v>
      </c>
      <c r="Q1331" s="23">
        <v>0</v>
      </c>
      <c r="R1331" s="43">
        <v>13</v>
      </c>
      <c r="S1331" s="23">
        <v>99900000</v>
      </c>
      <c r="T1331" s="54">
        <f t="shared" si="347"/>
        <v>13</v>
      </c>
      <c r="U1331" s="54">
        <f t="shared" si="340"/>
        <v>100</v>
      </c>
      <c r="V1331" s="35" t="s">
        <v>58</v>
      </c>
      <c r="W1331" s="40">
        <f t="shared" si="341"/>
        <v>99900000</v>
      </c>
      <c r="X1331" s="53">
        <f t="shared" si="342"/>
        <v>97.828481895855262</v>
      </c>
      <c r="Y1331" s="35" t="s">
        <v>58</v>
      </c>
      <c r="Z1331" s="54">
        <f t="shared" si="348"/>
        <v>13</v>
      </c>
      <c r="AA1331" s="40">
        <f t="shared" si="339"/>
        <v>99900000</v>
      </c>
      <c r="AB1331" s="53"/>
      <c r="AC1331" s="35" t="s">
        <v>58</v>
      </c>
      <c r="AD1331" s="53"/>
      <c r="AE1331" s="11"/>
      <c r="AH1331" s="25"/>
    </row>
    <row r="1332" spans="1:34" s="78" customFormat="1" ht="67.5" customHeight="1">
      <c r="A1332" s="16"/>
      <c r="B1332" s="281" t="s">
        <v>1599</v>
      </c>
      <c r="C1332" s="19" t="s">
        <v>79</v>
      </c>
      <c r="D1332" s="19" t="s">
        <v>1596</v>
      </c>
      <c r="E1332" s="74">
        <v>100</v>
      </c>
      <c r="F1332" s="75" t="s">
        <v>58</v>
      </c>
      <c r="G1332" s="42">
        <f>SUM(G1333:G1335)</f>
        <v>455100000</v>
      </c>
      <c r="H1332" s="74">
        <v>100</v>
      </c>
      <c r="I1332" s="42">
        <f>SUM(I1333:I1335)</f>
        <v>87750435</v>
      </c>
      <c r="J1332" s="74">
        <v>100</v>
      </c>
      <c r="K1332" s="42">
        <f>SUM(K1333:K1335)</f>
        <v>94589524</v>
      </c>
      <c r="L1332" s="74">
        <v>25</v>
      </c>
      <c r="M1332" s="42">
        <f>SUM(M1333:M1335)</f>
        <v>14870989</v>
      </c>
      <c r="N1332" s="74">
        <v>25</v>
      </c>
      <c r="O1332" s="42">
        <f>SUM(O1333:O1335)</f>
        <v>22166886</v>
      </c>
      <c r="P1332" s="74">
        <v>25</v>
      </c>
      <c r="Q1332" s="42">
        <f>Q1333+Q1334+Q1335</f>
        <v>15500080</v>
      </c>
      <c r="R1332" s="74">
        <v>25</v>
      </c>
      <c r="S1332" s="42"/>
      <c r="T1332" s="55">
        <f t="shared" si="347"/>
        <v>100</v>
      </c>
      <c r="U1332" s="55">
        <f t="shared" si="340"/>
        <v>100</v>
      </c>
      <c r="V1332" s="58" t="s">
        <v>58</v>
      </c>
      <c r="W1332" s="59">
        <f t="shared" si="341"/>
        <v>52537955</v>
      </c>
      <c r="X1332" s="57">
        <f t="shared" si="342"/>
        <v>55.543101157798404</v>
      </c>
      <c r="Y1332" s="58" t="s">
        <v>58</v>
      </c>
      <c r="Z1332" s="55">
        <f t="shared" si="348"/>
        <v>200</v>
      </c>
      <c r="AA1332" s="59">
        <f t="shared" si="339"/>
        <v>140288390</v>
      </c>
      <c r="AB1332" s="57"/>
      <c r="AC1332" s="58" t="s">
        <v>58</v>
      </c>
      <c r="AD1332" s="57"/>
      <c r="AE1332" s="77"/>
      <c r="AH1332" s="79"/>
    </row>
    <row r="1333" spans="1:34" ht="75">
      <c r="A1333" s="16"/>
      <c r="B1333" s="17"/>
      <c r="C1333" s="29" t="s">
        <v>86</v>
      </c>
      <c r="D1333" s="29" t="s">
        <v>222</v>
      </c>
      <c r="E1333" s="44">
        <v>36</v>
      </c>
      <c r="F1333" s="21" t="s">
        <v>173</v>
      </c>
      <c r="G1333" s="23">
        <v>6000000</v>
      </c>
      <c r="H1333" s="382">
        <v>12</v>
      </c>
      <c r="I1333" s="23">
        <v>0</v>
      </c>
      <c r="J1333" s="44">
        <v>12</v>
      </c>
      <c r="K1333" s="23">
        <v>2000000</v>
      </c>
      <c r="L1333" s="44">
        <v>3</v>
      </c>
      <c r="M1333" s="42">
        <v>0</v>
      </c>
      <c r="N1333" s="44">
        <v>3</v>
      </c>
      <c r="O1333" s="23">
        <v>290500</v>
      </c>
      <c r="P1333" s="44">
        <v>3</v>
      </c>
      <c r="Q1333" s="23">
        <v>0</v>
      </c>
      <c r="R1333" s="44">
        <v>3</v>
      </c>
      <c r="S1333" s="23">
        <v>0</v>
      </c>
      <c r="T1333" s="54">
        <f t="shared" si="347"/>
        <v>12</v>
      </c>
      <c r="U1333" s="54">
        <f t="shared" si="340"/>
        <v>100</v>
      </c>
      <c r="V1333" s="35" t="s">
        <v>58</v>
      </c>
      <c r="W1333" s="40">
        <f t="shared" si="341"/>
        <v>290500</v>
      </c>
      <c r="X1333" s="53">
        <f t="shared" si="342"/>
        <v>14.524999999999999</v>
      </c>
      <c r="Y1333" s="35" t="s">
        <v>58</v>
      </c>
      <c r="Z1333" s="54">
        <f t="shared" si="348"/>
        <v>24</v>
      </c>
      <c r="AA1333" s="40">
        <f t="shared" si="339"/>
        <v>290500</v>
      </c>
      <c r="AB1333" s="53"/>
      <c r="AC1333" s="35" t="s">
        <v>58</v>
      </c>
      <c r="AD1333" s="53"/>
      <c r="AE1333" s="11"/>
      <c r="AH1333" s="25"/>
    </row>
    <row r="1334" spans="1:34" ht="135">
      <c r="A1334" s="16"/>
      <c r="B1334" s="17"/>
      <c r="C1334" s="29" t="s">
        <v>357</v>
      </c>
      <c r="D1334" s="29" t="s">
        <v>223</v>
      </c>
      <c r="E1334" s="44">
        <v>36</v>
      </c>
      <c r="F1334" s="21" t="s">
        <v>173</v>
      </c>
      <c r="G1334" s="23">
        <v>390600000</v>
      </c>
      <c r="H1334" s="382">
        <v>12</v>
      </c>
      <c r="I1334" s="23">
        <v>68484335</v>
      </c>
      <c r="J1334" s="44">
        <v>12</v>
      </c>
      <c r="K1334" s="23">
        <v>53301524</v>
      </c>
      <c r="L1334" s="44">
        <v>3</v>
      </c>
      <c r="M1334" s="23">
        <v>5806189</v>
      </c>
      <c r="N1334" s="44">
        <v>3</v>
      </c>
      <c r="O1334" s="23">
        <v>11778686</v>
      </c>
      <c r="P1334" s="44">
        <v>3</v>
      </c>
      <c r="Q1334" s="23">
        <v>5337400</v>
      </c>
      <c r="R1334" s="44">
        <v>3</v>
      </c>
      <c r="S1334" s="23">
        <v>14532585</v>
      </c>
      <c r="T1334" s="54">
        <f t="shared" si="347"/>
        <v>12</v>
      </c>
      <c r="U1334" s="54">
        <f t="shared" si="340"/>
        <v>100</v>
      </c>
      <c r="V1334" s="35" t="s">
        <v>58</v>
      </c>
      <c r="W1334" s="40">
        <f t="shared" si="341"/>
        <v>37454860</v>
      </c>
      <c r="X1334" s="53">
        <f t="shared" si="342"/>
        <v>70.269773149450671</v>
      </c>
      <c r="Y1334" s="35" t="s">
        <v>58</v>
      </c>
      <c r="Z1334" s="54">
        <f t="shared" si="348"/>
        <v>24</v>
      </c>
      <c r="AA1334" s="40">
        <f t="shared" si="339"/>
        <v>105939195</v>
      </c>
      <c r="AB1334" s="53"/>
      <c r="AC1334" s="35" t="s">
        <v>58</v>
      </c>
      <c r="AD1334" s="53"/>
      <c r="AE1334" s="11"/>
      <c r="AH1334" s="25"/>
    </row>
    <row r="1335" spans="1:34" ht="120">
      <c r="A1335" s="16"/>
      <c r="B1335" s="17"/>
      <c r="C1335" s="29" t="s">
        <v>80</v>
      </c>
      <c r="D1335" s="29" t="s">
        <v>224</v>
      </c>
      <c r="E1335" s="44">
        <v>36</v>
      </c>
      <c r="F1335" s="21" t="s">
        <v>173</v>
      </c>
      <c r="G1335" s="23">
        <v>58500000</v>
      </c>
      <c r="H1335" s="382">
        <v>12</v>
      </c>
      <c r="I1335" s="23">
        <v>19266100</v>
      </c>
      <c r="J1335" s="44">
        <v>12</v>
      </c>
      <c r="K1335" s="23">
        <v>39288000</v>
      </c>
      <c r="L1335" s="44">
        <v>3</v>
      </c>
      <c r="M1335" s="23">
        <v>9064800</v>
      </c>
      <c r="N1335" s="44">
        <v>3</v>
      </c>
      <c r="O1335" s="23">
        <v>10097700</v>
      </c>
      <c r="P1335" s="44">
        <v>3</v>
      </c>
      <c r="Q1335" s="23">
        <v>10162680</v>
      </c>
      <c r="R1335" s="44">
        <v>3</v>
      </c>
      <c r="S1335" s="23">
        <v>9659436</v>
      </c>
      <c r="T1335" s="54">
        <f t="shared" si="347"/>
        <v>12</v>
      </c>
      <c r="U1335" s="54">
        <f t="shared" si="340"/>
        <v>100</v>
      </c>
      <c r="V1335" s="35" t="s">
        <v>58</v>
      </c>
      <c r="W1335" s="40">
        <f t="shared" si="341"/>
        <v>38984616</v>
      </c>
      <c r="X1335" s="53">
        <f t="shared" si="342"/>
        <v>99.227794746487476</v>
      </c>
      <c r="Y1335" s="35" t="s">
        <v>58</v>
      </c>
      <c r="Z1335" s="54">
        <f t="shared" si="348"/>
        <v>24</v>
      </c>
      <c r="AA1335" s="40">
        <f t="shared" si="339"/>
        <v>58250716</v>
      </c>
      <c r="AB1335" s="53"/>
      <c r="AC1335" s="35" t="s">
        <v>58</v>
      </c>
      <c r="AD1335" s="53"/>
      <c r="AE1335" s="11"/>
      <c r="AH1335" s="25"/>
    </row>
    <row r="1336" spans="1:34" s="78" customFormat="1" ht="110.25">
      <c r="A1336" s="16"/>
      <c r="B1336" s="281" t="s">
        <v>1599</v>
      </c>
      <c r="C1336" s="19" t="s">
        <v>81</v>
      </c>
      <c r="D1336" s="17" t="s">
        <v>1596</v>
      </c>
      <c r="E1336" s="74">
        <v>100</v>
      </c>
      <c r="F1336" s="75" t="s">
        <v>58</v>
      </c>
      <c r="G1336" s="42">
        <f>SUM(G1337:G1339)</f>
        <v>810075000</v>
      </c>
      <c r="H1336" s="74">
        <v>100</v>
      </c>
      <c r="I1336" s="42">
        <f>SUM(I1337:I1339)</f>
        <v>576099100</v>
      </c>
      <c r="J1336" s="74">
        <v>100</v>
      </c>
      <c r="K1336" s="42">
        <f>SUM(K1337:K1339)</f>
        <v>61600000</v>
      </c>
      <c r="L1336" s="74">
        <v>25</v>
      </c>
      <c r="M1336" s="42">
        <f>SUM(M1337:M1339)</f>
        <v>6800000</v>
      </c>
      <c r="N1336" s="74">
        <v>25</v>
      </c>
      <c r="O1336" s="42">
        <f>O1337+O1338</f>
        <v>10330500</v>
      </c>
      <c r="P1336" s="74">
        <v>25</v>
      </c>
      <c r="Q1336" s="42">
        <f>Q1337+Q1338</f>
        <v>845400</v>
      </c>
      <c r="R1336" s="74"/>
      <c r="S1336" s="42"/>
      <c r="T1336" s="55">
        <f t="shared" si="347"/>
        <v>75</v>
      </c>
      <c r="U1336" s="55">
        <f t="shared" si="340"/>
        <v>75</v>
      </c>
      <c r="V1336" s="58" t="s">
        <v>58</v>
      </c>
      <c r="W1336" s="59">
        <f t="shared" si="341"/>
        <v>17975900</v>
      </c>
      <c r="X1336" s="57">
        <f t="shared" si="342"/>
        <v>29.181655844155845</v>
      </c>
      <c r="Y1336" s="58" t="s">
        <v>58</v>
      </c>
      <c r="Z1336" s="55">
        <f t="shared" si="348"/>
        <v>175</v>
      </c>
      <c r="AA1336" s="59">
        <f t="shared" si="339"/>
        <v>594075000</v>
      </c>
      <c r="AB1336" s="57"/>
      <c r="AC1336" s="58" t="s">
        <v>58</v>
      </c>
      <c r="AD1336" s="57"/>
      <c r="AE1336" s="77"/>
      <c r="AH1336" s="79"/>
    </row>
    <row r="1337" spans="1:34" ht="109.5" customHeight="1">
      <c r="A1337" s="16"/>
      <c r="B1337" s="17"/>
      <c r="C1337" s="29" t="s">
        <v>82</v>
      </c>
      <c r="D1337" s="29" t="s">
        <v>226</v>
      </c>
      <c r="E1337" s="44">
        <v>30</v>
      </c>
      <c r="F1337" s="21" t="s">
        <v>138</v>
      </c>
      <c r="G1337" s="23">
        <v>235050000</v>
      </c>
      <c r="H1337" s="20">
        <v>10</v>
      </c>
      <c r="I1337" s="23">
        <v>59652100</v>
      </c>
      <c r="J1337" s="44">
        <v>10</v>
      </c>
      <c r="K1337" s="23">
        <v>47800000</v>
      </c>
      <c r="L1337" s="44">
        <v>2</v>
      </c>
      <c r="M1337" s="23">
        <v>6800000</v>
      </c>
      <c r="N1337" s="44">
        <v>3</v>
      </c>
      <c r="O1337" s="23">
        <v>9880500</v>
      </c>
      <c r="P1337" s="44">
        <v>1</v>
      </c>
      <c r="Q1337" s="23">
        <v>845400</v>
      </c>
      <c r="R1337" s="44">
        <v>4</v>
      </c>
      <c r="S1337" s="23">
        <v>22407300</v>
      </c>
      <c r="T1337" s="54">
        <f t="shared" si="347"/>
        <v>10</v>
      </c>
      <c r="U1337" s="54">
        <f t="shared" si="340"/>
        <v>100</v>
      </c>
      <c r="V1337" s="35" t="s">
        <v>58</v>
      </c>
      <c r="W1337" s="85">
        <f t="shared" si="341"/>
        <v>39933200</v>
      </c>
      <c r="X1337" s="86">
        <f t="shared" si="342"/>
        <v>83.542259414225938</v>
      </c>
      <c r="Y1337" s="84" t="s">
        <v>58</v>
      </c>
      <c r="Z1337" s="83">
        <f t="shared" si="348"/>
        <v>20</v>
      </c>
      <c r="AA1337" s="85">
        <f t="shared" si="339"/>
        <v>99585300</v>
      </c>
      <c r="AB1337" s="86"/>
      <c r="AC1337" s="84" t="s">
        <v>58</v>
      </c>
      <c r="AD1337" s="239"/>
      <c r="AE1337" s="11"/>
      <c r="AH1337" s="25"/>
    </row>
    <row r="1338" spans="1:34" ht="75">
      <c r="A1338" s="16"/>
      <c r="B1338" s="17"/>
      <c r="C1338" s="26" t="s">
        <v>1125</v>
      </c>
      <c r="D1338" s="29" t="s">
        <v>1126</v>
      </c>
      <c r="E1338" s="44">
        <v>180</v>
      </c>
      <c r="F1338" s="21" t="s">
        <v>138</v>
      </c>
      <c r="G1338" s="23">
        <v>43650000</v>
      </c>
      <c r="H1338" s="20">
        <v>45</v>
      </c>
      <c r="I1338" s="23">
        <v>14550000</v>
      </c>
      <c r="J1338" s="44">
        <v>45</v>
      </c>
      <c r="K1338" s="23">
        <v>13800000</v>
      </c>
      <c r="L1338" s="44">
        <v>0</v>
      </c>
      <c r="M1338" s="23">
        <v>0</v>
      </c>
      <c r="N1338" s="44">
        <v>5</v>
      </c>
      <c r="O1338" s="23">
        <v>450000</v>
      </c>
      <c r="P1338" s="44">
        <v>0</v>
      </c>
      <c r="Q1338" s="23">
        <v>0</v>
      </c>
      <c r="R1338" s="44">
        <v>10</v>
      </c>
      <c r="S1338" s="23">
        <v>3415000</v>
      </c>
      <c r="T1338" s="54">
        <f t="shared" si="347"/>
        <v>15</v>
      </c>
      <c r="U1338" s="54">
        <f t="shared" si="340"/>
        <v>33.333333333333329</v>
      </c>
      <c r="V1338" s="35" t="s">
        <v>58</v>
      </c>
      <c r="W1338" s="40">
        <f t="shared" si="341"/>
        <v>3865000</v>
      </c>
      <c r="X1338" s="53">
        <f t="shared" si="342"/>
        <v>28.007246376811594</v>
      </c>
      <c r="Y1338" s="35" t="s">
        <v>58</v>
      </c>
      <c r="Z1338" s="54">
        <f t="shared" si="348"/>
        <v>60</v>
      </c>
      <c r="AA1338" s="40">
        <f t="shared" si="339"/>
        <v>18415000</v>
      </c>
      <c r="AB1338" s="53"/>
      <c r="AC1338" s="35" t="s">
        <v>58</v>
      </c>
      <c r="AD1338" s="53"/>
      <c r="AE1338" s="11"/>
      <c r="AH1338" s="25"/>
    </row>
    <row r="1339" spans="1:34" ht="105">
      <c r="A1339" s="16"/>
      <c r="B1339" s="17"/>
      <c r="C1339" s="73" t="s">
        <v>83</v>
      </c>
      <c r="D1339" s="26" t="s">
        <v>365</v>
      </c>
      <c r="E1339" s="44">
        <v>2</v>
      </c>
      <c r="F1339" s="21" t="s">
        <v>138</v>
      </c>
      <c r="G1339" s="23">
        <v>531375000</v>
      </c>
      <c r="H1339" s="20">
        <v>2</v>
      </c>
      <c r="I1339" s="23">
        <v>501897000</v>
      </c>
      <c r="J1339" s="44"/>
      <c r="K1339" s="23"/>
      <c r="L1339" s="44"/>
      <c r="M1339" s="23"/>
      <c r="N1339" s="44"/>
      <c r="O1339" s="23"/>
      <c r="P1339" s="44"/>
      <c r="Q1339" s="23"/>
      <c r="R1339" s="44"/>
      <c r="S1339" s="23"/>
      <c r="T1339" s="54"/>
      <c r="U1339" s="54"/>
      <c r="V1339" s="35"/>
      <c r="W1339" s="40"/>
      <c r="X1339" s="53"/>
      <c r="Y1339" s="35"/>
      <c r="Z1339" s="54">
        <f t="shared" si="348"/>
        <v>2</v>
      </c>
      <c r="AA1339" s="40">
        <f t="shared" si="339"/>
        <v>501897000</v>
      </c>
      <c r="AB1339" s="53"/>
      <c r="AC1339" s="35" t="s">
        <v>58</v>
      </c>
      <c r="AD1339" s="53"/>
      <c r="AE1339" s="11"/>
      <c r="AH1339" s="25"/>
    </row>
    <row r="1340" spans="1:34" s="78" customFormat="1" ht="94.5">
      <c r="A1340" s="16"/>
      <c r="B1340" s="19" t="s">
        <v>1602</v>
      </c>
      <c r="C1340" s="19" t="s">
        <v>1603</v>
      </c>
      <c r="D1340" s="18" t="s">
        <v>1604</v>
      </c>
      <c r="E1340" s="74">
        <f>24/24*100</f>
        <v>100</v>
      </c>
      <c r="F1340" s="420" t="s">
        <v>58</v>
      </c>
      <c r="G1340" s="42">
        <f>G1342</f>
        <v>653771500</v>
      </c>
      <c r="H1340" s="278">
        <f>7/24*100</f>
        <v>29.166666666666668</v>
      </c>
      <c r="I1340" s="42">
        <f>I1342</f>
        <v>0</v>
      </c>
      <c r="J1340" s="74">
        <v>100</v>
      </c>
      <c r="K1340" s="42">
        <f>K1342</f>
        <v>326885750</v>
      </c>
      <c r="L1340" s="278">
        <v>100</v>
      </c>
      <c r="M1340" s="42">
        <f>M1342</f>
        <v>15250000</v>
      </c>
      <c r="N1340" s="278">
        <v>100</v>
      </c>
      <c r="O1340" s="42">
        <f>O1342</f>
        <v>27707500</v>
      </c>
      <c r="P1340" s="74">
        <v>100</v>
      </c>
      <c r="Q1340" s="42">
        <f>Q1342</f>
        <v>124399172</v>
      </c>
      <c r="R1340" s="74">
        <v>100</v>
      </c>
      <c r="S1340" s="42">
        <f>S1342</f>
        <v>157827500</v>
      </c>
      <c r="T1340" s="57">
        <f>SUM(L1340,N1340,P1340,R1340)</f>
        <v>400</v>
      </c>
      <c r="U1340" s="55">
        <f t="shared" ref="U1340:U1402" si="349">T1340/J1340*100</f>
        <v>400</v>
      </c>
      <c r="V1340" s="58" t="s">
        <v>58</v>
      </c>
      <c r="W1340" s="59">
        <f>SUM(M1340,O1340,Q1340,S1340)</f>
        <v>325184172</v>
      </c>
      <c r="X1340" s="57">
        <f>W1340/K1340*100</f>
        <v>99.479457883985461</v>
      </c>
      <c r="Y1340" s="58" t="s">
        <v>58</v>
      </c>
      <c r="Z1340" s="55">
        <f t="shared" si="348"/>
        <v>429.16666666666669</v>
      </c>
      <c r="AA1340" s="59">
        <f t="shared" si="339"/>
        <v>325184172</v>
      </c>
      <c r="AB1340" s="57"/>
      <c r="AC1340" s="58" t="s">
        <v>58</v>
      </c>
      <c r="AD1340" s="57"/>
      <c r="AE1340" s="77"/>
      <c r="AH1340" s="79"/>
    </row>
    <row r="1341" spans="1:34" s="78" customFormat="1" ht="97.5" customHeight="1">
      <c r="A1341" s="16"/>
      <c r="B1341" s="17"/>
      <c r="C1341" s="18"/>
      <c r="D1341" s="18" t="s">
        <v>1605</v>
      </c>
      <c r="E1341" s="74">
        <v>100</v>
      </c>
      <c r="F1341" s="420" t="s">
        <v>58</v>
      </c>
      <c r="G1341" s="42"/>
      <c r="H1341" s="278"/>
      <c r="I1341" s="42"/>
      <c r="J1341" s="74">
        <v>100</v>
      </c>
      <c r="K1341" s="42"/>
      <c r="L1341" s="278">
        <v>100</v>
      </c>
      <c r="M1341" s="42"/>
      <c r="N1341" s="278">
        <v>100</v>
      </c>
      <c r="O1341" s="42"/>
      <c r="P1341" s="74">
        <v>100</v>
      </c>
      <c r="Q1341" s="42"/>
      <c r="R1341" s="74">
        <v>100</v>
      </c>
      <c r="S1341" s="42"/>
      <c r="T1341" s="57">
        <f>SUM(L1341,N1341,P1341,R1341)</f>
        <v>400</v>
      </c>
      <c r="U1341" s="55">
        <f t="shared" si="349"/>
        <v>400</v>
      </c>
      <c r="V1341" s="58"/>
      <c r="W1341" s="59"/>
      <c r="X1341" s="57"/>
      <c r="Y1341" s="58"/>
      <c r="Z1341" s="55"/>
      <c r="AA1341" s="59"/>
      <c r="AB1341" s="57"/>
      <c r="AC1341" s="58"/>
      <c r="AD1341" s="57"/>
      <c r="AE1341" s="77"/>
      <c r="AH1341" s="79"/>
    </row>
    <row r="1342" spans="1:34" s="78" customFormat="1" ht="83.1" customHeight="1">
      <c r="A1342" s="16"/>
      <c r="B1342" s="49" t="s">
        <v>1606</v>
      </c>
      <c r="C1342" s="1065" t="s">
        <v>1607</v>
      </c>
      <c r="D1342" s="19" t="s">
        <v>1608</v>
      </c>
      <c r="E1342" s="74">
        <v>1</v>
      </c>
      <c r="F1342" s="420" t="s">
        <v>1609</v>
      </c>
      <c r="G1342" s="42">
        <f>SUM(G1344)</f>
        <v>653771500</v>
      </c>
      <c r="H1342" s="74">
        <v>1</v>
      </c>
      <c r="I1342" s="42">
        <f>SUM(I1344)</f>
        <v>0</v>
      </c>
      <c r="J1342" s="74">
        <v>1</v>
      </c>
      <c r="K1342" s="42">
        <f>SUM(K1344)</f>
        <v>326885750</v>
      </c>
      <c r="L1342" s="74">
        <v>1</v>
      </c>
      <c r="M1342" s="42">
        <f>M1344</f>
        <v>15250000</v>
      </c>
      <c r="N1342" s="45">
        <v>1</v>
      </c>
      <c r="O1342" s="42">
        <v>27707500</v>
      </c>
      <c r="P1342" s="45">
        <v>1</v>
      </c>
      <c r="Q1342" s="42">
        <v>124399172</v>
      </c>
      <c r="R1342" s="45">
        <v>1</v>
      </c>
      <c r="S1342" s="42">
        <v>157827500</v>
      </c>
      <c r="T1342" s="55">
        <f>SUM(L1342,N1342,P1342,R1342)</f>
        <v>4</v>
      </c>
      <c r="U1342" s="55">
        <f t="shared" si="349"/>
        <v>400</v>
      </c>
      <c r="V1342" s="58" t="s">
        <v>58</v>
      </c>
      <c r="W1342" s="59">
        <f>SUM(M1342,O1342,Q1342,S1342)</f>
        <v>325184172</v>
      </c>
      <c r="X1342" s="57">
        <f>W1342/K1342*100</f>
        <v>99.479457883985461</v>
      </c>
      <c r="Y1342" s="58" t="s">
        <v>58</v>
      </c>
      <c r="Z1342" s="55">
        <f t="shared" si="348"/>
        <v>5</v>
      </c>
      <c r="AA1342" s="59">
        <f t="shared" si="339"/>
        <v>325184172</v>
      </c>
      <c r="AB1342" s="57"/>
      <c r="AC1342" s="58" t="s">
        <v>58</v>
      </c>
      <c r="AD1342" s="57"/>
      <c r="AE1342" s="77"/>
      <c r="AH1342" s="79"/>
    </row>
    <row r="1343" spans="1:34" s="78" customFormat="1" ht="35.1" customHeight="1">
      <c r="A1343" s="16"/>
      <c r="B1343" s="17"/>
      <c r="C1343" s="1067"/>
      <c r="D1343" s="19" t="s">
        <v>1610</v>
      </c>
      <c r="E1343" s="74">
        <v>5</v>
      </c>
      <c r="F1343" s="420" t="s">
        <v>1611</v>
      </c>
      <c r="G1343" s="42"/>
      <c r="H1343" s="74">
        <v>5</v>
      </c>
      <c r="I1343" s="42"/>
      <c r="J1343" s="74">
        <v>5</v>
      </c>
      <c r="K1343" s="42"/>
      <c r="L1343" s="74">
        <v>5</v>
      </c>
      <c r="M1343" s="42"/>
      <c r="N1343" s="45">
        <v>5</v>
      </c>
      <c r="O1343" s="42"/>
      <c r="P1343" s="45">
        <v>5</v>
      </c>
      <c r="Q1343" s="42"/>
      <c r="R1343" s="45">
        <v>5</v>
      </c>
      <c r="S1343" s="42"/>
      <c r="T1343" s="55">
        <f>SUM(L1343,N1343,P1343,R1343)</f>
        <v>20</v>
      </c>
      <c r="U1343" s="55">
        <f t="shared" si="349"/>
        <v>400</v>
      </c>
      <c r="V1343" s="58" t="s">
        <v>58</v>
      </c>
      <c r="W1343" s="59"/>
      <c r="X1343" s="57"/>
      <c r="Y1343" s="58"/>
      <c r="Z1343" s="55"/>
      <c r="AA1343" s="59"/>
      <c r="AB1343" s="57"/>
      <c r="AC1343" s="58"/>
      <c r="AD1343" s="57"/>
      <c r="AE1343" s="77"/>
      <c r="AH1343" s="79"/>
    </row>
    <row r="1344" spans="1:34" ht="81.95" customHeight="1">
      <c r="A1344" s="16"/>
      <c r="B1344" s="18"/>
      <c r="C1344" s="29" t="s">
        <v>1612</v>
      </c>
      <c r="D1344" s="476" t="s">
        <v>1613</v>
      </c>
      <c r="E1344" s="44">
        <v>1</v>
      </c>
      <c r="F1344" s="47" t="s">
        <v>55</v>
      </c>
      <c r="G1344" s="23">
        <v>653771500</v>
      </c>
      <c r="H1344" s="382">
        <v>0</v>
      </c>
      <c r="I1344" s="42">
        <v>0</v>
      </c>
      <c r="J1344" s="44">
        <v>1</v>
      </c>
      <c r="K1344" s="23">
        <v>326885750</v>
      </c>
      <c r="L1344" s="44">
        <v>0</v>
      </c>
      <c r="M1344" s="23">
        <v>15250000</v>
      </c>
      <c r="N1344" s="44">
        <v>0</v>
      </c>
      <c r="O1344" s="23">
        <v>27707500</v>
      </c>
      <c r="P1344" s="44">
        <v>1</v>
      </c>
      <c r="Q1344" s="23">
        <v>124399172</v>
      </c>
      <c r="R1344" s="44">
        <v>0</v>
      </c>
      <c r="S1344" s="23">
        <v>157827500</v>
      </c>
      <c r="T1344" s="54">
        <f>SUM(L1344,N1344,P1344,R1344)</f>
        <v>1</v>
      </c>
      <c r="U1344" s="54">
        <f t="shared" si="349"/>
        <v>100</v>
      </c>
      <c r="V1344" s="35" t="s">
        <v>58</v>
      </c>
      <c r="W1344" s="40">
        <f>SUM(M1344,O1344,Q1344,S1344)</f>
        <v>325184172</v>
      </c>
      <c r="X1344" s="53">
        <f>W1344/K1344*100</f>
        <v>99.479457883985461</v>
      </c>
      <c r="Y1344" s="35" t="s">
        <v>58</v>
      </c>
      <c r="Z1344" s="54">
        <f t="shared" si="348"/>
        <v>1</v>
      </c>
      <c r="AA1344" s="40">
        <f t="shared" si="339"/>
        <v>325184172</v>
      </c>
      <c r="AB1344" s="53"/>
      <c r="AC1344" s="35" t="s">
        <v>58</v>
      </c>
      <c r="AD1344" s="53"/>
      <c r="AE1344" s="11"/>
      <c r="AH1344" s="25"/>
    </row>
    <row r="1345" spans="1:34" s="78" customFormat="1" ht="66.95" customHeight="1">
      <c r="A1345" s="48">
        <v>15</v>
      </c>
      <c r="B1345" s="49" t="s">
        <v>1614</v>
      </c>
      <c r="C1345" s="1065" t="s">
        <v>1615</v>
      </c>
      <c r="D1345" s="18" t="s">
        <v>1616</v>
      </c>
      <c r="E1345" s="74">
        <v>6</v>
      </c>
      <c r="F1345" s="420" t="s">
        <v>1617</v>
      </c>
      <c r="G1345" s="52">
        <f>G1348</f>
        <v>7113191922</v>
      </c>
      <c r="H1345" s="386">
        <v>6</v>
      </c>
      <c r="I1345" s="52">
        <v>1350017591</v>
      </c>
      <c r="J1345" s="74">
        <v>6</v>
      </c>
      <c r="K1345" s="52">
        <f>K1348</f>
        <v>1355511290</v>
      </c>
      <c r="L1345" s="74">
        <v>6</v>
      </c>
      <c r="M1345" s="52">
        <f>M1348</f>
        <v>240762508</v>
      </c>
      <c r="N1345" s="74">
        <v>6</v>
      </c>
      <c r="O1345" s="52">
        <f>O1348</f>
        <v>259358356</v>
      </c>
      <c r="P1345" s="74">
        <v>6</v>
      </c>
      <c r="Q1345" s="52">
        <f>Q1348</f>
        <v>188720200</v>
      </c>
      <c r="R1345" s="74">
        <v>6</v>
      </c>
      <c r="S1345" s="52">
        <f>S1348</f>
        <v>306550572</v>
      </c>
      <c r="T1345" s="55">
        <f>AVERAGE(L1345,N1345,P1345,R1345)</f>
        <v>6</v>
      </c>
      <c r="U1345" s="55">
        <f t="shared" si="349"/>
        <v>100</v>
      </c>
      <c r="V1345" s="58" t="s">
        <v>58</v>
      </c>
      <c r="W1345" s="56">
        <f>SUM(M1345,O1345,Q1345,S1345)</f>
        <v>995391636</v>
      </c>
      <c r="X1345" s="60">
        <f>W1345/K1345*100</f>
        <v>73.432928470850285</v>
      </c>
      <c r="Y1345" s="48" t="s">
        <v>58</v>
      </c>
      <c r="Z1345" s="55">
        <f t="shared" si="348"/>
        <v>12</v>
      </c>
      <c r="AA1345" s="56">
        <f t="shared" si="339"/>
        <v>2345409227</v>
      </c>
      <c r="AB1345" s="57"/>
      <c r="AC1345" s="58" t="s">
        <v>58</v>
      </c>
      <c r="AD1345" s="60"/>
      <c r="AE1345" s="77"/>
      <c r="AH1345" s="79"/>
    </row>
    <row r="1346" spans="1:34" s="78" customFormat="1" ht="52.5" customHeight="1">
      <c r="A1346" s="16"/>
      <c r="B1346" s="49" t="s">
        <v>1618</v>
      </c>
      <c r="C1346" s="1066"/>
      <c r="D1346" s="17" t="s">
        <v>1619</v>
      </c>
      <c r="E1346" s="74">
        <v>100</v>
      </c>
      <c r="F1346" s="420" t="s">
        <v>58</v>
      </c>
      <c r="G1346" s="52"/>
      <c r="H1346" s="45">
        <v>100</v>
      </c>
      <c r="I1346" s="52"/>
      <c r="J1346" s="108">
        <v>100</v>
      </c>
      <c r="K1346" s="52"/>
      <c r="L1346" s="74">
        <v>100</v>
      </c>
      <c r="M1346" s="52"/>
      <c r="N1346" s="74">
        <v>100</v>
      </c>
      <c r="O1346" s="52"/>
      <c r="P1346" s="74">
        <v>100</v>
      </c>
      <c r="Q1346" s="52"/>
      <c r="R1346" s="74">
        <v>100</v>
      </c>
      <c r="S1346" s="52"/>
      <c r="T1346" s="55">
        <f t="shared" ref="T1346:T1347" si="350">AVERAGE(L1346,N1346,P1346,R1346)</f>
        <v>100</v>
      </c>
      <c r="U1346" s="55">
        <f t="shared" si="349"/>
        <v>100</v>
      </c>
      <c r="V1346" s="58" t="s">
        <v>58</v>
      </c>
      <c r="W1346" s="56"/>
      <c r="X1346" s="60"/>
      <c r="Y1346" s="48"/>
      <c r="Z1346" s="55"/>
      <c r="AA1346" s="56"/>
      <c r="AB1346" s="57"/>
      <c r="AC1346" s="58"/>
      <c r="AD1346" s="60"/>
      <c r="AE1346" s="77"/>
      <c r="AH1346" s="79"/>
    </row>
    <row r="1347" spans="1:34" s="78" customFormat="1" ht="66" customHeight="1">
      <c r="A1347" s="16"/>
      <c r="B1347" s="49" t="s">
        <v>1620</v>
      </c>
      <c r="C1347" s="1067"/>
      <c r="D1347" s="19" t="s">
        <v>1621</v>
      </c>
      <c r="E1347" s="74">
        <v>100</v>
      </c>
      <c r="F1347" s="420" t="s">
        <v>58</v>
      </c>
      <c r="G1347" s="52"/>
      <c r="H1347" s="45">
        <v>100</v>
      </c>
      <c r="I1347" s="52"/>
      <c r="J1347" s="108">
        <v>100</v>
      </c>
      <c r="K1347" s="52"/>
      <c r="L1347" s="74">
        <v>100</v>
      </c>
      <c r="M1347" s="52"/>
      <c r="N1347" s="74">
        <v>100</v>
      </c>
      <c r="O1347" s="52"/>
      <c r="P1347" s="74">
        <v>100</v>
      </c>
      <c r="Q1347" s="52"/>
      <c r="R1347" s="74">
        <v>100</v>
      </c>
      <c r="S1347" s="52"/>
      <c r="T1347" s="55">
        <f t="shared" si="350"/>
        <v>100</v>
      </c>
      <c r="U1347" s="55">
        <f t="shared" si="349"/>
        <v>100</v>
      </c>
      <c r="V1347" s="58" t="s">
        <v>58</v>
      </c>
      <c r="W1347" s="56"/>
      <c r="X1347" s="60"/>
      <c r="Y1347" s="48"/>
      <c r="Z1347" s="55"/>
      <c r="AA1347" s="56"/>
      <c r="AB1347" s="57"/>
      <c r="AC1347" s="58"/>
      <c r="AD1347" s="60"/>
      <c r="AE1347" s="77"/>
      <c r="AH1347" s="79"/>
    </row>
    <row r="1348" spans="1:34" s="78" customFormat="1" ht="99.6" customHeight="1">
      <c r="A1348" s="16"/>
      <c r="B1348" s="19" t="s">
        <v>1622</v>
      </c>
      <c r="C1348" s="1065" t="s">
        <v>1623</v>
      </c>
      <c r="D1348" s="281" t="s">
        <v>1624</v>
      </c>
      <c r="E1348" s="74">
        <v>100</v>
      </c>
      <c r="F1348" s="420" t="s">
        <v>58</v>
      </c>
      <c r="G1348" s="52">
        <f>SUM(G1356:G1357)</f>
        <v>7113191922</v>
      </c>
      <c r="H1348" s="477">
        <v>100</v>
      </c>
      <c r="I1348" s="52">
        <f>SUM(I1356:I1357)</f>
        <v>1350017591</v>
      </c>
      <c r="J1348" s="477">
        <v>100</v>
      </c>
      <c r="K1348" s="52">
        <f>SUM(K1356:K1357)</f>
        <v>1355511290</v>
      </c>
      <c r="L1348" s="74">
        <v>100</v>
      </c>
      <c r="M1348" s="52">
        <f>M1356+M1357</f>
        <v>240762508</v>
      </c>
      <c r="N1348" s="45">
        <v>100</v>
      </c>
      <c r="O1348" s="52">
        <f>O1356+O1357</f>
        <v>259358356</v>
      </c>
      <c r="P1348" s="45">
        <v>100</v>
      </c>
      <c r="Q1348" s="52">
        <f>Q1356+Q1357</f>
        <v>188720200</v>
      </c>
      <c r="R1348" s="45">
        <v>100</v>
      </c>
      <c r="S1348" s="52">
        <f>S1356+S1357</f>
        <v>306550572</v>
      </c>
      <c r="T1348" s="55">
        <f>AVERAGE(L1348,N1348,P1348,R1348)</f>
        <v>100</v>
      </c>
      <c r="U1348" s="55">
        <f t="shared" si="349"/>
        <v>100</v>
      </c>
      <c r="V1348" s="58" t="s">
        <v>58</v>
      </c>
      <c r="W1348" s="56">
        <f>SUM(M1348,O1348,Q1348,S1348)</f>
        <v>995391636</v>
      </c>
      <c r="X1348" s="60">
        <f>W1348/K1348*100</f>
        <v>73.432928470850285</v>
      </c>
      <c r="Y1348" s="48" t="s">
        <v>58</v>
      </c>
      <c r="Z1348" s="55">
        <f t="shared" si="348"/>
        <v>200</v>
      </c>
      <c r="AA1348" s="56">
        <f>SUM(I1348,W1348)</f>
        <v>2345409227</v>
      </c>
      <c r="AB1348" s="57"/>
      <c r="AC1348" s="58" t="s">
        <v>58</v>
      </c>
      <c r="AD1348" s="60"/>
      <c r="AE1348" s="77"/>
      <c r="AH1348" s="79"/>
    </row>
    <row r="1349" spans="1:34" s="78" customFormat="1" ht="68.45" customHeight="1">
      <c r="A1349" s="16"/>
      <c r="B1349" s="17" t="s">
        <v>1625</v>
      </c>
      <c r="C1349" s="1066"/>
      <c r="D1349" s="281" t="s">
        <v>1626</v>
      </c>
      <c r="E1349" s="74">
        <v>100</v>
      </c>
      <c r="F1349" s="420" t="s">
        <v>58</v>
      </c>
      <c r="G1349" s="41"/>
      <c r="H1349" s="108">
        <v>100</v>
      </c>
      <c r="I1349" s="41"/>
      <c r="J1349" s="108">
        <v>100</v>
      </c>
      <c r="K1349" s="41"/>
      <c r="L1349" s="74">
        <v>100</v>
      </c>
      <c r="M1349" s="41"/>
      <c r="N1349" s="45">
        <v>100</v>
      </c>
      <c r="O1349" s="41"/>
      <c r="P1349" s="45">
        <v>100</v>
      </c>
      <c r="Q1349" s="41"/>
      <c r="R1349" s="45">
        <v>100</v>
      </c>
      <c r="S1349" s="41"/>
      <c r="T1349" s="55">
        <v>100</v>
      </c>
      <c r="U1349" s="55">
        <f t="shared" si="349"/>
        <v>100</v>
      </c>
      <c r="V1349" s="58" t="s">
        <v>58</v>
      </c>
      <c r="W1349" s="94"/>
      <c r="X1349" s="239"/>
      <c r="Y1349" s="240"/>
      <c r="Z1349" s="55">
        <f t="shared" si="348"/>
        <v>200</v>
      </c>
      <c r="AA1349" s="94"/>
      <c r="AB1349" s="57"/>
      <c r="AC1349" s="58"/>
      <c r="AD1349" s="239"/>
      <c r="AE1349" s="77"/>
      <c r="AH1349" s="79"/>
    </row>
    <row r="1350" spans="1:34" s="78" customFormat="1" ht="51.95" customHeight="1">
      <c r="A1350" s="16"/>
      <c r="B1350" s="19" t="s">
        <v>1627</v>
      </c>
      <c r="C1350" s="1066"/>
      <c r="D1350" s="281" t="s">
        <v>1628</v>
      </c>
      <c r="E1350" s="74">
        <v>2</v>
      </c>
      <c r="F1350" s="420" t="s">
        <v>1629</v>
      </c>
      <c r="G1350" s="41"/>
      <c r="H1350" s="108">
        <v>2</v>
      </c>
      <c r="I1350" s="41"/>
      <c r="J1350" s="108">
        <v>2</v>
      </c>
      <c r="K1350" s="41"/>
      <c r="L1350" s="74">
        <v>2</v>
      </c>
      <c r="M1350" s="41"/>
      <c r="N1350" s="45">
        <v>2</v>
      </c>
      <c r="O1350" s="41"/>
      <c r="P1350" s="45">
        <v>2</v>
      </c>
      <c r="Q1350" s="41"/>
      <c r="R1350" s="45">
        <v>2</v>
      </c>
      <c r="S1350" s="41"/>
      <c r="T1350" s="55">
        <v>2</v>
      </c>
      <c r="U1350" s="55">
        <f t="shared" si="349"/>
        <v>100</v>
      </c>
      <c r="V1350" s="58" t="s">
        <v>58</v>
      </c>
      <c r="W1350" s="94"/>
      <c r="X1350" s="239"/>
      <c r="Y1350" s="240"/>
      <c r="Z1350" s="55"/>
      <c r="AA1350" s="94"/>
      <c r="AB1350" s="57"/>
      <c r="AC1350" s="58"/>
      <c r="AD1350" s="239"/>
      <c r="AE1350" s="77"/>
      <c r="AH1350" s="79"/>
    </row>
    <row r="1351" spans="1:34" s="78" customFormat="1" ht="64.5" customHeight="1">
      <c r="A1351" s="16"/>
      <c r="B1351" s="19" t="s">
        <v>1630</v>
      </c>
      <c r="C1351" s="1066"/>
      <c r="D1351" s="281" t="s">
        <v>1631</v>
      </c>
      <c r="E1351" s="74">
        <v>2</v>
      </c>
      <c r="F1351" s="420" t="s">
        <v>1632</v>
      </c>
      <c r="G1351" s="41"/>
      <c r="H1351" s="108">
        <v>2</v>
      </c>
      <c r="I1351" s="41"/>
      <c r="J1351" s="108">
        <v>2</v>
      </c>
      <c r="K1351" s="41"/>
      <c r="L1351" s="74">
        <v>2</v>
      </c>
      <c r="M1351" s="41"/>
      <c r="N1351" s="45">
        <v>2</v>
      </c>
      <c r="O1351" s="41"/>
      <c r="P1351" s="45">
        <v>2</v>
      </c>
      <c r="Q1351" s="41"/>
      <c r="R1351" s="45">
        <v>2</v>
      </c>
      <c r="S1351" s="41"/>
      <c r="T1351" s="55">
        <v>2</v>
      </c>
      <c r="U1351" s="55">
        <f t="shared" si="349"/>
        <v>100</v>
      </c>
      <c r="V1351" s="58" t="s">
        <v>58</v>
      </c>
      <c r="W1351" s="94"/>
      <c r="X1351" s="239"/>
      <c r="Y1351" s="240"/>
      <c r="Z1351" s="55"/>
      <c r="AA1351" s="94"/>
      <c r="AB1351" s="57"/>
      <c r="AC1351" s="58"/>
      <c r="AD1351" s="239"/>
      <c r="AE1351" s="77"/>
      <c r="AH1351" s="79"/>
    </row>
    <row r="1352" spans="1:34" s="78" customFormat="1" ht="81.599999999999994" customHeight="1">
      <c r="A1352" s="16"/>
      <c r="B1352" s="19" t="s">
        <v>1633</v>
      </c>
      <c r="C1352" s="1066"/>
      <c r="D1352" s="281" t="s">
        <v>1634</v>
      </c>
      <c r="E1352" s="74">
        <v>5</v>
      </c>
      <c r="F1352" s="420" t="s">
        <v>1635</v>
      </c>
      <c r="G1352" s="41"/>
      <c r="H1352" s="108">
        <v>5</v>
      </c>
      <c r="I1352" s="41"/>
      <c r="J1352" s="108">
        <v>5</v>
      </c>
      <c r="K1352" s="41"/>
      <c r="L1352" s="74">
        <v>5</v>
      </c>
      <c r="M1352" s="41"/>
      <c r="N1352" s="45">
        <v>5</v>
      </c>
      <c r="O1352" s="41"/>
      <c r="P1352" s="45">
        <v>5</v>
      </c>
      <c r="Q1352" s="41"/>
      <c r="R1352" s="45">
        <v>5</v>
      </c>
      <c r="S1352" s="41"/>
      <c r="T1352" s="55">
        <v>5</v>
      </c>
      <c r="U1352" s="55">
        <f t="shared" si="349"/>
        <v>100</v>
      </c>
      <c r="V1352" s="58" t="s">
        <v>58</v>
      </c>
      <c r="W1352" s="94"/>
      <c r="X1352" s="239"/>
      <c r="Y1352" s="240"/>
      <c r="Z1352" s="55"/>
      <c r="AA1352" s="94"/>
      <c r="AB1352" s="57"/>
      <c r="AC1352" s="58"/>
      <c r="AD1352" s="239"/>
      <c r="AE1352" s="77"/>
      <c r="AH1352" s="79"/>
    </row>
    <row r="1353" spans="1:34" s="78" customFormat="1" ht="48.6" customHeight="1">
      <c r="A1353" s="16"/>
      <c r="B1353" s="17" t="s">
        <v>1636</v>
      </c>
      <c r="C1353" s="1066"/>
      <c r="D1353" s="281" t="s">
        <v>1637</v>
      </c>
      <c r="E1353" s="74">
        <v>2</v>
      </c>
      <c r="F1353" s="420" t="s">
        <v>1638</v>
      </c>
      <c r="G1353" s="41"/>
      <c r="H1353" s="108">
        <v>1</v>
      </c>
      <c r="I1353" s="41"/>
      <c r="J1353" s="108">
        <v>2</v>
      </c>
      <c r="K1353" s="41"/>
      <c r="L1353" s="74">
        <v>2</v>
      </c>
      <c r="M1353" s="41"/>
      <c r="N1353" s="45">
        <v>2</v>
      </c>
      <c r="O1353" s="41"/>
      <c r="P1353" s="45">
        <v>2</v>
      </c>
      <c r="Q1353" s="41"/>
      <c r="R1353" s="45">
        <v>2</v>
      </c>
      <c r="S1353" s="41"/>
      <c r="T1353" s="55">
        <v>2</v>
      </c>
      <c r="U1353" s="55">
        <f t="shared" si="349"/>
        <v>100</v>
      </c>
      <c r="V1353" s="58" t="s">
        <v>58</v>
      </c>
      <c r="W1353" s="94"/>
      <c r="X1353" s="239"/>
      <c r="Y1353" s="240"/>
      <c r="Z1353" s="55"/>
      <c r="AA1353" s="94"/>
      <c r="AB1353" s="57"/>
      <c r="AC1353" s="58"/>
      <c r="AD1353" s="239"/>
      <c r="AE1353" s="77"/>
      <c r="AH1353" s="79"/>
    </row>
    <row r="1354" spans="1:34" s="78" customFormat="1" ht="49.5" customHeight="1">
      <c r="A1354" s="16"/>
      <c r="B1354" s="1065" t="s">
        <v>1639</v>
      </c>
      <c r="C1354" s="1066"/>
      <c r="D1354" s="281" t="s">
        <v>1640</v>
      </c>
      <c r="E1354" s="74">
        <v>1</v>
      </c>
      <c r="F1354" s="420" t="s">
        <v>1641</v>
      </c>
      <c r="G1354" s="41"/>
      <c r="H1354" s="108">
        <v>1</v>
      </c>
      <c r="I1354" s="41"/>
      <c r="J1354" s="108">
        <v>1</v>
      </c>
      <c r="K1354" s="41"/>
      <c r="L1354" s="74">
        <v>1</v>
      </c>
      <c r="M1354" s="41"/>
      <c r="N1354" s="45">
        <v>1</v>
      </c>
      <c r="O1354" s="41"/>
      <c r="P1354" s="45">
        <v>1</v>
      </c>
      <c r="Q1354" s="41"/>
      <c r="R1354" s="45">
        <v>1</v>
      </c>
      <c r="S1354" s="41"/>
      <c r="T1354" s="55">
        <v>1</v>
      </c>
      <c r="U1354" s="55">
        <f t="shared" si="349"/>
        <v>100</v>
      </c>
      <c r="V1354" s="58" t="s">
        <v>58</v>
      </c>
      <c r="W1354" s="94"/>
      <c r="X1354" s="239"/>
      <c r="Y1354" s="240"/>
      <c r="Z1354" s="55"/>
      <c r="AA1354" s="94"/>
      <c r="AB1354" s="57"/>
      <c r="AC1354" s="58"/>
      <c r="AD1354" s="239"/>
      <c r="AE1354" s="77"/>
      <c r="AH1354" s="79"/>
    </row>
    <row r="1355" spans="1:34" s="78" customFormat="1" ht="64.5" customHeight="1">
      <c r="A1355" s="16"/>
      <c r="B1355" s="1067"/>
      <c r="C1355" s="1067"/>
      <c r="D1355" s="281" t="s">
        <v>1642</v>
      </c>
      <c r="E1355" s="74">
        <v>3</v>
      </c>
      <c r="F1355" s="420" t="s">
        <v>1641</v>
      </c>
      <c r="G1355" s="41"/>
      <c r="H1355" s="108">
        <v>3</v>
      </c>
      <c r="I1355" s="41"/>
      <c r="J1355" s="108">
        <v>3</v>
      </c>
      <c r="K1355" s="41"/>
      <c r="L1355" s="74">
        <v>3</v>
      </c>
      <c r="M1355" s="41"/>
      <c r="N1355" s="45">
        <v>3</v>
      </c>
      <c r="O1355" s="41"/>
      <c r="P1355" s="45">
        <v>3</v>
      </c>
      <c r="Q1355" s="41"/>
      <c r="R1355" s="45">
        <v>3</v>
      </c>
      <c r="S1355" s="41"/>
      <c r="T1355" s="55">
        <v>3</v>
      </c>
      <c r="U1355" s="55">
        <f t="shared" si="349"/>
        <v>100</v>
      </c>
      <c r="V1355" s="58" t="s">
        <v>58</v>
      </c>
      <c r="W1355" s="94"/>
      <c r="X1355" s="239"/>
      <c r="Y1355" s="240"/>
      <c r="Z1355" s="55"/>
      <c r="AA1355" s="94"/>
      <c r="AB1355" s="57"/>
      <c r="AC1355" s="58"/>
      <c r="AD1355" s="239"/>
      <c r="AE1355" s="77"/>
      <c r="AH1355" s="79"/>
    </row>
    <row r="1356" spans="1:34" ht="158.1" customHeight="1">
      <c r="A1356" s="16"/>
      <c r="B1356" s="19"/>
      <c r="C1356" s="29" t="s">
        <v>1643</v>
      </c>
      <c r="D1356" s="476" t="s">
        <v>1644</v>
      </c>
      <c r="E1356" s="104">
        <v>6300</v>
      </c>
      <c r="F1356" s="47" t="s">
        <v>1645</v>
      </c>
      <c r="G1356" s="23">
        <v>6841301177</v>
      </c>
      <c r="H1356" s="478">
        <v>2100</v>
      </c>
      <c r="I1356" s="23">
        <v>1292184591</v>
      </c>
      <c r="J1356" s="104">
        <v>2100</v>
      </c>
      <c r="K1356" s="23">
        <v>1284505900</v>
      </c>
      <c r="L1356" s="104">
        <v>643</v>
      </c>
      <c r="M1356" s="23">
        <v>195396518</v>
      </c>
      <c r="N1356" s="104">
        <v>947</v>
      </c>
      <c r="O1356" s="23">
        <v>255983356</v>
      </c>
      <c r="P1356" s="44">
        <v>991</v>
      </c>
      <c r="Q1356" s="23">
        <v>175262700</v>
      </c>
      <c r="R1356" s="44">
        <v>1155</v>
      </c>
      <c r="S1356" s="23">
        <v>300550572</v>
      </c>
      <c r="T1356" s="106">
        <f t="shared" ref="T1356:T1414" si="351">SUM(L1356,N1356,P1356,R1356)</f>
        <v>3736</v>
      </c>
      <c r="U1356" s="54">
        <f t="shared" si="349"/>
        <v>177.9047619047619</v>
      </c>
      <c r="V1356" s="35" t="s">
        <v>58</v>
      </c>
      <c r="W1356" s="40">
        <f t="shared" ref="W1356:W1408" si="352">SUM(M1356,O1356,Q1356,S1356)</f>
        <v>927193146</v>
      </c>
      <c r="X1356" s="53">
        <f t="shared" ref="X1356:X1408" si="353">W1356/K1356*100</f>
        <v>72.182863932349392</v>
      </c>
      <c r="Y1356" s="35" t="s">
        <v>58</v>
      </c>
      <c r="Z1356" s="106">
        <f t="shared" si="348"/>
        <v>5836</v>
      </c>
      <c r="AA1356" s="40">
        <f t="shared" ref="AA1356:AA1408" si="354">SUM(I1356,W1356)</f>
        <v>2219377737</v>
      </c>
      <c r="AB1356" s="53"/>
      <c r="AC1356" s="35" t="s">
        <v>58</v>
      </c>
      <c r="AD1356" s="53"/>
      <c r="AE1356" s="11"/>
      <c r="AH1356" s="25"/>
    </row>
    <row r="1357" spans="1:34" ht="157.5" customHeight="1">
      <c r="A1357" s="16"/>
      <c r="B1357" s="18"/>
      <c r="C1357" s="29" t="s">
        <v>1646</v>
      </c>
      <c r="D1357" s="479" t="s">
        <v>1647</v>
      </c>
      <c r="E1357" s="104">
        <v>6300</v>
      </c>
      <c r="F1357" s="47" t="s">
        <v>1648</v>
      </c>
      <c r="G1357" s="23">
        <v>271890745</v>
      </c>
      <c r="H1357" s="478">
        <v>2100</v>
      </c>
      <c r="I1357" s="23">
        <v>57833000</v>
      </c>
      <c r="J1357" s="104">
        <v>2100</v>
      </c>
      <c r="K1357" s="23">
        <v>71005390</v>
      </c>
      <c r="L1357" s="104">
        <v>643</v>
      </c>
      <c r="M1357" s="23">
        <v>45365990</v>
      </c>
      <c r="N1357" s="104">
        <v>947</v>
      </c>
      <c r="O1357" s="23">
        <v>3375000</v>
      </c>
      <c r="P1357" s="20">
        <v>991</v>
      </c>
      <c r="Q1357" s="23">
        <v>13457500</v>
      </c>
      <c r="R1357" s="20">
        <v>1155</v>
      </c>
      <c r="S1357" s="23">
        <v>6000000</v>
      </c>
      <c r="T1357" s="106">
        <f t="shared" si="351"/>
        <v>3736</v>
      </c>
      <c r="U1357" s="54">
        <f t="shared" si="349"/>
        <v>177.9047619047619</v>
      </c>
      <c r="V1357" s="35" t="s">
        <v>58</v>
      </c>
      <c r="W1357" s="40">
        <f t="shared" si="352"/>
        <v>68198490</v>
      </c>
      <c r="X1357" s="53">
        <f t="shared" si="353"/>
        <v>96.046919818340541</v>
      </c>
      <c r="Y1357" s="35" t="s">
        <v>58</v>
      </c>
      <c r="Z1357" s="106">
        <f t="shared" si="348"/>
        <v>5836</v>
      </c>
      <c r="AA1357" s="40">
        <f t="shared" si="354"/>
        <v>126031490</v>
      </c>
      <c r="AB1357" s="53"/>
      <c r="AC1357" s="35" t="s">
        <v>58</v>
      </c>
      <c r="AD1357" s="53"/>
      <c r="AE1357" s="11"/>
      <c r="AH1357" s="25"/>
    </row>
    <row r="1358" spans="1:34" ht="143.44999999999999" customHeight="1">
      <c r="A1358" s="16"/>
      <c r="B1358" s="17"/>
      <c r="C1358" s="61" t="s">
        <v>1649</v>
      </c>
      <c r="D1358" s="479" t="s">
        <v>1650</v>
      </c>
      <c r="E1358" s="87">
        <v>1200</v>
      </c>
      <c r="F1358" s="275" t="s">
        <v>1638</v>
      </c>
      <c r="G1358" s="23"/>
      <c r="H1358" s="480">
        <v>400</v>
      </c>
      <c r="I1358" s="23">
        <v>0</v>
      </c>
      <c r="J1358" s="87">
        <v>400</v>
      </c>
      <c r="K1358" s="23">
        <v>0</v>
      </c>
      <c r="L1358" s="87">
        <v>115</v>
      </c>
      <c r="M1358" s="23"/>
      <c r="N1358" s="87">
        <v>107</v>
      </c>
      <c r="O1358" s="23"/>
      <c r="P1358" s="118">
        <v>112</v>
      </c>
      <c r="Q1358" s="23"/>
      <c r="R1358" s="118">
        <v>135</v>
      </c>
      <c r="S1358" s="23"/>
      <c r="T1358" s="106">
        <f t="shared" si="351"/>
        <v>469</v>
      </c>
      <c r="U1358" s="54">
        <f t="shared" si="349"/>
        <v>117.25000000000001</v>
      </c>
      <c r="V1358" s="58" t="s">
        <v>58</v>
      </c>
      <c r="W1358" s="40"/>
      <c r="X1358" s="53"/>
      <c r="Y1358" s="35"/>
      <c r="Z1358" s="106"/>
      <c r="AA1358" s="40"/>
      <c r="AB1358" s="53"/>
      <c r="AC1358" s="35"/>
      <c r="AD1358" s="53"/>
      <c r="AE1358" s="11"/>
      <c r="AH1358" s="25"/>
    </row>
    <row r="1359" spans="1:34" ht="98.1" customHeight="1">
      <c r="A1359" s="16"/>
      <c r="B1359" s="1065" t="s">
        <v>1651</v>
      </c>
      <c r="C1359" s="1065" t="s">
        <v>1652</v>
      </c>
      <c r="D1359" s="18" t="s">
        <v>1653</v>
      </c>
      <c r="E1359" s="74">
        <v>100</v>
      </c>
      <c r="F1359" s="75" t="s">
        <v>58</v>
      </c>
      <c r="G1359" s="42">
        <f>G1361</f>
        <v>730103500</v>
      </c>
      <c r="H1359" s="481">
        <f>35/35*100</f>
        <v>100</v>
      </c>
      <c r="I1359" s="42">
        <f>I1361</f>
        <v>233210200</v>
      </c>
      <c r="J1359" s="74">
        <f>35/35*100</f>
        <v>100</v>
      </c>
      <c r="K1359" s="42">
        <f>K1361</f>
        <v>419973300</v>
      </c>
      <c r="L1359" s="74">
        <v>100</v>
      </c>
      <c r="M1359" s="42">
        <v>0</v>
      </c>
      <c r="N1359" s="74">
        <v>100</v>
      </c>
      <c r="O1359" s="42">
        <f>O1361</f>
        <v>119344250</v>
      </c>
      <c r="P1359" s="74">
        <v>100</v>
      </c>
      <c r="Q1359" s="42">
        <f>Q1361</f>
        <v>229606428</v>
      </c>
      <c r="R1359" s="74">
        <v>100</v>
      </c>
      <c r="S1359" s="42">
        <f>S1361</f>
        <v>41724000</v>
      </c>
      <c r="T1359" s="55">
        <f>AVERAGE(L1359,N1359,P1359,R1359)</f>
        <v>100</v>
      </c>
      <c r="U1359" s="55">
        <f t="shared" si="349"/>
        <v>100</v>
      </c>
      <c r="V1359" s="58" t="s">
        <v>58</v>
      </c>
      <c r="W1359" s="59">
        <f t="shared" si="352"/>
        <v>390674678</v>
      </c>
      <c r="X1359" s="57">
        <f t="shared" si="353"/>
        <v>93.023694125317007</v>
      </c>
      <c r="Y1359" s="58" t="s">
        <v>58</v>
      </c>
      <c r="Z1359" s="55">
        <f t="shared" si="348"/>
        <v>200</v>
      </c>
      <c r="AA1359" s="59">
        <f t="shared" si="354"/>
        <v>623884878</v>
      </c>
      <c r="AB1359" s="57"/>
      <c r="AC1359" s="58" t="s">
        <v>58</v>
      </c>
      <c r="AD1359" s="57"/>
      <c r="AE1359" s="11"/>
      <c r="AH1359" s="25"/>
    </row>
    <row r="1360" spans="1:34" ht="95.45" customHeight="1">
      <c r="A1360" s="16"/>
      <c r="B1360" s="1067"/>
      <c r="C1360" s="1067"/>
      <c r="D1360" s="18" t="s">
        <v>1654</v>
      </c>
      <c r="E1360" s="74">
        <v>100</v>
      </c>
      <c r="F1360" s="75" t="s">
        <v>58</v>
      </c>
      <c r="G1360" s="52"/>
      <c r="H1360" s="481">
        <v>100</v>
      </c>
      <c r="I1360" s="52"/>
      <c r="J1360" s="74">
        <v>100</v>
      </c>
      <c r="K1360" s="52"/>
      <c r="L1360" s="74">
        <v>100</v>
      </c>
      <c r="M1360" s="42"/>
      <c r="N1360" s="74">
        <v>100</v>
      </c>
      <c r="O1360" s="52"/>
      <c r="P1360" s="74">
        <v>100</v>
      </c>
      <c r="Q1360" s="52"/>
      <c r="R1360" s="74">
        <v>100</v>
      </c>
      <c r="S1360" s="52"/>
      <c r="T1360" s="55">
        <v>100</v>
      </c>
      <c r="U1360" s="55">
        <f t="shared" si="349"/>
        <v>100</v>
      </c>
      <c r="V1360" s="58" t="s">
        <v>58</v>
      </c>
      <c r="W1360" s="56"/>
      <c r="X1360" s="60"/>
      <c r="Y1360" s="48"/>
      <c r="Z1360" s="55"/>
      <c r="AA1360" s="56"/>
      <c r="AB1360" s="57"/>
      <c r="AC1360" s="58"/>
      <c r="AD1360" s="60"/>
      <c r="AE1360" s="11"/>
      <c r="AH1360" s="25"/>
    </row>
    <row r="1361" spans="1:34" s="78" customFormat="1" ht="99.95" customHeight="1">
      <c r="A1361" s="16"/>
      <c r="B1361" s="1065" t="s">
        <v>1655</v>
      </c>
      <c r="C1361" s="1065" t="s">
        <v>1656</v>
      </c>
      <c r="D1361" s="18" t="s">
        <v>1657</v>
      </c>
      <c r="E1361" s="74">
        <v>100</v>
      </c>
      <c r="F1361" s="420" t="s">
        <v>58</v>
      </c>
      <c r="G1361" s="52">
        <f>SUM(G1365:G1367)</f>
        <v>730103500</v>
      </c>
      <c r="H1361" s="386">
        <v>100</v>
      </c>
      <c r="I1361" s="52">
        <f>SUM(I1365:I1367)</f>
        <v>233210200</v>
      </c>
      <c r="J1361" s="74">
        <v>100</v>
      </c>
      <c r="K1361" s="52">
        <f>SUM(K1365:K1367)</f>
        <v>419973300</v>
      </c>
      <c r="L1361" s="74">
        <v>100</v>
      </c>
      <c r="M1361" s="42">
        <v>0</v>
      </c>
      <c r="N1361" s="74">
        <v>100</v>
      </c>
      <c r="O1361" s="52">
        <f>SUM(O1365:O1367)</f>
        <v>119344250</v>
      </c>
      <c r="P1361" s="74">
        <v>100</v>
      </c>
      <c r="Q1361" s="52">
        <f>Q1365+Q1366+Q1367</f>
        <v>229606428</v>
      </c>
      <c r="R1361" s="74">
        <v>100</v>
      </c>
      <c r="S1361" s="52">
        <f>S1365+S1366+S1367</f>
        <v>41724000</v>
      </c>
      <c r="T1361" s="55">
        <v>100</v>
      </c>
      <c r="U1361" s="55">
        <f t="shared" si="349"/>
        <v>100</v>
      </c>
      <c r="V1361" s="58" t="s">
        <v>58</v>
      </c>
      <c r="W1361" s="56">
        <f t="shared" si="352"/>
        <v>390674678</v>
      </c>
      <c r="X1361" s="60">
        <f t="shared" si="353"/>
        <v>93.023694125317007</v>
      </c>
      <c r="Y1361" s="48" t="s">
        <v>58</v>
      </c>
      <c r="Z1361" s="55">
        <f t="shared" si="348"/>
        <v>200</v>
      </c>
      <c r="AA1361" s="56">
        <f t="shared" si="354"/>
        <v>623884878</v>
      </c>
      <c r="AB1361" s="57"/>
      <c r="AC1361" s="58" t="s">
        <v>58</v>
      </c>
      <c r="AD1361" s="60"/>
      <c r="AE1361" s="77"/>
      <c r="AH1361" s="79"/>
    </row>
    <row r="1362" spans="1:34" s="78" customFormat="1" ht="69.599999999999994" customHeight="1">
      <c r="A1362" s="16"/>
      <c r="B1362" s="1066"/>
      <c r="C1362" s="1066"/>
      <c r="D1362" s="18" t="s">
        <v>1658</v>
      </c>
      <c r="E1362" s="74">
        <v>100</v>
      </c>
      <c r="F1362" s="420" t="s">
        <v>58</v>
      </c>
      <c r="G1362" s="52"/>
      <c r="H1362" s="74">
        <v>100</v>
      </c>
      <c r="I1362" s="52"/>
      <c r="J1362" s="74">
        <v>100</v>
      </c>
      <c r="K1362" s="52"/>
      <c r="L1362" s="74">
        <v>100</v>
      </c>
      <c r="M1362" s="42"/>
      <c r="N1362" s="74">
        <v>100</v>
      </c>
      <c r="O1362" s="52"/>
      <c r="P1362" s="74">
        <v>100</v>
      </c>
      <c r="Q1362" s="52"/>
      <c r="R1362" s="74">
        <v>100</v>
      </c>
      <c r="S1362" s="52"/>
      <c r="T1362" s="55">
        <v>100</v>
      </c>
      <c r="U1362" s="55">
        <f t="shared" si="349"/>
        <v>100</v>
      </c>
      <c r="V1362" s="58" t="s">
        <v>58</v>
      </c>
      <c r="W1362" s="56"/>
      <c r="X1362" s="60"/>
      <c r="Y1362" s="48"/>
      <c r="Z1362" s="55"/>
      <c r="AA1362" s="56"/>
      <c r="AB1362" s="57"/>
      <c r="AC1362" s="58"/>
      <c r="AD1362" s="60"/>
      <c r="AE1362" s="77"/>
      <c r="AH1362" s="79"/>
    </row>
    <row r="1363" spans="1:34" s="78" customFormat="1" ht="81.95" customHeight="1">
      <c r="A1363" s="16"/>
      <c r="B1363" s="19" t="s">
        <v>1659</v>
      </c>
      <c r="C1363" s="1066"/>
      <c r="D1363" s="18" t="s">
        <v>1660</v>
      </c>
      <c r="E1363" s="74">
        <v>4</v>
      </c>
      <c r="F1363" s="420" t="s">
        <v>1661</v>
      </c>
      <c r="G1363" s="52"/>
      <c r="H1363" s="386">
        <v>4</v>
      </c>
      <c r="I1363" s="52"/>
      <c r="J1363" s="74">
        <v>4</v>
      </c>
      <c r="K1363" s="52"/>
      <c r="L1363" s="74">
        <v>1</v>
      </c>
      <c r="M1363" s="42"/>
      <c r="N1363" s="74">
        <v>1</v>
      </c>
      <c r="O1363" s="52"/>
      <c r="P1363" s="74">
        <v>1</v>
      </c>
      <c r="Q1363" s="52"/>
      <c r="R1363" s="74">
        <v>1</v>
      </c>
      <c r="S1363" s="52"/>
      <c r="T1363" s="55">
        <v>1</v>
      </c>
      <c r="U1363" s="55">
        <f t="shared" si="349"/>
        <v>25</v>
      </c>
      <c r="V1363" s="58" t="s">
        <v>58</v>
      </c>
      <c r="W1363" s="56"/>
      <c r="X1363" s="60"/>
      <c r="Y1363" s="48"/>
      <c r="Z1363" s="55"/>
      <c r="AA1363" s="56"/>
      <c r="AB1363" s="57"/>
      <c r="AC1363" s="58"/>
      <c r="AD1363" s="60"/>
      <c r="AE1363" s="77"/>
      <c r="AH1363" s="79"/>
    </row>
    <row r="1364" spans="1:34" s="78" customFormat="1" ht="96" customHeight="1">
      <c r="A1364" s="16"/>
      <c r="B1364" s="19" t="s">
        <v>1662</v>
      </c>
      <c r="C1364" s="1067"/>
      <c r="D1364" s="18" t="s">
        <v>1663</v>
      </c>
      <c r="E1364" s="74">
        <v>1</v>
      </c>
      <c r="F1364" s="420" t="s">
        <v>1638</v>
      </c>
      <c r="G1364" s="52"/>
      <c r="H1364" s="386">
        <v>1</v>
      </c>
      <c r="I1364" s="52"/>
      <c r="J1364" s="74">
        <v>1</v>
      </c>
      <c r="K1364" s="52"/>
      <c r="L1364" s="74">
        <v>1</v>
      </c>
      <c r="M1364" s="42"/>
      <c r="N1364" s="74">
        <v>1</v>
      </c>
      <c r="O1364" s="52"/>
      <c r="P1364" s="74">
        <v>1</v>
      </c>
      <c r="Q1364" s="52"/>
      <c r="R1364" s="74">
        <v>1</v>
      </c>
      <c r="S1364" s="52"/>
      <c r="T1364" s="55">
        <v>1</v>
      </c>
      <c r="U1364" s="55">
        <f t="shared" si="349"/>
        <v>100</v>
      </c>
      <c r="V1364" s="58" t="s">
        <v>58</v>
      </c>
      <c r="W1364" s="56"/>
      <c r="X1364" s="60"/>
      <c r="Y1364" s="48"/>
      <c r="Z1364" s="55"/>
      <c r="AA1364" s="56"/>
      <c r="AB1364" s="57"/>
      <c r="AC1364" s="58"/>
      <c r="AD1364" s="60"/>
      <c r="AE1364" s="77"/>
      <c r="AH1364" s="79"/>
    </row>
    <row r="1365" spans="1:34" ht="195">
      <c r="A1365" s="16"/>
      <c r="B1365" s="17"/>
      <c r="C1365" s="29" t="s">
        <v>1664</v>
      </c>
      <c r="D1365" s="482" t="s">
        <v>1665</v>
      </c>
      <c r="E1365" s="44">
        <v>36</v>
      </c>
      <c r="F1365" s="47" t="s">
        <v>1648</v>
      </c>
      <c r="G1365" s="23">
        <v>45251500</v>
      </c>
      <c r="H1365" s="382">
        <v>12</v>
      </c>
      <c r="I1365" s="23">
        <v>9623000</v>
      </c>
      <c r="J1365" s="44">
        <v>12</v>
      </c>
      <c r="K1365" s="23">
        <v>12839500</v>
      </c>
      <c r="L1365" s="44">
        <v>2</v>
      </c>
      <c r="M1365" s="42">
        <v>0</v>
      </c>
      <c r="N1365" s="44">
        <v>4</v>
      </c>
      <c r="O1365" s="23">
        <v>9200000</v>
      </c>
      <c r="P1365" s="44">
        <v>3</v>
      </c>
      <c r="Q1365" s="23">
        <v>1125000</v>
      </c>
      <c r="R1365" s="44">
        <v>3</v>
      </c>
      <c r="S1365" s="23">
        <v>0</v>
      </c>
      <c r="T1365" s="54">
        <f t="shared" si="351"/>
        <v>12</v>
      </c>
      <c r="U1365" s="54">
        <f t="shared" si="349"/>
        <v>100</v>
      </c>
      <c r="V1365" s="35" t="s">
        <v>58</v>
      </c>
      <c r="W1365" s="40">
        <f t="shared" si="352"/>
        <v>10325000</v>
      </c>
      <c r="X1365" s="53">
        <f t="shared" si="353"/>
        <v>80.415904046107713</v>
      </c>
      <c r="Y1365" s="35" t="s">
        <v>58</v>
      </c>
      <c r="Z1365" s="54">
        <f t="shared" si="348"/>
        <v>24</v>
      </c>
      <c r="AA1365" s="40">
        <f t="shared" si="354"/>
        <v>19948000</v>
      </c>
      <c r="AB1365" s="53"/>
      <c r="AC1365" s="35" t="s">
        <v>58</v>
      </c>
      <c r="AD1365" s="53"/>
      <c r="AE1365" s="11"/>
      <c r="AH1365" s="25"/>
    </row>
    <row r="1366" spans="1:34" ht="120">
      <c r="A1366" s="16"/>
      <c r="B1366" s="17"/>
      <c r="C1366" s="29" t="s">
        <v>1666</v>
      </c>
      <c r="D1366" s="482" t="s">
        <v>1667</v>
      </c>
      <c r="E1366" s="44">
        <v>120</v>
      </c>
      <c r="F1366" s="47" t="s">
        <v>1645</v>
      </c>
      <c r="G1366" s="23">
        <v>635812000</v>
      </c>
      <c r="H1366" s="382">
        <v>40</v>
      </c>
      <c r="I1366" s="23">
        <v>199067200</v>
      </c>
      <c r="J1366" s="44">
        <v>40</v>
      </c>
      <c r="K1366" s="23">
        <v>375483800</v>
      </c>
      <c r="L1366" s="44">
        <v>6</v>
      </c>
      <c r="M1366" s="42">
        <v>0</v>
      </c>
      <c r="N1366" s="20">
        <v>10</v>
      </c>
      <c r="O1366" s="23">
        <v>101808250</v>
      </c>
      <c r="P1366" s="20">
        <v>15</v>
      </c>
      <c r="Q1366" s="23">
        <v>228481428</v>
      </c>
      <c r="R1366" s="20">
        <v>9</v>
      </c>
      <c r="S1366" s="23">
        <v>18700000</v>
      </c>
      <c r="T1366" s="54">
        <f t="shared" si="351"/>
        <v>40</v>
      </c>
      <c r="U1366" s="54">
        <f t="shared" si="349"/>
        <v>100</v>
      </c>
      <c r="V1366" s="35" t="s">
        <v>58</v>
      </c>
      <c r="W1366" s="40">
        <f t="shared" si="352"/>
        <v>348989678</v>
      </c>
      <c r="X1366" s="53">
        <f t="shared" si="353"/>
        <v>92.944003975670853</v>
      </c>
      <c r="Y1366" s="35" t="s">
        <v>58</v>
      </c>
      <c r="Z1366" s="54">
        <f t="shared" si="348"/>
        <v>80</v>
      </c>
      <c r="AA1366" s="40">
        <f t="shared" si="354"/>
        <v>548056878</v>
      </c>
      <c r="AB1366" s="53"/>
      <c r="AC1366" s="35" t="s">
        <v>58</v>
      </c>
      <c r="AD1366" s="53"/>
      <c r="AE1366" s="11"/>
      <c r="AH1366" s="25"/>
    </row>
    <row r="1367" spans="1:34" ht="150">
      <c r="A1367" s="16"/>
      <c r="B1367" s="17"/>
      <c r="C1367" s="29" t="s">
        <v>1668</v>
      </c>
      <c r="D1367" s="482" t="s">
        <v>1669</v>
      </c>
      <c r="E1367" s="44">
        <v>36</v>
      </c>
      <c r="F1367" s="47" t="s">
        <v>1648</v>
      </c>
      <c r="G1367" s="23">
        <v>49040000</v>
      </c>
      <c r="H1367" s="382">
        <v>12</v>
      </c>
      <c r="I1367" s="23">
        <v>24520000</v>
      </c>
      <c r="J1367" s="44">
        <v>12</v>
      </c>
      <c r="K1367" s="23">
        <v>31650000</v>
      </c>
      <c r="L1367" s="44">
        <v>2</v>
      </c>
      <c r="M1367" s="42">
        <v>0</v>
      </c>
      <c r="N1367" s="44">
        <v>4</v>
      </c>
      <c r="O1367" s="23">
        <v>8336000</v>
      </c>
      <c r="P1367" s="44">
        <v>3</v>
      </c>
      <c r="Q1367" s="23">
        <v>0</v>
      </c>
      <c r="R1367" s="44">
        <v>3</v>
      </c>
      <c r="S1367" s="23">
        <v>23024000</v>
      </c>
      <c r="T1367" s="54">
        <f t="shared" si="351"/>
        <v>12</v>
      </c>
      <c r="U1367" s="54">
        <f t="shared" si="349"/>
        <v>100</v>
      </c>
      <c r="V1367" s="35" t="s">
        <v>58</v>
      </c>
      <c r="W1367" s="40">
        <f t="shared" si="352"/>
        <v>31360000</v>
      </c>
      <c r="X1367" s="54">
        <f t="shared" si="353"/>
        <v>99.083728278041079</v>
      </c>
      <c r="Y1367" s="35" t="s">
        <v>58</v>
      </c>
      <c r="Z1367" s="54">
        <f t="shared" si="348"/>
        <v>24</v>
      </c>
      <c r="AA1367" s="40">
        <f t="shared" si="354"/>
        <v>55880000</v>
      </c>
      <c r="AB1367" s="53"/>
      <c r="AC1367" s="35" t="s">
        <v>58</v>
      </c>
      <c r="AD1367" s="53"/>
      <c r="AE1367" s="11"/>
      <c r="AH1367" s="25"/>
    </row>
    <row r="1368" spans="1:34" s="78" customFormat="1" ht="101.25" customHeight="1">
      <c r="A1368" s="16"/>
      <c r="B1368" s="19" t="s">
        <v>1670</v>
      </c>
      <c r="C1368" s="18" t="s">
        <v>1671</v>
      </c>
      <c r="D1368" s="18" t="s">
        <v>1672</v>
      </c>
      <c r="E1368" s="74">
        <v>100</v>
      </c>
      <c r="F1368" s="420" t="s">
        <v>58</v>
      </c>
      <c r="G1368" s="42">
        <f>G1369</f>
        <v>101562882</v>
      </c>
      <c r="H1368" s="386">
        <v>100</v>
      </c>
      <c r="I1368" s="42">
        <f>I1369</f>
        <v>34834241</v>
      </c>
      <c r="J1368" s="74">
        <v>100</v>
      </c>
      <c r="K1368" s="42">
        <f>K1369</f>
        <v>31894400</v>
      </c>
      <c r="L1368" s="74">
        <v>100</v>
      </c>
      <c r="M1368" s="42">
        <v>0</v>
      </c>
      <c r="N1368" s="45">
        <v>100</v>
      </c>
      <c r="O1368" s="42">
        <v>0</v>
      </c>
      <c r="P1368" s="45">
        <v>100</v>
      </c>
      <c r="Q1368" s="42">
        <f>Q1369</f>
        <v>25750000</v>
      </c>
      <c r="R1368" s="45">
        <v>100</v>
      </c>
      <c r="S1368" s="42">
        <v>0</v>
      </c>
      <c r="T1368" s="55">
        <v>100</v>
      </c>
      <c r="U1368" s="55">
        <f t="shared" si="349"/>
        <v>100</v>
      </c>
      <c r="V1368" s="58" t="s">
        <v>58</v>
      </c>
      <c r="W1368" s="59">
        <f t="shared" si="352"/>
        <v>25750000</v>
      </c>
      <c r="X1368" s="57">
        <f t="shared" si="353"/>
        <v>80.735176081067522</v>
      </c>
      <c r="Y1368" s="58" t="s">
        <v>58</v>
      </c>
      <c r="Z1368" s="55">
        <f t="shared" si="348"/>
        <v>200</v>
      </c>
      <c r="AA1368" s="59">
        <f t="shared" si="354"/>
        <v>60584241</v>
      </c>
      <c r="AB1368" s="57"/>
      <c r="AC1368" s="58" t="s">
        <v>58</v>
      </c>
      <c r="AD1368" s="57"/>
      <c r="AE1368" s="77"/>
      <c r="AH1368" s="79"/>
    </row>
    <row r="1369" spans="1:34" s="78" customFormat="1" ht="204.75">
      <c r="A1369" s="16"/>
      <c r="B1369" s="19" t="s">
        <v>1673</v>
      </c>
      <c r="C1369" s="19" t="s">
        <v>1674</v>
      </c>
      <c r="D1369" s="19" t="s">
        <v>1675</v>
      </c>
      <c r="E1369" s="74">
        <v>100</v>
      </c>
      <c r="F1369" s="420" t="s">
        <v>58</v>
      </c>
      <c r="G1369" s="42">
        <f>SUM(G1370)</f>
        <v>101562882</v>
      </c>
      <c r="H1369" s="74">
        <v>100</v>
      </c>
      <c r="I1369" s="42">
        <f>SUM(I1370)</f>
        <v>34834241</v>
      </c>
      <c r="J1369" s="74">
        <v>100</v>
      </c>
      <c r="K1369" s="42">
        <f>SUM(K1370)</f>
        <v>31894400</v>
      </c>
      <c r="L1369" s="74">
        <v>100</v>
      </c>
      <c r="M1369" s="42">
        <v>0</v>
      </c>
      <c r="N1369" s="45">
        <v>100</v>
      </c>
      <c r="O1369" s="42">
        <v>0</v>
      </c>
      <c r="P1369" s="45">
        <v>100</v>
      </c>
      <c r="Q1369" s="42">
        <f>Q1370</f>
        <v>25750000</v>
      </c>
      <c r="R1369" s="45">
        <v>100</v>
      </c>
      <c r="S1369" s="42">
        <v>0</v>
      </c>
      <c r="T1369" s="55">
        <v>100</v>
      </c>
      <c r="U1369" s="55">
        <f t="shared" si="349"/>
        <v>100</v>
      </c>
      <c r="V1369" s="58" t="s">
        <v>58</v>
      </c>
      <c r="W1369" s="59">
        <f t="shared" si="352"/>
        <v>25750000</v>
      </c>
      <c r="X1369" s="57">
        <f t="shared" si="353"/>
        <v>80.735176081067522</v>
      </c>
      <c r="Y1369" s="58" t="s">
        <v>58</v>
      </c>
      <c r="Z1369" s="55">
        <f t="shared" si="348"/>
        <v>200</v>
      </c>
      <c r="AA1369" s="59">
        <f t="shared" si="354"/>
        <v>60584241</v>
      </c>
      <c r="AB1369" s="57"/>
      <c r="AC1369" s="58" t="s">
        <v>58</v>
      </c>
      <c r="AD1369" s="57"/>
      <c r="AE1369" s="77"/>
      <c r="AH1369" s="79"/>
    </row>
    <row r="1370" spans="1:34" ht="152.25" customHeight="1">
      <c r="A1370" s="16"/>
      <c r="B1370" s="17"/>
      <c r="C1370" s="29" t="s">
        <v>1676</v>
      </c>
      <c r="D1370" s="479" t="s">
        <v>1677</v>
      </c>
      <c r="E1370" s="44">
        <f>J1370*3</f>
        <v>36</v>
      </c>
      <c r="F1370" s="21" t="s">
        <v>965</v>
      </c>
      <c r="G1370" s="23">
        <v>101562882</v>
      </c>
      <c r="H1370" s="44">
        <v>12</v>
      </c>
      <c r="I1370" s="23">
        <v>34834241</v>
      </c>
      <c r="J1370" s="44">
        <v>12</v>
      </c>
      <c r="K1370" s="23">
        <v>31894400</v>
      </c>
      <c r="L1370" s="44">
        <v>3</v>
      </c>
      <c r="M1370" s="42">
        <v>0</v>
      </c>
      <c r="N1370" s="44">
        <v>3</v>
      </c>
      <c r="O1370" s="23">
        <v>0</v>
      </c>
      <c r="P1370" s="44">
        <v>3</v>
      </c>
      <c r="Q1370" s="23">
        <v>25750000</v>
      </c>
      <c r="R1370" s="44">
        <v>3</v>
      </c>
      <c r="S1370" s="23">
        <v>0</v>
      </c>
      <c r="T1370" s="54">
        <f t="shared" si="351"/>
        <v>12</v>
      </c>
      <c r="U1370" s="54">
        <f t="shared" si="349"/>
        <v>100</v>
      </c>
      <c r="V1370" s="35" t="s">
        <v>58</v>
      </c>
      <c r="W1370" s="40">
        <f t="shared" si="352"/>
        <v>25750000</v>
      </c>
      <c r="X1370" s="53">
        <f t="shared" si="353"/>
        <v>80.735176081067522</v>
      </c>
      <c r="Y1370" s="35" t="s">
        <v>58</v>
      </c>
      <c r="Z1370" s="54">
        <f t="shared" si="348"/>
        <v>24</v>
      </c>
      <c r="AA1370" s="40">
        <f t="shared" si="354"/>
        <v>60584241</v>
      </c>
      <c r="AB1370" s="53"/>
      <c r="AC1370" s="35" t="s">
        <v>58</v>
      </c>
      <c r="AD1370" s="53"/>
      <c r="AE1370" s="11"/>
      <c r="AH1370" s="25"/>
    </row>
    <row r="1371" spans="1:34" ht="137.25" customHeight="1">
      <c r="A1371" s="48">
        <v>1</v>
      </c>
      <c r="B1371" s="17" t="s">
        <v>29</v>
      </c>
      <c r="C1371" s="49" t="s">
        <v>68</v>
      </c>
      <c r="D1371" s="19" t="s">
        <v>1720</v>
      </c>
      <c r="E1371" s="45" t="s">
        <v>1721</v>
      </c>
      <c r="F1371" s="46" t="s">
        <v>1722</v>
      </c>
      <c r="G1371" s="52">
        <f>G1376+G1380+G1388+G1400+G1402</f>
        <v>10876424193</v>
      </c>
      <c r="H1371" s="45">
        <v>100</v>
      </c>
      <c r="I1371" s="52">
        <f>I1376+I1380+I1388+I1400+I1402</f>
        <v>2929040657</v>
      </c>
      <c r="J1371" s="45">
        <v>89</v>
      </c>
      <c r="K1371" s="52">
        <f>K1376+K1380+K1388+K1400+K1402</f>
        <v>3779690206</v>
      </c>
      <c r="L1371" s="45"/>
      <c r="M1371" s="52">
        <f>M1376+M1380+M1388+M1400+M1402</f>
        <v>594628233</v>
      </c>
      <c r="N1371" s="45"/>
      <c r="O1371" s="52">
        <f>O1376+O1380+O1388+O1400+O1402</f>
        <v>1020288111</v>
      </c>
      <c r="P1371" s="45"/>
      <c r="Q1371" s="52">
        <f>Q1376+Q1380+Q1388+Q1400+Q1402</f>
        <v>718645610</v>
      </c>
      <c r="R1371" s="45">
        <v>89</v>
      </c>
      <c r="S1371" s="52">
        <f>S1376+S1380+S1388+S1400+S1402</f>
        <v>1058482317</v>
      </c>
      <c r="T1371" s="55">
        <f t="shared" si="351"/>
        <v>89</v>
      </c>
      <c r="U1371" s="55">
        <f t="shared" si="349"/>
        <v>100</v>
      </c>
      <c r="V1371" s="58" t="s">
        <v>58</v>
      </c>
      <c r="W1371" s="56">
        <f t="shared" si="352"/>
        <v>3392044271</v>
      </c>
      <c r="X1371" s="60">
        <f t="shared" si="353"/>
        <v>89.743975990819607</v>
      </c>
      <c r="Y1371" s="48" t="s">
        <v>58</v>
      </c>
      <c r="Z1371" s="55">
        <f t="shared" si="348"/>
        <v>189</v>
      </c>
      <c r="AA1371" s="56">
        <f t="shared" si="354"/>
        <v>6321084928</v>
      </c>
      <c r="AB1371" s="558"/>
      <c r="AC1371" s="58" t="s">
        <v>58</v>
      </c>
      <c r="AD1371" s="60"/>
      <c r="AE1371" s="24" t="s">
        <v>1723</v>
      </c>
      <c r="AH1371" s="25">
        <f>M1371+O1371+Q1371+S1371</f>
        <v>3392044271</v>
      </c>
    </row>
    <row r="1372" spans="1:34" ht="137.25" customHeight="1">
      <c r="A1372" s="48"/>
      <c r="B1372" s="17"/>
      <c r="C1372" s="49"/>
      <c r="D1372" s="19" t="s">
        <v>1724</v>
      </c>
      <c r="E1372" s="45" t="s">
        <v>1725</v>
      </c>
      <c r="F1372" s="46" t="s">
        <v>1722</v>
      </c>
      <c r="G1372" s="52"/>
      <c r="H1372" s="45"/>
      <c r="I1372" s="52"/>
      <c r="J1372" s="45"/>
      <c r="K1372" s="97"/>
      <c r="L1372" s="45"/>
      <c r="M1372" s="97"/>
      <c r="N1372" s="45"/>
      <c r="O1372" s="97"/>
      <c r="P1372" s="45"/>
      <c r="Q1372" s="97"/>
      <c r="R1372" s="45" t="s">
        <v>1725</v>
      </c>
      <c r="S1372" s="97"/>
      <c r="T1372" s="55"/>
      <c r="U1372" s="55"/>
      <c r="V1372" s="58"/>
      <c r="W1372" s="56"/>
      <c r="X1372" s="60"/>
      <c r="Y1372" s="48"/>
      <c r="Z1372" s="55"/>
      <c r="AA1372" s="56"/>
      <c r="AB1372" s="558"/>
      <c r="AC1372" s="58"/>
      <c r="AD1372" s="60"/>
      <c r="AE1372" s="24"/>
      <c r="AH1372" s="25"/>
    </row>
    <row r="1373" spans="1:34" ht="137.25" customHeight="1">
      <c r="A1373" s="48"/>
      <c r="B1373" s="17"/>
      <c r="C1373" s="49"/>
      <c r="D1373" s="45" t="s">
        <v>1725</v>
      </c>
      <c r="E1373" s="45" t="s">
        <v>1726</v>
      </c>
      <c r="F1373" s="46" t="s">
        <v>1722</v>
      </c>
      <c r="G1373" s="52"/>
      <c r="H1373" s="45"/>
      <c r="I1373" s="52"/>
      <c r="J1373" s="45"/>
      <c r="K1373" s="97"/>
      <c r="L1373" s="45"/>
      <c r="M1373" s="97"/>
      <c r="N1373" s="45"/>
      <c r="O1373" s="97"/>
      <c r="P1373" s="45"/>
      <c r="Q1373" s="97"/>
      <c r="R1373" s="45" t="s">
        <v>1726</v>
      </c>
      <c r="S1373" s="97"/>
      <c r="T1373" s="55"/>
      <c r="U1373" s="55"/>
      <c r="V1373" s="58"/>
      <c r="W1373" s="56"/>
      <c r="X1373" s="60"/>
      <c r="Y1373" s="48"/>
      <c r="Z1373" s="55"/>
      <c r="AA1373" s="56"/>
      <c r="AB1373" s="558"/>
      <c r="AC1373" s="58"/>
      <c r="AD1373" s="60"/>
      <c r="AE1373" s="24"/>
      <c r="AH1373" s="25"/>
    </row>
    <row r="1374" spans="1:34" ht="177" customHeight="1">
      <c r="A1374" s="48"/>
      <c r="B1374" s="17"/>
      <c r="C1374" s="49"/>
      <c r="D1374" s="45" t="s">
        <v>1726</v>
      </c>
      <c r="E1374" s="45" t="s">
        <v>1727</v>
      </c>
      <c r="F1374" s="46" t="s">
        <v>1722</v>
      </c>
      <c r="G1374" s="52"/>
      <c r="H1374" s="45"/>
      <c r="I1374" s="52"/>
      <c r="J1374" s="45">
        <v>35</v>
      </c>
      <c r="K1374" s="97"/>
      <c r="L1374" s="45">
        <v>10</v>
      </c>
      <c r="M1374" s="97"/>
      <c r="N1374" s="45">
        <v>0</v>
      </c>
      <c r="O1374" s="97"/>
      <c r="P1374" s="45"/>
      <c r="Q1374" s="97"/>
      <c r="R1374" s="45" t="s">
        <v>1727</v>
      </c>
      <c r="S1374" s="97"/>
      <c r="T1374" s="55"/>
      <c r="U1374" s="55"/>
      <c r="V1374" s="58"/>
      <c r="W1374" s="56"/>
      <c r="X1374" s="60"/>
      <c r="Y1374" s="48"/>
      <c r="Z1374" s="55"/>
      <c r="AA1374" s="56"/>
      <c r="AB1374" s="558"/>
      <c r="AC1374" s="58"/>
      <c r="AD1374" s="60"/>
      <c r="AE1374" s="24"/>
      <c r="AH1374" s="25"/>
    </row>
    <row r="1375" spans="1:34" ht="137.25" customHeight="1">
      <c r="A1375" s="48"/>
      <c r="B1375" s="17"/>
      <c r="C1375" s="49"/>
      <c r="D1375" s="45" t="s">
        <v>1727</v>
      </c>
      <c r="E1375" s="559" t="s">
        <v>1728</v>
      </c>
      <c r="F1375" s="46" t="s">
        <v>1722</v>
      </c>
      <c r="G1375" s="52"/>
      <c r="H1375" s="45"/>
      <c r="I1375" s="52"/>
      <c r="J1375" s="45">
        <v>86.42</v>
      </c>
      <c r="K1375" s="97"/>
      <c r="L1375" s="45">
        <v>0</v>
      </c>
      <c r="M1375" s="97"/>
      <c r="N1375" s="45">
        <v>0</v>
      </c>
      <c r="O1375" s="97"/>
      <c r="P1375" s="45"/>
      <c r="Q1375" s="97"/>
      <c r="R1375" s="45"/>
      <c r="S1375" s="97"/>
      <c r="T1375" s="55"/>
      <c r="U1375" s="55"/>
      <c r="V1375" s="58"/>
      <c r="W1375" s="56"/>
      <c r="X1375" s="60"/>
      <c r="Y1375" s="48"/>
      <c r="Z1375" s="55"/>
      <c r="AA1375" s="56"/>
      <c r="AB1375" s="558"/>
      <c r="AC1375" s="58"/>
      <c r="AD1375" s="60"/>
      <c r="AE1375" s="24"/>
      <c r="AH1375" s="25"/>
    </row>
    <row r="1376" spans="1:34" ht="135.75" customHeight="1">
      <c r="A1376" s="48">
        <v>2</v>
      </c>
      <c r="B1376" s="49" t="s">
        <v>30</v>
      </c>
      <c r="C1376" s="19" t="s">
        <v>172</v>
      </c>
      <c r="D1376" s="19" t="s">
        <v>1729</v>
      </c>
      <c r="E1376" s="45">
        <f>SUM(E1378:E1379)</f>
        <v>45</v>
      </c>
      <c r="F1376" s="46" t="s">
        <v>55</v>
      </c>
      <c r="G1376" s="42">
        <f>SUM(G1378:G1379)</f>
        <v>22795800</v>
      </c>
      <c r="H1376" s="45">
        <v>30</v>
      </c>
      <c r="I1376" s="42">
        <f t="shared" ref="I1376:N1376" si="355">SUM(I1378:I1379)</f>
        <v>6736500</v>
      </c>
      <c r="J1376" s="45">
        <f t="shared" si="355"/>
        <v>15</v>
      </c>
      <c r="K1376" s="52">
        <f t="shared" si="355"/>
        <v>7592800</v>
      </c>
      <c r="L1376" s="45">
        <f t="shared" si="355"/>
        <v>5</v>
      </c>
      <c r="M1376" s="42">
        <f t="shared" si="355"/>
        <v>1665200</v>
      </c>
      <c r="N1376" s="45">
        <f t="shared" si="355"/>
        <v>4</v>
      </c>
      <c r="O1376" s="42">
        <f>SUM(O1378:O1379)</f>
        <v>2302500</v>
      </c>
      <c r="P1376" s="45">
        <f>SUM(P1378:P1379)</f>
        <v>5</v>
      </c>
      <c r="Q1376" s="42">
        <f>SUM(Q1378:Q1379)</f>
        <v>1993300</v>
      </c>
      <c r="R1376" s="45">
        <f>SUM(R1378:R1379)</f>
        <v>1</v>
      </c>
      <c r="S1376" s="42">
        <f>SUM(S1378:S1379)</f>
        <v>1631800</v>
      </c>
      <c r="T1376" s="55">
        <f t="shared" si="351"/>
        <v>15</v>
      </c>
      <c r="U1376" s="55">
        <f t="shared" si="349"/>
        <v>100</v>
      </c>
      <c r="V1376" s="58" t="s">
        <v>58</v>
      </c>
      <c r="W1376" s="59">
        <f t="shared" si="352"/>
        <v>7592800</v>
      </c>
      <c r="X1376" s="57">
        <f t="shared" si="353"/>
        <v>100</v>
      </c>
      <c r="Y1376" s="58" t="s">
        <v>58</v>
      </c>
      <c r="Z1376" s="55">
        <f t="shared" si="348"/>
        <v>45</v>
      </c>
      <c r="AA1376" s="59">
        <f t="shared" si="354"/>
        <v>14329300</v>
      </c>
      <c r="AB1376" s="57"/>
      <c r="AC1376" s="58" t="s">
        <v>58</v>
      </c>
      <c r="AD1376" s="57"/>
      <c r="AE1376" s="11"/>
      <c r="AH1376" s="25"/>
    </row>
    <row r="1377" spans="1:34" ht="82.5" customHeight="1">
      <c r="A1377" s="16"/>
      <c r="B1377" s="17"/>
      <c r="C1377" s="18"/>
      <c r="D1377" s="19" t="s">
        <v>1730</v>
      </c>
      <c r="E1377" s="45"/>
      <c r="F1377" s="46"/>
      <c r="G1377" s="42"/>
      <c r="H1377" s="45"/>
      <c r="I1377" s="42"/>
      <c r="J1377" s="45"/>
      <c r="K1377" s="52"/>
      <c r="L1377" s="45"/>
      <c r="M1377" s="42"/>
      <c r="N1377" s="45"/>
      <c r="O1377" s="42"/>
      <c r="P1377" s="45"/>
      <c r="Q1377" s="42"/>
      <c r="R1377" s="45"/>
      <c r="S1377" s="42"/>
      <c r="T1377" s="55"/>
      <c r="U1377" s="55"/>
      <c r="V1377" s="58"/>
      <c r="W1377" s="59"/>
      <c r="X1377" s="57"/>
      <c r="Y1377" s="58"/>
      <c r="Z1377" s="55"/>
      <c r="AA1377" s="59"/>
      <c r="AB1377" s="57"/>
      <c r="AC1377" s="58"/>
      <c r="AD1377" s="57"/>
      <c r="AE1377" s="11"/>
      <c r="AH1377" s="25"/>
    </row>
    <row r="1378" spans="1:34" ht="90" customHeight="1">
      <c r="A1378" s="16"/>
      <c r="B1378" s="17"/>
      <c r="C1378" s="26" t="s">
        <v>69</v>
      </c>
      <c r="D1378" s="29" t="s">
        <v>211</v>
      </c>
      <c r="E1378" s="20">
        <f>5*3</f>
        <v>15</v>
      </c>
      <c r="F1378" s="21" t="s">
        <v>55</v>
      </c>
      <c r="G1378" s="23">
        <f>5928000+6392800+6612500</f>
        <v>18933300</v>
      </c>
      <c r="H1378" s="20">
        <v>5</v>
      </c>
      <c r="I1378" s="23">
        <v>5924000</v>
      </c>
      <c r="J1378" s="20">
        <v>5</v>
      </c>
      <c r="K1378" s="23">
        <v>6392800</v>
      </c>
      <c r="L1378" s="20">
        <v>1</v>
      </c>
      <c r="M1378" s="546">
        <v>1203200</v>
      </c>
      <c r="N1378" s="20">
        <v>3</v>
      </c>
      <c r="O1378" s="23">
        <f>3201200-M1378</f>
        <v>1998000</v>
      </c>
      <c r="P1378" s="20">
        <v>1</v>
      </c>
      <c r="Q1378" s="546">
        <f>4797000-O1378-M1378</f>
        <v>1595800</v>
      </c>
      <c r="R1378" s="20"/>
      <c r="S1378" s="23">
        <f>6392800-M1378-O1378-Q1378</f>
        <v>1595800</v>
      </c>
      <c r="T1378" s="54">
        <f t="shared" si="351"/>
        <v>5</v>
      </c>
      <c r="U1378" s="54">
        <f t="shared" si="349"/>
        <v>100</v>
      </c>
      <c r="V1378" s="35" t="s">
        <v>58</v>
      </c>
      <c r="W1378" s="40">
        <f t="shared" si="352"/>
        <v>6392800</v>
      </c>
      <c r="X1378" s="53">
        <f t="shared" si="353"/>
        <v>100</v>
      </c>
      <c r="Y1378" s="35" t="s">
        <v>58</v>
      </c>
      <c r="Z1378" s="54">
        <f t="shared" si="348"/>
        <v>10</v>
      </c>
      <c r="AA1378" s="40">
        <f>SUM(I1378,W1378)</f>
        <v>12316800</v>
      </c>
      <c r="AB1378" s="53"/>
      <c r="AC1378" s="35" t="s">
        <v>58</v>
      </c>
      <c r="AD1378" s="53"/>
      <c r="AE1378" s="11"/>
      <c r="AH1378" s="25"/>
    </row>
    <row r="1379" spans="1:34" ht="102.75" customHeight="1">
      <c r="A1379" s="16"/>
      <c r="B1379" s="17"/>
      <c r="C1379" s="26" t="s">
        <v>70</v>
      </c>
      <c r="D1379" s="29" t="s">
        <v>212</v>
      </c>
      <c r="E1379" s="20">
        <f>10*3</f>
        <v>30</v>
      </c>
      <c r="F1379" s="21" t="s">
        <v>173</v>
      </c>
      <c r="G1379" s="28">
        <f>1100000+1200000+1562500</f>
        <v>3862500</v>
      </c>
      <c r="H1379" s="20">
        <v>10</v>
      </c>
      <c r="I1379" s="28">
        <v>812500</v>
      </c>
      <c r="J1379" s="20">
        <v>10</v>
      </c>
      <c r="K1379" s="28">
        <v>1200000</v>
      </c>
      <c r="L1379" s="20">
        <v>4</v>
      </c>
      <c r="M1379" s="546">
        <v>462000</v>
      </c>
      <c r="N1379" s="20">
        <v>1</v>
      </c>
      <c r="O1379" s="28">
        <f>766500-M1379</f>
        <v>304500</v>
      </c>
      <c r="P1379" s="20">
        <v>4</v>
      </c>
      <c r="Q1379" s="546">
        <f>1164000-O1379-M1379</f>
        <v>397500</v>
      </c>
      <c r="R1379" s="20">
        <v>1</v>
      </c>
      <c r="S1379" s="28">
        <f>1200000-M1379-O1379-Q1379</f>
        <v>36000</v>
      </c>
      <c r="T1379" s="54">
        <f t="shared" si="351"/>
        <v>10</v>
      </c>
      <c r="U1379" s="54">
        <f t="shared" si="349"/>
        <v>100</v>
      </c>
      <c r="V1379" s="35" t="s">
        <v>58</v>
      </c>
      <c r="W1379" s="40">
        <f t="shared" si="352"/>
        <v>1200000</v>
      </c>
      <c r="X1379" s="53">
        <f t="shared" si="353"/>
        <v>100</v>
      </c>
      <c r="Y1379" s="35" t="s">
        <v>58</v>
      </c>
      <c r="Z1379" s="54">
        <f t="shared" si="348"/>
        <v>20</v>
      </c>
      <c r="AA1379" s="40">
        <f t="shared" si="354"/>
        <v>2012500</v>
      </c>
      <c r="AB1379" s="53"/>
      <c r="AC1379" s="35" t="s">
        <v>58</v>
      </c>
      <c r="AD1379" s="57"/>
      <c r="AE1379" s="11"/>
      <c r="AH1379" s="25"/>
    </row>
    <row r="1380" spans="1:34" s="78" customFormat="1" ht="86.25" customHeight="1">
      <c r="A1380" s="16"/>
      <c r="B1380" s="17"/>
      <c r="C1380" s="18" t="s">
        <v>71</v>
      </c>
      <c r="D1380" s="19" t="s">
        <v>318</v>
      </c>
      <c r="E1380" s="74">
        <f>SUM(E1385:E1387)</f>
        <v>42</v>
      </c>
      <c r="F1380" s="75" t="s">
        <v>55</v>
      </c>
      <c r="G1380" s="42">
        <f>SUM(G1384:G1387)</f>
        <v>7551019943</v>
      </c>
      <c r="H1380" s="74">
        <f>SUM(H1385:H1387)</f>
        <v>14</v>
      </c>
      <c r="I1380" s="42">
        <f>SUM(I1384:I1387)</f>
        <v>2189611779</v>
      </c>
      <c r="J1380" s="74">
        <f>SUM(J1385:J1387)</f>
        <v>14</v>
      </c>
      <c r="K1380" s="42">
        <f>SUM(K1384:K1387)</f>
        <v>2429294656</v>
      </c>
      <c r="L1380" s="74">
        <f>SUM(L1385:L1387)</f>
        <v>3</v>
      </c>
      <c r="M1380" s="547">
        <f>SUM(M1384:M1387)</f>
        <v>405150300</v>
      </c>
      <c r="N1380" s="74">
        <f>SUM(N1385:N1387)</f>
        <v>4</v>
      </c>
      <c r="O1380" s="547">
        <f>SUM(O1384:O1387)</f>
        <v>775857769</v>
      </c>
      <c r="P1380" s="74"/>
      <c r="Q1380" s="42">
        <f>SUM(Q1384:Q1387)</f>
        <v>537091208</v>
      </c>
      <c r="R1380" s="74"/>
      <c r="S1380" s="42">
        <f>SUM(S1384:S1387)</f>
        <v>531205367</v>
      </c>
      <c r="T1380" s="55">
        <f t="shared" si="351"/>
        <v>7</v>
      </c>
      <c r="U1380" s="57">
        <f t="shared" si="349"/>
        <v>50</v>
      </c>
      <c r="V1380" s="58" t="s">
        <v>58</v>
      </c>
      <c r="W1380" s="59">
        <f>SUM(M1380,O1380,Q1380,S1380)</f>
        <v>2249304644</v>
      </c>
      <c r="X1380" s="57">
        <f t="shared" si="353"/>
        <v>92.590853005194276</v>
      </c>
      <c r="Y1380" s="58" t="s">
        <v>58</v>
      </c>
      <c r="Z1380" s="55">
        <f t="shared" si="348"/>
        <v>21</v>
      </c>
      <c r="AA1380" s="59">
        <f t="shared" si="354"/>
        <v>4438916423</v>
      </c>
      <c r="AB1380" s="57"/>
      <c r="AC1380" s="58" t="s">
        <v>58</v>
      </c>
      <c r="AD1380" s="57"/>
      <c r="AE1380" s="24"/>
      <c r="AH1380" s="79">
        <f>M1380+O1380+Q1380+S1380</f>
        <v>2249304644</v>
      </c>
    </row>
    <row r="1381" spans="1:34" s="78" customFormat="1" ht="86.25" customHeight="1">
      <c r="A1381" s="16"/>
      <c r="B1381" s="17"/>
      <c r="C1381" s="18"/>
      <c r="D1381" s="18" t="s">
        <v>319</v>
      </c>
      <c r="E1381" s="74"/>
      <c r="F1381" s="75"/>
      <c r="G1381" s="42"/>
      <c r="H1381" s="74"/>
      <c r="I1381" s="42"/>
      <c r="J1381" s="74">
        <v>1</v>
      </c>
      <c r="K1381" s="42"/>
      <c r="L1381" s="74"/>
      <c r="M1381" s="547"/>
      <c r="N1381" s="74"/>
      <c r="O1381" s="547"/>
      <c r="P1381" s="74"/>
      <c r="Q1381" s="42"/>
      <c r="R1381" s="74"/>
      <c r="S1381" s="42"/>
      <c r="T1381" s="55"/>
      <c r="U1381" s="57"/>
      <c r="V1381" s="58"/>
      <c r="W1381" s="59"/>
      <c r="X1381" s="57"/>
      <c r="Y1381" s="58"/>
      <c r="Z1381" s="55"/>
      <c r="AA1381" s="59"/>
      <c r="AB1381" s="57"/>
      <c r="AC1381" s="58"/>
      <c r="AD1381" s="57"/>
      <c r="AE1381" s="24"/>
      <c r="AH1381" s="79"/>
    </row>
    <row r="1382" spans="1:34" s="78" customFormat="1" ht="86.25" customHeight="1">
      <c r="A1382" s="16"/>
      <c r="B1382" s="17"/>
      <c r="C1382" s="18"/>
      <c r="D1382" s="18" t="s">
        <v>953</v>
      </c>
      <c r="E1382" s="74"/>
      <c r="F1382" s="75"/>
      <c r="G1382" s="42"/>
      <c r="H1382" s="74"/>
      <c r="I1382" s="42"/>
      <c r="J1382" s="74">
        <v>16</v>
      </c>
      <c r="K1382" s="42"/>
      <c r="L1382" s="74"/>
      <c r="M1382" s="547"/>
      <c r="N1382" s="74"/>
      <c r="O1382" s="547"/>
      <c r="P1382" s="74"/>
      <c r="Q1382" s="42"/>
      <c r="R1382" s="74"/>
      <c r="S1382" s="42"/>
      <c r="T1382" s="55"/>
      <c r="U1382" s="57"/>
      <c r="V1382" s="58"/>
      <c r="W1382" s="59"/>
      <c r="X1382" s="57"/>
      <c r="Y1382" s="58"/>
      <c r="Z1382" s="55"/>
      <c r="AA1382" s="59"/>
      <c r="AB1382" s="57"/>
      <c r="AC1382" s="58"/>
      <c r="AD1382" s="57"/>
      <c r="AE1382" s="24"/>
      <c r="AH1382" s="79"/>
    </row>
    <row r="1383" spans="1:34" s="78" customFormat="1" ht="86.25" customHeight="1">
      <c r="A1383" s="16"/>
      <c r="B1383" s="17"/>
      <c r="C1383" s="18"/>
      <c r="D1383" s="18" t="s">
        <v>321</v>
      </c>
      <c r="E1383" s="74"/>
      <c r="F1383" s="75"/>
      <c r="G1383" s="42"/>
      <c r="H1383" s="74"/>
      <c r="I1383" s="42"/>
      <c r="J1383" s="74">
        <v>1</v>
      </c>
      <c r="K1383" s="42"/>
      <c r="L1383" s="74"/>
      <c r="M1383" s="547"/>
      <c r="N1383" s="74"/>
      <c r="O1383" s="547"/>
      <c r="P1383" s="74"/>
      <c r="Q1383" s="42"/>
      <c r="R1383" s="74"/>
      <c r="S1383" s="42"/>
      <c r="T1383" s="55"/>
      <c r="U1383" s="57"/>
      <c r="V1383" s="58"/>
      <c r="W1383" s="59"/>
      <c r="X1383" s="57"/>
      <c r="Y1383" s="58"/>
      <c r="Z1383" s="55"/>
      <c r="AA1383" s="59"/>
      <c r="AB1383" s="57"/>
      <c r="AC1383" s="58"/>
      <c r="AD1383" s="57"/>
      <c r="AE1383" s="24"/>
      <c r="AH1383" s="79"/>
    </row>
    <row r="1384" spans="1:34" ht="93" customHeight="1">
      <c r="A1384" s="16"/>
      <c r="B1384" s="17"/>
      <c r="C1384" s="26" t="s">
        <v>1173</v>
      </c>
      <c r="D1384" s="26" t="s">
        <v>213</v>
      </c>
      <c r="E1384" s="43">
        <f>18*3</f>
        <v>54</v>
      </c>
      <c r="F1384" s="27" t="s">
        <v>57</v>
      </c>
      <c r="G1384" s="23">
        <f>2687831660+2425694656+2425713627</f>
        <v>7539239943</v>
      </c>
      <c r="H1384" s="43">
        <v>18</v>
      </c>
      <c r="I1384" s="23">
        <v>2185931779</v>
      </c>
      <c r="J1384" s="43">
        <v>18</v>
      </c>
      <c r="K1384" s="23">
        <v>2425694656</v>
      </c>
      <c r="L1384" s="43">
        <v>18</v>
      </c>
      <c r="M1384" s="548">
        <v>403650300</v>
      </c>
      <c r="N1384" s="43">
        <v>18</v>
      </c>
      <c r="O1384" s="23">
        <f>1179208069-M1384</f>
        <v>775557769</v>
      </c>
      <c r="P1384" s="43">
        <v>18</v>
      </c>
      <c r="Q1384" s="549">
        <f>1714799277-M1384-O1384</f>
        <v>535591208</v>
      </c>
      <c r="R1384" s="43">
        <v>18</v>
      </c>
      <c r="S1384" s="23">
        <f>2246004644-M1384-O1384-Q1384</f>
        <v>531205367</v>
      </c>
      <c r="T1384" s="54">
        <f>AVERAGE(L1384,N1384,P1384,R1384)</f>
        <v>18</v>
      </c>
      <c r="U1384" s="54">
        <f t="shared" si="349"/>
        <v>100</v>
      </c>
      <c r="V1384" s="35" t="s">
        <v>58</v>
      </c>
      <c r="W1384" s="40">
        <f t="shared" si="352"/>
        <v>2246004644</v>
      </c>
      <c r="X1384" s="53">
        <f t="shared" si="353"/>
        <v>92.592224600259001</v>
      </c>
      <c r="Y1384" s="35" t="s">
        <v>58</v>
      </c>
      <c r="Z1384" s="54">
        <f t="shared" si="348"/>
        <v>36</v>
      </c>
      <c r="AA1384" s="40">
        <f t="shared" si="354"/>
        <v>4431936423</v>
      </c>
      <c r="AB1384" s="53"/>
      <c r="AC1384" s="35" t="s">
        <v>58</v>
      </c>
      <c r="AD1384" s="53"/>
      <c r="AE1384" s="11"/>
      <c r="AH1384" s="25">
        <f>M1384+O1384+Q1384+S1384</f>
        <v>2246004644</v>
      </c>
    </row>
    <row r="1385" spans="1:34" ht="195">
      <c r="A1385" s="16"/>
      <c r="B1385" s="17"/>
      <c r="C1385" s="26" t="s">
        <v>73</v>
      </c>
      <c r="D1385" s="29" t="s">
        <v>214</v>
      </c>
      <c r="E1385" s="43">
        <f>1*3</f>
        <v>3</v>
      </c>
      <c r="F1385" s="27" t="s">
        <v>173</v>
      </c>
      <c r="G1385" s="23">
        <f>1480000+1200000+1500000</f>
        <v>4180000</v>
      </c>
      <c r="H1385" s="43">
        <v>1</v>
      </c>
      <c r="I1385" s="23">
        <v>1480000</v>
      </c>
      <c r="J1385" s="43">
        <v>1</v>
      </c>
      <c r="K1385" s="23">
        <v>1200000</v>
      </c>
      <c r="L1385" s="43">
        <v>0</v>
      </c>
      <c r="M1385" s="550">
        <v>1200000</v>
      </c>
      <c r="N1385" s="43">
        <v>0</v>
      </c>
      <c r="O1385" s="23">
        <v>0</v>
      </c>
      <c r="P1385" s="43"/>
      <c r="Q1385" s="546">
        <f>1200000-M1385-O1385</f>
        <v>0</v>
      </c>
      <c r="R1385" s="43"/>
      <c r="S1385" s="23">
        <v>0</v>
      </c>
      <c r="T1385" s="54">
        <f t="shared" si="351"/>
        <v>0</v>
      </c>
      <c r="U1385" s="54">
        <f t="shared" si="349"/>
        <v>0</v>
      </c>
      <c r="V1385" s="35" t="s">
        <v>58</v>
      </c>
      <c r="W1385" s="40">
        <f t="shared" si="352"/>
        <v>1200000</v>
      </c>
      <c r="X1385" s="53">
        <f t="shared" si="353"/>
        <v>100</v>
      </c>
      <c r="Y1385" s="35" t="s">
        <v>58</v>
      </c>
      <c r="Z1385" s="54">
        <f t="shared" si="348"/>
        <v>1</v>
      </c>
      <c r="AA1385" s="40">
        <f t="shared" si="354"/>
        <v>2680000</v>
      </c>
      <c r="AB1385" s="53"/>
      <c r="AC1385" s="35" t="s">
        <v>58</v>
      </c>
      <c r="AD1385" s="53"/>
      <c r="AE1385" s="11"/>
      <c r="AH1385" s="25">
        <f>M1385+O1385+Q1385+S1385</f>
        <v>1200000</v>
      </c>
    </row>
    <row r="1386" spans="1:34" ht="210">
      <c r="A1386" s="16"/>
      <c r="B1386" s="17"/>
      <c r="C1386" s="26" t="s">
        <v>74</v>
      </c>
      <c r="D1386" s="29" t="s">
        <v>215</v>
      </c>
      <c r="E1386" s="43">
        <f>12*3</f>
        <v>36</v>
      </c>
      <c r="F1386" s="27" t="s">
        <v>173</v>
      </c>
      <c r="G1386" s="23">
        <f>1100000+1200000+1500000</f>
        <v>3800000</v>
      </c>
      <c r="H1386" s="43">
        <v>12</v>
      </c>
      <c r="I1386" s="23">
        <v>1100000</v>
      </c>
      <c r="J1386" s="43">
        <v>12</v>
      </c>
      <c r="K1386" s="23">
        <v>1200000</v>
      </c>
      <c r="L1386" s="43">
        <v>3</v>
      </c>
      <c r="M1386" s="550">
        <v>300000</v>
      </c>
      <c r="N1386" s="43">
        <v>3</v>
      </c>
      <c r="O1386" s="23">
        <f>600000-M1386</f>
        <v>300000</v>
      </c>
      <c r="P1386" s="43">
        <v>3</v>
      </c>
      <c r="Q1386" s="546">
        <f>900000-M1386-O1386</f>
        <v>300000</v>
      </c>
      <c r="R1386" s="43">
        <v>3</v>
      </c>
      <c r="S1386" s="23">
        <v>0</v>
      </c>
      <c r="T1386" s="54">
        <f t="shared" si="351"/>
        <v>12</v>
      </c>
      <c r="U1386" s="54">
        <f t="shared" si="349"/>
        <v>100</v>
      </c>
      <c r="V1386" s="35" t="s">
        <v>58</v>
      </c>
      <c r="W1386" s="40">
        <f t="shared" si="352"/>
        <v>900000</v>
      </c>
      <c r="X1386" s="53">
        <f t="shared" si="353"/>
        <v>75</v>
      </c>
      <c r="Y1386" s="35" t="s">
        <v>58</v>
      </c>
      <c r="Z1386" s="54">
        <f t="shared" si="348"/>
        <v>24</v>
      </c>
      <c r="AA1386" s="40">
        <f t="shared" si="354"/>
        <v>2000000</v>
      </c>
      <c r="AB1386" s="53"/>
      <c r="AC1386" s="35" t="s">
        <v>58</v>
      </c>
      <c r="AD1386" s="53"/>
      <c r="AE1386" s="11"/>
      <c r="AH1386" s="25">
        <f>M1386+O1386+Q1386+S1386</f>
        <v>900000</v>
      </c>
    </row>
    <row r="1387" spans="1:34" ht="111.75" customHeight="1">
      <c r="A1387" s="16"/>
      <c r="B1387" s="17"/>
      <c r="C1387" s="26" t="s">
        <v>75</v>
      </c>
      <c r="D1387" s="29" t="s">
        <v>216</v>
      </c>
      <c r="E1387" s="43">
        <f>1*3</f>
        <v>3</v>
      </c>
      <c r="F1387" s="27" t="s">
        <v>55</v>
      </c>
      <c r="G1387" s="23">
        <f>1100000+1200000+1500000</f>
        <v>3800000</v>
      </c>
      <c r="H1387" s="43">
        <v>1</v>
      </c>
      <c r="I1387" s="23">
        <v>1100000</v>
      </c>
      <c r="J1387" s="43">
        <v>1</v>
      </c>
      <c r="K1387" s="23">
        <v>1200000</v>
      </c>
      <c r="L1387" s="43">
        <v>0</v>
      </c>
      <c r="M1387" s="550" t="s">
        <v>449</v>
      </c>
      <c r="N1387" s="43">
        <v>1</v>
      </c>
      <c r="O1387" s="23">
        <v>0</v>
      </c>
      <c r="P1387" s="43"/>
      <c r="Q1387" s="546">
        <v>1200000</v>
      </c>
      <c r="R1387" s="43"/>
      <c r="S1387" s="23">
        <v>0</v>
      </c>
      <c r="T1387" s="54">
        <f t="shared" si="351"/>
        <v>1</v>
      </c>
      <c r="U1387" s="54">
        <f t="shared" si="349"/>
        <v>100</v>
      </c>
      <c r="V1387" s="35" t="s">
        <v>58</v>
      </c>
      <c r="W1387" s="40">
        <f t="shared" si="352"/>
        <v>1200000</v>
      </c>
      <c r="X1387" s="53">
        <f t="shared" si="353"/>
        <v>100</v>
      </c>
      <c r="Y1387" s="35" t="s">
        <v>58</v>
      </c>
      <c r="Z1387" s="54">
        <f t="shared" si="348"/>
        <v>2</v>
      </c>
      <c r="AA1387" s="40">
        <f t="shared" si="354"/>
        <v>2300000</v>
      </c>
      <c r="AB1387" s="53"/>
      <c r="AC1387" s="35" t="s">
        <v>58</v>
      </c>
      <c r="AD1387" s="53"/>
      <c r="AE1387" s="11"/>
      <c r="AH1387" s="25" t="e">
        <f>M1387+O1387+Q1387+S1387</f>
        <v>#VALUE!</v>
      </c>
    </row>
    <row r="1388" spans="1:34" s="78" customFormat="1" ht="123" customHeight="1">
      <c r="A1388" s="16"/>
      <c r="B1388" s="17"/>
      <c r="C1388" s="17" t="s">
        <v>76</v>
      </c>
      <c r="D1388" s="19" t="s">
        <v>1731</v>
      </c>
      <c r="E1388" s="74">
        <f>1*3</f>
        <v>3</v>
      </c>
      <c r="F1388" s="75" t="s">
        <v>55</v>
      </c>
      <c r="G1388" s="42">
        <f>SUM(G1394:G1399)</f>
        <v>2525271450</v>
      </c>
      <c r="H1388" s="74">
        <v>1</v>
      </c>
      <c r="I1388" s="42">
        <f>SUM(I1394:I1399)</f>
        <v>632762614</v>
      </c>
      <c r="J1388" s="74">
        <v>100</v>
      </c>
      <c r="K1388" s="42">
        <f>SUM(K1394:K1399)</f>
        <v>922512750</v>
      </c>
      <c r="L1388" s="74">
        <v>25</v>
      </c>
      <c r="M1388" s="42">
        <f>SUM(M1394:M1399)</f>
        <v>157742177</v>
      </c>
      <c r="N1388" s="74">
        <v>25</v>
      </c>
      <c r="O1388" s="42">
        <f>SUM(O1394:O1399)</f>
        <v>196800015</v>
      </c>
      <c r="P1388" s="74">
        <v>25</v>
      </c>
      <c r="Q1388" s="42">
        <f>SUM(Q1394:Q1399)</f>
        <v>149632675</v>
      </c>
      <c r="R1388" s="74">
        <v>25</v>
      </c>
      <c r="S1388" s="42">
        <f>SUM(S1394:S1399)</f>
        <v>317131733</v>
      </c>
      <c r="T1388" s="55">
        <f>SUM(L1388,N1388,P1388,R1388)</f>
        <v>100</v>
      </c>
      <c r="U1388" s="55">
        <f t="shared" si="349"/>
        <v>100</v>
      </c>
      <c r="V1388" s="58" t="s">
        <v>58</v>
      </c>
      <c r="W1388" s="59">
        <f t="shared" si="352"/>
        <v>821306600</v>
      </c>
      <c r="X1388" s="57">
        <f t="shared" si="353"/>
        <v>89.029295259062806</v>
      </c>
      <c r="Y1388" s="58" t="s">
        <v>58</v>
      </c>
      <c r="Z1388" s="55">
        <f t="shared" si="348"/>
        <v>101</v>
      </c>
      <c r="AA1388" s="59">
        <f t="shared" si="354"/>
        <v>1454069214</v>
      </c>
      <c r="AB1388" s="57"/>
      <c r="AC1388" s="58" t="s">
        <v>58</v>
      </c>
      <c r="AD1388" s="57"/>
      <c r="AE1388" s="77"/>
      <c r="AH1388" s="79"/>
    </row>
    <row r="1389" spans="1:34" s="78" customFormat="1" ht="154.5" customHeight="1">
      <c r="A1389" s="16"/>
      <c r="B1389" s="17"/>
      <c r="C1389" s="17"/>
      <c r="D1389" s="19" t="s">
        <v>1732</v>
      </c>
      <c r="E1389" s="74"/>
      <c r="F1389" s="75"/>
      <c r="G1389" s="42"/>
      <c r="H1389" s="74"/>
      <c r="I1389" s="42"/>
      <c r="J1389" s="74">
        <v>100</v>
      </c>
      <c r="K1389" s="42"/>
      <c r="L1389" s="74"/>
      <c r="M1389" s="42"/>
      <c r="N1389" s="74"/>
      <c r="O1389" s="42"/>
      <c r="P1389" s="74"/>
      <c r="Q1389" s="42"/>
      <c r="R1389" s="74"/>
      <c r="S1389" s="42"/>
      <c r="T1389" s="55"/>
      <c r="U1389" s="55"/>
      <c r="V1389" s="58"/>
      <c r="W1389" s="59"/>
      <c r="X1389" s="57"/>
      <c r="Y1389" s="58"/>
      <c r="Z1389" s="55"/>
      <c r="AA1389" s="59"/>
      <c r="AB1389" s="57"/>
      <c r="AC1389" s="58"/>
      <c r="AD1389" s="57"/>
      <c r="AE1389" s="77"/>
      <c r="AH1389" s="79"/>
    </row>
    <row r="1390" spans="1:34" s="78" customFormat="1" ht="154.5" customHeight="1">
      <c r="A1390" s="16"/>
      <c r="B1390" s="17"/>
      <c r="C1390" s="17"/>
      <c r="D1390" s="19" t="s">
        <v>1733</v>
      </c>
      <c r="E1390" s="74"/>
      <c r="F1390" s="75"/>
      <c r="G1390" s="42"/>
      <c r="H1390" s="74"/>
      <c r="I1390" s="42"/>
      <c r="J1390" s="74">
        <v>100</v>
      </c>
      <c r="K1390" s="42"/>
      <c r="L1390" s="74"/>
      <c r="M1390" s="42"/>
      <c r="N1390" s="74"/>
      <c r="O1390" s="42"/>
      <c r="P1390" s="74"/>
      <c r="Q1390" s="42"/>
      <c r="R1390" s="74"/>
      <c r="S1390" s="42"/>
      <c r="T1390" s="55"/>
      <c r="U1390" s="55"/>
      <c r="V1390" s="58"/>
      <c r="W1390" s="59"/>
      <c r="X1390" s="57"/>
      <c r="Y1390" s="58"/>
      <c r="Z1390" s="55"/>
      <c r="AA1390" s="59"/>
      <c r="AB1390" s="57"/>
      <c r="AC1390" s="58"/>
      <c r="AD1390" s="57"/>
      <c r="AE1390" s="77"/>
      <c r="AH1390" s="79"/>
    </row>
    <row r="1391" spans="1:34" s="78" customFormat="1" ht="134.25" customHeight="1">
      <c r="A1391" s="16"/>
      <c r="B1391" s="17"/>
      <c r="C1391" s="17"/>
      <c r="D1391" s="19" t="s">
        <v>1734</v>
      </c>
      <c r="E1391" s="74"/>
      <c r="F1391" s="75"/>
      <c r="G1391" s="42"/>
      <c r="H1391" s="74"/>
      <c r="I1391" s="42"/>
      <c r="J1391" s="74">
        <v>100</v>
      </c>
      <c r="K1391" s="42"/>
      <c r="L1391" s="74"/>
      <c r="M1391" s="42"/>
      <c r="N1391" s="74"/>
      <c r="O1391" s="42"/>
      <c r="P1391" s="74"/>
      <c r="Q1391" s="42"/>
      <c r="R1391" s="74"/>
      <c r="S1391" s="42"/>
      <c r="T1391" s="55"/>
      <c r="U1391" s="55"/>
      <c r="V1391" s="58"/>
      <c r="W1391" s="59"/>
      <c r="X1391" s="57"/>
      <c r="Y1391" s="58"/>
      <c r="Z1391" s="55"/>
      <c r="AA1391" s="59"/>
      <c r="AB1391" s="57"/>
      <c r="AC1391" s="58"/>
      <c r="AD1391" s="57"/>
      <c r="AE1391" s="77"/>
      <c r="AH1391" s="79"/>
    </row>
    <row r="1392" spans="1:34" s="78" customFormat="1" ht="162" customHeight="1">
      <c r="A1392" s="16"/>
      <c r="B1392" s="17"/>
      <c r="C1392" s="17"/>
      <c r="D1392" s="19" t="s">
        <v>1735</v>
      </c>
      <c r="E1392" s="74"/>
      <c r="F1392" s="75"/>
      <c r="G1392" s="42"/>
      <c r="H1392" s="74"/>
      <c r="I1392" s="42"/>
      <c r="J1392" s="74">
        <v>24</v>
      </c>
      <c r="K1392" s="42"/>
      <c r="L1392" s="74"/>
      <c r="M1392" s="42"/>
      <c r="N1392" s="74"/>
      <c r="O1392" s="42"/>
      <c r="P1392" s="74"/>
      <c r="Q1392" s="42"/>
      <c r="R1392" s="74"/>
      <c r="S1392" s="42"/>
      <c r="T1392" s="55"/>
      <c r="U1392" s="55"/>
      <c r="V1392" s="58"/>
      <c r="W1392" s="59"/>
      <c r="X1392" s="57"/>
      <c r="Y1392" s="58"/>
      <c r="Z1392" s="55"/>
      <c r="AA1392" s="59"/>
      <c r="AB1392" s="57"/>
      <c r="AC1392" s="58"/>
      <c r="AD1392" s="57"/>
      <c r="AE1392" s="77"/>
      <c r="AH1392" s="79"/>
    </row>
    <row r="1393" spans="1:34" s="78" customFormat="1" ht="123" customHeight="1">
      <c r="A1393" s="16"/>
      <c r="B1393" s="17"/>
      <c r="C1393" s="17"/>
      <c r="D1393" s="19" t="s">
        <v>340</v>
      </c>
      <c r="E1393" s="74"/>
      <c r="F1393" s="75"/>
      <c r="G1393" s="42"/>
      <c r="H1393" s="74"/>
      <c r="I1393" s="42"/>
      <c r="J1393" s="74">
        <v>100</v>
      </c>
      <c r="K1393" s="42"/>
      <c r="L1393" s="74"/>
      <c r="M1393" s="42"/>
      <c r="N1393" s="74"/>
      <c r="O1393" s="42"/>
      <c r="P1393" s="74"/>
      <c r="Q1393" s="42"/>
      <c r="R1393" s="74"/>
      <c r="S1393" s="42"/>
      <c r="T1393" s="55"/>
      <c r="U1393" s="55"/>
      <c r="V1393" s="58"/>
      <c r="W1393" s="59"/>
      <c r="X1393" s="57"/>
      <c r="Y1393" s="58"/>
      <c r="Z1393" s="55"/>
      <c r="AA1393" s="59"/>
      <c r="AB1393" s="57"/>
      <c r="AC1393" s="58"/>
      <c r="AD1393" s="57"/>
      <c r="AE1393" s="77"/>
      <c r="AH1393" s="79"/>
    </row>
    <row r="1394" spans="1:34" ht="125.25" customHeight="1">
      <c r="A1394" s="16"/>
      <c r="B1394" s="17"/>
      <c r="C1394" s="29" t="s">
        <v>342</v>
      </c>
      <c r="D1394" s="29" t="s">
        <v>343</v>
      </c>
      <c r="E1394" s="43">
        <f>12*3</f>
        <v>36</v>
      </c>
      <c r="F1394" s="21" t="s">
        <v>59</v>
      </c>
      <c r="G1394" s="23">
        <f>522036000+498036000+517232700</f>
        <v>1537304700</v>
      </c>
      <c r="H1394" s="43">
        <v>12</v>
      </c>
      <c r="I1394" s="23">
        <v>388086240</v>
      </c>
      <c r="J1394" s="43">
        <v>12</v>
      </c>
      <c r="K1394" s="23">
        <v>503036000</v>
      </c>
      <c r="L1394" s="43">
        <v>3</v>
      </c>
      <c r="M1394" s="546">
        <v>94449055</v>
      </c>
      <c r="N1394" s="43">
        <v>3</v>
      </c>
      <c r="O1394" s="23">
        <f>199384594-M1394</f>
        <v>104935539</v>
      </c>
      <c r="P1394" s="43">
        <v>3</v>
      </c>
      <c r="Q1394" s="546">
        <f>319831164-M1394-O1394</f>
        <v>120446570</v>
      </c>
      <c r="R1394" s="43">
        <v>3</v>
      </c>
      <c r="S1394" s="23">
        <f>461177905-M1394-O1394-Q1394</f>
        <v>141346741</v>
      </c>
      <c r="T1394" s="54">
        <f t="shared" si="351"/>
        <v>12</v>
      </c>
      <c r="U1394" s="54">
        <f t="shared" si="349"/>
        <v>100</v>
      </c>
      <c r="V1394" s="35" t="s">
        <v>58</v>
      </c>
      <c r="W1394" s="40">
        <f t="shared" si="352"/>
        <v>461177905</v>
      </c>
      <c r="X1394" s="53">
        <f t="shared" si="353"/>
        <v>91.678906678647252</v>
      </c>
      <c r="Y1394" s="35" t="s">
        <v>58</v>
      </c>
      <c r="Z1394" s="54">
        <f t="shared" ref="Z1394:Z1436" si="356">SUM(H1394,T1394)</f>
        <v>24</v>
      </c>
      <c r="AA1394" s="40">
        <f t="shared" si="354"/>
        <v>849264145</v>
      </c>
      <c r="AB1394" s="53"/>
      <c r="AC1394" s="35" t="s">
        <v>58</v>
      </c>
      <c r="AD1394" s="53"/>
      <c r="AE1394" s="11"/>
      <c r="AH1394" s="25"/>
    </row>
    <row r="1395" spans="1:34" ht="90">
      <c r="A1395" s="16"/>
      <c r="B1395" s="17"/>
      <c r="C1395" s="29" t="s">
        <v>345</v>
      </c>
      <c r="D1395" s="29" t="s">
        <v>217</v>
      </c>
      <c r="E1395" s="43">
        <f t="shared" ref="E1395:E1401" si="357">12*3</f>
        <v>36</v>
      </c>
      <c r="F1395" s="21" t="s">
        <v>59</v>
      </c>
      <c r="G1395" s="23">
        <f>52896200+31366750+48111300</f>
        <v>132374250</v>
      </c>
      <c r="H1395" s="43">
        <v>12</v>
      </c>
      <c r="I1395" s="23">
        <v>49924200</v>
      </c>
      <c r="J1395" s="43">
        <v>12</v>
      </c>
      <c r="K1395" s="23">
        <v>31366750</v>
      </c>
      <c r="L1395" s="43">
        <v>3</v>
      </c>
      <c r="M1395" s="546">
        <v>12680000</v>
      </c>
      <c r="N1395" s="43">
        <v>3</v>
      </c>
      <c r="O1395" s="23">
        <f>26326500-M1395</f>
        <v>13646500</v>
      </c>
      <c r="P1395" s="43">
        <v>3</v>
      </c>
      <c r="Q1395" s="546">
        <f>26326500-M1395-O1395</f>
        <v>0</v>
      </c>
      <c r="R1395" s="43">
        <v>3</v>
      </c>
      <c r="S1395" s="23">
        <f>26326500-M1395-O1395-Q1395</f>
        <v>0</v>
      </c>
      <c r="T1395" s="54">
        <f t="shared" si="351"/>
        <v>12</v>
      </c>
      <c r="U1395" s="54">
        <f t="shared" si="349"/>
        <v>100</v>
      </c>
      <c r="V1395" s="35" t="s">
        <v>58</v>
      </c>
      <c r="W1395" s="40">
        <f t="shared" si="352"/>
        <v>26326500</v>
      </c>
      <c r="X1395" s="53">
        <f t="shared" si="353"/>
        <v>83.931232913833924</v>
      </c>
      <c r="Y1395" s="35" t="s">
        <v>58</v>
      </c>
      <c r="Z1395" s="54">
        <f t="shared" si="356"/>
        <v>24</v>
      </c>
      <c r="AA1395" s="40">
        <f t="shared" si="354"/>
        <v>76250700</v>
      </c>
      <c r="AB1395" s="53"/>
      <c r="AC1395" s="35" t="s">
        <v>58</v>
      </c>
      <c r="AD1395" s="53"/>
      <c r="AE1395" s="11"/>
      <c r="AH1395" s="25"/>
    </row>
    <row r="1396" spans="1:34" ht="81" customHeight="1">
      <c r="A1396" s="16"/>
      <c r="B1396" s="17"/>
      <c r="C1396" s="29" t="s">
        <v>287</v>
      </c>
      <c r="D1396" s="26" t="s">
        <v>218</v>
      </c>
      <c r="E1396" s="43">
        <f t="shared" si="357"/>
        <v>36</v>
      </c>
      <c r="F1396" s="21" t="s">
        <v>59</v>
      </c>
      <c r="G1396" s="23">
        <f>37300000+37150000+48800000</f>
        <v>123250000</v>
      </c>
      <c r="H1396" s="43">
        <v>12</v>
      </c>
      <c r="I1396" s="23">
        <v>21500000</v>
      </c>
      <c r="J1396" s="43">
        <v>12</v>
      </c>
      <c r="K1396" s="23">
        <v>37150000</v>
      </c>
      <c r="L1396" s="43">
        <v>3</v>
      </c>
      <c r="M1396" s="546">
        <v>1575000</v>
      </c>
      <c r="N1396" s="43">
        <v>3</v>
      </c>
      <c r="O1396" s="23">
        <f>4675000-M1396</f>
        <v>3100000</v>
      </c>
      <c r="P1396" s="43">
        <v>3</v>
      </c>
      <c r="Q1396" s="546">
        <f>6250000-M1396-O1396</f>
        <v>1575000</v>
      </c>
      <c r="R1396" s="43">
        <v>3</v>
      </c>
      <c r="S1396" s="23">
        <f>25250000-M1396-O1396-Q1396</f>
        <v>19000000</v>
      </c>
      <c r="T1396" s="54">
        <f t="shared" si="351"/>
        <v>12</v>
      </c>
      <c r="U1396" s="54">
        <f t="shared" si="349"/>
        <v>100</v>
      </c>
      <c r="V1396" s="35" t="s">
        <v>58</v>
      </c>
      <c r="W1396" s="40">
        <f t="shared" si="352"/>
        <v>25250000</v>
      </c>
      <c r="X1396" s="53">
        <f t="shared" si="353"/>
        <v>67.96769851951548</v>
      </c>
      <c r="Y1396" s="35" t="s">
        <v>58</v>
      </c>
      <c r="Z1396" s="54">
        <f t="shared" si="356"/>
        <v>24</v>
      </c>
      <c r="AA1396" s="40">
        <f t="shared" si="354"/>
        <v>46750000</v>
      </c>
      <c r="AB1396" s="53"/>
      <c r="AC1396" s="35" t="s">
        <v>58</v>
      </c>
      <c r="AD1396" s="53"/>
      <c r="AE1396" s="11"/>
      <c r="AH1396" s="25"/>
    </row>
    <row r="1397" spans="1:34" ht="90">
      <c r="A1397" s="16"/>
      <c r="B1397" s="17"/>
      <c r="C1397" s="29" t="s">
        <v>286</v>
      </c>
      <c r="D1397" s="26" t="s">
        <v>219</v>
      </c>
      <c r="E1397" s="43">
        <f t="shared" si="357"/>
        <v>36</v>
      </c>
      <c r="F1397" s="21" t="s">
        <v>59</v>
      </c>
      <c r="G1397" s="23">
        <f>23607500+27660000+26675000</f>
        <v>77942500</v>
      </c>
      <c r="H1397" s="43">
        <v>12</v>
      </c>
      <c r="I1397" s="23">
        <v>22895000</v>
      </c>
      <c r="J1397" s="43">
        <v>12</v>
      </c>
      <c r="K1397" s="23">
        <v>27660000</v>
      </c>
      <c r="L1397" s="43">
        <v>3</v>
      </c>
      <c r="M1397" s="546">
        <v>500000</v>
      </c>
      <c r="N1397" s="43">
        <v>3</v>
      </c>
      <c r="O1397" s="23">
        <f>19505000-M1397</f>
        <v>19005000</v>
      </c>
      <c r="P1397" s="43">
        <v>3</v>
      </c>
      <c r="Q1397" s="546">
        <f>24195000-M1397-O1397</f>
        <v>4690000</v>
      </c>
      <c r="R1397" s="43">
        <v>3</v>
      </c>
      <c r="S1397" s="23">
        <f>25395000-M1397-O1397-Q1397</f>
        <v>1200000</v>
      </c>
      <c r="T1397" s="54">
        <f t="shared" si="351"/>
        <v>12</v>
      </c>
      <c r="U1397" s="54">
        <f t="shared" si="349"/>
        <v>100</v>
      </c>
      <c r="V1397" s="35" t="s">
        <v>58</v>
      </c>
      <c r="W1397" s="40">
        <f t="shared" si="352"/>
        <v>25395000</v>
      </c>
      <c r="X1397" s="53">
        <f t="shared" si="353"/>
        <v>91.811279826464215</v>
      </c>
      <c r="Y1397" s="35" t="s">
        <v>58</v>
      </c>
      <c r="Z1397" s="54">
        <f t="shared" si="356"/>
        <v>24</v>
      </c>
      <c r="AA1397" s="40">
        <f t="shared" si="354"/>
        <v>48290000</v>
      </c>
      <c r="AB1397" s="53"/>
      <c r="AC1397" s="35" t="s">
        <v>58</v>
      </c>
      <c r="AD1397" s="53"/>
      <c r="AE1397" s="11"/>
      <c r="AH1397" s="25"/>
    </row>
    <row r="1398" spans="1:34" ht="135">
      <c r="A1398" s="16"/>
      <c r="B1398" s="17"/>
      <c r="C1398" s="29" t="s">
        <v>963</v>
      </c>
      <c r="D1398" s="360" t="s">
        <v>1179</v>
      </c>
      <c r="E1398" s="43">
        <f t="shared" si="357"/>
        <v>36</v>
      </c>
      <c r="F1398" s="21" t="s">
        <v>55</v>
      </c>
      <c r="G1398" s="23">
        <f>3600000+3300000</f>
        <v>6900000</v>
      </c>
      <c r="H1398" s="43">
        <v>12</v>
      </c>
      <c r="I1398" s="23">
        <v>2460000</v>
      </c>
      <c r="J1398" s="43">
        <v>12</v>
      </c>
      <c r="K1398" s="23">
        <v>3300000</v>
      </c>
      <c r="L1398" s="43">
        <v>3</v>
      </c>
      <c r="M1398" s="551">
        <v>615000</v>
      </c>
      <c r="N1398" s="43">
        <v>3</v>
      </c>
      <c r="O1398" s="23">
        <f>1250000-M1398</f>
        <v>635000</v>
      </c>
      <c r="P1398" s="43">
        <v>3</v>
      </c>
      <c r="Q1398" s="551">
        <f>1895000-M1398-O1398</f>
        <v>645000</v>
      </c>
      <c r="R1398" s="43">
        <v>3</v>
      </c>
      <c r="S1398" s="23">
        <f>2580000-M1398-O1398-Q1398</f>
        <v>685000</v>
      </c>
      <c r="T1398" s="54">
        <f t="shared" si="351"/>
        <v>12</v>
      </c>
      <c r="U1398" s="54">
        <f t="shared" si="349"/>
        <v>100</v>
      </c>
      <c r="V1398" s="35" t="s">
        <v>58</v>
      </c>
      <c r="W1398" s="40">
        <f t="shared" si="352"/>
        <v>2580000</v>
      </c>
      <c r="X1398" s="53">
        <f t="shared" si="353"/>
        <v>78.181818181818187</v>
      </c>
      <c r="Y1398" s="35" t="s">
        <v>58</v>
      </c>
      <c r="Z1398" s="54">
        <f t="shared" si="356"/>
        <v>24</v>
      </c>
      <c r="AA1398" s="40">
        <f t="shared" si="354"/>
        <v>5040000</v>
      </c>
      <c r="AB1398" s="53"/>
      <c r="AC1398" s="35" t="s">
        <v>58</v>
      </c>
      <c r="AD1398" s="53"/>
      <c r="AE1398" s="11"/>
      <c r="AH1398" s="25"/>
    </row>
    <row r="1399" spans="1:34" ht="120">
      <c r="A1399" s="16"/>
      <c r="B1399" s="17"/>
      <c r="C1399" s="29" t="s">
        <v>77</v>
      </c>
      <c r="D1399" s="360" t="s">
        <v>220</v>
      </c>
      <c r="E1399" s="43">
        <f t="shared" si="357"/>
        <v>36</v>
      </c>
      <c r="F1399" s="21" t="s">
        <v>173</v>
      </c>
      <c r="G1399" s="23">
        <f>193500000+320000000+134000000</f>
        <v>647500000</v>
      </c>
      <c r="H1399" s="43">
        <v>12</v>
      </c>
      <c r="I1399" s="23">
        <v>147897174</v>
      </c>
      <c r="J1399" s="43">
        <v>12</v>
      </c>
      <c r="K1399" s="23">
        <v>320000000</v>
      </c>
      <c r="L1399" s="43">
        <v>3</v>
      </c>
      <c r="M1399" s="549">
        <v>47923122</v>
      </c>
      <c r="N1399" s="43">
        <v>3</v>
      </c>
      <c r="O1399" s="23">
        <f>103401098-M1399</f>
        <v>55477976</v>
      </c>
      <c r="P1399" s="43">
        <v>3</v>
      </c>
      <c r="Q1399" s="549">
        <f>125677203-M1399-O1399</f>
        <v>22276105</v>
      </c>
      <c r="R1399" s="43">
        <v>3</v>
      </c>
      <c r="S1399" s="23">
        <f>280577195-M1399-O1399-Q1399</f>
        <v>154899992</v>
      </c>
      <c r="T1399" s="54">
        <f t="shared" si="351"/>
        <v>12</v>
      </c>
      <c r="U1399" s="54">
        <f t="shared" si="349"/>
        <v>100</v>
      </c>
      <c r="V1399" s="35" t="s">
        <v>58</v>
      </c>
      <c r="W1399" s="40">
        <f t="shared" si="352"/>
        <v>280577195</v>
      </c>
      <c r="X1399" s="53">
        <f t="shared" si="353"/>
        <v>87.680373437500009</v>
      </c>
      <c r="Y1399" s="35" t="s">
        <v>58</v>
      </c>
      <c r="Z1399" s="54">
        <f t="shared" si="356"/>
        <v>24</v>
      </c>
      <c r="AA1399" s="40">
        <f t="shared" si="354"/>
        <v>428474369</v>
      </c>
      <c r="AB1399" s="53"/>
      <c r="AC1399" s="35" t="s">
        <v>58</v>
      </c>
      <c r="AD1399" s="53"/>
      <c r="AE1399" s="11"/>
      <c r="AH1399" s="25"/>
    </row>
    <row r="1400" spans="1:34" ht="102.75" customHeight="1">
      <c r="A1400" s="16"/>
      <c r="B1400" s="17"/>
      <c r="C1400" s="19" t="s">
        <v>79</v>
      </c>
      <c r="D1400" s="19" t="s">
        <v>354</v>
      </c>
      <c r="E1400" s="74">
        <v>100</v>
      </c>
      <c r="F1400" s="75" t="s">
        <v>58</v>
      </c>
      <c r="G1400" s="42">
        <f>SUM(G1401:G1401)</f>
        <v>205029000</v>
      </c>
      <c r="H1400" s="74">
        <v>100</v>
      </c>
      <c r="I1400" s="42">
        <f>I1401</f>
        <v>18322900</v>
      </c>
      <c r="J1400" s="74">
        <v>100</v>
      </c>
      <c r="K1400" s="42">
        <f>K1401</f>
        <v>101220000</v>
      </c>
      <c r="L1400" s="74">
        <v>25</v>
      </c>
      <c r="M1400" s="42">
        <f>M1401</f>
        <v>23371500</v>
      </c>
      <c r="N1400" s="74">
        <v>25</v>
      </c>
      <c r="O1400" s="42">
        <f>O1401</f>
        <v>23121500</v>
      </c>
      <c r="P1400" s="74">
        <v>25</v>
      </c>
      <c r="Q1400" s="42">
        <f>Q1401</f>
        <v>23371500</v>
      </c>
      <c r="R1400" s="74">
        <v>25</v>
      </c>
      <c r="S1400" s="42">
        <f>S1401</f>
        <v>22621500</v>
      </c>
      <c r="T1400" s="55">
        <f t="shared" si="351"/>
        <v>100</v>
      </c>
      <c r="U1400" s="55">
        <f t="shared" si="349"/>
        <v>100</v>
      </c>
      <c r="V1400" s="58" t="s">
        <v>58</v>
      </c>
      <c r="W1400" s="59">
        <f t="shared" si="352"/>
        <v>92486000</v>
      </c>
      <c r="X1400" s="57">
        <f t="shared" si="353"/>
        <v>91.3712704999012</v>
      </c>
      <c r="Y1400" s="58" t="s">
        <v>58</v>
      </c>
      <c r="Z1400" s="55">
        <f t="shared" si="356"/>
        <v>200</v>
      </c>
      <c r="AA1400" s="59">
        <f t="shared" si="354"/>
        <v>110808900</v>
      </c>
      <c r="AB1400" s="57"/>
      <c r="AC1400" s="58" t="s">
        <v>58</v>
      </c>
      <c r="AD1400" s="57"/>
      <c r="AE1400" s="11"/>
      <c r="AH1400" s="25"/>
    </row>
    <row r="1401" spans="1:34" ht="120">
      <c r="A1401" s="72"/>
      <c r="B1401" s="73"/>
      <c r="C1401" s="29" t="s">
        <v>80</v>
      </c>
      <c r="D1401" s="29" t="s">
        <v>224</v>
      </c>
      <c r="E1401" s="44">
        <f t="shared" si="357"/>
        <v>36</v>
      </c>
      <c r="F1401" s="21" t="s">
        <v>173</v>
      </c>
      <c r="G1401" s="23">
        <f>22644000+101220000+81165000</f>
        <v>205029000</v>
      </c>
      <c r="H1401" s="44">
        <v>12</v>
      </c>
      <c r="I1401" s="23">
        <v>18322900</v>
      </c>
      <c r="J1401" s="44">
        <v>12</v>
      </c>
      <c r="K1401" s="23">
        <v>101220000</v>
      </c>
      <c r="L1401" s="44">
        <v>3</v>
      </c>
      <c r="M1401" s="549">
        <v>23371500</v>
      </c>
      <c r="N1401" s="44">
        <v>3</v>
      </c>
      <c r="O1401" s="23">
        <f>46493000-M1401</f>
        <v>23121500</v>
      </c>
      <c r="P1401" s="44"/>
      <c r="Q1401" s="549">
        <f>69864500-M1401-O1401</f>
        <v>23371500</v>
      </c>
      <c r="R1401" s="44"/>
      <c r="S1401" s="23">
        <f>92486000-M1401-O1401-Q1401</f>
        <v>22621500</v>
      </c>
      <c r="T1401" s="53">
        <f t="shared" si="351"/>
        <v>6</v>
      </c>
      <c r="U1401" s="54">
        <f t="shared" si="349"/>
        <v>50</v>
      </c>
      <c r="V1401" s="35" t="s">
        <v>58</v>
      </c>
      <c r="W1401" s="40">
        <f t="shared" si="352"/>
        <v>92486000</v>
      </c>
      <c r="X1401" s="53">
        <f t="shared" si="353"/>
        <v>91.3712704999012</v>
      </c>
      <c r="Y1401" s="35" t="s">
        <v>58</v>
      </c>
      <c r="Z1401" s="54">
        <f t="shared" si="356"/>
        <v>18</v>
      </c>
      <c r="AA1401" s="40">
        <f t="shared" si="354"/>
        <v>110808900</v>
      </c>
      <c r="AB1401" s="53"/>
      <c r="AC1401" s="35" t="s">
        <v>58</v>
      </c>
      <c r="AD1401" s="53"/>
      <c r="AE1401" s="11"/>
      <c r="AH1401" s="25"/>
    </row>
    <row r="1402" spans="1:34" s="78" customFormat="1" ht="144.75" customHeight="1">
      <c r="A1402" s="16"/>
      <c r="B1402" s="17"/>
      <c r="C1402" s="19" t="s">
        <v>81</v>
      </c>
      <c r="D1402" s="19" t="s">
        <v>360</v>
      </c>
      <c r="E1402" s="74">
        <v>100</v>
      </c>
      <c r="F1402" s="75" t="s">
        <v>58</v>
      </c>
      <c r="G1402" s="42">
        <f>SUM(G1405:G1407)</f>
        <v>572308000</v>
      </c>
      <c r="H1402" s="74">
        <v>100</v>
      </c>
      <c r="I1402" s="42">
        <f>SUM(I1405:I1407)</f>
        <v>81606864</v>
      </c>
      <c r="J1402" s="74">
        <v>100</v>
      </c>
      <c r="K1402" s="42">
        <f>SUM(K1405:K1407)</f>
        <v>319070000</v>
      </c>
      <c r="L1402" s="74">
        <v>25</v>
      </c>
      <c r="M1402" s="42">
        <f>SUM(M1405:M1407)</f>
        <v>6699056</v>
      </c>
      <c r="N1402" s="74">
        <v>25</v>
      </c>
      <c r="O1402" s="42">
        <f>SUM(O1405:O1407)</f>
        <v>22206327</v>
      </c>
      <c r="P1402" s="74">
        <v>25</v>
      </c>
      <c r="Q1402" s="42">
        <f>SUM(Q1405:Q1407)</f>
        <v>6556927</v>
      </c>
      <c r="R1402" s="74">
        <v>25</v>
      </c>
      <c r="S1402" s="42">
        <f>SUM(S1405:S1407)</f>
        <v>185891917</v>
      </c>
      <c r="T1402" s="55">
        <f>SUM(L1402,N1402,P1402,R1402)</f>
        <v>100</v>
      </c>
      <c r="U1402" s="55">
        <f t="shared" si="349"/>
        <v>100</v>
      </c>
      <c r="V1402" s="58" t="s">
        <v>58</v>
      </c>
      <c r="W1402" s="59">
        <f t="shared" si="352"/>
        <v>221354227</v>
      </c>
      <c r="X1402" s="57">
        <f t="shared" si="353"/>
        <v>69.374816497947151</v>
      </c>
      <c r="Y1402" s="58" t="s">
        <v>58</v>
      </c>
      <c r="Z1402" s="55">
        <f t="shared" si="356"/>
        <v>200</v>
      </c>
      <c r="AA1402" s="59">
        <f t="shared" si="354"/>
        <v>302961091</v>
      </c>
      <c r="AB1402" s="57"/>
      <c r="AC1402" s="58" t="s">
        <v>58</v>
      </c>
      <c r="AD1402" s="57"/>
      <c r="AE1402" s="77"/>
      <c r="AH1402" s="79"/>
    </row>
    <row r="1403" spans="1:34" s="78" customFormat="1" ht="144.75" customHeight="1">
      <c r="A1403" s="16"/>
      <c r="B1403" s="17"/>
      <c r="C1403" s="19"/>
      <c r="D1403" s="19" t="s">
        <v>361</v>
      </c>
      <c r="E1403" s="74"/>
      <c r="F1403" s="75"/>
      <c r="G1403" s="42"/>
      <c r="H1403" s="74"/>
      <c r="I1403" s="42"/>
      <c r="J1403" s="74">
        <v>100</v>
      </c>
      <c r="K1403" s="42"/>
      <c r="L1403" s="74"/>
      <c r="M1403" s="42"/>
      <c r="N1403" s="74"/>
      <c r="O1403" s="42"/>
      <c r="P1403" s="74"/>
      <c r="Q1403" s="42"/>
      <c r="R1403" s="74"/>
      <c r="S1403" s="42"/>
      <c r="T1403" s="55"/>
      <c r="U1403" s="55"/>
      <c r="V1403" s="58"/>
      <c r="W1403" s="59"/>
      <c r="X1403" s="57"/>
      <c r="Y1403" s="58"/>
      <c r="Z1403" s="55"/>
      <c r="AA1403" s="59"/>
      <c r="AB1403" s="57"/>
      <c r="AC1403" s="58"/>
      <c r="AD1403" s="57"/>
      <c r="AE1403" s="77"/>
      <c r="AH1403" s="79"/>
    </row>
    <row r="1404" spans="1:34" s="78" customFormat="1" ht="144.75" customHeight="1">
      <c r="A1404" s="16"/>
      <c r="B1404" s="17"/>
      <c r="C1404" s="19"/>
      <c r="D1404" s="19" t="s">
        <v>1736</v>
      </c>
      <c r="E1404" s="74"/>
      <c r="F1404" s="75"/>
      <c r="G1404" s="42"/>
      <c r="H1404" s="74"/>
      <c r="I1404" s="42"/>
      <c r="J1404" s="74">
        <v>100</v>
      </c>
      <c r="K1404" s="42"/>
      <c r="L1404" s="74"/>
      <c r="M1404" s="42"/>
      <c r="N1404" s="74"/>
      <c r="O1404" s="42"/>
      <c r="P1404" s="74"/>
      <c r="Q1404" s="42"/>
      <c r="R1404" s="74"/>
      <c r="S1404" s="42"/>
      <c r="T1404" s="55"/>
      <c r="U1404" s="55"/>
      <c r="V1404" s="58"/>
      <c r="W1404" s="59"/>
      <c r="X1404" s="57"/>
      <c r="Y1404" s="58"/>
      <c r="Z1404" s="55"/>
      <c r="AA1404" s="59"/>
      <c r="AB1404" s="57"/>
      <c r="AC1404" s="58"/>
      <c r="AD1404" s="57"/>
      <c r="AE1404" s="77"/>
      <c r="AH1404" s="79"/>
    </row>
    <row r="1405" spans="1:34" ht="180">
      <c r="A1405" s="16"/>
      <c r="B1405" s="17"/>
      <c r="C1405" s="29" t="s">
        <v>82</v>
      </c>
      <c r="D1405" s="29" t="s">
        <v>226</v>
      </c>
      <c r="E1405" s="44">
        <f>7*3</f>
        <v>21</v>
      </c>
      <c r="F1405" s="21" t="s">
        <v>138</v>
      </c>
      <c r="G1405" s="23">
        <f>82550000+71750000+61050000</f>
        <v>215350000</v>
      </c>
      <c r="H1405" s="44">
        <v>24</v>
      </c>
      <c r="I1405" s="23">
        <v>40961064</v>
      </c>
      <c r="J1405" s="44">
        <v>7</v>
      </c>
      <c r="K1405" s="23">
        <v>71750000</v>
      </c>
      <c r="L1405" s="44">
        <v>3</v>
      </c>
      <c r="M1405" s="546">
        <v>6074056</v>
      </c>
      <c r="N1405" s="44">
        <v>1</v>
      </c>
      <c r="O1405" s="23">
        <f>14680383-M1405</f>
        <v>8606327</v>
      </c>
      <c r="P1405" s="44">
        <v>1</v>
      </c>
      <c r="Q1405" s="546">
        <f>21237310-M1405-O1405</f>
        <v>6556927</v>
      </c>
      <c r="R1405" s="44">
        <v>2</v>
      </c>
      <c r="S1405" s="23">
        <f>45950875-M1405-O1405-Q1405</f>
        <v>24713565</v>
      </c>
      <c r="T1405" s="54">
        <f t="shared" si="351"/>
        <v>7</v>
      </c>
      <c r="U1405" s="54">
        <f t="shared" ref="U1405:U1414" si="358">T1405/J1405*100</f>
        <v>100</v>
      </c>
      <c r="V1405" s="35" t="s">
        <v>58</v>
      </c>
      <c r="W1405" s="40">
        <f t="shared" si="352"/>
        <v>45950875</v>
      </c>
      <c r="X1405" s="53">
        <f t="shared" si="353"/>
        <v>64.043031358885017</v>
      </c>
      <c r="Y1405" s="35" t="s">
        <v>58</v>
      </c>
      <c r="Z1405" s="54">
        <f t="shared" si="356"/>
        <v>31</v>
      </c>
      <c r="AA1405" s="40">
        <f t="shared" si="354"/>
        <v>86911939</v>
      </c>
      <c r="AB1405" s="53"/>
      <c r="AC1405" s="35" t="s">
        <v>58</v>
      </c>
      <c r="AD1405" s="53"/>
      <c r="AE1405" s="11"/>
      <c r="AH1405" s="25"/>
    </row>
    <row r="1406" spans="1:34" ht="104.25" customHeight="1">
      <c r="A1406" s="16"/>
      <c r="B1406" s="17"/>
      <c r="C1406" s="26" t="s">
        <v>83</v>
      </c>
      <c r="D1406" s="29" t="s">
        <v>365</v>
      </c>
      <c r="E1406" s="44">
        <f>1*3</f>
        <v>3</v>
      </c>
      <c r="F1406" s="21" t="s">
        <v>138</v>
      </c>
      <c r="G1406" s="23">
        <f>19644000+242820000</f>
        <v>262464000</v>
      </c>
      <c r="H1406" s="44">
        <v>1</v>
      </c>
      <c r="I1406" s="23">
        <v>18072900</v>
      </c>
      <c r="J1406" s="44">
        <v>1</v>
      </c>
      <c r="K1406" s="23">
        <v>242820000</v>
      </c>
      <c r="L1406" s="44" t="s">
        <v>449</v>
      </c>
      <c r="M1406" s="551">
        <v>0</v>
      </c>
      <c r="N1406" s="44">
        <v>1</v>
      </c>
      <c r="O1406" s="23">
        <v>12700000</v>
      </c>
      <c r="P1406" s="44"/>
      <c r="Q1406" s="551">
        <f>12700000-M1406-O1406</f>
        <v>0</v>
      </c>
      <c r="R1406" s="44"/>
      <c r="S1406" s="23">
        <f>172378352-M1406-O1406-Q1406</f>
        <v>159678352</v>
      </c>
      <c r="T1406" s="54">
        <f t="shared" si="351"/>
        <v>1</v>
      </c>
      <c r="U1406" s="54">
        <f t="shared" si="358"/>
        <v>100</v>
      </c>
      <c r="V1406" s="35" t="s">
        <v>58</v>
      </c>
      <c r="W1406" s="40">
        <f t="shared" si="352"/>
        <v>172378352</v>
      </c>
      <c r="X1406" s="53">
        <f t="shared" si="353"/>
        <v>70.990178733218016</v>
      </c>
      <c r="Y1406" s="35" t="s">
        <v>58</v>
      </c>
      <c r="Z1406" s="54">
        <f t="shared" si="356"/>
        <v>2</v>
      </c>
      <c r="AA1406" s="40">
        <f t="shared" si="354"/>
        <v>190451252</v>
      </c>
      <c r="AB1406" s="53"/>
      <c r="AC1406" s="35" t="s">
        <v>58</v>
      </c>
      <c r="AD1406" s="53"/>
      <c r="AE1406" s="11"/>
      <c r="AH1406" s="25"/>
    </row>
    <row r="1407" spans="1:34" ht="146.25" customHeight="1">
      <c r="A1407" s="16"/>
      <c r="B1407" s="17"/>
      <c r="C1407" s="26" t="s">
        <v>84</v>
      </c>
      <c r="D1407" s="360" t="s">
        <v>228</v>
      </c>
      <c r="E1407" s="44">
        <f>8*3</f>
        <v>24</v>
      </c>
      <c r="F1407" s="21" t="s">
        <v>138</v>
      </c>
      <c r="G1407" s="23">
        <f>25244000+4500000+64750000</f>
        <v>94494000</v>
      </c>
      <c r="H1407" s="44">
        <v>24</v>
      </c>
      <c r="I1407" s="23">
        <v>22572900</v>
      </c>
      <c r="J1407" s="44">
        <v>8</v>
      </c>
      <c r="K1407" s="23">
        <v>4500000</v>
      </c>
      <c r="L1407" s="44">
        <v>8</v>
      </c>
      <c r="M1407" s="549">
        <v>625000</v>
      </c>
      <c r="N1407" s="44"/>
      <c r="O1407" s="23">
        <f>1525000-M1407</f>
        <v>900000</v>
      </c>
      <c r="P1407" s="44"/>
      <c r="Q1407" s="551">
        <f>1525000-M1407-O1407</f>
        <v>0</v>
      </c>
      <c r="R1407" s="44"/>
      <c r="S1407" s="23">
        <f>3025000-M1407-O1407-Q1407</f>
        <v>1500000</v>
      </c>
      <c r="T1407" s="54">
        <f t="shared" si="351"/>
        <v>8</v>
      </c>
      <c r="U1407" s="54">
        <f t="shared" si="358"/>
        <v>100</v>
      </c>
      <c r="V1407" s="35" t="s">
        <v>58</v>
      </c>
      <c r="W1407" s="40">
        <f t="shared" si="352"/>
        <v>3025000</v>
      </c>
      <c r="X1407" s="53">
        <f t="shared" si="353"/>
        <v>67.222222222222229</v>
      </c>
      <c r="Y1407" s="35" t="s">
        <v>58</v>
      </c>
      <c r="Z1407" s="54">
        <f t="shared" si="356"/>
        <v>32</v>
      </c>
      <c r="AA1407" s="40">
        <f t="shared" si="354"/>
        <v>25597900</v>
      </c>
      <c r="AB1407" s="53"/>
      <c r="AC1407" s="35" t="s">
        <v>58</v>
      </c>
      <c r="AD1407" s="53"/>
      <c r="AE1407" s="11"/>
      <c r="AH1407" s="25"/>
    </row>
    <row r="1408" spans="1:34" ht="178.5" customHeight="1">
      <c r="A1408" s="48">
        <v>17</v>
      </c>
      <c r="B1408" s="49" t="s">
        <v>1737</v>
      </c>
      <c r="C1408" s="17" t="s">
        <v>1738</v>
      </c>
      <c r="D1408" s="19" t="s">
        <v>1739</v>
      </c>
      <c r="E1408" s="294">
        <f>E1410/69262*100</f>
        <v>8.1170049955242405</v>
      </c>
      <c r="F1408" s="76" t="s">
        <v>58</v>
      </c>
      <c r="G1408" s="552">
        <f>G1410+G1416</f>
        <v>3385093750</v>
      </c>
      <c r="H1408" s="294">
        <f>H1410/65897*100</f>
        <v>4.552559297084844E-3</v>
      </c>
      <c r="I1408" s="552">
        <f>I1410+I1416</f>
        <v>683662500</v>
      </c>
      <c r="J1408" s="294">
        <v>7.94</v>
      </c>
      <c r="K1408" s="552">
        <f>K1410+K1416</f>
        <v>1720817500</v>
      </c>
      <c r="L1408" s="560">
        <f>L1410/67587*100</f>
        <v>0</v>
      </c>
      <c r="M1408" s="552">
        <f>M1410+M1416</f>
        <v>235495600</v>
      </c>
      <c r="N1408" s="561">
        <v>0</v>
      </c>
      <c r="O1408" s="552">
        <f>O1410+O1416</f>
        <v>181849300</v>
      </c>
      <c r="P1408" s="294">
        <v>7.94</v>
      </c>
      <c r="Q1408" s="552">
        <f>Q1410+Q1416</f>
        <v>615611307</v>
      </c>
      <c r="R1408" s="294">
        <v>0</v>
      </c>
      <c r="S1408" s="552">
        <f>S1410+S1416</f>
        <v>470366300</v>
      </c>
      <c r="T1408" s="128">
        <f>SUM(L1408,N1408,P1408,R1408)</f>
        <v>7.94</v>
      </c>
      <c r="U1408" s="57">
        <f t="shared" si="358"/>
        <v>100</v>
      </c>
      <c r="V1408" s="58" t="s">
        <v>58</v>
      </c>
      <c r="W1408" s="56">
        <f t="shared" si="352"/>
        <v>1503322507</v>
      </c>
      <c r="X1408" s="60">
        <f t="shared" si="353"/>
        <v>87.360949490576417</v>
      </c>
      <c r="Y1408" s="48" t="s">
        <v>58</v>
      </c>
      <c r="Z1408" s="128">
        <f t="shared" si="356"/>
        <v>7.9445525592970849</v>
      </c>
      <c r="AA1408" s="56">
        <f t="shared" si="354"/>
        <v>2186985007</v>
      </c>
      <c r="AB1408" s="57"/>
      <c r="AC1408" s="58" t="s">
        <v>58</v>
      </c>
      <c r="AD1408" s="60"/>
      <c r="AE1408" s="11"/>
      <c r="AH1408" s="25"/>
    </row>
    <row r="1409" spans="1:34" ht="135.75" customHeight="1">
      <c r="A1409" s="48">
        <v>17</v>
      </c>
      <c r="B1409" s="49" t="s">
        <v>1740</v>
      </c>
      <c r="C1409" s="18"/>
      <c r="D1409" s="19" t="s">
        <v>1741</v>
      </c>
      <c r="E1409" s="294">
        <f>9236/69262*100</f>
        <v>13.334873379342207</v>
      </c>
      <c r="F1409" s="76" t="s">
        <v>58</v>
      </c>
      <c r="G1409" s="369"/>
      <c r="H1409" s="294">
        <f>18/31*100</f>
        <v>58.064516129032263</v>
      </c>
      <c r="I1409" s="369"/>
      <c r="J1409" s="553">
        <f>8986/67587*100</f>
        <v>13.295456226789176</v>
      </c>
      <c r="K1409" s="369"/>
      <c r="L1409" s="553"/>
      <c r="M1409" s="369"/>
      <c r="N1409" s="294">
        <v>16.05</v>
      </c>
      <c r="O1409" s="369"/>
      <c r="P1409" s="294"/>
      <c r="Q1409" s="369"/>
      <c r="R1409" s="294"/>
      <c r="S1409" s="369"/>
      <c r="T1409" s="128">
        <f>AVERAGE(L1409,N1409,P1409,R1409)</f>
        <v>16.05</v>
      </c>
      <c r="U1409" s="55">
        <f t="shared" si="358"/>
        <v>120.71793345203649</v>
      </c>
      <c r="V1409" s="58" t="s">
        <v>58</v>
      </c>
      <c r="W1409" s="94"/>
      <c r="X1409" s="239"/>
      <c r="Y1409" s="240"/>
      <c r="Z1409" s="128">
        <f t="shared" si="356"/>
        <v>74.114516129032268</v>
      </c>
      <c r="AA1409" s="94"/>
      <c r="AB1409" s="57"/>
      <c r="AC1409" s="58" t="s">
        <v>58</v>
      </c>
      <c r="AD1409" s="239"/>
      <c r="AE1409" s="11"/>
      <c r="AH1409" s="25"/>
    </row>
    <row r="1410" spans="1:34" ht="122.25" customHeight="1">
      <c r="A1410" s="16"/>
      <c r="B1410" s="17"/>
      <c r="C1410" s="1065" t="s">
        <v>1742</v>
      </c>
      <c r="D1410" s="19" t="s">
        <v>1743</v>
      </c>
      <c r="E1410" s="267">
        <v>5622</v>
      </c>
      <c r="F1410" s="46" t="s">
        <v>57</v>
      </c>
      <c r="G1410" s="52">
        <f>SUM(G1412:G1415)</f>
        <v>2862593750</v>
      </c>
      <c r="H1410" s="267">
        <v>3</v>
      </c>
      <c r="I1410" s="52">
        <f>SUM(I1412:I1415)</f>
        <v>503162500</v>
      </c>
      <c r="J1410" s="267">
        <v>6</v>
      </c>
      <c r="K1410" s="52">
        <f>SUM(K1412:K1415)</f>
        <v>1520817500</v>
      </c>
      <c r="L1410" s="45"/>
      <c r="M1410" s="1148">
        <f>SUM(M1412:M1414)</f>
        <v>35495600</v>
      </c>
      <c r="N1410" s="45">
        <v>6</v>
      </c>
      <c r="O1410" s="1148">
        <f>SUM(O1412:O1414)</f>
        <v>181849300</v>
      </c>
      <c r="P1410" s="45"/>
      <c r="Q1410" s="52">
        <f>SUM(Q1412:Q1414)</f>
        <v>615611307</v>
      </c>
      <c r="R1410" s="45"/>
      <c r="S1410" s="52">
        <f>SUM(S1412:S1414)</f>
        <v>470366300</v>
      </c>
      <c r="T1410" s="55">
        <f>SUM(L1410,N1410,P1410,R1410)</f>
        <v>6</v>
      </c>
      <c r="U1410" s="55">
        <f t="shared" si="358"/>
        <v>100</v>
      </c>
      <c r="V1410" s="58" t="s">
        <v>58</v>
      </c>
      <c r="W1410" s="56">
        <f>SUM(M1410,O1410,Q1410,S1410)</f>
        <v>1303322507</v>
      </c>
      <c r="X1410" s="60">
        <f>W1410/K1410*100</f>
        <v>85.698810475287132</v>
      </c>
      <c r="Y1410" s="48" t="s">
        <v>58</v>
      </c>
      <c r="Z1410" s="390">
        <f t="shared" si="356"/>
        <v>9</v>
      </c>
      <c r="AA1410" s="56">
        <f>SUM(I1410,W1410)</f>
        <v>1806485007</v>
      </c>
      <c r="AB1410" s="57"/>
      <c r="AC1410" s="58" t="s">
        <v>58</v>
      </c>
      <c r="AD1410" s="60"/>
      <c r="AE1410" s="11"/>
      <c r="AH1410" s="25"/>
    </row>
    <row r="1411" spans="1:34" ht="260.25" customHeight="1">
      <c r="A1411" s="16"/>
      <c r="B1411" s="17"/>
      <c r="C1411" s="1067"/>
      <c r="D1411" s="19" t="s">
        <v>1744</v>
      </c>
      <c r="E1411" s="45">
        <v>167</v>
      </c>
      <c r="F1411" s="46" t="s">
        <v>57</v>
      </c>
      <c r="G1411" s="84"/>
      <c r="H1411" s="108">
        <v>156</v>
      </c>
      <c r="I1411" s="82"/>
      <c r="J1411" s="45">
        <v>19</v>
      </c>
      <c r="K1411" s="41"/>
      <c r="L1411" s="45">
        <v>0</v>
      </c>
      <c r="M1411" s="1149"/>
      <c r="N1411" s="45">
        <v>19</v>
      </c>
      <c r="O1411" s="1149"/>
      <c r="P1411" s="45"/>
      <c r="Q1411" s="41"/>
      <c r="R1411" s="45"/>
      <c r="S1411" s="41"/>
      <c r="T1411" s="55">
        <f t="shared" si="351"/>
        <v>19</v>
      </c>
      <c r="U1411" s="55">
        <f>T1411/J1411*100</f>
        <v>100</v>
      </c>
      <c r="V1411" s="58" t="s">
        <v>58</v>
      </c>
      <c r="W1411" s="94"/>
      <c r="X1411" s="239"/>
      <c r="Y1411" s="240"/>
      <c r="Z1411" s="55">
        <f t="shared" si="356"/>
        <v>175</v>
      </c>
      <c r="AA1411" s="94"/>
      <c r="AB1411" s="57"/>
      <c r="AC1411" s="58" t="s">
        <v>58</v>
      </c>
      <c r="AD1411" s="239"/>
      <c r="AE1411" s="11"/>
      <c r="AH1411" s="25"/>
    </row>
    <row r="1412" spans="1:34" ht="120">
      <c r="A1412" s="16"/>
      <c r="B1412" s="17"/>
      <c r="C1412" s="436" t="s">
        <v>1745</v>
      </c>
      <c r="D1412" s="440" t="s">
        <v>1746</v>
      </c>
      <c r="E1412" s="20">
        <v>24</v>
      </c>
      <c r="F1412" s="47" t="s">
        <v>57</v>
      </c>
      <c r="G1412" s="23">
        <f>20000000</f>
        <v>20000000</v>
      </c>
      <c r="H1412" s="44"/>
      <c r="I1412" s="22"/>
      <c r="J1412" s="20">
        <v>21</v>
      </c>
      <c r="K1412" s="23">
        <v>320000000</v>
      </c>
      <c r="L1412" s="20" t="s">
        <v>449</v>
      </c>
      <c r="M1412" s="23"/>
      <c r="N1412" s="20">
        <v>5</v>
      </c>
      <c r="O1412" s="23">
        <v>0</v>
      </c>
      <c r="P1412" s="20"/>
      <c r="Q1412" s="546">
        <f>13000000</f>
        <v>13000000</v>
      </c>
      <c r="R1412" s="20"/>
      <c r="S1412" s="23">
        <f>303500000-M1412-O1412-Q1412</f>
        <v>290500000</v>
      </c>
      <c r="T1412" s="54">
        <f t="shared" si="351"/>
        <v>5</v>
      </c>
      <c r="U1412" s="54">
        <f t="shared" si="358"/>
        <v>23.809523809523807</v>
      </c>
      <c r="V1412" s="35" t="s">
        <v>58</v>
      </c>
      <c r="W1412" s="40">
        <f>SUM(M1412,O1412,Q1412,S1412)</f>
        <v>303500000</v>
      </c>
      <c r="X1412" s="53">
        <f>W1412/K1412*100</f>
        <v>94.84375</v>
      </c>
      <c r="Y1412" s="35" t="s">
        <v>58</v>
      </c>
      <c r="Z1412" s="54">
        <f t="shared" si="356"/>
        <v>5</v>
      </c>
      <c r="AA1412" s="40">
        <f t="shared" ref="AA1412:AA1418" si="359">SUM(I1412,W1412)</f>
        <v>303500000</v>
      </c>
      <c r="AB1412" s="53"/>
      <c r="AC1412" s="35" t="s">
        <v>58</v>
      </c>
      <c r="AD1412" s="53"/>
      <c r="AE1412" s="11"/>
      <c r="AH1412" s="25"/>
    </row>
    <row r="1413" spans="1:34" ht="216.75" customHeight="1">
      <c r="A1413" s="16"/>
      <c r="B1413" s="17"/>
      <c r="C1413" s="436" t="s">
        <v>1747</v>
      </c>
      <c r="D1413" s="440" t="s">
        <v>1748</v>
      </c>
      <c r="E1413" s="20">
        <v>124</v>
      </c>
      <c r="F1413" s="47" t="s">
        <v>57</v>
      </c>
      <c r="G1413" s="23">
        <f>355730750+575475000+556378000</f>
        <v>1487583750</v>
      </c>
      <c r="H1413" s="44">
        <v>156</v>
      </c>
      <c r="I1413" s="22">
        <v>357557500</v>
      </c>
      <c r="J1413" s="20">
        <v>121</v>
      </c>
      <c r="K1413" s="23">
        <v>575475000</v>
      </c>
      <c r="L1413" s="20">
        <v>0</v>
      </c>
      <c r="M1413" s="546">
        <v>15758100</v>
      </c>
      <c r="N1413" s="20">
        <v>106</v>
      </c>
      <c r="O1413" s="23">
        <f>138807400-M1413</f>
        <v>123049300</v>
      </c>
      <c r="P1413" s="20"/>
      <c r="Q1413" s="546">
        <f>199831700-M1413-O1413</f>
        <v>61024300</v>
      </c>
      <c r="R1413" s="20"/>
      <c r="S1413" s="23">
        <f>378323500-M1413-O1413-Q1413</f>
        <v>178491800</v>
      </c>
      <c r="T1413" s="54">
        <f t="shared" si="351"/>
        <v>106</v>
      </c>
      <c r="U1413" s="54">
        <f t="shared" si="358"/>
        <v>87.603305785123965</v>
      </c>
      <c r="V1413" s="35" t="s">
        <v>58</v>
      </c>
      <c r="W1413" s="40">
        <f>SUM(M1413,O1413,Q1413,S1413)</f>
        <v>378323500</v>
      </c>
      <c r="X1413" s="53">
        <f>W1413/K1413*100</f>
        <v>65.74108345279987</v>
      </c>
      <c r="Y1413" s="35" t="s">
        <v>58</v>
      </c>
      <c r="Z1413" s="54">
        <f t="shared" si="356"/>
        <v>262</v>
      </c>
      <c r="AA1413" s="40">
        <f t="shared" si="359"/>
        <v>735881000</v>
      </c>
      <c r="AB1413" s="53"/>
      <c r="AC1413" s="35" t="s">
        <v>58</v>
      </c>
      <c r="AD1413" s="53"/>
      <c r="AE1413" s="11"/>
      <c r="AH1413" s="25"/>
    </row>
    <row r="1414" spans="1:34" ht="183" customHeight="1">
      <c r="A1414" s="16"/>
      <c r="B1414" s="17"/>
      <c r="C1414" s="436" t="s">
        <v>1749</v>
      </c>
      <c r="D1414" s="440" t="s">
        <v>1750</v>
      </c>
      <c r="E1414" s="20"/>
      <c r="F1414" s="47" t="s">
        <v>57</v>
      </c>
      <c r="G1414" s="23">
        <f>625342500+439217500</f>
        <v>1064560000</v>
      </c>
      <c r="H1414" s="44"/>
      <c r="I1414" s="22"/>
      <c r="J1414" s="20">
        <v>44</v>
      </c>
      <c r="K1414" s="23">
        <v>625342500</v>
      </c>
      <c r="L1414" s="20">
        <v>0</v>
      </c>
      <c r="M1414" s="546">
        <v>19737500</v>
      </c>
      <c r="N1414" s="20">
        <v>44</v>
      </c>
      <c r="O1414" s="23">
        <f>78537500-M1414</f>
        <v>58800000</v>
      </c>
      <c r="P1414" s="20"/>
      <c r="Q1414" s="546">
        <f>620124507-M1414-O1414</f>
        <v>541587007</v>
      </c>
      <c r="R1414" s="20"/>
      <c r="S1414" s="23">
        <f>621499007-M1414-O1414-Q1414</f>
        <v>1374500</v>
      </c>
      <c r="T1414" s="54">
        <f t="shared" si="351"/>
        <v>44</v>
      </c>
      <c r="U1414" s="54">
        <f t="shared" si="358"/>
        <v>100</v>
      </c>
      <c r="V1414" s="35" t="s">
        <v>58</v>
      </c>
      <c r="W1414" s="40">
        <f>SUM(M1414,O1414,Q1414,S1414)</f>
        <v>621499007</v>
      </c>
      <c r="X1414" s="53">
        <f>W1414/K1414*100</f>
        <v>99.385377932892766</v>
      </c>
      <c r="Y1414" s="35" t="s">
        <v>58</v>
      </c>
      <c r="Z1414" s="54">
        <f t="shared" si="356"/>
        <v>44</v>
      </c>
      <c r="AA1414" s="40">
        <f t="shared" si="359"/>
        <v>621499007</v>
      </c>
      <c r="AB1414" s="53"/>
      <c r="AC1414" s="35" t="s">
        <v>58</v>
      </c>
      <c r="AD1414" s="53"/>
      <c r="AE1414" s="11"/>
      <c r="AH1414" s="25"/>
    </row>
    <row r="1415" spans="1:34" ht="270">
      <c r="A1415" s="16"/>
      <c r="B1415" s="17"/>
      <c r="C1415" s="26" t="s">
        <v>1751</v>
      </c>
      <c r="D1415" s="29" t="s">
        <v>1752</v>
      </c>
      <c r="E1415" s="20">
        <v>156</v>
      </c>
      <c r="F1415" s="47" t="s">
        <v>55</v>
      </c>
      <c r="G1415" s="23">
        <v>290450000</v>
      </c>
      <c r="H1415" s="44">
        <v>156</v>
      </c>
      <c r="I1415" s="22">
        <v>145605000</v>
      </c>
      <c r="J1415" s="20"/>
      <c r="K1415" s="23"/>
      <c r="L1415" s="20"/>
      <c r="M1415" s="23"/>
      <c r="N1415" s="20"/>
      <c r="O1415" s="23"/>
      <c r="P1415" s="20"/>
      <c r="Q1415" s="23"/>
      <c r="R1415" s="20"/>
      <c r="S1415" s="23"/>
      <c r="T1415" s="54"/>
      <c r="U1415" s="54"/>
      <c r="V1415" s="35"/>
      <c r="W1415" s="40"/>
      <c r="X1415" s="53"/>
      <c r="Y1415" s="35"/>
      <c r="Z1415" s="54">
        <f t="shared" si="356"/>
        <v>156</v>
      </c>
      <c r="AA1415" s="40">
        <f t="shared" si="359"/>
        <v>145605000</v>
      </c>
      <c r="AB1415" s="53"/>
      <c r="AC1415" s="35" t="s">
        <v>58</v>
      </c>
      <c r="AD1415" s="53"/>
      <c r="AE1415" s="11"/>
      <c r="AH1415" s="25"/>
    </row>
    <row r="1416" spans="1:34" ht="160.5" customHeight="1">
      <c r="A1416" s="16"/>
      <c r="B1416" s="17"/>
      <c r="C1416" s="18" t="s">
        <v>1753</v>
      </c>
      <c r="D1416" s="19" t="s">
        <v>1754</v>
      </c>
      <c r="E1416" s="107">
        <v>47.61</v>
      </c>
      <c r="F1416" s="76" t="s">
        <v>58</v>
      </c>
      <c r="G1416" s="42">
        <f>G1417</f>
        <v>522500000</v>
      </c>
      <c r="H1416" s="267">
        <v>24</v>
      </c>
      <c r="I1416" s="42">
        <f>I1417</f>
        <v>180500000</v>
      </c>
      <c r="J1416" s="107">
        <v>19</v>
      </c>
      <c r="K1416" s="42">
        <f>K1417</f>
        <v>200000000</v>
      </c>
      <c r="L1416" s="267">
        <f>L1417</f>
        <v>0</v>
      </c>
      <c r="M1416" s="42">
        <f>M1417</f>
        <v>200000000</v>
      </c>
      <c r="N1416" s="107">
        <v>19</v>
      </c>
      <c r="O1416" s="42">
        <f>O1417</f>
        <v>0</v>
      </c>
      <c r="P1416" s="267"/>
      <c r="Q1416" s="42">
        <f>Q1417</f>
        <v>0</v>
      </c>
      <c r="R1416" s="267"/>
      <c r="S1416" s="42">
        <f>S1417</f>
        <v>0</v>
      </c>
      <c r="T1416" s="249">
        <f t="shared" ref="T1416:T1436" si="360">SUM(L1416,N1416,P1416,R1416)</f>
        <v>19</v>
      </c>
      <c r="U1416" s="55">
        <f t="shared" ref="U1416:U1436" si="361">T1416/J1416*100</f>
        <v>100</v>
      </c>
      <c r="V1416" s="58" t="s">
        <v>58</v>
      </c>
      <c r="W1416" s="59">
        <f>SUM(M1416,O1416,Q1416,S1416)</f>
        <v>200000000</v>
      </c>
      <c r="X1416" s="57">
        <f>W1416/K1416*100</f>
        <v>100</v>
      </c>
      <c r="Y1416" s="58" t="s">
        <v>58</v>
      </c>
      <c r="Z1416" s="554">
        <f t="shared" si="356"/>
        <v>43</v>
      </c>
      <c r="AA1416" s="59">
        <f t="shared" si="359"/>
        <v>380500000</v>
      </c>
      <c r="AB1416" s="57"/>
      <c r="AC1416" s="58" t="s">
        <v>58</v>
      </c>
      <c r="AD1416" s="57"/>
      <c r="AE1416" s="11"/>
      <c r="AH1416" s="25"/>
    </row>
    <row r="1417" spans="1:34" ht="125.25" customHeight="1">
      <c r="A1417" s="16"/>
      <c r="B1417" s="17"/>
      <c r="C1417" s="26" t="s">
        <v>1755</v>
      </c>
      <c r="D1417" s="29" t="s">
        <v>1756</v>
      </c>
      <c r="E1417" s="20">
        <f>5+8+11</f>
        <v>24</v>
      </c>
      <c r="F1417" s="47" t="s">
        <v>55</v>
      </c>
      <c r="G1417" s="23">
        <f>180500000+200000000+142000000</f>
        <v>522500000</v>
      </c>
      <c r="H1417" s="20">
        <v>24</v>
      </c>
      <c r="I1417" s="22">
        <v>180500000</v>
      </c>
      <c r="J1417" s="20">
        <v>1</v>
      </c>
      <c r="K1417" s="23">
        <v>200000000</v>
      </c>
      <c r="L1417" s="20">
        <v>0</v>
      </c>
      <c r="M1417" s="546">
        <v>200000000</v>
      </c>
      <c r="N1417" s="20">
        <v>1</v>
      </c>
      <c r="O1417" s="23">
        <v>0</v>
      </c>
      <c r="P1417" s="20"/>
      <c r="Q1417" s="546">
        <v>0</v>
      </c>
      <c r="R1417" s="20"/>
      <c r="S1417" s="23">
        <v>0</v>
      </c>
      <c r="T1417" s="54">
        <f t="shared" si="360"/>
        <v>1</v>
      </c>
      <c r="U1417" s="54">
        <f t="shared" si="361"/>
        <v>100</v>
      </c>
      <c r="V1417" s="35" t="s">
        <v>58</v>
      </c>
      <c r="W1417" s="40">
        <f>SUM(M1417,O1417,Q1417,S1417)</f>
        <v>200000000</v>
      </c>
      <c r="X1417" s="53">
        <f>W1417/K1417*100</f>
        <v>100</v>
      </c>
      <c r="Y1417" s="35" t="s">
        <v>58</v>
      </c>
      <c r="Z1417" s="54">
        <f t="shared" si="356"/>
        <v>25</v>
      </c>
      <c r="AA1417" s="40">
        <f t="shared" si="359"/>
        <v>380500000</v>
      </c>
      <c r="AB1417" s="53"/>
      <c r="AC1417" s="35" t="s">
        <v>58</v>
      </c>
      <c r="AD1417" s="53"/>
      <c r="AE1417" s="11"/>
      <c r="AH1417" s="25"/>
    </row>
    <row r="1418" spans="1:34" s="78" customFormat="1" ht="165.75" customHeight="1">
      <c r="A1418" s="16"/>
      <c r="B1418" s="18" t="s">
        <v>1757</v>
      </c>
      <c r="C1418" s="17" t="s">
        <v>1758</v>
      </c>
      <c r="D1418" s="19" t="s">
        <v>1759</v>
      </c>
      <c r="E1418" s="562">
        <v>12</v>
      </c>
      <c r="F1418" s="76" t="s">
        <v>1044</v>
      </c>
      <c r="G1418" s="552">
        <f>G1424+G1430+G1428</f>
        <v>31189559945</v>
      </c>
      <c r="H1418" s="563">
        <v>4</v>
      </c>
      <c r="I1418" s="552">
        <f>I1424+I1430+I1428</f>
        <v>4306769450</v>
      </c>
      <c r="J1418" s="267">
        <v>47</v>
      </c>
      <c r="K1418" s="552">
        <f>K1424+K1422+K1430+K1428</f>
        <v>29129071191</v>
      </c>
      <c r="L1418" s="267">
        <v>0</v>
      </c>
      <c r="M1418" s="552">
        <f>M1424+M1428+M1430</f>
        <v>1149127800</v>
      </c>
      <c r="N1418" s="267">
        <v>0</v>
      </c>
      <c r="O1418" s="552">
        <f>O1424+O1428+O1430</f>
        <v>10985999490</v>
      </c>
      <c r="P1418" s="267"/>
      <c r="Q1418" s="552">
        <f>Q1424+Q1428+Q1430</f>
        <v>2054525850</v>
      </c>
      <c r="R1418" s="267">
        <v>47</v>
      </c>
      <c r="S1418" s="552">
        <f>S1424+S1428+S1430</f>
        <v>8687543520</v>
      </c>
      <c r="T1418" s="55">
        <f t="shared" si="360"/>
        <v>47</v>
      </c>
      <c r="U1418" s="55">
        <f t="shared" si="361"/>
        <v>100</v>
      </c>
      <c r="V1418" s="58" t="s">
        <v>58</v>
      </c>
      <c r="W1418" s="56">
        <f>SUM(M1418,O1418,Q1418,S1418)</f>
        <v>22877196660</v>
      </c>
      <c r="X1418" s="60">
        <f>W1418/K1418*100</f>
        <v>78.537336497939421</v>
      </c>
      <c r="Y1418" s="48" t="s">
        <v>58</v>
      </c>
      <c r="Z1418" s="55">
        <f t="shared" si="356"/>
        <v>51</v>
      </c>
      <c r="AA1418" s="56">
        <f t="shared" si="359"/>
        <v>27183966110</v>
      </c>
      <c r="AB1418" s="57"/>
      <c r="AC1418" s="58" t="s">
        <v>58</v>
      </c>
      <c r="AD1418" s="60"/>
      <c r="AE1418" s="77"/>
      <c r="AH1418" s="79"/>
    </row>
    <row r="1419" spans="1:34" s="78" customFormat="1" ht="164.25" customHeight="1">
      <c r="A1419" s="16"/>
      <c r="B1419" s="18" t="s">
        <v>1760</v>
      </c>
      <c r="C1419" s="18"/>
      <c r="D1419" s="19" t="s">
        <v>1761</v>
      </c>
      <c r="E1419" s="562">
        <v>9</v>
      </c>
      <c r="F1419" s="76" t="s">
        <v>1044</v>
      </c>
      <c r="G1419" s="369"/>
      <c r="H1419" s="563">
        <v>5</v>
      </c>
      <c r="I1419" s="369"/>
      <c r="J1419" s="267">
        <v>34</v>
      </c>
      <c r="K1419" s="369"/>
      <c r="L1419" s="267">
        <v>0</v>
      </c>
      <c r="M1419" s="369"/>
      <c r="N1419" s="267">
        <v>0</v>
      </c>
      <c r="O1419" s="369"/>
      <c r="P1419" s="267">
        <v>34</v>
      </c>
      <c r="Q1419" s="369"/>
      <c r="R1419" s="267"/>
      <c r="S1419" s="369"/>
      <c r="T1419" s="55">
        <f t="shared" si="360"/>
        <v>34</v>
      </c>
      <c r="U1419" s="55">
        <f t="shared" si="361"/>
        <v>100</v>
      </c>
      <c r="V1419" s="58" t="s">
        <v>58</v>
      </c>
      <c r="W1419" s="94"/>
      <c r="X1419" s="239"/>
      <c r="Y1419" s="240"/>
      <c r="Z1419" s="55">
        <f t="shared" si="356"/>
        <v>39</v>
      </c>
      <c r="AA1419" s="94"/>
      <c r="AB1419" s="57"/>
      <c r="AC1419" s="58" t="s">
        <v>58</v>
      </c>
      <c r="AD1419" s="239"/>
      <c r="AE1419" s="77"/>
      <c r="AH1419" s="79"/>
    </row>
    <row r="1420" spans="1:34" s="78" customFormat="1" ht="102.75" customHeight="1">
      <c r="A1420" s="16"/>
      <c r="B1420" s="19" t="s">
        <v>1762</v>
      </c>
      <c r="C1420" s="18"/>
      <c r="D1420" s="19" t="s">
        <v>1763</v>
      </c>
      <c r="E1420" s="562"/>
      <c r="F1420" s="76" t="s">
        <v>1044</v>
      </c>
      <c r="G1420" s="431"/>
      <c r="H1420" s="563"/>
      <c r="I1420" s="431"/>
      <c r="J1420" s="267">
        <v>60</v>
      </c>
      <c r="K1420" s="431"/>
      <c r="L1420" s="267"/>
      <c r="M1420" s="431"/>
      <c r="N1420" s="267"/>
      <c r="O1420" s="431"/>
      <c r="P1420" s="267">
        <v>60</v>
      </c>
      <c r="Q1420" s="431"/>
      <c r="R1420" s="267"/>
      <c r="S1420" s="431"/>
      <c r="T1420" s="55">
        <f t="shared" si="360"/>
        <v>60</v>
      </c>
      <c r="U1420" s="55">
        <f t="shared" si="361"/>
        <v>100</v>
      </c>
      <c r="V1420" s="58" t="s">
        <v>58</v>
      </c>
      <c r="W1420" s="276"/>
      <c r="X1420" s="241"/>
      <c r="Y1420" s="16"/>
      <c r="Z1420" s="55"/>
      <c r="AA1420" s="276"/>
      <c r="AB1420" s="57"/>
      <c r="AC1420" s="58"/>
      <c r="AD1420" s="241"/>
      <c r="AE1420" s="77"/>
      <c r="AH1420" s="79"/>
    </row>
    <row r="1421" spans="1:34" s="78" customFormat="1" ht="123.75" customHeight="1">
      <c r="A1421" s="16"/>
      <c r="B1421" s="17" t="s">
        <v>1764</v>
      </c>
      <c r="C1421" s="18"/>
      <c r="D1421" s="19" t="s">
        <v>1765</v>
      </c>
      <c r="E1421" s="562"/>
      <c r="F1421" s="76" t="s">
        <v>1044</v>
      </c>
      <c r="G1421" s="431"/>
      <c r="H1421" s="563"/>
      <c r="I1421" s="431"/>
      <c r="J1421" s="267">
        <v>80</v>
      </c>
      <c r="K1421" s="431"/>
      <c r="L1421" s="267"/>
      <c r="M1421" s="431"/>
      <c r="N1421" s="267"/>
      <c r="O1421" s="431"/>
      <c r="P1421" s="267"/>
      <c r="Q1421" s="431"/>
      <c r="R1421" s="267">
        <v>80</v>
      </c>
      <c r="S1421" s="431"/>
      <c r="T1421" s="55">
        <f t="shared" si="360"/>
        <v>80</v>
      </c>
      <c r="U1421" s="55">
        <f t="shared" si="361"/>
        <v>100</v>
      </c>
      <c r="V1421" s="58" t="s">
        <v>58</v>
      </c>
      <c r="W1421" s="276"/>
      <c r="X1421" s="241"/>
      <c r="Y1421" s="16"/>
      <c r="Z1421" s="55"/>
      <c r="AA1421" s="276"/>
      <c r="AB1421" s="57"/>
      <c r="AC1421" s="58"/>
      <c r="AD1421" s="241"/>
      <c r="AE1421" s="77"/>
      <c r="AH1421" s="79"/>
    </row>
    <row r="1422" spans="1:34" s="78" customFormat="1" ht="173.25" customHeight="1">
      <c r="A1422" s="16"/>
      <c r="B1422" s="17"/>
      <c r="C1422" s="19" t="s">
        <v>1766</v>
      </c>
      <c r="D1422" s="19" t="s">
        <v>1767</v>
      </c>
      <c r="E1422" s="45"/>
      <c r="F1422" s="76" t="s">
        <v>58</v>
      </c>
      <c r="G1422" s="52">
        <f>SUM(G1423)</f>
        <v>5237496882</v>
      </c>
      <c r="H1422" s="45"/>
      <c r="I1422" s="52">
        <f>SUM(I1423)</f>
        <v>0</v>
      </c>
      <c r="J1422" s="45">
        <v>100</v>
      </c>
      <c r="K1422" s="52">
        <f>K1423</f>
        <v>5237496882</v>
      </c>
      <c r="L1422" s="45">
        <f>L1423</f>
        <v>0</v>
      </c>
      <c r="M1422" s="52">
        <f>M1423</f>
        <v>2500000</v>
      </c>
      <c r="N1422" s="45"/>
      <c r="O1422" s="52">
        <f>O1423</f>
        <v>176218000</v>
      </c>
      <c r="P1422" s="45"/>
      <c r="Q1422" s="52">
        <f>Q1423</f>
        <v>577074960</v>
      </c>
      <c r="R1422" s="45"/>
      <c r="S1422" s="52">
        <f>S1423</f>
        <v>3817057691</v>
      </c>
      <c r="T1422" s="55">
        <f t="shared" si="360"/>
        <v>0</v>
      </c>
      <c r="U1422" s="55">
        <f t="shared" si="361"/>
        <v>0</v>
      </c>
      <c r="V1422" s="58" t="s">
        <v>58</v>
      </c>
      <c r="W1422" s="56">
        <f>SUM(M1422,O1422,Q1422,S1422)</f>
        <v>4572850651</v>
      </c>
      <c r="X1422" s="60">
        <f>W1422/K1422*100</f>
        <v>87.309849609949609</v>
      </c>
      <c r="Y1422" s="48" t="s">
        <v>58</v>
      </c>
      <c r="Z1422" s="55">
        <f t="shared" ref="Z1422:Z1423" si="362">SUM(H1422,T1422)</f>
        <v>0</v>
      </c>
      <c r="AA1422" s="56">
        <f>SUM(I1422,W1422)</f>
        <v>4572850651</v>
      </c>
      <c r="AB1422" s="57"/>
      <c r="AC1422" s="58" t="s">
        <v>58</v>
      </c>
      <c r="AD1422" s="60"/>
      <c r="AE1422" s="77"/>
      <c r="AH1422" s="79"/>
    </row>
    <row r="1423" spans="1:34" ht="150">
      <c r="A1423" s="16"/>
      <c r="B1423" s="17"/>
      <c r="C1423" s="26" t="s">
        <v>1768</v>
      </c>
      <c r="D1423" s="29" t="s">
        <v>1769</v>
      </c>
      <c r="E1423" s="20"/>
      <c r="F1423" s="47" t="s">
        <v>55</v>
      </c>
      <c r="G1423" s="23">
        <f>5237496882</f>
        <v>5237496882</v>
      </c>
      <c r="H1423" s="20"/>
      <c r="I1423" s="22"/>
      <c r="J1423" s="20">
        <v>1</v>
      </c>
      <c r="K1423" s="23">
        <v>5237496882</v>
      </c>
      <c r="L1423" s="20">
        <v>0</v>
      </c>
      <c r="M1423" s="23">
        <v>2500000</v>
      </c>
      <c r="N1423" s="20">
        <v>0</v>
      </c>
      <c r="O1423" s="23">
        <f>178718000-M1423</f>
        <v>176218000</v>
      </c>
      <c r="P1423" s="20"/>
      <c r="Q1423" s="546">
        <f>755792960-M1423-O1423</f>
        <v>577074960</v>
      </c>
      <c r="R1423" s="20">
        <v>1</v>
      </c>
      <c r="S1423" s="23">
        <f>4572850651-M1423-O1423-Q1423</f>
        <v>3817057691</v>
      </c>
      <c r="T1423" s="54">
        <f t="shared" si="360"/>
        <v>1</v>
      </c>
      <c r="U1423" s="54">
        <f t="shared" si="361"/>
        <v>100</v>
      </c>
      <c r="V1423" s="35" t="s">
        <v>58</v>
      </c>
      <c r="W1423" s="40">
        <f>SUM(M1423,O1423,Q1423,S1423)</f>
        <v>4572850651</v>
      </c>
      <c r="X1423" s="53">
        <f>W1423/K1423*100</f>
        <v>87.309849609949609</v>
      </c>
      <c r="Y1423" s="35" t="s">
        <v>58</v>
      </c>
      <c r="Z1423" s="54">
        <f t="shared" si="362"/>
        <v>1</v>
      </c>
      <c r="AA1423" s="40">
        <f>SUM(I1423,W1423)</f>
        <v>4572850651</v>
      </c>
      <c r="AB1423" s="53"/>
      <c r="AC1423" s="35" t="s">
        <v>58</v>
      </c>
      <c r="AD1423" s="53"/>
      <c r="AE1423" s="11"/>
      <c r="AH1423" s="25"/>
    </row>
    <row r="1424" spans="1:34" s="78" customFormat="1" ht="149.25" customHeight="1">
      <c r="A1424" s="16"/>
      <c r="B1424" s="17"/>
      <c r="C1424" s="17" t="s">
        <v>1770</v>
      </c>
      <c r="D1424" s="1065" t="s">
        <v>1767</v>
      </c>
      <c r="E1424" s="45">
        <f>E1426</f>
        <v>32</v>
      </c>
      <c r="F1424" s="76" t="s">
        <v>1771</v>
      </c>
      <c r="G1424" s="52">
        <f>SUM(G1426:G1427)</f>
        <v>9382738950</v>
      </c>
      <c r="H1424" s="45">
        <v>14</v>
      </c>
      <c r="I1424" s="52">
        <f>SUM(I1426:I1427)</f>
        <v>753227500</v>
      </c>
      <c r="J1424" s="45">
        <v>180</v>
      </c>
      <c r="K1424" s="52">
        <f>SUM(K1426:K1427)</f>
        <v>7422784524</v>
      </c>
      <c r="L1424" s="45">
        <v>0</v>
      </c>
      <c r="M1424" s="52">
        <f>SUM(M1426:M1427)</f>
        <v>21761100</v>
      </c>
      <c r="N1424" s="45"/>
      <c r="O1424" s="52">
        <f>SUM(O1426:O1427)</f>
        <v>36198600</v>
      </c>
      <c r="P1424" s="45">
        <v>180</v>
      </c>
      <c r="Q1424" s="52">
        <f>SUM(Q1426:Q1427)</f>
        <v>847667000</v>
      </c>
      <c r="R1424" s="45"/>
      <c r="S1424" s="52">
        <f>SUM(S1426:S1427)</f>
        <v>6326048600</v>
      </c>
      <c r="T1424" s="55">
        <f t="shared" si="360"/>
        <v>180</v>
      </c>
      <c r="U1424" s="55">
        <f t="shared" si="361"/>
        <v>100</v>
      </c>
      <c r="V1424" s="58" t="s">
        <v>58</v>
      </c>
      <c r="W1424" s="56">
        <f>SUM(M1424,O1424,Q1424,S1424)</f>
        <v>7231675300</v>
      </c>
      <c r="X1424" s="60">
        <f>W1424/K1424*100</f>
        <v>97.425370177699634</v>
      </c>
      <c r="Y1424" s="48" t="s">
        <v>58</v>
      </c>
      <c r="Z1424" s="55">
        <f t="shared" si="356"/>
        <v>194</v>
      </c>
      <c r="AA1424" s="56">
        <f>SUM(I1424,W1424)</f>
        <v>7984902800</v>
      </c>
      <c r="AB1424" s="57"/>
      <c r="AC1424" s="58" t="s">
        <v>58</v>
      </c>
      <c r="AD1424" s="60"/>
      <c r="AE1424" s="77"/>
      <c r="AH1424" s="79"/>
    </row>
    <row r="1425" spans="1:34" s="78" customFormat="1" ht="138" customHeight="1">
      <c r="A1425" s="16"/>
      <c r="B1425" s="17"/>
      <c r="C1425" s="18"/>
      <c r="D1425" s="1067"/>
      <c r="E1425" s="45">
        <v>100</v>
      </c>
      <c r="F1425" s="76" t="s">
        <v>58</v>
      </c>
      <c r="G1425" s="240"/>
      <c r="H1425" s="45">
        <f>H1427/26*100</f>
        <v>100</v>
      </c>
      <c r="I1425" s="430"/>
      <c r="J1425" s="45">
        <v>100</v>
      </c>
      <c r="K1425" s="41"/>
      <c r="L1425" s="45">
        <v>0</v>
      </c>
      <c r="M1425" s="41"/>
      <c r="N1425" s="45"/>
      <c r="O1425" s="41"/>
      <c r="P1425" s="45"/>
      <c r="Q1425" s="41"/>
      <c r="R1425" s="45"/>
      <c r="S1425" s="41"/>
      <c r="T1425" s="55">
        <f t="shared" si="360"/>
        <v>0</v>
      </c>
      <c r="U1425" s="55">
        <f t="shared" si="361"/>
        <v>0</v>
      </c>
      <c r="V1425" s="58" t="s">
        <v>58</v>
      </c>
      <c r="W1425" s="94"/>
      <c r="X1425" s="239"/>
      <c r="Y1425" s="240"/>
      <c r="Z1425" s="55">
        <f t="shared" si="356"/>
        <v>100</v>
      </c>
      <c r="AA1425" s="94"/>
      <c r="AB1425" s="57"/>
      <c r="AC1425" s="58" t="s">
        <v>58</v>
      </c>
      <c r="AD1425" s="239"/>
      <c r="AE1425" s="77"/>
      <c r="AH1425" s="79"/>
    </row>
    <row r="1426" spans="1:34" ht="135">
      <c r="A1426" s="16"/>
      <c r="B1426" s="17"/>
      <c r="C1426" s="26" t="s">
        <v>1772</v>
      </c>
      <c r="D1426" s="29" t="s">
        <v>1773</v>
      </c>
      <c r="E1426" s="20">
        <f>12+8+12</f>
        <v>32</v>
      </c>
      <c r="F1426" s="47" t="s">
        <v>57</v>
      </c>
      <c r="G1426" s="23">
        <f>674527500+904784250+1424427200</f>
        <v>3003738950</v>
      </c>
      <c r="H1426" s="20">
        <v>14</v>
      </c>
      <c r="I1426" s="22">
        <v>674527500</v>
      </c>
      <c r="J1426" s="20">
        <v>180</v>
      </c>
      <c r="K1426" s="23">
        <v>904784250</v>
      </c>
      <c r="L1426" s="20">
        <v>0</v>
      </c>
      <c r="M1426" s="551">
        <v>21761100</v>
      </c>
      <c r="N1426" s="20">
        <v>0</v>
      </c>
      <c r="O1426" s="23">
        <f>57959700-M1426</f>
        <v>36198600</v>
      </c>
      <c r="P1426" s="20">
        <v>180</v>
      </c>
      <c r="Q1426" s="551">
        <f>856626700-M1426-O1426</f>
        <v>798667000</v>
      </c>
      <c r="R1426" s="20"/>
      <c r="S1426" s="23">
        <f>865675300-M1426-O1426-Q1426</f>
        <v>9048600</v>
      </c>
      <c r="T1426" s="54">
        <f t="shared" si="360"/>
        <v>180</v>
      </c>
      <c r="U1426" s="54">
        <f t="shared" si="361"/>
        <v>100</v>
      </c>
      <c r="V1426" s="35" t="s">
        <v>58</v>
      </c>
      <c r="W1426" s="40">
        <f>SUM(M1426,O1426,Q1426,S1426)</f>
        <v>865675300</v>
      </c>
      <c r="X1426" s="53">
        <f>W1426/K1426*100</f>
        <v>95.677538595527054</v>
      </c>
      <c r="Y1426" s="35" t="s">
        <v>58</v>
      </c>
      <c r="Z1426" s="54">
        <f t="shared" si="356"/>
        <v>194</v>
      </c>
      <c r="AA1426" s="40">
        <f>SUM(I1426,W1426)</f>
        <v>1540202800</v>
      </c>
      <c r="AB1426" s="53"/>
      <c r="AC1426" s="35" t="s">
        <v>58</v>
      </c>
      <c r="AD1426" s="53"/>
      <c r="AE1426" s="11"/>
      <c r="AH1426" s="25"/>
    </row>
    <row r="1427" spans="1:34" ht="105">
      <c r="A1427" s="16"/>
      <c r="B1427" s="17"/>
      <c r="C1427" s="436" t="s">
        <v>1774</v>
      </c>
      <c r="D1427" s="440" t="s">
        <v>1775</v>
      </c>
      <c r="E1427" s="20">
        <v>5</v>
      </c>
      <c r="F1427" s="47" t="s">
        <v>57</v>
      </c>
      <c r="G1427" s="23">
        <f>79000000+6300000000</f>
        <v>6379000000</v>
      </c>
      <c r="H1427" s="20">
        <v>26</v>
      </c>
      <c r="I1427" s="22">
        <v>78700000</v>
      </c>
      <c r="J1427" s="20">
        <v>40</v>
      </c>
      <c r="K1427" s="23">
        <v>6518000274</v>
      </c>
      <c r="L1427" s="20">
        <v>0</v>
      </c>
      <c r="M1427" s="546">
        <v>0</v>
      </c>
      <c r="N1427" s="20">
        <v>0</v>
      </c>
      <c r="O1427" s="23">
        <v>0</v>
      </c>
      <c r="P1427" s="20">
        <v>40</v>
      </c>
      <c r="Q1427" s="546">
        <f>49000000</f>
        <v>49000000</v>
      </c>
      <c r="R1427" s="20"/>
      <c r="S1427" s="23">
        <f>6366000000-M1427-O1427-Q1427</f>
        <v>6317000000</v>
      </c>
      <c r="T1427" s="54">
        <f t="shared" si="360"/>
        <v>40</v>
      </c>
      <c r="U1427" s="54">
        <f t="shared" si="361"/>
        <v>100</v>
      </c>
      <c r="V1427" s="35" t="s">
        <v>58</v>
      </c>
      <c r="W1427" s="40">
        <f>SUM(M1427,O1427,Q1427,S1427)</f>
        <v>6366000000</v>
      </c>
      <c r="X1427" s="53">
        <f>W1427/K1427*100</f>
        <v>97.667992212177069</v>
      </c>
      <c r="Y1427" s="35" t="s">
        <v>58</v>
      </c>
      <c r="Z1427" s="54">
        <f t="shared" si="356"/>
        <v>66</v>
      </c>
      <c r="AA1427" s="40">
        <f>SUM(I1427,W1427)</f>
        <v>6444700000</v>
      </c>
      <c r="AB1427" s="53"/>
      <c r="AC1427" s="35" t="s">
        <v>58</v>
      </c>
      <c r="AD1427" s="53"/>
      <c r="AE1427" s="11"/>
      <c r="AH1427" s="25"/>
    </row>
    <row r="1428" spans="1:34" s="78" customFormat="1" ht="131.25" customHeight="1">
      <c r="A1428" s="16"/>
      <c r="B1428" s="17"/>
      <c r="C1428" s="18" t="s">
        <v>1776</v>
      </c>
      <c r="D1428" s="19" t="s">
        <v>1777</v>
      </c>
      <c r="E1428" s="45">
        <f>E1429</f>
        <v>8</v>
      </c>
      <c r="F1428" s="76" t="s">
        <v>1778</v>
      </c>
      <c r="G1428" s="42">
        <f>G1429</f>
        <v>15193098750</v>
      </c>
      <c r="H1428" s="45">
        <v>4</v>
      </c>
      <c r="I1428" s="42">
        <f t="shared" ref="I1428:O1428" si="363">I1429</f>
        <v>2660000000</v>
      </c>
      <c r="J1428" s="45">
        <f t="shared" si="363"/>
        <v>3</v>
      </c>
      <c r="K1428" s="42">
        <f t="shared" si="363"/>
        <v>11220000000</v>
      </c>
      <c r="L1428" s="45">
        <f t="shared" si="363"/>
        <v>1</v>
      </c>
      <c r="M1428" s="42">
        <f t="shared" si="363"/>
        <v>1000000000</v>
      </c>
      <c r="N1428" s="45">
        <f t="shared" si="363"/>
        <v>2</v>
      </c>
      <c r="O1428" s="42">
        <f t="shared" si="363"/>
        <v>10220000000</v>
      </c>
      <c r="P1428" s="45"/>
      <c r="Q1428" s="42">
        <f>Q1429</f>
        <v>0</v>
      </c>
      <c r="R1428" s="45"/>
      <c r="S1428" s="42">
        <f>S1429</f>
        <v>0</v>
      </c>
      <c r="T1428" s="55">
        <f t="shared" si="360"/>
        <v>3</v>
      </c>
      <c r="U1428" s="55">
        <f t="shared" si="361"/>
        <v>100</v>
      </c>
      <c r="V1428" s="58" t="s">
        <v>58</v>
      </c>
      <c r="W1428" s="59">
        <f>SUM(M1428,O1428,Q1428,S1428)</f>
        <v>11220000000</v>
      </c>
      <c r="X1428" s="57">
        <f>W1428/K1428*100</f>
        <v>100</v>
      </c>
      <c r="Y1428" s="58" t="s">
        <v>58</v>
      </c>
      <c r="Z1428" s="55">
        <f t="shared" si="356"/>
        <v>7</v>
      </c>
      <c r="AA1428" s="59">
        <f>SUM(I1428,W1428)</f>
        <v>13880000000</v>
      </c>
      <c r="AB1428" s="57"/>
      <c r="AC1428" s="58" t="s">
        <v>58</v>
      </c>
      <c r="AD1428" s="57"/>
      <c r="AE1428" s="77"/>
      <c r="AH1428" s="79"/>
    </row>
    <row r="1429" spans="1:34" ht="120">
      <c r="A1429" s="16"/>
      <c r="B1429" s="17"/>
      <c r="C1429" s="26" t="s">
        <v>1779</v>
      </c>
      <c r="D1429" s="29" t="s">
        <v>1780</v>
      </c>
      <c r="E1429" s="20">
        <f>2+3+3</f>
        <v>8</v>
      </c>
      <c r="F1429" s="47" t="s">
        <v>1326</v>
      </c>
      <c r="G1429" s="23">
        <f>2660000000+11220000000+1313098750</f>
        <v>15193098750</v>
      </c>
      <c r="H1429" s="20">
        <v>4</v>
      </c>
      <c r="I1429" s="22">
        <v>2660000000</v>
      </c>
      <c r="J1429" s="20">
        <v>3</v>
      </c>
      <c r="K1429" s="23">
        <v>11220000000</v>
      </c>
      <c r="L1429" s="20">
        <v>1</v>
      </c>
      <c r="M1429" s="546">
        <v>1000000000</v>
      </c>
      <c r="N1429" s="20">
        <v>2</v>
      </c>
      <c r="O1429" s="23">
        <v>10220000000</v>
      </c>
      <c r="P1429" s="20"/>
      <c r="Q1429" s="23">
        <v>0</v>
      </c>
      <c r="R1429" s="20"/>
      <c r="S1429" s="23">
        <v>0</v>
      </c>
      <c r="T1429" s="54">
        <f t="shared" si="360"/>
        <v>3</v>
      </c>
      <c r="U1429" s="54">
        <f t="shared" si="361"/>
        <v>100</v>
      </c>
      <c r="V1429" s="35" t="s">
        <v>58</v>
      </c>
      <c r="W1429" s="40">
        <f>SUM(M1429,O1429,Q1429,S1429)</f>
        <v>11220000000</v>
      </c>
      <c r="X1429" s="53">
        <f>W1429/K1429*100</f>
        <v>100</v>
      </c>
      <c r="Y1429" s="35" t="s">
        <v>58</v>
      </c>
      <c r="Z1429" s="54">
        <f t="shared" si="356"/>
        <v>7</v>
      </c>
      <c r="AA1429" s="40">
        <f>SUM(I1429,W1429)</f>
        <v>13880000000</v>
      </c>
      <c r="AB1429" s="53"/>
      <c r="AC1429" s="35" t="s">
        <v>58</v>
      </c>
      <c r="AD1429" s="53"/>
      <c r="AE1429" s="11"/>
      <c r="AH1429" s="25"/>
    </row>
    <row r="1430" spans="1:34" s="78" customFormat="1" ht="126" customHeight="1">
      <c r="A1430" s="16"/>
      <c r="B1430" s="17"/>
      <c r="C1430" s="18" t="s">
        <v>1781</v>
      </c>
      <c r="D1430" s="19" t="s">
        <v>1782</v>
      </c>
      <c r="E1430" s="45">
        <f>SUM(E1434,E1436)</f>
        <v>15</v>
      </c>
      <c r="F1430" s="46" t="s">
        <v>1783</v>
      </c>
      <c r="G1430" s="52">
        <f>SUM(G1434:G1437)</f>
        <v>6613722245</v>
      </c>
      <c r="H1430" s="45">
        <v>3</v>
      </c>
      <c r="I1430" s="52">
        <f>SUM(I1434:I1437)</f>
        <v>893541950</v>
      </c>
      <c r="J1430" s="45">
        <f>SUM(J1434,J1436)</f>
        <v>4</v>
      </c>
      <c r="K1430" s="52">
        <f>SUM(K1434:K1437)</f>
        <v>5248789785</v>
      </c>
      <c r="L1430" s="45">
        <v>5</v>
      </c>
      <c r="M1430" s="52">
        <f>SUM(M1434:M1437)</f>
        <v>127366700</v>
      </c>
      <c r="N1430" s="45"/>
      <c r="O1430" s="52">
        <f>SUM(O1434:O1437)</f>
        <v>729800890</v>
      </c>
      <c r="P1430" s="45"/>
      <c r="Q1430" s="52">
        <f>SUM(Q1434:Q1437)</f>
        <v>1206858850</v>
      </c>
      <c r="R1430" s="45"/>
      <c r="S1430" s="52">
        <f>SUM(S1434:S1437)</f>
        <v>2361494920</v>
      </c>
      <c r="T1430" s="55">
        <f t="shared" si="360"/>
        <v>5</v>
      </c>
      <c r="U1430" s="55">
        <f t="shared" si="361"/>
        <v>125</v>
      </c>
      <c r="V1430" s="58" t="s">
        <v>58</v>
      </c>
      <c r="W1430" s="56">
        <f>SUM(M1430,O1430,Q1430,S1430)</f>
        <v>4425521360</v>
      </c>
      <c r="X1430" s="60">
        <f>W1430/K1430*100</f>
        <v>84.315081023958356</v>
      </c>
      <c r="Y1430" s="48" t="s">
        <v>58</v>
      </c>
      <c r="Z1430" s="55">
        <f t="shared" si="356"/>
        <v>8</v>
      </c>
      <c r="AA1430" s="56">
        <f>SUM(I1430,W1430)</f>
        <v>5319063310</v>
      </c>
      <c r="AB1430" s="57"/>
      <c r="AC1430" s="58" t="s">
        <v>58</v>
      </c>
      <c r="AD1430" s="60"/>
      <c r="AE1430" s="77"/>
      <c r="AH1430" s="79"/>
    </row>
    <row r="1431" spans="1:34" s="78" customFormat="1" ht="69.75" customHeight="1">
      <c r="A1431" s="16"/>
      <c r="B1431" s="17"/>
      <c r="C1431" s="18"/>
      <c r="D1431" s="19" t="s">
        <v>1784</v>
      </c>
      <c r="E1431" s="108">
        <v>12</v>
      </c>
      <c r="F1431" s="76" t="s">
        <v>1785</v>
      </c>
      <c r="G1431" s="240"/>
      <c r="H1431" s="108">
        <f>8/8*100</f>
        <v>100</v>
      </c>
      <c r="I1431" s="430"/>
      <c r="J1431" s="45">
        <v>7</v>
      </c>
      <c r="K1431" s="41"/>
      <c r="L1431" s="45">
        <v>7</v>
      </c>
      <c r="M1431" s="41"/>
      <c r="N1431" s="45"/>
      <c r="O1431" s="41"/>
      <c r="P1431" s="45"/>
      <c r="Q1431" s="41"/>
      <c r="R1431" s="45"/>
      <c r="S1431" s="41"/>
      <c r="T1431" s="55">
        <f t="shared" si="360"/>
        <v>7</v>
      </c>
      <c r="U1431" s="55">
        <f t="shared" si="361"/>
        <v>100</v>
      </c>
      <c r="V1431" s="58" t="s">
        <v>58</v>
      </c>
      <c r="W1431" s="94"/>
      <c r="X1431" s="239"/>
      <c r="Y1431" s="240"/>
      <c r="Z1431" s="55">
        <f t="shared" si="356"/>
        <v>107</v>
      </c>
      <c r="AA1431" s="94"/>
      <c r="AB1431" s="57"/>
      <c r="AC1431" s="58" t="s">
        <v>58</v>
      </c>
      <c r="AD1431" s="239"/>
      <c r="AE1431" s="77"/>
      <c r="AH1431" s="79"/>
    </row>
    <row r="1432" spans="1:34" s="78" customFormat="1" ht="108" customHeight="1">
      <c r="A1432" s="16"/>
      <c r="B1432" s="17"/>
      <c r="C1432" s="18"/>
      <c r="D1432" s="19" t="s">
        <v>1786</v>
      </c>
      <c r="E1432" s="108"/>
      <c r="F1432" s="76"/>
      <c r="G1432" s="240"/>
      <c r="H1432" s="108"/>
      <c r="I1432" s="430"/>
      <c r="J1432" s="45"/>
      <c r="K1432" s="41"/>
      <c r="L1432" s="45"/>
      <c r="M1432" s="41"/>
      <c r="N1432" s="45"/>
      <c r="O1432" s="41"/>
      <c r="P1432" s="45"/>
      <c r="Q1432" s="41"/>
      <c r="R1432" s="45"/>
      <c r="S1432" s="41"/>
      <c r="T1432" s="55"/>
      <c r="U1432" s="55"/>
      <c r="V1432" s="58"/>
      <c r="W1432" s="94"/>
      <c r="X1432" s="239"/>
      <c r="Y1432" s="240"/>
      <c r="Z1432" s="55"/>
      <c r="AA1432" s="94"/>
      <c r="AB1432" s="57"/>
      <c r="AC1432" s="58"/>
      <c r="AD1432" s="239"/>
      <c r="AE1432" s="77"/>
      <c r="AH1432" s="79"/>
    </row>
    <row r="1433" spans="1:34" s="78" customFormat="1" ht="106.5" customHeight="1">
      <c r="A1433" s="16"/>
      <c r="B1433" s="17"/>
      <c r="C1433" s="18"/>
      <c r="D1433" s="454" t="s">
        <v>1787</v>
      </c>
      <c r="E1433" s="108"/>
      <c r="F1433" s="76"/>
      <c r="G1433" s="240"/>
      <c r="H1433" s="108"/>
      <c r="I1433" s="430"/>
      <c r="J1433" s="45"/>
      <c r="K1433" s="41"/>
      <c r="L1433" s="45"/>
      <c r="M1433" s="41"/>
      <c r="N1433" s="45"/>
      <c r="O1433" s="41"/>
      <c r="P1433" s="45"/>
      <c r="Q1433" s="41"/>
      <c r="R1433" s="45"/>
      <c r="S1433" s="41"/>
      <c r="T1433" s="55"/>
      <c r="U1433" s="55"/>
      <c r="V1433" s="58"/>
      <c r="W1433" s="94"/>
      <c r="X1433" s="239"/>
      <c r="Y1433" s="240"/>
      <c r="Z1433" s="55"/>
      <c r="AA1433" s="94"/>
      <c r="AB1433" s="57"/>
      <c r="AC1433" s="58"/>
      <c r="AD1433" s="239"/>
      <c r="AE1433" s="77"/>
      <c r="AH1433" s="79"/>
    </row>
    <row r="1434" spans="1:34" ht="165">
      <c r="A1434" s="16"/>
      <c r="B1434" s="17"/>
      <c r="C1434" s="26" t="s">
        <v>1788</v>
      </c>
      <c r="D1434" s="457" t="s">
        <v>1789</v>
      </c>
      <c r="E1434" s="20">
        <f>3*3</f>
        <v>9</v>
      </c>
      <c r="F1434" s="47" t="s">
        <v>55</v>
      </c>
      <c r="G1434" s="50">
        <f>78646750+55049250</f>
        <v>133696000</v>
      </c>
      <c r="H1434" s="44">
        <v>3</v>
      </c>
      <c r="I1434" s="22">
        <v>54386250</v>
      </c>
      <c r="J1434" s="20">
        <v>1</v>
      </c>
      <c r="K1434" s="23">
        <v>55049250</v>
      </c>
      <c r="L1434" s="20">
        <v>0</v>
      </c>
      <c r="M1434" s="546">
        <v>0</v>
      </c>
      <c r="N1434" s="20">
        <v>0</v>
      </c>
      <c r="O1434" s="23">
        <v>0</v>
      </c>
      <c r="P1434" s="20"/>
      <c r="Q1434" s="546">
        <v>15000000</v>
      </c>
      <c r="R1434" s="20">
        <v>1</v>
      </c>
      <c r="S1434" s="23">
        <f>51860000-M1434-O1434-Q1434</f>
        <v>36860000</v>
      </c>
      <c r="T1434" s="54">
        <f t="shared" si="360"/>
        <v>1</v>
      </c>
      <c r="U1434" s="54">
        <f t="shared" si="361"/>
        <v>100</v>
      </c>
      <c r="V1434" s="35" t="s">
        <v>58</v>
      </c>
      <c r="W1434" s="40">
        <f>SUM(M1434,O1434,Q1434,S1434)</f>
        <v>51860000</v>
      </c>
      <c r="X1434" s="53">
        <f>W1434/K1434*100</f>
        <v>94.206551406240777</v>
      </c>
      <c r="Y1434" s="35" t="s">
        <v>58</v>
      </c>
      <c r="Z1434" s="54">
        <f t="shared" si="356"/>
        <v>4</v>
      </c>
      <c r="AA1434" s="40">
        <f>SUM(I1434,W1434)</f>
        <v>106246250</v>
      </c>
      <c r="AB1434" s="53"/>
      <c r="AC1434" s="35" t="s">
        <v>58</v>
      </c>
      <c r="AD1434" s="53"/>
      <c r="AE1434" s="11"/>
      <c r="AH1434" s="25"/>
    </row>
    <row r="1435" spans="1:34" ht="138" customHeight="1">
      <c r="A1435" s="16"/>
      <c r="B1435" s="17"/>
      <c r="C1435" s="436" t="s">
        <v>1790</v>
      </c>
      <c r="D1435" s="457" t="s">
        <v>1791</v>
      </c>
      <c r="E1435" s="20">
        <v>12</v>
      </c>
      <c r="F1435" s="47" t="s">
        <v>138</v>
      </c>
      <c r="G1435" s="23">
        <f>943639000+4151332959+782646436</f>
        <v>5877618395</v>
      </c>
      <c r="H1435" s="20">
        <v>8</v>
      </c>
      <c r="I1435" s="22">
        <v>839155700</v>
      </c>
      <c r="J1435" s="20">
        <v>12</v>
      </c>
      <c r="K1435" s="23">
        <v>4820332685</v>
      </c>
      <c r="L1435" s="20">
        <v>7</v>
      </c>
      <c r="M1435" s="551">
        <v>127366700</v>
      </c>
      <c r="N1435" s="20">
        <v>3</v>
      </c>
      <c r="O1435" s="23">
        <f>857167590-M1435</f>
        <v>729800890</v>
      </c>
      <c r="P1435" s="20">
        <v>1</v>
      </c>
      <c r="Q1435" s="551">
        <f>1895682340-M1435-O1435</f>
        <v>1038514750</v>
      </c>
      <c r="R1435" s="20">
        <v>1</v>
      </c>
      <c r="S1435" s="23">
        <f>4113317260-M1435-O1435-Q1435</f>
        <v>2217634920</v>
      </c>
      <c r="T1435" s="54">
        <f t="shared" si="360"/>
        <v>12</v>
      </c>
      <c r="U1435" s="54">
        <f t="shared" si="361"/>
        <v>100</v>
      </c>
      <c r="V1435" s="35" t="s">
        <v>58</v>
      </c>
      <c r="W1435" s="40">
        <f>SUM(M1435,O1435,Q1435,S1435)</f>
        <v>4113317260</v>
      </c>
      <c r="X1435" s="53">
        <f>W1435/K1435*100</f>
        <v>85.3326425539029</v>
      </c>
      <c r="Y1435" s="35" t="s">
        <v>58</v>
      </c>
      <c r="Z1435" s="54">
        <f t="shared" si="356"/>
        <v>20</v>
      </c>
      <c r="AA1435" s="40">
        <f>SUM(I1435,W1435)</f>
        <v>4952472960</v>
      </c>
      <c r="AB1435" s="53"/>
      <c r="AC1435" s="35" t="s">
        <v>58</v>
      </c>
      <c r="AD1435" s="53"/>
      <c r="AE1435" s="11"/>
      <c r="AH1435" s="25"/>
    </row>
    <row r="1436" spans="1:34" ht="141.75" customHeight="1">
      <c r="A1436" s="16"/>
      <c r="B1436" s="17"/>
      <c r="C1436" s="436" t="s">
        <v>1792</v>
      </c>
      <c r="D1436" s="440" t="s">
        <v>1793</v>
      </c>
      <c r="E1436" s="20">
        <f>2*3</f>
        <v>6</v>
      </c>
      <c r="F1436" s="47" t="s">
        <v>55</v>
      </c>
      <c r="G1436" s="23">
        <f>229000000+346997850</f>
        <v>575997850</v>
      </c>
      <c r="H1436" s="44">
        <v>0</v>
      </c>
      <c r="I1436" s="22">
        <v>0</v>
      </c>
      <c r="J1436" s="20">
        <v>3</v>
      </c>
      <c r="K1436" s="23">
        <v>346997850</v>
      </c>
      <c r="L1436" s="20">
        <v>0</v>
      </c>
      <c r="M1436" s="551">
        <v>0</v>
      </c>
      <c r="N1436" s="20">
        <v>0</v>
      </c>
      <c r="O1436" s="23">
        <v>0</v>
      </c>
      <c r="P1436" s="20">
        <v>0</v>
      </c>
      <c r="Q1436" s="551">
        <v>153344100</v>
      </c>
      <c r="R1436" s="20">
        <v>3</v>
      </c>
      <c r="S1436" s="23">
        <f>260344100-M1436-O1436-Q1436</f>
        <v>107000000</v>
      </c>
      <c r="T1436" s="54">
        <f t="shared" si="360"/>
        <v>3</v>
      </c>
      <c r="U1436" s="54">
        <f t="shared" si="361"/>
        <v>100</v>
      </c>
      <c r="V1436" s="35" t="s">
        <v>58</v>
      </c>
      <c r="W1436" s="40">
        <f>SUM(M1436,O1436,Q1436,S1436)</f>
        <v>260344100</v>
      </c>
      <c r="X1436" s="53">
        <f>W1436/K1436*100</f>
        <v>75.027583023929395</v>
      </c>
      <c r="Y1436" s="35" t="s">
        <v>58</v>
      </c>
      <c r="Z1436" s="54">
        <f t="shared" si="356"/>
        <v>3</v>
      </c>
      <c r="AA1436" s="40">
        <f>SUM(I1436,W1436)</f>
        <v>260344100</v>
      </c>
      <c r="AB1436" s="53"/>
      <c r="AC1436" s="35" t="s">
        <v>58</v>
      </c>
      <c r="AD1436" s="53"/>
      <c r="AE1436" s="11"/>
      <c r="AH1436" s="25"/>
    </row>
    <row r="1437" spans="1:34" ht="120">
      <c r="A1437" s="16"/>
      <c r="B1437" s="17"/>
      <c r="C1437" s="436" t="s">
        <v>1794</v>
      </c>
      <c r="D1437" s="440" t="s">
        <v>1795</v>
      </c>
      <c r="E1437" s="20"/>
      <c r="F1437" s="47" t="s">
        <v>55</v>
      </c>
      <c r="G1437" s="23">
        <f>26410000</f>
        <v>26410000</v>
      </c>
      <c r="H1437" s="44"/>
      <c r="I1437" s="22"/>
      <c r="J1437" s="20">
        <v>1</v>
      </c>
      <c r="K1437" s="23">
        <v>26410000</v>
      </c>
      <c r="L1437" s="20"/>
      <c r="M1437" s="546">
        <v>0</v>
      </c>
      <c r="N1437" s="20">
        <v>0</v>
      </c>
      <c r="O1437" s="23">
        <v>0</v>
      </c>
      <c r="P1437" s="20"/>
      <c r="Q1437" s="23">
        <v>0</v>
      </c>
      <c r="R1437" s="20">
        <v>1</v>
      </c>
      <c r="S1437" s="23">
        <v>0</v>
      </c>
      <c r="T1437" s="54"/>
      <c r="U1437" s="54"/>
      <c r="V1437" s="35"/>
      <c r="W1437" s="40">
        <f>SUM(M1437,O1437,Q1437,S1437)</f>
        <v>0</v>
      </c>
      <c r="X1437" s="53">
        <f>W1437/K1437*100</f>
        <v>0</v>
      </c>
      <c r="Y1437" s="35"/>
      <c r="Z1437" s="54"/>
      <c r="AA1437" s="40"/>
      <c r="AB1437" s="53"/>
      <c r="AC1437" s="35"/>
      <c r="AD1437" s="53"/>
      <c r="AE1437" s="11"/>
      <c r="AH1437" s="25"/>
    </row>
    <row r="1438" spans="1:34" s="78" customFormat="1" ht="105.75" customHeight="1">
      <c r="A1438" s="16"/>
      <c r="B1438" s="17"/>
      <c r="C1438" s="18" t="s">
        <v>1796</v>
      </c>
      <c r="D1438" s="19" t="s">
        <v>1741</v>
      </c>
      <c r="E1438" s="294">
        <f>9236/69262*100</f>
        <v>13.334873379342207</v>
      </c>
      <c r="F1438" s="76" t="s">
        <v>58</v>
      </c>
      <c r="G1438" s="465">
        <f>G1439</f>
        <v>874500000</v>
      </c>
      <c r="H1438" s="294">
        <f>8366/65897*100</f>
        <v>12.695570359803938</v>
      </c>
      <c r="I1438" s="465">
        <f>I1439</f>
        <v>237500000</v>
      </c>
      <c r="J1438" s="553">
        <f>8986/67587*100</f>
        <v>13.295456226789176</v>
      </c>
      <c r="K1438" s="465">
        <f>K1439</f>
        <v>400000000</v>
      </c>
      <c r="L1438" s="553">
        <f>8986/67587*100</f>
        <v>13.295456226789176</v>
      </c>
      <c r="M1438" s="465">
        <f>M1439</f>
        <v>400000000</v>
      </c>
      <c r="N1438" s="294"/>
      <c r="O1438" s="465">
        <f>O1439</f>
        <v>0</v>
      </c>
      <c r="P1438" s="294"/>
      <c r="Q1438" s="465">
        <f>Q1439</f>
        <v>0</v>
      </c>
      <c r="R1438" s="294"/>
      <c r="S1438" s="465">
        <f>S1439</f>
        <v>0</v>
      </c>
      <c r="T1438" s="57">
        <f t="shared" ref="T1438:T1448" si="364">SUM(L1438,N1438,P1438,R1438)</f>
        <v>13.295456226789176</v>
      </c>
      <c r="U1438" s="55">
        <f>T1438/J1438*100</f>
        <v>100</v>
      </c>
      <c r="V1438" s="58" t="s">
        <v>58</v>
      </c>
      <c r="W1438" s="59">
        <f t="shared" ref="W1438:W1448" si="365">SUM(M1438,O1438,Q1438,S1438)</f>
        <v>400000000</v>
      </c>
      <c r="X1438" s="55">
        <f t="shared" ref="X1438:X1448" si="366">W1438/K1438*100</f>
        <v>100</v>
      </c>
      <c r="Y1438" s="58" t="s">
        <v>58</v>
      </c>
      <c r="Z1438" s="57">
        <f t="shared" ref="Z1438:Z1501" si="367">SUM(H1438,T1438)</f>
        <v>25.991026586593115</v>
      </c>
      <c r="AA1438" s="59">
        <f t="shared" ref="AA1438:AA1459" si="368">SUM(I1438,W1438)</f>
        <v>637500000</v>
      </c>
      <c r="AB1438" s="57"/>
      <c r="AC1438" s="58" t="s">
        <v>58</v>
      </c>
      <c r="AD1438" s="57"/>
      <c r="AE1438" s="77"/>
      <c r="AH1438" s="79"/>
    </row>
    <row r="1439" spans="1:34" s="78" customFormat="1" ht="110.25">
      <c r="A1439" s="16"/>
      <c r="B1439" s="17"/>
      <c r="C1439" s="18" t="s">
        <v>1797</v>
      </c>
      <c r="D1439" s="19" t="s">
        <v>1798</v>
      </c>
      <c r="E1439" s="45">
        <v>397</v>
      </c>
      <c r="F1439" s="76" t="s">
        <v>1326</v>
      </c>
      <c r="G1439" s="555">
        <f>SUM(G1440)</f>
        <v>874500000</v>
      </c>
      <c r="H1439" s="108">
        <v>394</v>
      </c>
      <c r="I1439" s="555">
        <f>SUM(I1440)</f>
        <v>237500000</v>
      </c>
      <c r="J1439" s="45">
        <v>395</v>
      </c>
      <c r="K1439" s="555">
        <f>SUM(K1440)</f>
        <v>400000000</v>
      </c>
      <c r="L1439" s="45">
        <v>0</v>
      </c>
      <c r="M1439" s="555">
        <f>SUM(M1440)</f>
        <v>400000000</v>
      </c>
      <c r="N1439" s="45">
        <v>0</v>
      </c>
      <c r="O1439" s="555">
        <f>SUM(O1440)</f>
        <v>0</v>
      </c>
      <c r="P1439" s="45"/>
      <c r="Q1439" s="42">
        <f>SUM(Q1440)</f>
        <v>0</v>
      </c>
      <c r="R1439" s="45"/>
      <c r="S1439" s="42">
        <f>SUM(S1440)</f>
        <v>0</v>
      </c>
      <c r="T1439" s="55">
        <f t="shared" si="364"/>
        <v>0</v>
      </c>
      <c r="U1439" s="55">
        <f>T1439/J1439*100</f>
        <v>0</v>
      </c>
      <c r="V1439" s="58" t="s">
        <v>58</v>
      </c>
      <c r="W1439" s="59">
        <f t="shared" si="365"/>
        <v>400000000</v>
      </c>
      <c r="X1439" s="55">
        <f t="shared" si="366"/>
        <v>100</v>
      </c>
      <c r="Y1439" s="58" t="s">
        <v>58</v>
      </c>
      <c r="Z1439" s="103">
        <f t="shared" si="367"/>
        <v>394</v>
      </c>
      <c r="AA1439" s="59">
        <f t="shared" si="368"/>
        <v>637500000</v>
      </c>
      <c r="AB1439" s="57"/>
      <c r="AC1439" s="58" t="s">
        <v>58</v>
      </c>
      <c r="AD1439" s="57"/>
      <c r="AE1439" s="77"/>
      <c r="AH1439" s="79"/>
    </row>
    <row r="1440" spans="1:34" ht="120">
      <c r="A1440" s="16"/>
      <c r="B1440" s="17"/>
      <c r="C1440" s="26" t="s">
        <v>1799</v>
      </c>
      <c r="D1440" s="29" t="s">
        <v>1800</v>
      </c>
      <c r="E1440" s="20">
        <v>395</v>
      </c>
      <c r="F1440" s="47" t="s">
        <v>1326</v>
      </c>
      <c r="G1440" s="23">
        <f>237500000+400000000+237000000</f>
        <v>874500000</v>
      </c>
      <c r="H1440" s="44">
        <v>1</v>
      </c>
      <c r="I1440" s="22">
        <v>237500000</v>
      </c>
      <c r="J1440" s="20">
        <v>395</v>
      </c>
      <c r="K1440" s="556">
        <v>400000000</v>
      </c>
      <c r="L1440" s="20">
        <v>0</v>
      </c>
      <c r="M1440" s="556">
        <v>400000000</v>
      </c>
      <c r="N1440" s="20">
        <v>395</v>
      </c>
      <c r="O1440" s="23">
        <v>0</v>
      </c>
      <c r="P1440" s="20"/>
      <c r="Q1440" s="23">
        <v>0</v>
      </c>
      <c r="R1440" s="20"/>
      <c r="S1440" s="23">
        <v>0</v>
      </c>
      <c r="T1440" s="54">
        <f t="shared" si="364"/>
        <v>395</v>
      </c>
      <c r="U1440" s="54">
        <f t="shared" ref="U1440:U1448" si="369">T1440/J1440*100</f>
        <v>100</v>
      </c>
      <c r="V1440" s="35" t="s">
        <v>58</v>
      </c>
      <c r="W1440" s="80">
        <f t="shared" si="365"/>
        <v>400000000</v>
      </c>
      <c r="X1440" s="54">
        <f t="shared" si="366"/>
        <v>100</v>
      </c>
      <c r="Y1440" s="35" t="s">
        <v>58</v>
      </c>
      <c r="Z1440" s="54">
        <f t="shared" si="367"/>
        <v>396</v>
      </c>
      <c r="AA1440" s="80">
        <f t="shared" si="368"/>
        <v>637500000</v>
      </c>
      <c r="AB1440" s="53"/>
      <c r="AC1440" s="35" t="s">
        <v>58</v>
      </c>
      <c r="AD1440" s="248"/>
      <c r="AE1440" s="11"/>
      <c r="AH1440" s="25"/>
    </row>
    <row r="1441" spans="1:34" s="78" customFormat="1" ht="160.5" customHeight="1">
      <c r="A1441" s="48">
        <v>26</v>
      </c>
      <c r="B1441" s="49" t="s">
        <v>1801</v>
      </c>
      <c r="C1441" s="18" t="s">
        <v>1802</v>
      </c>
      <c r="D1441" s="19" t="s">
        <v>1803</v>
      </c>
      <c r="E1441" s="563">
        <v>316878</v>
      </c>
      <c r="F1441" s="76" t="s">
        <v>1044</v>
      </c>
      <c r="G1441" s="465">
        <f>G1442+G1449</f>
        <v>4596657600</v>
      </c>
      <c r="H1441" s="563">
        <v>269004</v>
      </c>
      <c r="I1441" s="465">
        <f>I1442+I1444+I1449</f>
        <v>2213693908</v>
      </c>
      <c r="J1441" s="563">
        <v>2.74</v>
      </c>
      <c r="K1441" s="465">
        <f>K1442+K1444+K1449</f>
        <v>1704849600</v>
      </c>
      <c r="L1441" s="267">
        <v>0</v>
      </c>
      <c r="M1441" s="465">
        <f>M1442+M1444+M1449</f>
        <v>128577800</v>
      </c>
      <c r="N1441" s="267">
        <v>0</v>
      </c>
      <c r="O1441" s="465">
        <f>O1442+O1444+O1449</f>
        <v>165963865</v>
      </c>
      <c r="P1441" s="267"/>
      <c r="Q1441" s="465">
        <f>Q1442+Q1444+Q1449</f>
        <v>367098928</v>
      </c>
      <c r="R1441" s="267">
        <v>2.74</v>
      </c>
      <c r="S1441" s="465">
        <f>S1442+S1444+S1449</f>
        <v>885324775</v>
      </c>
      <c r="T1441" s="390">
        <f>SUM(L1441,N1441,P1441,R1441)</f>
        <v>2.74</v>
      </c>
      <c r="U1441" s="55">
        <f t="shared" si="369"/>
        <v>100</v>
      </c>
      <c r="V1441" s="58" t="s">
        <v>58</v>
      </c>
      <c r="W1441" s="59">
        <f t="shared" si="365"/>
        <v>1546965368</v>
      </c>
      <c r="X1441" s="57">
        <f t="shared" si="366"/>
        <v>90.739110828310018</v>
      </c>
      <c r="Y1441" s="58" t="s">
        <v>58</v>
      </c>
      <c r="Z1441" s="390">
        <f t="shared" si="367"/>
        <v>269006.74</v>
      </c>
      <c r="AA1441" s="59">
        <f t="shared" si="368"/>
        <v>3760659276</v>
      </c>
      <c r="AB1441" s="57"/>
      <c r="AC1441" s="58" t="s">
        <v>58</v>
      </c>
      <c r="AD1441" s="57"/>
      <c r="AE1441" s="77"/>
      <c r="AH1441" s="79"/>
    </row>
    <row r="1442" spans="1:34" s="78" customFormat="1" ht="125.25" customHeight="1">
      <c r="A1442" s="16"/>
      <c r="B1442" s="17"/>
      <c r="C1442" s="18" t="s">
        <v>1804</v>
      </c>
      <c r="D1442" s="19" t="s">
        <v>1805</v>
      </c>
      <c r="E1442" s="45">
        <f>E1443</f>
        <v>13</v>
      </c>
      <c r="F1442" s="46" t="s">
        <v>1806</v>
      </c>
      <c r="G1442" s="42">
        <f>SUM(G1443)</f>
        <v>2026282600</v>
      </c>
      <c r="H1442" s="108">
        <f>H1443</f>
        <v>5</v>
      </c>
      <c r="I1442" s="42">
        <f>I1443</f>
        <v>632926180</v>
      </c>
      <c r="J1442" s="108">
        <f>J1443</f>
        <v>3</v>
      </c>
      <c r="K1442" s="42">
        <f>K1443</f>
        <v>698749600</v>
      </c>
      <c r="L1442" s="108">
        <v>0</v>
      </c>
      <c r="M1442" s="42">
        <f>M1443</f>
        <v>128577800</v>
      </c>
      <c r="N1442" s="108">
        <v>2</v>
      </c>
      <c r="O1442" s="42">
        <f>O1443</f>
        <v>140263865</v>
      </c>
      <c r="P1442" s="108"/>
      <c r="Q1442" s="42">
        <f>Q1443</f>
        <v>133498928</v>
      </c>
      <c r="R1442" s="108"/>
      <c r="S1442" s="42">
        <f>S1443</f>
        <v>153327825</v>
      </c>
      <c r="T1442" s="55">
        <f t="shared" si="364"/>
        <v>2</v>
      </c>
      <c r="U1442" s="55">
        <f t="shared" si="369"/>
        <v>66.666666666666657</v>
      </c>
      <c r="V1442" s="58" t="s">
        <v>58</v>
      </c>
      <c r="W1442" s="59">
        <f t="shared" si="365"/>
        <v>555668418</v>
      </c>
      <c r="X1442" s="57">
        <f t="shared" si="366"/>
        <v>79.523253823687341</v>
      </c>
      <c r="Y1442" s="58" t="s">
        <v>58</v>
      </c>
      <c r="Z1442" s="103">
        <f t="shared" si="367"/>
        <v>7</v>
      </c>
      <c r="AA1442" s="59">
        <f t="shared" si="368"/>
        <v>1188594598</v>
      </c>
      <c r="AB1442" s="57"/>
      <c r="AC1442" s="58" t="s">
        <v>58</v>
      </c>
      <c r="AD1442" s="57"/>
      <c r="AE1442" s="77"/>
      <c r="AH1442" s="79"/>
    </row>
    <row r="1443" spans="1:34" ht="180">
      <c r="A1443" s="16"/>
      <c r="B1443" s="17"/>
      <c r="C1443" s="26" t="s">
        <v>1807</v>
      </c>
      <c r="D1443" s="29" t="s">
        <v>1808</v>
      </c>
      <c r="E1443" s="20">
        <f>5+4+4</f>
        <v>13</v>
      </c>
      <c r="F1443" s="47" t="s">
        <v>1013</v>
      </c>
      <c r="G1443" s="23">
        <f>656526000+698749600+671007000</f>
        <v>2026282600</v>
      </c>
      <c r="H1443" s="44">
        <v>5</v>
      </c>
      <c r="I1443" s="22">
        <v>632926180</v>
      </c>
      <c r="J1443" s="20">
        <v>3</v>
      </c>
      <c r="K1443" s="23">
        <v>698749600</v>
      </c>
      <c r="L1443" s="20">
        <v>0</v>
      </c>
      <c r="M1443" s="551">
        <v>128577800</v>
      </c>
      <c r="N1443" s="20">
        <v>0</v>
      </c>
      <c r="O1443" s="23">
        <f>268841665-M1443</f>
        <v>140263865</v>
      </c>
      <c r="P1443" s="20">
        <v>3</v>
      </c>
      <c r="Q1443" s="551">
        <f>402340593-M1443-O1443</f>
        <v>133498928</v>
      </c>
      <c r="R1443" s="20"/>
      <c r="S1443" s="23">
        <f>555668418-M1443-O1443-Q1443</f>
        <v>153327825</v>
      </c>
      <c r="T1443" s="54">
        <f t="shared" si="364"/>
        <v>3</v>
      </c>
      <c r="U1443" s="54">
        <f t="shared" si="369"/>
        <v>100</v>
      </c>
      <c r="V1443" s="35" t="s">
        <v>58</v>
      </c>
      <c r="W1443" s="80">
        <f t="shared" si="365"/>
        <v>555668418</v>
      </c>
      <c r="X1443" s="53">
        <f t="shared" si="366"/>
        <v>79.523253823687341</v>
      </c>
      <c r="Y1443" s="35" t="s">
        <v>58</v>
      </c>
      <c r="Z1443" s="54">
        <f t="shared" si="367"/>
        <v>8</v>
      </c>
      <c r="AA1443" s="80">
        <f t="shared" si="368"/>
        <v>1188594598</v>
      </c>
      <c r="AB1443" s="53"/>
      <c r="AC1443" s="35" t="s">
        <v>58</v>
      </c>
      <c r="AD1443" s="248"/>
      <c r="AE1443" s="11"/>
      <c r="AH1443" s="25"/>
    </row>
    <row r="1444" spans="1:34" s="78" customFormat="1" ht="99" customHeight="1">
      <c r="A1444" s="16"/>
      <c r="B1444" s="17"/>
      <c r="C1444" s="18" t="s">
        <v>1809</v>
      </c>
      <c r="D1444" s="19" t="s">
        <v>1810</v>
      </c>
      <c r="E1444" s="45">
        <f>E1448</f>
        <v>0</v>
      </c>
      <c r="F1444" s="76" t="s">
        <v>1811</v>
      </c>
      <c r="G1444" s="42">
        <f>G1448</f>
        <v>1006100000</v>
      </c>
      <c r="H1444" s="108"/>
      <c r="I1444" s="42"/>
      <c r="J1444" s="108">
        <v>52</v>
      </c>
      <c r="K1444" s="555">
        <f>K1448</f>
        <v>1006100000</v>
      </c>
      <c r="L1444" s="108">
        <f>L1448</f>
        <v>0</v>
      </c>
      <c r="M1444" s="555">
        <f>M1448</f>
        <v>0</v>
      </c>
      <c r="N1444" s="108">
        <v>0</v>
      </c>
      <c r="O1444" s="42">
        <f>O1448</f>
        <v>25700000</v>
      </c>
      <c r="P1444" s="108"/>
      <c r="Q1444" s="42">
        <f>Q1448</f>
        <v>233600000</v>
      </c>
      <c r="R1444" s="108">
        <v>52</v>
      </c>
      <c r="S1444" s="42">
        <f>S1448</f>
        <v>731996950</v>
      </c>
      <c r="T1444" s="55">
        <f t="shared" si="364"/>
        <v>52</v>
      </c>
      <c r="U1444" s="55">
        <f t="shared" si="369"/>
        <v>100</v>
      </c>
      <c r="V1444" s="58" t="s">
        <v>58</v>
      </c>
      <c r="W1444" s="59">
        <f t="shared" si="365"/>
        <v>991296950</v>
      </c>
      <c r="X1444" s="57">
        <f t="shared" si="366"/>
        <v>98.52867011231487</v>
      </c>
      <c r="Y1444" s="58" t="s">
        <v>58</v>
      </c>
      <c r="Z1444" s="557">
        <f t="shared" si="367"/>
        <v>52</v>
      </c>
      <c r="AA1444" s="59">
        <f t="shared" si="368"/>
        <v>991296950</v>
      </c>
      <c r="AB1444" s="57"/>
      <c r="AC1444" s="58" t="s">
        <v>58</v>
      </c>
      <c r="AD1444" s="57"/>
      <c r="AE1444" s="77"/>
      <c r="AH1444" s="79"/>
    </row>
    <row r="1445" spans="1:34" s="78" customFormat="1" ht="84" customHeight="1">
      <c r="A1445" s="16"/>
      <c r="B1445" s="17"/>
      <c r="C1445" s="18"/>
      <c r="D1445" s="19" t="s">
        <v>1812</v>
      </c>
      <c r="E1445" s="45"/>
      <c r="F1445" s="76"/>
      <c r="G1445" s="42"/>
      <c r="H1445" s="108"/>
      <c r="I1445" s="42"/>
      <c r="J1445" s="108">
        <v>15</v>
      </c>
      <c r="K1445" s="555"/>
      <c r="L1445" s="108"/>
      <c r="M1445" s="555"/>
      <c r="N1445" s="108"/>
      <c r="O1445" s="42"/>
      <c r="P1445" s="108"/>
      <c r="Q1445" s="42"/>
      <c r="R1445" s="108">
        <v>15</v>
      </c>
      <c r="S1445" s="42"/>
      <c r="T1445" s="55"/>
      <c r="U1445" s="55"/>
      <c r="V1445" s="58"/>
      <c r="W1445" s="56"/>
      <c r="X1445" s="57"/>
      <c r="Y1445" s="58"/>
      <c r="Z1445" s="557"/>
      <c r="AA1445" s="56"/>
      <c r="AB1445" s="57"/>
      <c r="AC1445" s="58"/>
      <c r="AD1445" s="60"/>
      <c r="AE1445" s="77"/>
      <c r="AH1445" s="79"/>
    </row>
    <row r="1446" spans="1:34" s="78" customFormat="1" ht="88.5" customHeight="1">
      <c r="A1446" s="16"/>
      <c r="B1446" s="17"/>
      <c r="C1446" s="18"/>
      <c r="D1446" s="19" t="s">
        <v>1813</v>
      </c>
      <c r="E1446" s="45"/>
      <c r="F1446" s="76"/>
      <c r="G1446" s="42"/>
      <c r="H1446" s="108"/>
      <c r="I1446" s="42"/>
      <c r="J1446" s="108">
        <v>15</v>
      </c>
      <c r="K1446" s="555"/>
      <c r="L1446" s="108"/>
      <c r="M1446" s="555"/>
      <c r="N1446" s="108"/>
      <c r="O1446" s="42"/>
      <c r="P1446" s="108"/>
      <c r="Q1446" s="42"/>
      <c r="R1446" s="108">
        <v>15</v>
      </c>
      <c r="S1446" s="42"/>
      <c r="T1446" s="55"/>
      <c r="U1446" s="55"/>
      <c r="V1446" s="58"/>
      <c r="W1446" s="56"/>
      <c r="X1446" s="57"/>
      <c r="Y1446" s="58"/>
      <c r="Z1446" s="557"/>
      <c r="AA1446" s="56"/>
      <c r="AB1446" s="57"/>
      <c r="AC1446" s="58"/>
      <c r="AD1446" s="60"/>
      <c r="AE1446" s="77"/>
      <c r="AH1446" s="79"/>
    </row>
    <row r="1447" spans="1:34" s="78" customFormat="1" ht="144" customHeight="1">
      <c r="A1447" s="16"/>
      <c r="B1447" s="17"/>
      <c r="C1447" s="18"/>
      <c r="D1447" s="19" t="s">
        <v>1814</v>
      </c>
      <c r="E1447" s="45"/>
      <c r="F1447" s="76"/>
      <c r="G1447" s="42"/>
      <c r="H1447" s="108"/>
      <c r="I1447" s="42"/>
      <c r="J1447" s="108">
        <v>2</v>
      </c>
      <c r="K1447" s="555"/>
      <c r="L1447" s="108"/>
      <c r="M1447" s="555"/>
      <c r="N1447" s="108"/>
      <c r="O1447" s="42"/>
      <c r="P1447" s="108"/>
      <c r="Q1447" s="42"/>
      <c r="R1447" s="108">
        <v>2</v>
      </c>
      <c r="S1447" s="42"/>
      <c r="T1447" s="55"/>
      <c r="U1447" s="55"/>
      <c r="V1447" s="58"/>
      <c r="W1447" s="56"/>
      <c r="X1447" s="57"/>
      <c r="Y1447" s="58"/>
      <c r="Z1447" s="557"/>
      <c r="AA1447" s="56"/>
      <c r="AB1447" s="57"/>
      <c r="AC1447" s="58"/>
      <c r="AD1447" s="60"/>
      <c r="AE1447" s="77"/>
      <c r="AH1447" s="79"/>
    </row>
    <row r="1448" spans="1:34" ht="195">
      <c r="A1448" s="16"/>
      <c r="B1448" s="17"/>
      <c r="C1448" s="26" t="s">
        <v>1815</v>
      </c>
      <c r="D1448" s="29" t="s">
        <v>1816</v>
      </c>
      <c r="E1448" s="20"/>
      <c r="F1448" s="47" t="s">
        <v>138</v>
      </c>
      <c r="G1448" s="50">
        <f>1006100000</f>
        <v>1006100000</v>
      </c>
      <c r="H1448" s="44"/>
      <c r="I1448" s="22"/>
      <c r="J1448" s="20">
        <v>4</v>
      </c>
      <c r="K1448" s="556">
        <v>1006100000</v>
      </c>
      <c r="L1448" s="20">
        <v>0</v>
      </c>
      <c r="M1448" s="556">
        <v>0</v>
      </c>
      <c r="N1448" s="20">
        <v>0</v>
      </c>
      <c r="O1448" s="23">
        <v>25700000</v>
      </c>
      <c r="P1448" s="20">
        <v>0</v>
      </c>
      <c r="Q1448" s="546">
        <f>259300000-M1448-O1448</f>
        <v>233600000</v>
      </c>
      <c r="R1448" s="20">
        <v>4</v>
      </c>
      <c r="S1448" s="23">
        <f>991296950-M1448-O1448-Q1448</f>
        <v>731996950</v>
      </c>
      <c r="T1448" s="54">
        <f t="shared" si="364"/>
        <v>4</v>
      </c>
      <c r="U1448" s="54">
        <f t="shared" si="369"/>
        <v>100</v>
      </c>
      <c r="V1448" s="58" t="s">
        <v>58</v>
      </c>
      <c r="W1448" s="80">
        <f t="shared" si="365"/>
        <v>991296950</v>
      </c>
      <c r="X1448" s="53">
        <f t="shared" si="366"/>
        <v>98.52867011231487</v>
      </c>
      <c r="Y1448" s="35" t="s">
        <v>58</v>
      </c>
      <c r="Z1448" s="54">
        <f t="shared" si="367"/>
        <v>4</v>
      </c>
      <c r="AA1448" s="80">
        <f t="shared" si="368"/>
        <v>991296950</v>
      </c>
      <c r="AB1448" s="53"/>
      <c r="AC1448" s="35" t="s">
        <v>58</v>
      </c>
      <c r="AD1448" s="248"/>
      <c r="AE1448" s="11"/>
      <c r="AH1448" s="25"/>
    </row>
    <row r="1449" spans="1:34" s="78" customFormat="1" ht="157.5">
      <c r="A1449" s="16"/>
      <c r="B1449" s="17"/>
      <c r="C1449" s="18" t="s">
        <v>1817</v>
      </c>
      <c r="D1449" s="19" t="s">
        <v>1818</v>
      </c>
      <c r="E1449" s="45">
        <f>E1450</f>
        <v>6</v>
      </c>
      <c r="F1449" s="76" t="s">
        <v>1811</v>
      </c>
      <c r="G1449" s="42">
        <f>SUM(G1450)</f>
        <v>2570375000</v>
      </c>
      <c r="H1449" s="108">
        <v>4</v>
      </c>
      <c r="I1449" s="42">
        <v>1580767728</v>
      </c>
      <c r="J1449" s="108">
        <f>J1450</f>
        <v>0</v>
      </c>
      <c r="K1449" s="555">
        <f>SUM(K1450)</f>
        <v>0</v>
      </c>
      <c r="L1449" s="108">
        <f>L1450</f>
        <v>0</v>
      </c>
      <c r="M1449" s="555"/>
      <c r="N1449" s="108"/>
      <c r="O1449" s="42"/>
      <c r="P1449" s="108"/>
      <c r="Q1449" s="42"/>
      <c r="R1449" s="108"/>
      <c r="S1449" s="42"/>
      <c r="T1449" s="55"/>
      <c r="U1449" s="55"/>
      <c r="V1449" s="58"/>
      <c r="W1449" s="59"/>
      <c r="X1449" s="57"/>
      <c r="Y1449" s="58"/>
      <c r="Z1449" s="557">
        <f t="shared" si="367"/>
        <v>4</v>
      </c>
      <c r="AA1449" s="59">
        <f t="shared" si="368"/>
        <v>1580767728</v>
      </c>
      <c r="AB1449" s="57"/>
      <c r="AC1449" s="58" t="s">
        <v>58</v>
      </c>
      <c r="AD1449" s="57"/>
      <c r="AE1449" s="77"/>
      <c r="AH1449" s="79"/>
    </row>
    <row r="1450" spans="1:34" ht="165">
      <c r="A1450" s="16"/>
      <c r="B1450" s="17"/>
      <c r="C1450" s="26" t="s">
        <v>1819</v>
      </c>
      <c r="D1450" s="29" t="s">
        <v>1820</v>
      </c>
      <c r="E1450" s="20">
        <f>4+2</f>
        <v>6</v>
      </c>
      <c r="F1450" s="47" t="s">
        <v>138</v>
      </c>
      <c r="G1450" s="50">
        <f>2539375000+31000000</f>
        <v>2570375000</v>
      </c>
      <c r="H1450" s="44">
        <v>4</v>
      </c>
      <c r="I1450" s="22">
        <v>1580767728</v>
      </c>
      <c r="J1450" s="20"/>
      <c r="K1450" s="556"/>
      <c r="L1450" s="20"/>
      <c r="M1450" s="556"/>
      <c r="N1450" s="20"/>
      <c r="O1450" s="23"/>
      <c r="P1450" s="20"/>
      <c r="Q1450" s="23"/>
      <c r="R1450" s="20"/>
      <c r="S1450" s="23"/>
      <c r="T1450" s="54"/>
      <c r="U1450" s="54"/>
      <c r="V1450" s="20"/>
      <c r="W1450" s="80"/>
      <c r="X1450" s="53"/>
      <c r="Y1450" s="35"/>
      <c r="Z1450" s="54">
        <f t="shared" si="367"/>
        <v>4</v>
      </c>
      <c r="AA1450" s="80">
        <f t="shared" si="368"/>
        <v>1580767728</v>
      </c>
      <c r="AB1450" s="53"/>
      <c r="AC1450" s="35" t="s">
        <v>58</v>
      </c>
      <c r="AD1450" s="248"/>
      <c r="AE1450" s="11"/>
      <c r="AH1450" s="25"/>
    </row>
    <row r="1451" spans="1:34" s="78" customFormat="1" ht="174" customHeight="1">
      <c r="A1451" s="16"/>
      <c r="B1451" s="17" t="s">
        <v>1821</v>
      </c>
      <c r="C1451" s="18" t="s">
        <v>1822</v>
      </c>
      <c r="D1451" s="19" t="s">
        <v>1823</v>
      </c>
      <c r="E1451" s="267">
        <f>J1451*3</f>
        <v>6</v>
      </c>
      <c r="F1451" s="76" t="s">
        <v>1824</v>
      </c>
      <c r="G1451" s="465">
        <f>G1453</f>
        <v>3692552307</v>
      </c>
      <c r="H1451" s="267">
        <f>H1453</f>
        <v>269004</v>
      </c>
      <c r="I1451" s="465">
        <f>I1453</f>
        <v>585914700</v>
      </c>
      <c r="J1451" s="267">
        <v>2</v>
      </c>
      <c r="K1451" s="465">
        <f>SUM(K1454)</f>
        <v>949286000</v>
      </c>
      <c r="L1451" s="267">
        <f>L1441</f>
        <v>0</v>
      </c>
      <c r="M1451" s="465">
        <f>SUM(M1454)</f>
        <v>156161800</v>
      </c>
      <c r="N1451" s="267"/>
      <c r="O1451" s="465">
        <f>SUM(O1454)</f>
        <v>131999300</v>
      </c>
      <c r="P1451" s="267">
        <v>2</v>
      </c>
      <c r="Q1451" s="465">
        <f>SUM(Q1454)</f>
        <v>311811300</v>
      </c>
      <c r="R1451" s="267"/>
      <c r="S1451" s="465">
        <f>SUM(S1454)</f>
        <v>204739300</v>
      </c>
      <c r="T1451" s="390">
        <f>SUM(L1451,N1451,P1451,R1451)</f>
        <v>2</v>
      </c>
      <c r="U1451" s="57">
        <f t="shared" ref="U1451:U1489" si="370">T1451/J1451*100</f>
        <v>100</v>
      </c>
      <c r="V1451" s="58" t="s">
        <v>58</v>
      </c>
      <c r="W1451" s="59">
        <f>SUM(M1451,O1451,Q1451,S1451)</f>
        <v>804711700</v>
      </c>
      <c r="X1451" s="57">
        <f>W1451/K1451*100</f>
        <v>84.770206239215582</v>
      </c>
      <c r="Y1451" s="58" t="s">
        <v>58</v>
      </c>
      <c r="Z1451" s="417">
        <f t="shared" si="367"/>
        <v>269006</v>
      </c>
      <c r="AA1451" s="59">
        <f t="shared" si="368"/>
        <v>1390626400</v>
      </c>
      <c r="AB1451" s="57"/>
      <c r="AC1451" s="58" t="s">
        <v>58</v>
      </c>
      <c r="AD1451" s="57"/>
      <c r="AE1451" s="77"/>
      <c r="AH1451" s="79"/>
    </row>
    <row r="1452" spans="1:34" s="78" customFormat="1" ht="106.5" customHeight="1">
      <c r="A1452" s="16"/>
      <c r="B1452" s="49"/>
      <c r="C1452" s="17"/>
      <c r="D1452" s="19" t="s">
        <v>1825</v>
      </c>
      <c r="E1452" s="267"/>
      <c r="F1452" s="76" t="s">
        <v>1044</v>
      </c>
      <c r="G1452" s="465"/>
      <c r="H1452" s="267"/>
      <c r="I1452" s="465"/>
      <c r="J1452" s="267">
        <v>40</v>
      </c>
      <c r="K1452" s="465"/>
      <c r="L1452" s="267"/>
      <c r="M1452" s="465"/>
      <c r="N1452" s="267"/>
      <c r="O1452" s="465"/>
      <c r="P1452" s="267">
        <v>40</v>
      </c>
      <c r="Q1452" s="465"/>
      <c r="R1452" s="267"/>
      <c r="S1452" s="465"/>
      <c r="T1452" s="390"/>
      <c r="U1452" s="57"/>
      <c r="V1452" s="58"/>
      <c r="W1452" s="59"/>
      <c r="X1452" s="57"/>
      <c r="Y1452" s="58"/>
      <c r="Z1452" s="417"/>
      <c r="AA1452" s="59"/>
      <c r="AB1452" s="57"/>
      <c r="AC1452" s="58"/>
      <c r="AD1452" s="57"/>
      <c r="AE1452" s="77"/>
      <c r="AH1452" s="79"/>
    </row>
    <row r="1453" spans="1:34" s="78" customFormat="1" ht="88.5" customHeight="1">
      <c r="A1453" s="16"/>
      <c r="B1453" s="17"/>
      <c r="C1453" s="1065" t="s">
        <v>1826</v>
      </c>
      <c r="D1453" s="19" t="s">
        <v>1827</v>
      </c>
      <c r="E1453" s="267">
        <f>E1441</f>
        <v>316878</v>
      </c>
      <c r="F1453" s="76" t="s">
        <v>57</v>
      </c>
      <c r="G1453" s="42">
        <f>SUM(G1457:G1458)</f>
        <v>3692552307</v>
      </c>
      <c r="H1453" s="563">
        <v>269004</v>
      </c>
      <c r="I1453" s="42">
        <f>SUM(I1457:I1458)</f>
        <v>585914700</v>
      </c>
      <c r="J1453" s="267"/>
      <c r="K1453" s="42"/>
      <c r="L1453" s="267"/>
      <c r="M1453" s="42"/>
      <c r="N1453" s="267"/>
      <c r="O1453" s="42"/>
      <c r="P1453" s="267"/>
      <c r="Q1453" s="42"/>
      <c r="R1453" s="267"/>
      <c r="S1453" s="42"/>
      <c r="T1453" s="390"/>
      <c r="U1453" s="57"/>
      <c r="V1453" s="58"/>
      <c r="W1453" s="59"/>
      <c r="X1453" s="57"/>
      <c r="Y1453" s="58"/>
      <c r="Z1453" s="417">
        <f t="shared" si="367"/>
        <v>269004</v>
      </c>
      <c r="AA1453" s="59">
        <f t="shared" si="368"/>
        <v>585914700</v>
      </c>
      <c r="AB1453" s="57"/>
      <c r="AC1453" s="58" t="s">
        <v>58</v>
      </c>
      <c r="AD1453" s="57"/>
      <c r="AE1453" s="77"/>
      <c r="AH1453" s="79"/>
    </row>
    <row r="1454" spans="1:34" s="78" customFormat="1" ht="102" customHeight="1">
      <c r="A1454" s="16"/>
      <c r="B1454" s="17"/>
      <c r="C1454" s="1066"/>
      <c r="D1454" s="19" t="s">
        <v>1828</v>
      </c>
      <c r="E1454" s="267">
        <v>7</v>
      </c>
      <c r="F1454" s="76" t="s">
        <v>1829</v>
      </c>
      <c r="G1454" s="42"/>
      <c r="H1454" s="267"/>
      <c r="I1454" s="42"/>
      <c r="J1454" s="267">
        <v>7</v>
      </c>
      <c r="K1454" s="42">
        <f>SUM(K1457:K1458)</f>
        <v>949286000</v>
      </c>
      <c r="L1454" s="267">
        <v>0</v>
      </c>
      <c r="M1454" s="42">
        <f>SUM(M1457:M1458)</f>
        <v>156161800</v>
      </c>
      <c r="N1454" s="267">
        <v>0</v>
      </c>
      <c r="O1454" s="42">
        <f>SUM(O1457:O1458)</f>
        <v>131999300</v>
      </c>
      <c r="P1454" s="267">
        <v>7</v>
      </c>
      <c r="Q1454" s="42">
        <f>SUM(Q1457:Q1458)</f>
        <v>311811300</v>
      </c>
      <c r="R1454" s="267"/>
      <c r="S1454" s="42">
        <f>SUM(S1457:S1458)</f>
        <v>204739300</v>
      </c>
      <c r="T1454" s="106">
        <f>SUM(L1454,N1454,P1454,R1454)</f>
        <v>7</v>
      </c>
      <c r="U1454" s="53">
        <f t="shared" ref="U1454:U1455" si="371">T1454/J1454*100</f>
        <v>100</v>
      </c>
      <c r="V1454" s="35" t="s">
        <v>58</v>
      </c>
      <c r="W1454" s="40">
        <f>SUM(M1454,O1454,Q1454,S1454)</f>
        <v>804711700</v>
      </c>
      <c r="X1454" s="57"/>
      <c r="Y1454" s="58"/>
      <c r="Z1454" s="417"/>
      <c r="AA1454" s="56"/>
      <c r="AB1454" s="57"/>
      <c r="AC1454" s="58"/>
      <c r="AD1454" s="60"/>
      <c r="AE1454" s="77"/>
      <c r="AH1454" s="79"/>
    </row>
    <row r="1455" spans="1:34" s="78" customFormat="1" ht="92.25" customHeight="1">
      <c r="A1455" s="16"/>
      <c r="B1455" s="17"/>
      <c r="C1455" s="1067"/>
      <c r="D1455" s="19" t="s">
        <v>1830</v>
      </c>
      <c r="E1455" s="267">
        <v>5</v>
      </c>
      <c r="F1455" s="76" t="s">
        <v>1783</v>
      </c>
      <c r="G1455" s="42"/>
      <c r="H1455" s="267"/>
      <c r="I1455" s="42"/>
      <c r="J1455" s="267">
        <v>5</v>
      </c>
      <c r="K1455" s="23"/>
      <c r="L1455" s="267">
        <v>1</v>
      </c>
      <c r="M1455" s="23"/>
      <c r="N1455" s="267">
        <v>0</v>
      </c>
      <c r="O1455" s="23"/>
      <c r="P1455" s="267">
        <v>3</v>
      </c>
      <c r="Q1455" s="42"/>
      <c r="R1455" s="267">
        <v>1</v>
      </c>
      <c r="S1455" s="42"/>
      <c r="T1455" s="106">
        <f>SUM(L1455,N1455,P1455,R1455)</f>
        <v>5</v>
      </c>
      <c r="U1455" s="53">
        <f t="shared" si="371"/>
        <v>100</v>
      </c>
      <c r="V1455" s="35" t="s">
        <v>58</v>
      </c>
      <c r="W1455" s="40">
        <f>SUM(M1455,O1455,Q1455,S1455)</f>
        <v>0</v>
      </c>
      <c r="X1455" s="57"/>
      <c r="Y1455" s="58"/>
      <c r="Z1455" s="417"/>
      <c r="AA1455" s="56"/>
      <c r="AB1455" s="57"/>
      <c r="AC1455" s="58"/>
      <c r="AD1455" s="60"/>
      <c r="AE1455" s="77"/>
      <c r="AH1455" s="79"/>
    </row>
    <row r="1456" spans="1:34" s="78" customFormat="1" ht="92.25" customHeight="1">
      <c r="A1456" s="16"/>
      <c r="B1456" s="17"/>
      <c r="C1456" s="18"/>
      <c r="D1456" s="19" t="s">
        <v>1831</v>
      </c>
      <c r="E1456" s="267">
        <v>2</v>
      </c>
      <c r="F1456" s="76" t="s">
        <v>1016</v>
      </c>
      <c r="G1456" s="42"/>
      <c r="H1456" s="267"/>
      <c r="I1456" s="42"/>
      <c r="J1456" s="267">
        <v>2</v>
      </c>
      <c r="K1456" s="23"/>
      <c r="L1456" s="267"/>
      <c r="M1456" s="23"/>
      <c r="N1456" s="267"/>
      <c r="O1456" s="23"/>
      <c r="P1456" s="267">
        <v>1</v>
      </c>
      <c r="Q1456" s="42"/>
      <c r="R1456" s="267">
        <v>1</v>
      </c>
      <c r="S1456" s="42"/>
      <c r="T1456" s="106"/>
      <c r="U1456" s="53"/>
      <c r="V1456" s="35"/>
      <c r="W1456" s="80"/>
      <c r="X1456" s="57"/>
      <c r="Y1456" s="58"/>
      <c r="Z1456" s="417"/>
      <c r="AA1456" s="56"/>
      <c r="AB1456" s="57"/>
      <c r="AC1456" s="58"/>
      <c r="AD1456" s="60"/>
      <c r="AE1456" s="77"/>
      <c r="AH1456" s="79"/>
    </row>
    <row r="1457" spans="1:34" ht="180">
      <c r="A1457" s="16"/>
      <c r="B1457" s="17"/>
      <c r="C1457" s="26" t="s">
        <v>1832</v>
      </c>
      <c r="D1457" s="29" t="s">
        <v>1833</v>
      </c>
      <c r="E1457" s="20">
        <v>12</v>
      </c>
      <c r="F1457" s="47" t="s">
        <v>55</v>
      </c>
      <c r="G1457" s="23">
        <f>387238000+225944000+192766000</f>
        <v>805948000</v>
      </c>
      <c r="H1457" s="20">
        <v>12</v>
      </c>
      <c r="I1457" s="22">
        <v>212595700</v>
      </c>
      <c r="J1457" s="20">
        <v>7</v>
      </c>
      <c r="K1457" s="23">
        <v>225944000</v>
      </c>
      <c r="L1457" s="20">
        <v>0</v>
      </c>
      <c r="M1457" s="551">
        <v>12424300</v>
      </c>
      <c r="N1457" s="20">
        <v>0</v>
      </c>
      <c r="O1457" s="23">
        <f>37798600-M1457</f>
        <v>25374300</v>
      </c>
      <c r="P1457" s="20">
        <v>7</v>
      </c>
      <c r="Q1457" s="551">
        <f>61322900-M1457-O1457</f>
        <v>23524300</v>
      </c>
      <c r="R1457" s="20"/>
      <c r="S1457" s="23">
        <f>157832200-M1457-O1457-Q1457</f>
        <v>96509300</v>
      </c>
      <c r="T1457" s="54">
        <f t="shared" ref="T1457:T1465" si="372">SUM(L1457,N1457,P1457,R1457)</f>
        <v>7</v>
      </c>
      <c r="U1457" s="54">
        <f t="shared" si="370"/>
        <v>100</v>
      </c>
      <c r="V1457" s="35" t="s">
        <v>58</v>
      </c>
      <c r="W1457" s="80">
        <f>SUM(M1457,O1457,Q1457,S1457)</f>
        <v>157832200</v>
      </c>
      <c r="X1457" s="53">
        <f>W1457/K1457*100</f>
        <v>69.854565733102007</v>
      </c>
      <c r="Y1457" s="35" t="s">
        <v>58</v>
      </c>
      <c r="Z1457" s="54">
        <f t="shared" si="367"/>
        <v>19</v>
      </c>
      <c r="AA1457" s="80">
        <f t="shared" si="368"/>
        <v>370427900</v>
      </c>
      <c r="AB1457" s="53"/>
      <c r="AC1457" s="35" t="s">
        <v>58</v>
      </c>
      <c r="AD1457" s="248"/>
      <c r="AE1457" s="11"/>
      <c r="AH1457" s="25"/>
    </row>
    <row r="1458" spans="1:34" ht="150">
      <c r="A1458" s="16"/>
      <c r="B1458" s="17"/>
      <c r="C1458" s="436" t="s">
        <v>1834</v>
      </c>
      <c r="D1458" s="29" t="s">
        <v>1835</v>
      </c>
      <c r="E1458" s="20">
        <v>5</v>
      </c>
      <c r="F1458" s="47" t="s">
        <v>173</v>
      </c>
      <c r="G1458" s="23">
        <f>1279794707+723342000+883467600</f>
        <v>2886604307</v>
      </c>
      <c r="H1458" s="20">
        <v>0</v>
      </c>
      <c r="I1458" s="82">
        <v>373319000</v>
      </c>
      <c r="J1458" s="20">
        <v>5</v>
      </c>
      <c r="K1458" s="23">
        <v>723342000</v>
      </c>
      <c r="L1458" s="20">
        <v>1</v>
      </c>
      <c r="M1458" s="546">
        <v>143737500</v>
      </c>
      <c r="N1458" s="20">
        <v>0</v>
      </c>
      <c r="O1458" s="23">
        <f>250362500-M1458</f>
        <v>106625000</v>
      </c>
      <c r="P1458" s="20">
        <v>3</v>
      </c>
      <c r="Q1458" s="546">
        <f>538649500-M1458-O1458</f>
        <v>288287000</v>
      </c>
      <c r="R1458" s="20">
        <v>1</v>
      </c>
      <c r="S1458" s="23">
        <f>646879500-M1458-O1458-Q1458</f>
        <v>108230000</v>
      </c>
      <c r="T1458" s="54">
        <f t="shared" si="372"/>
        <v>5</v>
      </c>
      <c r="U1458" s="54">
        <f t="shared" si="370"/>
        <v>100</v>
      </c>
      <c r="V1458" s="35" t="s">
        <v>58</v>
      </c>
      <c r="W1458" s="80">
        <f>SUM(M1458,O1458,Q1458,S1458)</f>
        <v>646879500</v>
      </c>
      <c r="X1458" s="53">
        <f>W1458/K1458*100</f>
        <v>89.429274119296267</v>
      </c>
      <c r="Y1458" s="35" t="s">
        <v>58</v>
      </c>
      <c r="Z1458" s="54">
        <f t="shared" si="367"/>
        <v>5</v>
      </c>
      <c r="AA1458" s="80">
        <f t="shared" si="368"/>
        <v>1020198500</v>
      </c>
      <c r="AB1458" s="53"/>
      <c r="AC1458" s="35" t="s">
        <v>58</v>
      </c>
      <c r="AD1458" s="248"/>
      <c r="AE1458" s="11"/>
      <c r="AH1458" s="25"/>
    </row>
    <row r="1459" spans="1:34" s="78" customFormat="1" ht="114.75" customHeight="1">
      <c r="A1459" s="16"/>
      <c r="B1459" s="17" t="s">
        <v>1836</v>
      </c>
      <c r="C1459" s="49" t="s">
        <v>1837</v>
      </c>
      <c r="D1459" s="19" t="s">
        <v>1838</v>
      </c>
      <c r="E1459" s="562">
        <v>1.7</v>
      </c>
      <c r="F1459" s="76" t="s">
        <v>1044</v>
      </c>
      <c r="G1459" s="552">
        <f>G1460</f>
        <v>974385000</v>
      </c>
      <c r="H1459" s="561">
        <f>25/32*100</f>
        <v>78.125</v>
      </c>
      <c r="I1459" s="552">
        <f>I1460</f>
        <v>30167500</v>
      </c>
      <c r="J1459" s="561">
        <v>33.33</v>
      </c>
      <c r="K1459" s="552">
        <f>K1460</f>
        <v>696620000</v>
      </c>
      <c r="L1459" s="561">
        <v>0</v>
      </c>
      <c r="M1459" s="552">
        <f>M1460</f>
        <v>0</v>
      </c>
      <c r="N1459" s="294">
        <v>33.33</v>
      </c>
      <c r="O1459" s="552">
        <f>O1460</f>
        <v>119250000</v>
      </c>
      <c r="P1459" s="267"/>
      <c r="Q1459" s="552">
        <f>Q1460</f>
        <v>175145000</v>
      </c>
      <c r="R1459" s="267"/>
      <c r="S1459" s="552">
        <f>S1460</f>
        <v>251595000</v>
      </c>
      <c r="T1459" s="57">
        <f t="shared" si="372"/>
        <v>33.33</v>
      </c>
      <c r="U1459" s="55">
        <f t="shared" si="370"/>
        <v>100</v>
      </c>
      <c r="V1459" s="58" t="s">
        <v>58</v>
      </c>
      <c r="W1459" s="56">
        <f>SUM(M1459,O1459,Q1459,S1459)</f>
        <v>545990000</v>
      </c>
      <c r="X1459" s="60">
        <f>W1459/K1459*100</f>
        <v>78.377020470270736</v>
      </c>
      <c r="Y1459" s="48" t="s">
        <v>58</v>
      </c>
      <c r="Z1459" s="557">
        <f t="shared" si="367"/>
        <v>111.455</v>
      </c>
      <c r="AA1459" s="56">
        <f t="shared" si="368"/>
        <v>576157500</v>
      </c>
      <c r="AB1459" s="57"/>
      <c r="AC1459" s="58" t="s">
        <v>58</v>
      </c>
      <c r="AD1459" s="60"/>
      <c r="AE1459" s="77"/>
      <c r="AH1459" s="79"/>
    </row>
    <row r="1460" spans="1:34" s="78" customFormat="1" ht="152.25" customHeight="1">
      <c r="A1460" s="16"/>
      <c r="B1460" s="17"/>
      <c r="C1460" s="1065" t="s">
        <v>1839</v>
      </c>
      <c r="D1460" s="19" t="s">
        <v>1840</v>
      </c>
      <c r="E1460" s="45">
        <f>E1464</f>
        <v>260</v>
      </c>
      <c r="F1460" s="46" t="s">
        <v>57</v>
      </c>
      <c r="G1460" s="52">
        <f>SUM(G1464:G1465)</f>
        <v>974385000</v>
      </c>
      <c r="H1460" s="108">
        <v>270</v>
      </c>
      <c r="I1460" s="52">
        <f>SUM(I1464:I1465)</f>
        <v>30167500</v>
      </c>
      <c r="J1460" s="45">
        <v>25</v>
      </c>
      <c r="K1460" s="52">
        <f>SUM(K1464:K1465)</f>
        <v>696620000</v>
      </c>
      <c r="L1460" s="45">
        <f>L1464</f>
        <v>0</v>
      </c>
      <c r="M1460" s="52">
        <f>SUM(M1464:M1465)</f>
        <v>0</v>
      </c>
      <c r="N1460" s="45">
        <v>0</v>
      </c>
      <c r="O1460" s="52">
        <f>SUM(O1464:O1465)</f>
        <v>119250000</v>
      </c>
      <c r="P1460" s="45"/>
      <c r="Q1460" s="52">
        <f>SUM(Q1464:Q1465)</f>
        <v>175145000</v>
      </c>
      <c r="R1460" s="45"/>
      <c r="S1460" s="52">
        <f>SUM(S1464:S1465)</f>
        <v>251595000</v>
      </c>
      <c r="T1460" s="55">
        <f t="shared" si="372"/>
        <v>0</v>
      </c>
      <c r="U1460" s="55">
        <f t="shared" si="370"/>
        <v>0</v>
      </c>
      <c r="V1460" s="58" t="s">
        <v>58</v>
      </c>
      <c r="W1460" s="56">
        <f>SUM(M1460,O1460,Q1460,S1460)</f>
        <v>545990000</v>
      </c>
      <c r="X1460" s="60">
        <f>W1460/K1460*100</f>
        <v>78.377020470270736</v>
      </c>
      <c r="Y1460" s="48" t="s">
        <v>58</v>
      </c>
      <c r="Z1460" s="103">
        <f t="shared" si="367"/>
        <v>270</v>
      </c>
      <c r="AA1460" s="56">
        <f>SUM(I1460,W1460)</f>
        <v>576157500</v>
      </c>
      <c r="AB1460" s="57"/>
      <c r="AC1460" s="58" t="s">
        <v>58</v>
      </c>
      <c r="AD1460" s="60"/>
      <c r="AE1460" s="77"/>
      <c r="AH1460" s="79"/>
    </row>
    <row r="1461" spans="1:34" s="78" customFormat="1" ht="124.5" customHeight="1">
      <c r="A1461" s="16"/>
      <c r="B1461" s="17"/>
      <c r="C1461" s="1067"/>
      <c r="D1461" s="19" t="s">
        <v>1841</v>
      </c>
      <c r="E1461" s="45">
        <f>E1465</f>
        <v>18</v>
      </c>
      <c r="F1461" s="46" t="s">
        <v>1783</v>
      </c>
      <c r="G1461" s="41"/>
      <c r="H1461" s="108">
        <v>0</v>
      </c>
      <c r="I1461" s="41"/>
      <c r="J1461" s="45">
        <v>25</v>
      </c>
      <c r="K1461" s="41"/>
      <c r="L1461" s="45">
        <v>0</v>
      </c>
      <c r="M1461" s="41"/>
      <c r="N1461" s="45">
        <v>0</v>
      </c>
      <c r="O1461" s="41"/>
      <c r="P1461" s="45"/>
      <c r="Q1461" s="41"/>
      <c r="R1461" s="45">
        <v>45</v>
      </c>
      <c r="S1461" s="41"/>
      <c r="T1461" s="55">
        <f t="shared" si="372"/>
        <v>45</v>
      </c>
      <c r="U1461" s="55">
        <f t="shared" si="370"/>
        <v>180</v>
      </c>
      <c r="V1461" s="58" t="s">
        <v>58</v>
      </c>
      <c r="W1461" s="94"/>
      <c r="X1461" s="239"/>
      <c r="Y1461" s="240"/>
      <c r="Z1461" s="103">
        <f t="shared" si="367"/>
        <v>45</v>
      </c>
      <c r="AA1461" s="94"/>
      <c r="AB1461" s="57"/>
      <c r="AC1461" s="58" t="s">
        <v>58</v>
      </c>
      <c r="AD1461" s="239"/>
      <c r="AE1461" s="77"/>
      <c r="AH1461" s="79"/>
    </row>
    <row r="1462" spans="1:34" s="78" customFormat="1" ht="99.75" customHeight="1">
      <c r="A1462" s="16"/>
      <c r="B1462" s="17"/>
      <c r="C1462" s="18"/>
      <c r="D1462" s="19" t="s">
        <v>1842</v>
      </c>
      <c r="E1462" s="45"/>
      <c r="F1462" s="46"/>
      <c r="G1462" s="41"/>
      <c r="H1462" s="108"/>
      <c r="I1462" s="41"/>
      <c r="J1462" s="45">
        <v>2</v>
      </c>
      <c r="K1462" s="41"/>
      <c r="L1462" s="45"/>
      <c r="M1462" s="41"/>
      <c r="N1462" s="45"/>
      <c r="O1462" s="41"/>
      <c r="P1462" s="45">
        <v>2</v>
      </c>
      <c r="Q1462" s="41"/>
      <c r="R1462" s="45"/>
      <c r="S1462" s="41"/>
      <c r="T1462" s="55"/>
      <c r="U1462" s="55"/>
      <c r="V1462" s="58"/>
      <c r="W1462" s="276"/>
      <c r="X1462" s="239"/>
      <c r="Y1462" s="240"/>
      <c r="Z1462" s="103"/>
      <c r="AA1462" s="276"/>
      <c r="AB1462" s="57"/>
      <c r="AC1462" s="58"/>
      <c r="AD1462" s="241"/>
      <c r="AE1462" s="77"/>
      <c r="AH1462" s="79"/>
    </row>
    <row r="1463" spans="1:34" s="78" customFormat="1" ht="57" customHeight="1">
      <c r="A1463" s="16"/>
      <c r="B1463" s="17"/>
      <c r="C1463" s="18"/>
      <c r="D1463" s="19" t="s">
        <v>1843</v>
      </c>
      <c r="E1463" s="45"/>
      <c r="F1463" s="46"/>
      <c r="G1463" s="41"/>
      <c r="H1463" s="108"/>
      <c r="I1463" s="41"/>
      <c r="J1463" s="45">
        <v>3</v>
      </c>
      <c r="K1463" s="41"/>
      <c r="L1463" s="45">
        <v>3</v>
      </c>
      <c r="M1463" s="41"/>
      <c r="N1463" s="45"/>
      <c r="O1463" s="41"/>
      <c r="P1463" s="45"/>
      <c r="Q1463" s="41"/>
      <c r="R1463" s="45"/>
      <c r="S1463" s="41"/>
      <c r="T1463" s="55"/>
      <c r="U1463" s="55"/>
      <c r="V1463" s="58"/>
      <c r="W1463" s="276"/>
      <c r="X1463" s="239"/>
      <c r="Y1463" s="240"/>
      <c r="Z1463" s="103"/>
      <c r="AA1463" s="276"/>
      <c r="AB1463" s="57"/>
      <c r="AC1463" s="58"/>
      <c r="AD1463" s="241"/>
      <c r="AE1463" s="77"/>
      <c r="AH1463" s="79"/>
    </row>
    <row r="1464" spans="1:34" ht="138" customHeight="1">
      <c r="A1464" s="16"/>
      <c r="B1464" s="17"/>
      <c r="C1464" s="26" t="s">
        <v>1844</v>
      </c>
      <c r="D1464" s="29" t="s">
        <v>1845</v>
      </c>
      <c r="E1464" s="20">
        <f>50+110+100</f>
        <v>260</v>
      </c>
      <c r="F1464" s="47" t="s">
        <v>57</v>
      </c>
      <c r="G1464" s="23">
        <f>30175000+43835000</f>
        <v>74010000</v>
      </c>
      <c r="H1464" s="20">
        <v>50</v>
      </c>
      <c r="I1464" s="22">
        <v>30167500</v>
      </c>
      <c r="J1464" s="20">
        <v>50</v>
      </c>
      <c r="K1464" s="23">
        <v>43835000</v>
      </c>
      <c r="L1464" s="20">
        <v>0</v>
      </c>
      <c r="M1464" s="23"/>
      <c r="N1464" s="20">
        <v>0</v>
      </c>
      <c r="O1464" s="23"/>
      <c r="P1464" s="20"/>
      <c r="Q1464" s="23">
        <v>0</v>
      </c>
      <c r="R1464" s="20">
        <v>25</v>
      </c>
      <c r="S1464" s="23">
        <f>33220000-M1464-O1464-Q1464</f>
        <v>33220000</v>
      </c>
      <c r="T1464" s="54">
        <f t="shared" si="372"/>
        <v>25</v>
      </c>
      <c r="U1464" s="54">
        <f t="shared" si="370"/>
        <v>50</v>
      </c>
      <c r="V1464" s="35" t="s">
        <v>58</v>
      </c>
      <c r="W1464" s="80">
        <f>SUM(M1464,O1464,Q1464,S1464)</f>
        <v>33220000</v>
      </c>
      <c r="X1464" s="53">
        <f>W1464/K1464*100</f>
        <v>75.784190715181936</v>
      </c>
      <c r="Y1464" s="35" t="s">
        <v>58</v>
      </c>
      <c r="Z1464" s="54">
        <f t="shared" si="367"/>
        <v>75</v>
      </c>
      <c r="AA1464" s="80">
        <f>SUM(I1464,W1464)</f>
        <v>63387500</v>
      </c>
      <c r="AB1464" s="53"/>
      <c r="AC1464" s="35" t="s">
        <v>58</v>
      </c>
      <c r="AD1464" s="248"/>
      <c r="AE1464" s="11"/>
      <c r="AH1464" s="25"/>
    </row>
    <row r="1465" spans="1:34" ht="195">
      <c r="A1465" s="16"/>
      <c r="B1465" s="17"/>
      <c r="C1465" s="436" t="s">
        <v>1846</v>
      </c>
      <c r="D1465" s="29" t="s">
        <v>1847</v>
      </c>
      <c r="E1465" s="20">
        <f>1+7+10</f>
        <v>18</v>
      </c>
      <c r="F1465" s="47" t="s">
        <v>173</v>
      </c>
      <c r="G1465" s="23">
        <f>99200000+652785000+148390000</f>
        <v>900375000</v>
      </c>
      <c r="H1465" s="20">
        <v>0</v>
      </c>
      <c r="I1465" s="82">
        <v>0</v>
      </c>
      <c r="J1465" s="20">
        <v>2</v>
      </c>
      <c r="K1465" s="23">
        <v>652785000</v>
      </c>
      <c r="L1465" s="20">
        <v>0</v>
      </c>
      <c r="M1465" s="23"/>
      <c r="N1465" s="20">
        <v>0</v>
      </c>
      <c r="O1465" s="23">
        <v>119250000</v>
      </c>
      <c r="P1465" s="20"/>
      <c r="Q1465" s="546">
        <f>294395000-M1465-O1465</f>
        <v>175145000</v>
      </c>
      <c r="R1465" s="20">
        <v>2</v>
      </c>
      <c r="S1465" s="23">
        <f>512770000-M1465-O1465-Q1465</f>
        <v>218375000</v>
      </c>
      <c r="T1465" s="54">
        <f t="shared" si="372"/>
        <v>2</v>
      </c>
      <c r="U1465" s="54">
        <f t="shared" si="370"/>
        <v>100</v>
      </c>
      <c r="V1465" s="35" t="s">
        <v>58</v>
      </c>
      <c r="W1465" s="80">
        <f>SUM(M1465,O1465,Q1465,S1465)</f>
        <v>512770000</v>
      </c>
      <c r="X1465" s="53">
        <f>W1465/K1465*100</f>
        <v>78.551130923657865</v>
      </c>
      <c r="Y1465" s="35" t="s">
        <v>58</v>
      </c>
      <c r="Z1465" s="54">
        <f t="shared" si="367"/>
        <v>2</v>
      </c>
      <c r="AA1465" s="80">
        <f>SUM(I1465,W1465)</f>
        <v>512770000</v>
      </c>
      <c r="AB1465" s="53"/>
      <c r="AC1465" s="35" t="s">
        <v>58</v>
      </c>
      <c r="AD1465" s="248"/>
      <c r="AE1465" s="11"/>
      <c r="AH1465" s="25"/>
    </row>
    <row r="1466" spans="1:34" ht="115.5" customHeight="1">
      <c r="A1466" s="48">
        <v>1</v>
      </c>
      <c r="B1466" s="17" t="s">
        <v>29</v>
      </c>
      <c r="C1466" s="19" t="s">
        <v>68</v>
      </c>
      <c r="D1466" s="19" t="s">
        <v>143</v>
      </c>
      <c r="E1466" s="45">
        <v>100</v>
      </c>
      <c r="F1466" s="76" t="s">
        <v>58</v>
      </c>
      <c r="G1466" s="555">
        <f>G1467+G1470+G1475+G1481+G1484+G1487</f>
        <v>6024555538</v>
      </c>
      <c r="H1466" s="45">
        <v>125</v>
      </c>
      <c r="I1466" s="555">
        <f>I1467+I1470+I1475+I1481+I1484+I1487</f>
        <v>4179944022</v>
      </c>
      <c r="J1466" s="45">
        <v>100</v>
      </c>
      <c r="K1466" s="555">
        <f>K1467+K1470+K1475+K1481+K1484+K1487</f>
        <v>14501798250</v>
      </c>
      <c r="L1466" s="45">
        <v>100</v>
      </c>
      <c r="M1466" s="555">
        <f>M1467+M1470+M1475+M1484+M1487</f>
        <v>981409945</v>
      </c>
      <c r="N1466" s="45">
        <v>100</v>
      </c>
      <c r="O1466" s="555">
        <f>O1467+O1470+O1475+O1481+O1484+O1487</f>
        <v>3200022205</v>
      </c>
      <c r="P1466" s="45">
        <v>100</v>
      </c>
      <c r="Q1466" s="555">
        <f>Q1467+Q1470+Q1475+Q1481+Q1484+Q1487</f>
        <v>1073254863</v>
      </c>
      <c r="R1466" s="45">
        <v>100</v>
      </c>
      <c r="S1466" s="555">
        <f>S1467+S1470+S1475+S1481+S1484+S1487</f>
        <v>8803793671</v>
      </c>
      <c r="T1466" s="108">
        <f>AVERAGE(L1466,N1466,P1466,R1466)</f>
        <v>100</v>
      </c>
      <c r="U1466" s="108">
        <f t="shared" si="370"/>
        <v>100</v>
      </c>
      <c r="V1466" s="45" t="s">
        <v>58</v>
      </c>
      <c r="W1466" s="566">
        <f>SUM(M1466,O1466,Q1466,S1466)</f>
        <v>14058480684</v>
      </c>
      <c r="X1466" s="107">
        <f t="shared" ref="X1466:X1489" si="373">W1466/K1466*100</f>
        <v>96.943016594510951</v>
      </c>
      <c r="Y1466" s="45" t="s">
        <v>58</v>
      </c>
      <c r="Z1466" s="108">
        <f t="shared" si="367"/>
        <v>225</v>
      </c>
      <c r="AA1466" s="566">
        <f t="shared" ref="AA1466:AA1492" si="374">SUM(I1466,W1466)</f>
        <v>18238424706</v>
      </c>
      <c r="AB1466" s="45"/>
      <c r="AC1466" s="58" t="s">
        <v>58</v>
      </c>
      <c r="AD1466" s="57"/>
      <c r="AE1466" s="397" t="s">
        <v>1848</v>
      </c>
      <c r="AH1466" s="25">
        <f>M1466+O1466+Q1466+S1466</f>
        <v>14058480684</v>
      </c>
    </row>
    <row r="1467" spans="1:34" ht="111.75" customHeight="1">
      <c r="A1467" s="16"/>
      <c r="B1467" s="17"/>
      <c r="C1467" s="567" t="s">
        <v>1276</v>
      </c>
      <c r="D1467" s="19" t="s">
        <v>1849</v>
      </c>
      <c r="E1467" s="386">
        <f>SUM(E1468:E1469)</f>
        <v>45</v>
      </c>
      <c r="F1467" s="75" t="s">
        <v>55</v>
      </c>
      <c r="G1467" s="555">
        <f>SUM(G1468:G1469)</f>
        <v>7962500</v>
      </c>
      <c r="H1467" s="386">
        <v>17</v>
      </c>
      <c r="I1467" s="555">
        <f t="shared" ref="I1467:L1467" si="375">SUM(I1468:I1469)</f>
        <v>9240000</v>
      </c>
      <c r="J1467" s="386">
        <f t="shared" si="375"/>
        <v>15</v>
      </c>
      <c r="K1467" s="555">
        <f t="shared" si="375"/>
        <v>9650000</v>
      </c>
      <c r="L1467" s="386">
        <f t="shared" si="375"/>
        <v>1</v>
      </c>
      <c r="M1467" s="555">
        <f>SUM(M1468:M1469)</f>
        <v>600000</v>
      </c>
      <c r="N1467" s="386">
        <v>5</v>
      </c>
      <c r="O1467" s="555">
        <f>O1468+O1469</f>
        <v>1854600</v>
      </c>
      <c r="P1467" s="386">
        <v>5</v>
      </c>
      <c r="Q1467" s="555">
        <f>Q1468+Q1469</f>
        <v>537500</v>
      </c>
      <c r="R1467" s="386">
        <v>4</v>
      </c>
      <c r="S1467" s="555">
        <f>S1468+S1469</f>
        <v>4727950</v>
      </c>
      <c r="T1467" s="108">
        <f>SUM(L1467,N1467,P1467,R1467)</f>
        <v>15</v>
      </c>
      <c r="U1467" s="108">
        <f t="shared" si="370"/>
        <v>100</v>
      </c>
      <c r="V1467" s="45" t="s">
        <v>58</v>
      </c>
      <c r="W1467" s="566">
        <f t="shared" ref="W1467:W1489" si="376">SUM(M1467,O1467,Q1467,S1467)</f>
        <v>7720050</v>
      </c>
      <c r="X1467" s="107">
        <f t="shared" si="373"/>
        <v>80.000518134715023</v>
      </c>
      <c r="Y1467" s="45" t="s">
        <v>58</v>
      </c>
      <c r="Z1467" s="108">
        <f t="shared" si="367"/>
        <v>32</v>
      </c>
      <c r="AA1467" s="566">
        <f t="shared" si="374"/>
        <v>16960050</v>
      </c>
      <c r="AB1467" s="45"/>
      <c r="AC1467" s="58" t="s">
        <v>58</v>
      </c>
      <c r="AD1467" s="57"/>
      <c r="AE1467" s="24"/>
      <c r="AH1467" s="25">
        <f>M1467+O1467+Q1467+S1467</f>
        <v>7720050</v>
      </c>
    </row>
    <row r="1468" spans="1:34" ht="93.75" customHeight="1">
      <c r="A1468" s="16"/>
      <c r="B1468" s="17"/>
      <c r="C1468" s="29" t="s">
        <v>69</v>
      </c>
      <c r="D1468" s="29" t="s">
        <v>211</v>
      </c>
      <c r="E1468" s="20">
        <v>15</v>
      </c>
      <c r="F1468" s="21" t="s">
        <v>55</v>
      </c>
      <c r="G1468" s="23">
        <v>6650000</v>
      </c>
      <c r="H1468" s="20">
        <v>6</v>
      </c>
      <c r="I1468" s="23">
        <v>7740000</v>
      </c>
      <c r="J1468" s="20">
        <v>10</v>
      </c>
      <c r="K1468" s="23">
        <v>8337500</v>
      </c>
      <c r="L1468" s="20"/>
      <c r="M1468" s="23">
        <v>600000</v>
      </c>
      <c r="N1468" s="20">
        <v>5</v>
      </c>
      <c r="O1468" s="23">
        <v>1854600</v>
      </c>
      <c r="P1468" s="20">
        <v>5</v>
      </c>
      <c r="Q1468" s="23">
        <v>537500</v>
      </c>
      <c r="R1468" s="20"/>
      <c r="S1468" s="23">
        <v>3417500</v>
      </c>
      <c r="T1468" s="54">
        <f>SUM(L1468,N1468,P1468,R1468)</f>
        <v>10</v>
      </c>
      <c r="U1468" s="54">
        <f t="shared" si="370"/>
        <v>100</v>
      </c>
      <c r="V1468" s="35" t="s">
        <v>58</v>
      </c>
      <c r="W1468" s="40">
        <f t="shared" si="376"/>
        <v>6409600</v>
      </c>
      <c r="X1468" s="53">
        <f t="shared" si="373"/>
        <v>76.876761619190404</v>
      </c>
      <c r="Y1468" s="35" t="s">
        <v>58</v>
      </c>
      <c r="Z1468" s="54">
        <f t="shared" si="367"/>
        <v>16</v>
      </c>
      <c r="AA1468" s="40">
        <f t="shared" si="374"/>
        <v>14149600</v>
      </c>
      <c r="AB1468" s="53"/>
      <c r="AC1468" s="35" t="s">
        <v>58</v>
      </c>
      <c r="AD1468" s="558"/>
      <c r="AE1468" s="24"/>
      <c r="AH1468" s="25"/>
    </row>
    <row r="1469" spans="1:34" ht="90">
      <c r="A1469" s="16"/>
      <c r="B1469" s="17"/>
      <c r="C1469" s="29" t="s">
        <v>70</v>
      </c>
      <c r="D1469" s="29" t="s">
        <v>212</v>
      </c>
      <c r="E1469" s="20">
        <v>30</v>
      </c>
      <c r="F1469" s="21" t="s">
        <v>173</v>
      </c>
      <c r="G1469" s="23">
        <v>1312500</v>
      </c>
      <c r="H1469" s="20">
        <v>11</v>
      </c>
      <c r="I1469" s="22">
        <v>1500000</v>
      </c>
      <c r="J1469" s="20">
        <v>5</v>
      </c>
      <c r="K1469" s="23">
        <v>1312500</v>
      </c>
      <c r="L1469" s="20">
        <v>1</v>
      </c>
      <c r="M1469" s="23"/>
      <c r="N1469" s="20"/>
      <c r="O1469" s="23">
        <v>0</v>
      </c>
      <c r="P1469" s="20"/>
      <c r="Q1469" s="23"/>
      <c r="R1469" s="20">
        <v>4</v>
      </c>
      <c r="S1469" s="23">
        <v>1310450</v>
      </c>
      <c r="T1469" s="54">
        <f>SUM(L1469,N1469,P1469,R1469)</f>
        <v>5</v>
      </c>
      <c r="U1469" s="54">
        <f t="shared" si="370"/>
        <v>100</v>
      </c>
      <c r="V1469" s="35" t="s">
        <v>58</v>
      </c>
      <c r="W1469" s="40">
        <f t="shared" si="376"/>
        <v>1310450</v>
      </c>
      <c r="X1469" s="53">
        <f t="shared" si="373"/>
        <v>99.843809523809526</v>
      </c>
      <c r="Y1469" s="35" t="s">
        <v>58</v>
      </c>
      <c r="Z1469" s="54">
        <f t="shared" si="367"/>
        <v>16</v>
      </c>
      <c r="AA1469" s="40">
        <f t="shared" si="374"/>
        <v>2810450</v>
      </c>
      <c r="AB1469" s="53"/>
      <c r="AC1469" s="35" t="s">
        <v>58</v>
      </c>
      <c r="AD1469" s="53"/>
      <c r="AE1469" s="11"/>
      <c r="AH1469" s="25"/>
    </row>
    <row r="1470" spans="1:34" ht="138.75" customHeight="1">
      <c r="A1470" s="16"/>
      <c r="B1470" s="17"/>
      <c r="C1470" s="567" t="s">
        <v>71</v>
      </c>
      <c r="D1470" s="19" t="s">
        <v>1850</v>
      </c>
      <c r="E1470" s="74">
        <f>SUM(E1473:E1474)</f>
        <v>39</v>
      </c>
      <c r="F1470" s="75" t="s">
        <v>55</v>
      </c>
      <c r="G1470" s="42">
        <f>SUM(G1471:G1474)</f>
        <v>3780030362</v>
      </c>
      <c r="H1470" s="45">
        <v>17</v>
      </c>
      <c r="I1470" s="42">
        <f>SUM(I1471:I1474)</f>
        <v>3268101231</v>
      </c>
      <c r="J1470" s="74">
        <v>12</v>
      </c>
      <c r="K1470" s="42">
        <f>SUM(K1471:K1474)</f>
        <v>3710030362</v>
      </c>
      <c r="L1470" s="74">
        <f>SUM(L1473:L1474)</f>
        <v>3</v>
      </c>
      <c r="M1470" s="42">
        <f>SUM(M1471:M1474)</f>
        <v>894945438</v>
      </c>
      <c r="N1470" s="74">
        <f>SUM(N1473:N1474)</f>
        <v>3</v>
      </c>
      <c r="O1470" s="42">
        <f>O1471+O1472+O1473+O1474</f>
        <v>653490988</v>
      </c>
      <c r="P1470" s="74">
        <f>SUM(P1473:P1474)</f>
        <v>4</v>
      </c>
      <c r="Q1470" s="42">
        <f>Q1471+Q1472+Q1473+Q1474</f>
        <v>958647552</v>
      </c>
      <c r="R1470" s="74">
        <v>2</v>
      </c>
      <c r="S1470" s="42">
        <f>S1471+S1472+S1473+S1474</f>
        <v>824513973</v>
      </c>
      <c r="T1470" s="55">
        <f>SUM(L1470,N1470,P1470,R1470)</f>
        <v>12</v>
      </c>
      <c r="U1470" s="55">
        <f t="shared" si="370"/>
        <v>100</v>
      </c>
      <c r="V1470" s="58" t="s">
        <v>58</v>
      </c>
      <c r="W1470" s="59">
        <f t="shared" si="376"/>
        <v>3331597951</v>
      </c>
      <c r="X1470" s="57">
        <f t="shared" si="373"/>
        <v>89.799748948793095</v>
      </c>
      <c r="Y1470" s="58" t="s">
        <v>58</v>
      </c>
      <c r="Z1470" s="55">
        <f t="shared" si="367"/>
        <v>29</v>
      </c>
      <c r="AA1470" s="59">
        <f t="shared" si="374"/>
        <v>6599699182</v>
      </c>
      <c r="AB1470" s="57"/>
      <c r="AC1470" s="58" t="s">
        <v>58</v>
      </c>
      <c r="AD1470" s="57"/>
      <c r="AE1470" s="11"/>
      <c r="AH1470" s="25"/>
    </row>
    <row r="1471" spans="1:34" ht="107.25" customHeight="1">
      <c r="A1471" s="48">
        <v>2</v>
      </c>
      <c r="B1471" s="49" t="s">
        <v>30</v>
      </c>
      <c r="C1471" s="29" t="s">
        <v>72</v>
      </c>
      <c r="D1471" s="26" t="s">
        <v>213</v>
      </c>
      <c r="E1471" s="20">
        <v>30</v>
      </c>
      <c r="F1471" s="21" t="s">
        <v>57</v>
      </c>
      <c r="G1471" s="23">
        <v>3775655362</v>
      </c>
      <c r="H1471" s="20">
        <v>60</v>
      </c>
      <c r="I1471" s="23">
        <v>3263101631</v>
      </c>
      <c r="J1471" s="20">
        <v>29</v>
      </c>
      <c r="K1471" s="23">
        <v>3705655362</v>
      </c>
      <c r="L1471" s="20">
        <v>29</v>
      </c>
      <c r="M1471" s="23">
        <v>894645438</v>
      </c>
      <c r="N1471" s="20">
        <v>29</v>
      </c>
      <c r="O1471" s="23">
        <v>653490988</v>
      </c>
      <c r="P1471" s="20">
        <v>29</v>
      </c>
      <c r="Q1471" s="23">
        <v>955805552</v>
      </c>
      <c r="R1471" s="20">
        <v>29</v>
      </c>
      <c r="S1471" s="23">
        <v>823288973</v>
      </c>
      <c r="T1471" s="54">
        <f>AVERAGE(L1471,N1471,P1471,R1471)</f>
        <v>29</v>
      </c>
      <c r="U1471" s="54">
        <f t="shared" si="370"/>
        <v>100</v>
      </c>
      <c r="V1471" s="35" t="s">
        <v>58</v>
      </c>
      <c r="W1471" s="40">
        <f t="shared" si="376"/>
        <v>3327230951</v>
      </c>
      <c r="X1471" s="53">
        <f t="shared" si="373"/>
        <v>89.787922134352002</v>
      </c>
      <c r="Y1471" s="35" t="s">
        <v>58</v>
      </c>
      <c r="Z1471" s="54">
        <f t="shared" si="367"/>
        <v>89</v>
      </c>
      <c r="AA1471" s="40">
        <f t="shared" si="374"/>
        <v>6590332582</v>
      </c>
      <c r="AB1471" s="53"/>
      <c r="AC1471" s="35" t="s">
        <v>58</v>
      </c>
      <c r="AD1471" s="53"/>
      <c r="AE1471" s="11"/>
      <c r="AH1471" s="25"/>
    </row>
    <row r="1472" spans="1:34" ht="195">
      <c r="A1472" s="16"/>
      <c r="B1472" s="17"/>
      <c r="C1472" s="29" t="s">
        <v>73</v>
      </c>
      <c r="D1472" s="29" t="s">
        <v>214</v>
      </c>
      <c r="E1472" s="20">
        <f>12*3</f>
        <v>36</v>
      </c>
      <c r="F1472" s="27" t="s">
        <v>173</v>
      </c>
      <c r="G1472" s="23">
        <v>1750000</v>
      </c>
      <c r="H1472" s="20">
        <v>15</v>
      </c>
      <c r="I1472" s="23">
        <v>3499900</v>
      </c>
      <c r="J1472" s="20">
        <v>12</v>
      </c>
      <c r="K1472" s="23">
        <v>1750000</v>
      </c>
      <c r="L1472" s="20">
        <v>3</v>
      </c>
      <c r="M1472" s="23">
        <v>0</v>
      </c>
      <c r="N1472" s="20">
        <v>3</v>
      </c>
      <c r="O1472" s="23">
        <v>0</v>
      </c>
      <c r="P1472" s="20">
        <v>3</v>
      </c>
      <c r="Q1472" s="23">
        <v>525000</v>
      </c>
      <c r="R1472" s="20">
        <v>3</v>
      </c>
      <c r="S1472" s="23">
        <v>1225000</v>
      </c>
      <c r="T1472" s="54">
        <f>SUM(L1472,N1472,P1472,R1472)</f>
        <v>12</v>
      </c>
      <c r="U1472" s="54">
        <f t="shared" si="370"/>
        <v>100</v>
      </c>
      <c r="V1472" s="35" t="s">
        <v>58</v>
      </c>
      <c r="W1472" s="40">
        <f t="shared" si="376"/>
        <v>1750000</v>
      </c>
      <c r="X1472" s="53">
        <f t="shared" si="373"/>
        <v>100</v>
      </c>
      <c r="Y1472" s="35" t="s">
        <v>58</v>
      </c>
      <c r="Z1472" s="54">
        <f t="shared" si="367"/>
        <v>27</v>
      </c>
      <c r="AA1472" s="40">
        <f t="shared" si="374"/>
        <v>5249900</v>
      </c>
      <c r="AB1472" s="53"/>
      <c r="AC1472" s="35" t="s">
        <v>58</v>
      </c>
      <c r="AD1472" s="57"/>
      <c r="AE1472" s="11"/>
      <c r="AH1472" s="25"/>
    </row>
    <row r="1473" spans="1:34" ht="210">
      <c r="A1473" s="16"/>
      <c r="B1473" s="17"/>
      <c r="C1473" s="29" t="s">
        <v>1174</v>
      </c>
      <c r="D1473" s="29" t="s">
        <v>215</v>
      </c>
      <c r="E1473" s="20">
        <f>12*3</f>
        <v>36</v>
      </c>
      <c r="F1473" s="27" t="s">
        <v>173</v>
      </c>
      <c r="G1473" s="23">
        <v>1312500</v>
      </c>
      <c r="H1473" s="20">
        <v>15</v>
      </c>
      <c r="I1473" s="42">
        <v>0</v>
      </c>
      <c r="J1473" s="20">
        <v>12</v>
      </c>
      <c r="K1473" s="23">
        <v>1312500</v>
      </c>
      <c r="L1473" s="20">
        <v>3</v>
      </c>
      <c r="M1473" s="23">
        <v>300000</v>
      </c>
      <c r="N1473" s="20">
        <v>3</v>
      </c>
      <c r="O1473" s="23">
        <v>0</v>
      </c>
      <c r="P1473" s="20">
        <v>3</v>
      </c>
      <c r="Q1473" s="23">
        <v>1004500</v>
      </c>
      <c r="R1473" s="20">
        <v>3</v>
      </c>
      <c r="S1473" s="23">
        <v>0</v>
      </c>
      <c r="T1473" s="54">
        <f>SUM(L1473,N1473,P1473,R1473)</f>
        <v>12</v>
      </c>
      <c r="U1473" s="54">
        <f t="shared" si="370"/>
        <v>100</v>
      </c>
      <c r="V1473" s="35" t="s">
        <v>58</v>
      </c>
      <c r="W1473" s="40">
        <f t="shared" si="376"/>
        <v>1304500</v>
      </c>
      <c r="X1473" s="53">
        <f t="shared" si="373"/>
        <v>99.390476190476193</v>
      </c>
      <c r="Y1473" s="35" t="s">
        <v>58</v>
      </c>
      <c r="Z1473" s="54">
        <f t="shared" si="367"/>
        <v>27</v>
      </c>
      <c r="AA1473" s="40">
        <f t="shared" si="374"/>
        <v>1304500</v>
      </c>
      <c r="AB1473" s="53"/>
      <c r="AC1473" s="35" t="s">
        <v>58</v>
      </c>
      <c r="AD1473" s="57"/>
      <c r="AE1473" s="11"/>
      <c r="AH1473" s="25"/>
    </row>
    <row r="1474" spans="1:34" ht="105">
      <c r="A1474" s="16"/>
      <c r="B1474" s="17"/>
      <c r="C1474" s="29" t="s">
        <v>75</v>
      </c>
      <c r="D1474" s="29" t="s">
        <v>216</v>
      </c>
      <c r="E1474" s="20">
        <f>1*3</f>
        <v>3</v>
      </c>
      <c r="F1474" s="27" t="s">
        <v>55</v>
      </c>
      <c r="G1474" s="23">
        <v>1312500</v>
      </c>
      <c r="H1474" s="20">
        <v>1</v>
      </c>
      <c r="I1474" s="22">
        <v>1499700</v>
      </c>
      <c r="J1474" s="20">
        <v>1</v>
      </c>
      <c r="K1474" s="23">
        <v>1312500</v>
      </c>
      <c r="L1474" s="20">
        <v>0</v>
      </c>
      <c r="M1474" s="23">
        <v>0</v>
      </c>
      <c r="N1474" s="20">
        <v>0</v>
      </c>
      <c r="O1474" s="23">
        <v>0</v>
      </c>
      <c r="P1474" s="20">
        <v>1</v>
      </c>
      <c r="Q1474" s="23">
        <v>1312500</v>
      </c>
      <c r="R1474" s="20">
        <v>0</v>
      </c>
      <c r="S1474" s="23">
        <v>0</v>
      </c>
      <c r="T1474" s="54">
        <f>SUM(L1474,N1474,P1474,R1474)</f>
        <v>1</v>
      </c>
      <c r="U1474" s="54">
        <f t="shared" si="370"/>
        <v>100</v>
      </c>
      <c r="V1474" s="35" t="s">
        <v>58</v>
      </c>
      <c r="W1474" s="40">
        <f t="shared" si="376"/>
        <v>1312500</v>
      </c>
      <c r="X1474" s="53">
        <f t="shared" si="373"/>
        <v>100</v>
      </c>
      <c r="Y1474" s="35" t="s">
        <v>58</v>
      </c>
      <c r="Z1474" s="54">
        <f t="shared" si="367"/>
        <v>2</v>
      </c>
      <c r="AA1474" s="40">
        <f t="shared" si="374"/>
        <v>2812200</v>
      </c>
      <c r="AB1474" s="53"/>
      <c r="AC1474" s="35" t="s">
        <v>58</v>
      </c>
      <c r="AD1474" s="53"/>
      <c r="AE1474" s="30"/>
      <c r="AH1474" s="25">
        <f>M1474+O1474+Q1474+S1474</f>
        <v>1312500</v>
      </c>
    </row>
    <row r="1475" spans="1:34" ht="136.5" customHeight="1">
      <c r="A1475" s="16"/>
      <c r="B1475" s="17"/>
      <c r="C1475" s="19" t="s">
        <v>76</v>
      </c>
      <c r="D1475" s="19" t="s">
        <v>1851</v>
      </c>
      <c r="E1475" s="74">
        <v>100</v>
      </c>
      <c r="F1475" s="75" t="s">
        <v>58</v>
      </c>
      <c r="G1475" s="42">
        <f>SUM(G1476:G1480)</f>
        <v>403760200</v>
      </c>
      <c r="H1475" s="74">
        <v>200</v>
      </c>
      <c r="I1475" s="42">
        <f>SUM(I1476:I1480)</f>
        <v>634596623</v>
      </c>
      <c r="J1475" s="74">
        <v>100</v>
      </c>
      <c r="K1475" s="42">
        <f>SUM(K1476:K1480)</f>
        <v>290558250</v>
      </c>
      <c r="L1475" s="74">
        <v>100</v>
      </c>
      <c r="M1475" s="42">
        <f>SUM(M1476:M1480)</f>
        <v>43693700</v>
      </c>
      <c r="N1475" s="74">
        <v>100</v>
      </c>
      <c r="O1475" s="42">
        <f>O1476+O1477+O1478+O1479+O1480</f>
        <v>50539195</v>
      </c>
      <c r="P1475" s="74">
        <v>100</v>
      </c>
      <c r="Q1475" s="42">
        <f>Q1476+Q1477+Q1478+Q1479+Q1480</f>
        <v>36217477</v>
      </c>
      <c r="R1475" s="74"/>
      <c r="S1475" s="42">
        <f>S1476+S1477+S1478+S1479+S1480</f>
        <v>147643978</v>
      </c>
      <c r="T1475" s="55">
        <f>AVERAGE(L1475,N1475,P1475,R1475)</f>
        <v>100</v>
      </c>
      <c r="U1475" s="55">
        <f t="shared" si="370"/>
        <v>100</v>
      </c>
      <c r="V1475" s="58" t="s">
        <v>58</v>
      </c>
      <c r="W1475" s="59">
        <f t="shared" si="376"/>
        <v>278094350</v>
      </c>
      <c r="X1475" s="57">
        <f t="shared" si="373"/>
        <v>95.710361003344417</v>
      </c>
      <c r="Y1475" s="58" t="s">
        <v>58</v>
      </c>
      <c r="Z1475" s="55">
        <f t="shared" si="367"/>
        <v>300</v>
      </c>
      <c r="AA1475" s="59">
        <f t="shared" si="374"/>
        <v>912690973</v>
      </c>
      <c r="AB1475" s="57"/>
      <c r="AC1475" s="58" t="s">
        <v>58</v>
      </c>
      <c r="AD1475" s="57"/>
      <c r="AE1475" s="11"/>
      <c r="AH1475" s="25">
        <f>M1475+O1475+Q1475+S1475</f>
        <v>278094350</v>
      </c>
    </row>
    <row r="1476" spans="1:34" ht="138" customHeight="1">
      <c r="A1476" s="16"/>
      <c r="B1476" s="17"/>
      <c r="C1476" s="568" t="s">
        <v>1177</v>
      </c>
      <c r="D1476" s="29" t="s">
        <v>343</v>
      </c>
      <c r="E1476" s="43">
        <f>12*3</f>
        <v>36</v>
      </c>
      <c r="F1476" s="27" t="s">
        <v>59</v>
      </c>
      <c r="G1476" s="23">
        <v>19748400</v>
      </c>
      <c r="H1476" s="43">
        <v>15</v>
      </c>
      <c r="I1476" s="22">
        <v>8090100</v>
      </c>
      <c r="J1476" s="43">
        <v>12</v>
      </c>
      <c r="K1476" s="23">
        <v>11796500</v>
      </c>
      <c r="L1476" s="43">
        <v>3</v>
      </c>
      <c r="M1476" s="23">
        <v>1871500</v>
      </c>
      <c r="N1476" s="43">
        <v>3</v>
      </c>
      <c r="O1476" s="23">
        <v>0</v>
      </c>
      <c r="P1476" s="43">
        <v>3</v>
      </c>
      <c r="Q1476" s="23">
        <v>1543500</v>
      </c>
      <c r="R1476" s="43">
        <v>3</v>
      </c>
      <c r="S1476" s="23">
        <v>8370500</v>
      </c>
      <c r="T1476" s="54">
        <f t="shared" ref="T1476:T1488" si="377">SUM(L1476,N1476,P1476,R1476)</f>
        <v>12</v>
      </c>
      <c r="U1476" s="54">
        <f t="shared" si="370"/>
        <v>100</v>
      </c>
      <c r="V1476" s="35" t="s">
        <v>58</v>
      </c>
      <c r="W1476" s="40">
        <f t="shared" si="376"/>
        <v>11785500</v>
      </c>
      <c r="X1476" s="53">
        <f t="shared" si="373"/>
        <v>99.906752002712679</v>
      </c>
      <c r="Y1476" s="35" t="s">
        <v>58</v>
      </c>
      <c r="Z1476" s="54">
        <f t="shared" si="367"/>
        <v>27</v>
      </c>
      <c r="AA1476" s="40">
        <f t="shared" si="374"/>
        <v>19875600</v>
      </c>
      <c r="AB1476" s="53"/>
      <c r="AC1476" s="35" t="s">
        <v>58</v>
      </c>
      <c r="AD1476" s="53"/>
      <c r="AE1476" s="11"/>
      <c r="AH1476" s="25">
        <f>M1476+O1476+Q1476+S1476</f>
        <v>11785500</v>
      </c>
    </row>
    <row r="1477" spans="1:34" ht="90">
      <c r="A1477" s="16"/>
      <c r="B1477" s="17"/>
      <c r="C1477" s="29" t="s">
        <v>285</v>
      </c>
      <c r="D1477" s="29" t="s">
        <v>217</v>
      </c>
      <c r="E1477" s="43">
        <f t="shared" ref="E1477:E1480" si="378">12*3</f>
        <v>36</v>
      </c>
      <c r="F1477" s="27" t="s">
        <v>59</v>
      </c>
      <c r="G1477" s="23">
        <v>102020400</v>
      </c>
      <c r="H1477" s="43">
        <v>15</v>
      </c>
      <c r="I1477" s="22">
        <v>446787775</v>
      </c>
      <c r="J1477" s="43">
        <v>12</v>
      </c>
      <c r="K1477" s="23">
        <v>90094600</v>
      </c>
      <c r="L1477" s="43">
        <v>3</v>
      </c>
      <c r="M1477" s="23">
        <v>23821800</v>
      </c>
      <c r="N1477" s="43">
        <v>3</v>
      </c>
      <c r="O1477" s="23">
        <v>13400400</v>
      </c>
      <c r="P1477" s="43">
        <v>3</v>
      </c>
      <c r="Q1477" s="23">
        <v>9328950</v>
      </c>
      <c r="R1477" s="43">
        <v>3</v>
      </c>
      <c r="S1477" s="23">
        <v>42906600</v>
      </c>
      <c r="T1477" s="54">
        <f t="shared" si="377"/>
        <v>12</v>
      </c>
      <c r="U1477" s="54">
        <f t="shared" si="370"/>
        <v>100</v>
      </c>
      <c r="V1477" s="35" t="s">
        <v>58</v>
      </c>
      <c r="W1477" s="40">
        <f t="shared" si="376"/>
        <v>89457750</v>
      </c>
      <c r="X1477" s="53">
        <f t="shared" si="373"/>
        <v>99.2931318858178</v>
      </c>
      <c r="Y1477" s="35" t="s">
        <v>58</v>
      </c>
      <c r="Z1477" s="54">
        <f t="shared" si="367"/>
        <v>27</v>
      </c>
      <c r="AA1477" s="40">
        <f t="shared" si="374"/>
        <v>536245525</v>
      </c>
      <c r="AB1477" s="53"/>
      <c r="AC1477" s="35" t="s">
        <v>58</v>
      </c>
      <c r="AD1477" s="53"/>
      <c r="AE1477" s="11"/>
      <c r="AH1477" s="25">
        <f>M1477+O1477+Q1477+S1477</f>
        <v>89457750</v>
      </c>
    </row>
    <row r="1478" spans="1:34" ht="75">
      <c r="A1478" s="16"/>
      <c r="B1478" s="17"/>
      <c r="C1478" s="29" t="s">
        <v>287</v>
      </c>
      <c r="D1478" s="26" t="s">
        <v>218</v>
      </c>
      <c r="E1478" s="43">
        <f t="shared" si="378"/>
        <v>36</v>
      </c>
      <c r="F1478" s="27" t="s">
        <v>59</v>
      </c>
      <c r="G1478" s="23">
        <v>83490400</v>
      </c>
      <c r="H1478" s="43">
        <v>15</v>
      </c>
      <c r="I1478" s="22">
        <v>33935250</v>
      </c>
      <c r="J1478" s="43">
        <v>12</v>
      </c>
      <c r="K1478" s="23">
        <v>58499600</v>
      </c>
      <c r="L1478" s="43">
        <v>3</v>
      </c>
      <c r="M1478" s="23">
        <v>3825000</v>
      </c>
      <c r="N1478" s="43">
        <v>3</v>
      </c>
      <c r="O1478" s="23">
        <v>3962500</v>
      </c>
      <c r="P1478" s="43">
        <v>3</v>
      </c>
      <c r="Q1478" s="23">
        <v>5527500</v>
      </c>
      <c r="R1478" s="43">
        <v>3</v>
      </c>
      <c r="S1478" s="23">
        <v>39049600</v>
      </c>
      <c r="T1478" s="54">
        <f t="shared" si="377"/>
        <v>12</v>
      </c>
      <c r="U1478" s="54">
        <f t="shared" si="370"/>
        <v>100</v>
      </c>
      <c r="V1478" s="35" t="s">
        <v>58</v>
      </c>
      <c r="W1478" s="40">
        <f t="shared" si="376"/>
        <v>52364600</v>
      </c>
      <c r="X1478" s="53">
        <f t="shared" si="373"/>
        <v>89.51274880512004</v>
      </c>
      <c r="Y1478" s="35" t="s">
        <v>58</v>
      </c>
      <c r="Z1478" s="54">
        <f t="shared" si="367"/>
        <v>27</v>
      </c>
      <c r="AA1478" s="40">
        <f t="shared" si="374"/>
        <v>86299850</v>
      </c>
      <c r="AB1478" s="53"/>
      <c r="AC1478" s="35" t="s">
        <v>58</v>
      </c>
      <c r="AD1478" s="53"/>
      <c r="AE1478" s="11"/>
      <c r="AH1478" s="25"/>
    </row>
    <row r="1479" spans="1:34" ht="118.5" customHeight="1">
      <c r="A1479" s="16"/>
      <c r="B1479" s="17"/>
      <c r="C1479" s="29" t="s">
        <v>286</v>
      </c>
      <c r="D1479" s="26" t="s">
        <v>219</v>
      </c>
      <c r="E1479" s="43">
        <f t="shared" si="378"/>
        <v>36</v>
      </c>
      <c r="F1479" s="27" t="s">
        <v>59</v>
      </c>
      <c r="G1479" s="23">
        <v>48501000</v>
      </c>
      <c r="H1479" s="43">
        <v>15</v>
      </c>
      <c r="I1479" s="22">
        <v>25487500</v>
      </c>
      <c r="J1479" s="43">
        <v>12</v>
      </c>
      <c r="K1479" s="23">
        <v>35167550</v>
      </c>
      <c r="L1479" s="43">
        <v>3</v>
      </c>
      <c r="M1479" s="23">
        <v>5859600</v>
      </c>
      <c r="N1479" s="43">
        <v>3</v>
      </c>
      <c r="O1479" s="23">
        <v>2830550</v>
      </c>
      <c r="P1479" s="43">
        <v>3</v>
      </c>
      <c r="Q1479" s="23">
        <v>5042550</v>
      </c>
      <c r="R1479" s="43">
        <v>3</v>
      </c>
      <c r="S1479" s="23">
        <v>19202350</v>
      </c>
      <c r="T1479" s="54">
        <f t="shared" si="377"/>
        <v>12</v>
      </c>
      <c r="U1479" s="54">
        <f t="shared" si="370"/>
        <v>100</v>
      </c>
      <c r="V1479" s="35" t="s">
        <v>58</v>
      </c>
      <c r="W1479" s="40">
        <f t="shared" si="376"/>
        <v>32935050</v>
      </c>
      <c r="X1479" s="53">
        <f t="shared" si="373"/>
        <v>93.651818224471143</v>
      </c>
      <c r="Y1479" s="35" t="s">
        <v>58</v>
      </c>
      <c r="Z1479" s="54">
        <f t="shared" si="367"/>
        <v>27</v>
      </c>
      <c r="AA1479" s="40">
        <f t="shared" si="374"/>
        <v>58422550</v>
      </c>
      <c r="AB1479" s="53"/>
      <c r="AC1479" s="35" t="s">
        <v>58</v>
      </c>
      <c r="AD1479" s="53"/>
      <c r="AE1479" s="11"/>
      <c r="AH1479" s="25"/>
    </row>
    <row r="1480" spans="1:34" ht="92.25" customHeight="1">
      <c r="A1480" s="16"/>
      <c r="B1480" s="17"/>
      <c r="C1480" s="29" t="s">
        <v>77</v>
      </c>
      <c r="D1480" s="360" t="s">
        <v>220</v>
      </c>
      <c r="E1480" s="43">
        <f t="shared" si="378"/>
        <v>36</v>
      </c>
      <c r="F1480" s="21" t="s">
        <v>173</v>
      </c>
      <c r="G1480" s="23">
        <v>150000000</v>
      </c>
      <c r="H1480" s="43">
        <v>15</v>
      </c>
      <c r="I1480" s="23">
        <v>120295998</v>
      </c>
      <c r="J1480" s="43">
        <v>12</v>
      </c>
      <c r="K1480" s="23">
        <v>95000000</v>
      </c>
      <c r="L1480" s="43">
        <v>3</v>
      </c>
      <c r="M1480" s="23">
        <v>8315800</v>
      </c>
      <c r="N1480" s="43">
        <v>3</v>
      </c>
      <c r="O1480" s="23">
        <v>30345745</v>
      </c>
      <c r="P1480" s="43">
        <v>3</v>
      </c>
      <c r="Q1480" s="23">
        <v>14774977</v>
      </c>
      <c r="R1480" s="43">
        <v>3</v>
      </c>
      <c r="S1480" s="23">
        <v>38114928</v>
      </c>
      <c r="T1480" s="54">
        <f t="shared" si="377"/>
        <v>12</v>
      </c>
      <c r="U1480" s="54">
        <f t="shared" si="370"/>
        <v>100</v>
      </c>
      <c r="V1480" s="35" t="s">
        <v>58</v>
      </c>
      <c r="W1480" s="40">
        <f t="shared" si="376"/>
        <v>91551450</v>
      </c>
      <c r="X1480" s="53">
        <f t="shared" si="373"/>
        <v>96.369947368421052</v>
      </c>
      <c r="Y1480" s="35" t="s">
        <v>58</v>
      </c>
      <c r="Z1480" s="54">
        <f t="shared" si="367"/>
        <v>27</v>
      </c>
      <c r="AA1480" s="40">
        <f t="shared" si="374"/>
        <v>211847448</v>
      </c>
      <c r="AB1480" s="53"/>
      <c r="AC1480" s="35" t="s">
        <v>58</v>
      </c>
      <c r="AD1480" s="53"/>
      <c r="AE1480" s="11"/>
      <c r="AH1480" s="25"/>
    </row>
    <row r="1481" spans="1:34" ht="127.5" customHeight="1">
      <c r="A1481" s="16"/>
      <c r="B1481" s="17"/>
      <c r="C1481" s="454" t="s">
        <v>78</v>
      </c>
      <c r="D1481" s="19"/>
      <c r="E1481" s="74">
        <v>100</v>
      </c>
      <c r="F1481" s="75" t="s">
        <v>58</v>
      </c>
      <c r="G1481" s="42">
        <f>SUM(G1482:G1483)</f>
        <v>1232144256</v>
      </c>
      <c r="H1481" s="74">
        <v>100</v>
      </c>
      <c r="I1481" s="42">
        <f>SUM(I1482:I1483)</f>
        <v>0</v>
      </c>
      <c r="J1481" s="74">
        <v>100</v>
      </c>
      <c r="K1481" s="42">
        <f>SUM(K1482:K1483)</f>
        <v>10123500000</v>
      </c>
      <c r="L1481" s="74">
        <v>0</v>
      </c>
      <c r="M1481" s="42">
        <f>SUM(M1482:M1483)</f>
        <v>0</v>
      </c>
      <c r="N1481" s="74">
        <v>25</v>
      </c>
      <c r="O1481" s="42">
        <f>O1482+O1483</f>
        <v>2435600000</v>
      </c>
      <c r="P1481" s="74">
        <v>25</v>
      </c>
      <c r="Q1481" s="42">
        <f>Q1482+Q1483</f>
        <v>0</v>
      </c>
      <c r="R1481" s="74">
        <v>50</v>
      </c>
      <c r="S1481" s="42">
        <f>S1482+S1483</f>
        <v>7679840000</v>
      </c>
      <c r="T1481" s="55">
        <f t="shared" si="377"/>
        <v>100</v>
      </c>
      <c r="U1481" s="55">
        <f t="shared" si="370"/>
        <v>100</v>
      </c>
      <c r="V1481" s="58" t="s">
        <v>58</v>
      </c>
      <c r="W1481" s="59">
        <f t="shared" si="376"/>
        <v>10115440000</v>
      </c>
      <c r="X1481" s="57">
        <f t="shared" si="373"/>
        <v>99.920383266656785</v>
      </c>
      <c r="Y1481" s="58" t="s">
        <v>58</v>
      </c>
      <c r="Z1481" s="55">
        <f t="shared" si="367"/>
        <v>200</v>
      </c>
      <c r="AA1481" s="59">
        <f t="shared" si="374"/>
        <v>10115440000</v>
      </c>
      <c r="AB1481" s="57"/>
      <c r="AC1481" s="58" t="s">
        <v>58</v>
      </c>
      <c r="AD1481" s="57"/>
      <c r="AE1481" s="11"/>
      <c r="AH1481" s="25"/>
    </row>
    <row r="1482" spans="1:34" ht="90">
      <c r="A1482" s="16"/>
      <c r="B1482" s="17"/>
      <c r="C1482" s="29" t="s">
        <v>1852</v>
      </c>
      <c r="D1482" s="29" t="s">
        <v>1853</v>
      </c>
      <c r="E1482" s="43"/>
      <c r="F1482" s="21" t="s">
        <v>138</v>
      </c>
      <c r="G1482" s="23"/>
      <c r="H1482" s="43">
        <v>0</v>
      </c>
      <c r="I1482" s="22">
        <v>0</v>
      </c>
      <c r="J1482" s="43">
        <v>1</v>
      </c>
      <c r="K1482" s="23">
        <v>10023500000</v>
      </c>
      <c r="L1482" s="43">
        <v>0</v>
      </c>
      <c r="M1482" s="23">
        <v>0</v>
      </c>
      <c r="N1482" s="43">
        <v>0</v>
      </c>
      <c r="O1482" s="23">
        <v>2435600000</v>
      </c>
      <c r="P1482" s="43">
        <v>0</v>
      </c>
      <c r="Q1482" s="23">
        <v>0</v>
      </c>
      <c r="R1482" s="43">
        <v>1</v>
      </c>
      <c r="S1482" s="23">
        <v>7580400000</v>
      </c>
      <c r="T1482" s="54">
        <f t="shared" si="377"/>
        <v>1</v>
      </c>
      <c r="U1482" s="54">
        <f t="shared" si="370"/>
        <v>100</v>
      </c>
      <c r="V1482" s="35" t="s">
        <v>58</v>
      </c>
      <c r="W1482" s="40">
        <f t="shared" si="376"/>
        <v>10016000000</v>
      </c>
      <c r="X1482" s="53">
        <f t="shared" si="373"/>
        <v>99.925175836783566</v>
      </c>
      <c r="Y1482" s="35" t="s">
        <v>58</v>
      </c>
      <c r="Z1482" s="54">
        <f t="shared" si="367"/>
        <v>1</v>
      </c>
      <c r="AA1482" s="40">
        <f t="shared" si="374"/>
        <v>10016000000</v>
      </c>
      <c r="AB1482" s="53"/>
      <c r="AC1482" s="35" t="s">
        <v>58</v>
      </c>
      <c r="AD1482" s="53"/>
      <c r="AE1482" s="11"/>
      <c r="AH1482" s="25"/>
    </row>
    <row r="1483" spans="1:34" ht="120">
      <c r="A1483" s="16"/>
      <c r="B1483" s="17"/>
      <c r="C1483" s="29" t="s">
        <v>1854</v>
      </c>
      <c r="D1483" s="29" t="s">
        <v>1284</v>
      </c>
      <c r="E1483" s="43"/>
      <c r="F1483" s="21" t="s">
        <v>138</v>
      </c>
      <c r="G1483" s="23">
        <v>1232144256</v>
      </c>
      <c r="H1483" s="43">
        <v>0</v>
      </c>
      <c r="I1483" s="22">
        <v>0</v>
      </c>
      <c r="J1483" s="43">
        <v>1</v>
      </c>
      <c r="K1483" s="23">
        <v>100000000</v>
      </c>
      <c r="L1483" s="43">
        <v>0</v>
      </c>
      <c r="M1483" s="23">
        <v>0</v>
      </c>
      <c r="N1483" s="43">
        <v>0</v>
      </c>
      <c r="O1483" s="23">
        <v>0</v>
      </c>
      <c r="P1483" s="43">
        <v>0</v>
      </c>
      <c r="Q1483" s="23">
        <v>0</v>
      </c>
      <c r="R1483" s="43">
        <v>1</v>
      </c>
      <c r="S1483" s="23">
        <v>99440000</v>
      </c>
      <c r="T1483" s="54">
        <f t="shared" si="377"/>
        <v>1</v>
      </c>
      <c r="U1483" s="54">
        <f t="shared" si="370"/>
        <v>100</v>
      </c>
      <c r="V1483" s="35" t="s">
        <v>58</v>
      </c>
      <c r="W1483" s="40">
        <f t="shared" si="376"/>
        <v>99440000</v>
      </c>
      <c r="X1483" s="53">
        <f t="shared" si="373"/>
        <v>99.44</v>
      </c>
      <c r="Y1483" s="35" t="s">
        <v>58</v>
      </c>
      <c r="Z1483" s="54">
        <f t="shared" si="367"/>
        <v>1</v>
      </c>
      <c r="AA1483" s="40">
        <f t="shared" si="374"/>
        <v>99440000</v>
      </c>
      <c r="AB1483" s="53"/>
      <c r="AC1483" s="35" t="s">
        <v>58</v>
      </c>
      <c r="AD1483" s="53"/>
      <c r="AE1483" s="11"/>
      <c r="AH1483" s="25"/>
    </row>
    <row r="1484" spans="1:34" ht="138" customHeight="1">
      <c r="A1484" s="16"/>
      <c r="B1484" s="17"/>
      <c r="C1484" s="454" t="s">
        <v>79</v>
      </c>
      <c r="D1484" s="19" t="s">
        <v>1851</v>
      </c>
      <c r="E1484" s="74">
        <v>100</v>
      </c>
      <c r="F1484" s="75" t="s">
        <v>58</v>
      </c>
      <c r="G1484" s="42">
        <f>SUM(G1485:G1486)</f>
        <v>398437420</v>
      </c>
      <c r="H1484" s="74">
        <v>125</v>
      </c>
      <c r="I1484" s="42">
        <f>SUM(I1485:I1486)</f>
        <v>246191168</v>
      </c>
      <c r="J1484" s="74">
        <v>100</v>
      </c>
      <c r="K1484" s="42">
        <f>SUM(K1485:K1486)</f>
        <v>267918038</v>
      </c>
      <c r="L1484" s="74">
        <v>100</v>
      </c>
      <c r="M1484" s="42">
        <f>SUM(M1485:M1486)</f>
        <v>40680807</v>
      </c>
      <c r="N1484" s="74">
        <v>100</v>
      </c>
      <c r="O1484" s="42">
        <f>O1485+O1486</f>
        <v>40219422</v>
      </c>
      <c r="P1484" s="74">
        <v>100</v>
      </c>
      <c r="Q1484" s="42">
        <f>Q1485+Q1486</f>
        <v>59680334</v>
      </c>
      <c r="R1484" s="74"/>
      <c r="S1484" s="42">
        <f>S1485+S1486</f>
        <v>94699770</v>
      </c>
      <c r="T1484" s="55">
        <f>AVERAGE(L1484,N1484,P1484,R1484)</f>
        <v>100</v>
      </c>
      <c r="U1484" s="55">
        <f t="shared" si="370"/>
        <v>100</v>
      </c>
      <c r="V1484" s="58" t="s">
        <v>58</v>
      </c>
      <c r="W1484" s="59">
        <f t="shared" si="376"/>
        <v>235280333</v>
      </c>
      <c r="X1484" s="57">
        <f t="shared" si="373"/>
        <v>87.818026272646861</v>
      </c>
      <c r="Y1484" s="58" t="s">
        <v>58</v>
      </c>
      <c r="Z1484" s="55">
        <f t="shared" si="367"/>
        <v>225</v>
      </c>
      <c r="AA1484" s="59">
        <f t="shared" si="374"/>
        <v>481471501</v>
      </c>
      <c r="AB1484" s="57"/>
      <c r="AC1484" s="58" t="s">
        <v>58</v>
      </c>
      <c r="AD1484" s="57"/>
      <c r="AE1484" s="11"/>
      <c r="AH1484" s="25"/>
    </row>
    <row r="1485" spans="1:34" ht="135">
      <c r="A1485" s="16"/>
      <c r="B1485" s="17"/>
      <c r="C1485" s="29" t="s">
        <v>357</v>
      </c>
      <c r="D1485" s="29" t="s">
        <v>223</v>
      </c>
      <c r="E1485" s="43">
        <f>12*3</f>
        <v>36</v>
      </c>
      <c r="F1485" s="21" t="s">
        <v>173</v>
      </c>
      <c r="G1485" s="23">
        <v>107459420</v>
      </c>
      <c r="H1485" s="43">
        <v>15</v>
      </c>
      <c r="I1485" s="22">
        <v>72241568</v>
      </c>
      <c r="J1485" s="43">
        <v>12</v>
      </c>
      <c r="K1485" s="23">
        <v>83872038</v>
      </c>
      <c r="L1485" s="43">
        <v>3</v>
      </c>
      <c r="M1485" s="23">
        <v>12280807</v>
      </c>
      <c r="N1485" s="43">
        <v>3</v>
      </c>
      <c r="O1485" s="23">
        <v>7743356</v>
      </c>
      <c r="P1485" s="43">
        <v>3</v>
      </c>
      <c r="Q1485" s="23">
        <v>14096241</v>
      </c>
      <c r="R1485" s="43">
        <v>3</v>
      </c>
      <c r="S1485" s="23">
        <v>19323257</v>
      </c>
      <c r="T1485" s="54">
        <f t="shared" si="377"/>
        <v>12</v>
      </c>
      <c r="U1485" s="54">
        <f t="shared" si="370"/>
        <v>100</v>
      </c>
      <c r="V1485" s="35" t="s">
        <v>58</v>
      </c>
      <c r="W1485" s="40">
        <f t="shared" si="376"/>
        <v>53443661</v>
      </c>
      <c r="X1485" s="53">
        <f t="shared" si="373"/>
        <v>63.720474993107956</v>
      </c>
      <c r="Y1485" s="35" t="s">
        <v>58</v>
      </c>
      <c r="Z1485" s="54">
        <f t="shared" si="367"/>
        <v>27</v>
      </c>
      <c r="AA1485" s="40">
        <f t="shared" si="374"/>
        <v>125685229</v>
      </c>
      <c r="AB1485" s="53"/>
      <c r="AC1485" s="35" t="s">
        <v>58</v>
      </c>
      <c r="AD1485" s="53"/>
      <c r="AE1485" s="11"/>
      <c r="AH1485" s="25"/>
    </row>
    <row r="1486" spans="1:34" ht="120">
      <c r="A1486" s="16"/>
      <c r="B1486" s="17"/>
      <c r="C1486" s="29" t="s">
        <v>80</v>
      </c>
      <c r="D1486" s="29" t="s">
        <v>224</v>
      </c>
      <c r="E1486" s="43">
        <f>12*3</f>
        <v>36</v>
      </c>
      <c r="F1486" s="21" t="s">
        <v>173</v>
      </c>
      <c r="G1486" s="23">
        <v>290978000</v>
      </c>
      <c r="H1486" s="43">
        <v>15</v>
      </c>
      <c r="I1486" s="22">
        <v>173949600</v>
      </c>
      <c r="J1486" s="43">
        <v>12</v>
      </c>
      <c r="K1486" s="23">
        <v>184046000</v>
      </c>
      <c r="L1486" s="43">
        <v>3</v>
      </c>
      <c r="M1486" s="23">
        <v>28400000</v>
      </c>
      <c r="N1486" s="43">
        <v>3</v>
      </c>
      <c r="O1486" s="23">
        <v>32476066</v>
      </c>
      <c r="P1486" s="43">
        <v>3</v>
      </c>
      <c r="Q1486" s="23">
        <v>45584093</v>
      </c>
      <c r="R1486" s="43">
        <v>3</v>
      </c>
      <c r="S1486" s="23">
        <v>75376513</v>
      </c>
      <c r="T1486" s="54">
        <f t="shared" si="377"/>
        <v>12</v>
      </c>
      <c r="U1486" s="54">
        <f t="shared" si="370"/>
        <v>100</v>
      </c>
      <c r="V1486" s="35" t="s">
        <v>58</v>
      </c>
      <c r="W1486" s="40">
        <f t="shared" si="376"/>
        <v>181836672</v>
      </c>
      <c r="X1486" s="53">
        <f t="shared" si="373"/>
        <v>98.799578366277998</v>
      </c>
      <c r="Y1486" s="35" t="s">
        <v>58</v>
      </c>
      <c r="Z1486" s="54">
        <f t="shared" si="367"/>
        <v>27</v>
      </c>
      <c r="AA1486" s="40">
        <f t="shared" si="374"/>
        <v>355786272</v>
      </c>
      <c r="AB1486" s="53"/>
      <c r="AC1486" s="35" t="s">
        <v>58</v>
      </c>
      <c r="AD1486" s="53"/>
      <c r="AE1486" s="11"/>
      <c r="AH1486" s="25"/>
    </row>
    <row r="1487" spans="1:34" ht="139.5" customHeight="1">
      <c r="A1487" s="16"/>
      <c r="B1487" s="17"/>
      <c r="C1487" s="454" t="s">
        <v>1181</v>
      </c>
      <c r="D1487" s="19" t="s">
        <v>1851</v>
      </c>
      <c r="E1487" s="74">
        <v>100</v>
      </c>
      <c r="F1487" s="75" t="s">
        <v>58</v>
      </c>
      <c r="G1487" s="42">
        <f>SUM(G1488:G1491)</f>
        <v>202220800</v>
      </c>
      <c r="H1487" s="74">
        <v>125</v>
      </c>
      <c r="I1487" s="368">
        <v>21815000</v>
      </c>
      <c r="J1487" s="74">
        <v>100</v>
      </c>
      <c r="K1487" s="42">
        <f>SUM(K1488:K1489)</f>
        <v>100141600</v>
      </c>
      <c r="L1487" s="74">
        <v>100</v>
      </c>
      <c r="M1487" s="42">
        <f>SUM(M1488:M1491)</f>
        <v>1490000</v>
      </c>
      <c r="N1487" s="74">
        <v>100</v>
      </c>
      <c r="O1487" s="42">
        <f>O1488+O1489</f>
        <v>18318000</v>
      </c>
      <c r="P1487" s="74">
        <v>100</v>
      </c>
      <c r="Q1487" s="42">
        <f>Q1488+Q1489</f>
        <v>18172000</v>
      </c>
      <c r="R1487" s="74"/>
      <c r="S1487" s="42">
        <f>S1488+S1489</f>
        <v>52368000</v>
      </c>
      <c r="T1487" s="55">
        <f>AVERAGE(L1487,N1487,P1487,R1487)</f>
        <v>100</v>
      </c>
      <c r="U1487" s="55">
        <f t="shared" si="370"/>
        <v>100</v>
      </c>
      <c r="V1487" s="58" t="s">
        <v>58</v>
      </c>
      <c r="W1487" s="59">
        <f t="shared" si="376"/>
        <v>90348000</v>
      </c>
      <c r="X1487" s="57">
        <f t="shared" si="373"/>
        <v>90.220248128649828</v>
      </c>
      <c r="Y1487" s="58" t="s">
        <v>58</v>
      </c>
      <c r="Z1487" s="55">
        <f t="shared" si="367"/>
        <v>225</v>
      </c>
      <c r="AA1487" s="59">
        <f t="shared" si="374"/>
        <v>112163000</v>
      </c>
      <c r="AB1487" s="57"/>
      <c r="AC1487" s="58" t="s">
        <v>58</v>
      </c>
      <c r="AD1487" s="57"/>
      <c r="AE1487" s="11"/>
      <c r="AH1487" s="25"/>
    </row>
    <row r="1488" spans="1:34" ht="195" customHeight="1">
      <c r="A1488" s="16"/>
      <c r="B1488" s="17"/>
      <c r="C1488" s="29" t="s">
        <v>82</v>
      </c>
      <c r="D1488" s="29" t="s">
        <v>226</v>
      </c>
      <c r="E1488" s="43">
        <v>12</v>
      </c>
      <c r="F1488" s="21" t="s">
        <v>138</v>
      </c>
      <c r="G1488" s="23">
        <v>102285000</v>
      </c>
      <c r="H1488" s="44">
        <v>3</v>
      </c>
      <c r="I1488" s="22">
        <v>61179060</v>
      </c>
      <c r="J1488" s="43">
        <v>12</v>
      </c>
      <c r="K1488" s="23">
        <v>74810200</v>
      </c>
      <c r="L1488" s="43"/>
      <c r="M1488" s="23">
        <v>0</v>
      </c>
      <c r="N1488" s="43"/>
      <c r="O1488" s="23">
        <v>14438000</v>
      </c>
      <c r="P1488" s="43">
        <v>6</v>
      </c>
      <c r="Q1488" s="23">
        <v>11032000</v>
      </c>
      <c r="R1488" s="43">
        <v>6</v>
      </c>
      <c r="S1488" s="23">
        <v>39678000</v>
      </c>
      <c r="T1488" s="54">
        <f t="shared" si="377"/>
        <v>12</v>
      </c>
      <c r="U1488" s="54">
        <f>T1488/J1488*100</f>
        <v>100</v>
      </c>
      <c r="V1488" s="35" t="s">
        <v>58</v>
      </c>
      <c r="W1488" s="40">
        <f t="shared" si="376"/>
        <v>65148000</v>
      </c>
      <c r="X1488" s="53">
        <f t="shared" si="373"/>
        <v>87.084381541554492</v>
      </c>
      <c r="Y1488" s="35" t="s">
        <v>58</v>
      </c>
      <c r="Z1488" s="54">
        <f t="shared" si="367"/>
        <v>15</v>
      </c>
      <c r="AA1488" s="40">
        <f t="shared" si="374"/>
        <v>126327060</v>
      </c>
      <c r="AB1488" s="53"/>
      <c r="AC1488" s="35" t="s">
        <v>58</v>
      </c>
      <c r="AD1488" s="53"/>
      <c r="AE1488" s="11"/>
      <c r="AH1488" s="25"/>
    </row>
    <row r="1489" spans="1:34" ht="102" customHeight="1">
      <c r="A1489" s="16"/>
      <c r="B1489" s="17"/>
      <c r="C1489" s="29" t="s">
        <v>1125</v>
      </c>
      <c r="D1489" s="29" t="s">
        <v>1126</v>
      </c>
      <c r="E1489" s="43">
        <v>76</v>
      </c>
      <c r="F1489" s="21" t="s">
        <v>138</v>
      </c>
      <c r="G1489" s="23">
        <v>41210800</v>
      </c>
      <c r="H1489" s="44">
        <v>3</v>
      </c>
      <c r="I1489" s="22">
        <v>0</v>
      </c>
      <c r="J1489" s="43">
        <f>33+14+12+19</f>
        <v>78</v>
      </c>
      <c r="K1489" s="23">
        <v>25331400</v>
      </c>
      <c r="L1489" s="43"/>
      <c r="M1489" s="23">
        <v>1490000</v>
      </c>
      <c r="N1489" s="43"/>
      <c r="O1489" s="23">
        <v>3880000</v>
      </c>
      <c r="P1489" s="43">
        <v>45</v>
      </c>
      <c r="Q1489" s="23">
        <v>7140000</v>
      </c>
      <c r="R1489" s="43">
        <v>33</v>
      </c>
      <c r="S1489" s="23">
        <v>12690000</v>
      </c>
      <c r="T1489" s="54">
        <f>SUM(L1489,N1489,P1489,R1489)</f>
        <v>78</v>
      </c>
      <c r="U1489" s="54">
        <f t="shared" si="370"/>
        <v>100</v>
      </c>
      <c r="V1489" s="35" t="s">
        <v>58</v>
      </c>
      <c r="W1489" s="40">
        <f t="shared" si="376"/>
        <v>25200000</v>
      </c>
      <c r="X1489" s="53">
        <f t="shared" si="373"/>
        <v>99.481276202657583</v>
      </c>
      <c r="Y1489" s="35" t="s">
        <v>58</v>
      </c>
      <c r="Z1489" s="54">
        <f t="shared" si="367"/>
        <v>81</v>
      </c>
      <c r="AA1489" s="40">
        <f t="shared" si="374"/>
        <v>25200000</v>
      </c>
      <c r="AB1489" s="53"/>
      <c r="AC1489" s="35" t="s">
        <v>58</v>
      </c>
      <c r="AD1489" s="53"/>
      <c r="AE1489" s="11"/>
      <c r="AH1489" s="25"/>
    </row>
    <row r="1490" spans="1:34" ht="105">
      <c r="A1490" s="16"/>
      <c r="B1490" s="17"/>
      <c r="C1490" s="29" t="s">
        <v>83</v>
      </c>
      <c r="D1490" s="29" t="s">
        <v>365</v>
      </c>
      <c r="E1490" s="43">
        <f t="shared" ref="E1490:E1491" si="379">12*3</f>
        <v>36</v>
      </c>
      <c r="F1490" s="21" t="s">
        <v>138</v>
      </c>
      <c r="G1490" s="23">
        <v>20000000</v>
      </c>
      <c r="H1490" s="43">
        <v>15</v>
      </c>
      <c r="I1490" s="22">
        <v>20000000</v>
      </c>
      <c r="J1490" s="43"/>
      <c r="K1490" s="23"/>
      <c r="L1490" s="43"/>
      <c r="M1490" s="23"/>
      <c r="N1490" s="43"/>
      <c r="O1490" s="23"/>
      <c r="P1490" s="43"/>
      <c r="Q1490" s="23"/>
      <c r="R1490" s="43"/>
      <c r="S1490" s="23"/>
      <c r="T1490" s="54"/>
      <c r="U1490" s="54"/>
      <c r="V1490" s="35"/>
      <c r="W1490" s="40"/>
      <c r="X1490" s="53"/>
      <c r="Y1490" s="35"/>
      <c r="Z1490" s="54">
        <f t="shared" si="367"/>
        <v>15</v>
      </c>
      <c r="AA1490" s="40">
        <f t="shared" si="374"/>
        <v>20000000</v>
      </c>
      <c r="AB1490" s="53"/>
      <c r="AC1490" s="35" t="s">
        <v>58</v>
      </c>
      <c r="AD1490" s="53"/>
      <c r="AE1490" s="11"/>
      <c r="AH1490" s="25"/>
    </row>
    <row r="1491" spans="1:34" ht="135">
      <c r="A1491" s="16"/>
      <c r="B1491" s="17"/>
      <c r="C1491" s="29" t="s">
        <v>84</v>
      </c>
      <c r="D1491" s="360" t="s">
        <v>228</v>
      </c>
      <c r="E1491" s="43">
        <f t="shared" si="379"/>
        <v>36</v>
      </c>
      <c r="F1491" s="21" t="s">
        <v>138</v>
      </c>
      <c r="G1491" s="23">
        <v>38725000</v>
      </c>
      <c r="H1491" s="43">
        <v>15</v>
      </c>
      <c r="I1491" s="22">
        <v>34827100</v>
      </c>
      <c r="J1491" s="43"/>
      <c r="K1491" s="23"/>
      <c r="L1491" s="43"/>
      <c r="M1491" s="23"/>
      <c r="N1491" s="43"/>
      <c r="O1491" s="23"/>
      <c r="P1491" s="43"/>
      <c r="Q1491" s="23"/>
      <c r="R1491" s="43"/>
      <c r="S1491" s="23"/>
      <c r="T1491" s="54"/>
      <c r="U1491" s="54"/>
      <c r="V1491" s="35"/>
      <c r="W1491" s="40"/>
      <c r="X1491" s="53"/>
      <c r="Y1491" s="35"/>
      <c r="Z1491" s="54">
        <f t="shared" si="367"/>
        <v>15</v>
      </c>
      <c r="AA1491" s="40">
        <f t="shared" si="374"/>
        <v>34827100</v>
      </c>
      <c r="AB1491" s="53"/>
      <c r="AC1491" s="35" t="s">
        <v>58</v>
      </c>
      <c r="AD1491" s="53"/>
      <c r="AE1491" s="11"/>
      <c r="AH1491" s="25"/>
    </row>
    <row r="1492" spans="1:34" ht="110.25">
      <c r="A1492" s="48">
        <v>24</v>
      </c>
      <c r="B1492" s="49" t="s">
        <v>1855</v>
      </c>
      <c r="C1492" s="49" t="s">
        <v>1856</v>
      </c>
      <c r="D1492" s="19" t="s">
        <v>1857</v>
      </c>
      <c r="E1492" s="107">
        <v>100</v>
      </c>
      <c r="F1492" s="76" t="s">
        <v>58</v>
      </c>
      <c r="G1492" s="52">
        <f>G1494+G1500</f>
        <v>235289800</v>
      </c>
      <c r="H1492" s="569">
        <v>0</v>
      </c>
      <c r="I1492" s="52">
        <f>I1494+I1500</f>
        <v>272374818</v>
      </c>
      <c r="J1492" s="107">
        <v>73.650000000000006</v>
      </c>
      <c r="K1492" s="52">
        <f>K1494+K1500</f>
        <v>293041850</v>
      </c>
      <c r="L1492" s="45">
        <v>0</v>
      </c>
      <c r="M1492" s="52">
        <f>M1494+M1500</f>
        <v>16305000</v>
      </c>
      <c r="N1492" s="45">
        <v>0</v>
      </c>
      <c r="O1492" s="52">
        <f>O1494+O1500</f>
        <v>15895000</v>
      </c>
      <c r="P1492" s="45">
        <v>0</v>
      </c>
      <c r="Q1492" s="52">
        <f>Q1494+Q1500</f>
        <v>73245400</v>
      </c>
      <c r="R1492" s="45">
        <v>73.650000000000006</v>
      </c>
      <c r="S1492" s="52">
        <f>S1494+S1500</f>
        <v>179148250</v>
      </c>
      <c r="T1492" s="55">
        <f t="shared" ref="T1492:T1497" si="380">SUM(L1492,N1492,P1492,R1492)</f>
        <v>73.650000000000006</v>
      </c>
      <c r="U1492" s="55">
        <f t="shared" ref="U1492:U1497" si="381">T1492/J1492*100</f>
        <v>100</v>
      </c>
      <c r="V1492" s="58" t="s">
        <v>58</v>
      </c>
      <c r="W1492" s="56">
        <f>SUM(M1492,O1492,Q1492,S1492)</f>
        <v>284593650</v>
      </c>
      <c r="X1492" s="60">
        <f>W1492/K1492*100</f>
        <v>97.117067067383033</v>
      </c>
      <c r="Y1492" s="48" t="s">
        <v>58</v>
      </c>
      <c r="Z1492" s="55">
        <f t="shared" si="367"/>
        <v>73.650000000000006</v>
      </c>
      <c r="AA1492" s="56">
        <f t="shared" si="374"/>
        <v>556968468</v>
      </c>
      <c r="AB1492" s="57"/>
      <c r="AC1492" s="58" t="s">
        <v>58</v>
      </c>
      <c r="AD1492" s="60"/>
      <c r="AE1492" s="11"/>
      <c r="AH1492" s="25"/>
    </row>
    <row r="1493" spans="1:34" ht="47.25">
      <c r="A1493" s="48"/>
      <c r="B1493" s="17"/>
      <c r="C1493" s="18"/>
      <c r="D1493" s="19" t="s">
        <v>1858</v>
      </c>
      <c r="E1493" s="108">
        <v>70</v>
      </c>
      <c r="F1493" s="76" t="s">
        <v>58</v>
      </c>
      <c r="G1493" s="41"/>
      <c r="H1493" s="570">
        <v>87.22999999999999</v>
      </c>
      <c r="I1493" s="82"/>
      <c r="J1493" s="108">
        <v>65</v>
      </c>
      <c r="K1493" s="41"/>
      <c r="L1493" s="45">
        <v>0</v>
      </c>
      <c r="M1493" s="41"/>
      <c r="N1493" s="45"/>
      <c r="O1493" s="41"/>
      <c r="P1493" s="45"/>
      <c r="Q1493" s="41"/>
      <c r="R1493" s="45">
        <v>65</v>
      </c>
      <c r="S1493" s="41"/>
      <c r="T1493" s="57">
        <f t="shared" si="380"/>
        <v>65</v>
      </c>
      <c r="U1493" s="55">
        <f t="shared" si="381"/>
        <v>100</v>
      </c>
      <c r="V1493" s="58" t="s">
        <v>58</v>
      </c>
      <c r="W1493" s="94"/>
      <c r="X1493" s="239"/>
      <c r="Y1493" s="240"/>
      <c r="Z1493" s="55">
        <f t="shared" si="367"/>
        <v>152.22999999999999</v>
      </c>
      <c r="AA1493" s="94"/>
      <c r="AB1493" s="57"/>
      <c r="AC1493" s="58" t="s">
        <v>58</v>
      </c>
      <c r="AD1493" s="239"/>
      <c r="AE1493" s="11"/>
      <c r="AH1493" s="25"/>
    </row>
    <row r="1494" spans="1:34" ht="130.5" customHeight="1">
      <c r="A1494" s="16"/>
      <c r="B1494" s="17"/>
      <c r="C1494" s="454" t="s">
        <v>1859</v>
      </c>
      <c r="D1494" s="19" t="s">
        <v>1860</v>
      </c>
      <c r="E1494" s="45">
        <v>148</v>
      </c>
      <c r="F1494" s="76" t="s">
        <v>1861</v>
      </c>
      <c r="G1494" s="42">
        <f>SUM(G1495:G1499)</f>
        <v>235289800</v>
      </c>
      <c r="H1494" s="108">
        <v>0</v>
      </c>
      <c r="I1494" s="42">
        <f>SUM(I1495:I1499)</f>
        <v>249624918</v>
      </c>
      <c r="J1494" s="45">
        <v>109</v>
      </c>
      <c r="K1494" s="42">
        <f>SUM(K1495:K1499)</f>
        <v>242731750</v>
      </c>
      <c r="L1494" s="45">
        <v>25</v>
      </c>
      <c r="M1494" s="42">
        <f>SUM(M1496:M1499)</f>
        <v>16305000</v>
      </c>
      <c r="N1494" s="45">
        <v>30</v>
      </c>
      <c r="O1494" s="42">
        <f>O1495+O1496+O1497</f>
        <v>15895000</v>
      </c>
      <c r="P1494" s="45">
        <v>35</v>
      </c>
      <c r="Q1494" s="42">
        <f>Q1495+Q1496+Q1497</f>
        <v>33435000</v>
      </c>
      <c r="R1494" s="45">
        <v>19</v>
      </c>
      <c r="S1494" s="42">
        <f>S1495+S1496+S1497</f>
        <v>172596750</v>
      </c>
      <c r="T1494" s="55">
        <f>SUM(L1494,N1494,P1494,R1494)</f>
        <v>109</v>
      </c>
      <c r="U1494" s="55">
        <f>T1494/J1494*100</f>
        <v>100</v>
      </c>
      <c r="V1494" s="58" t="s">
        <v>58</v>
      </c>
      <c r="W1494" s="59">
        <f>SUM(M1494,O1494,Q1494,S1494)</f>
        <v>238231750</v>
      </c>
      <c r="X1494" s="57">
        <f>W1494/K1494*100</f>
        <v>98.146101612170639</v>
      </c>
      <c r="Y1494" s="58" t="s">
        <v>58</v>
      </c>
      <c r="Z1494" s="55">
        <f t="shared" si="367"/>
        <v>109</v>
      </c>
      <c r="AA1494" s="59">
        <f t="shared" ref="AA1494:AA1542" si="382">SUM(I1494,W1494)</f>
        <v>487856668</v>
      </c>
      <c r="AB1494" s="57"/>
      <c r="AC1494" s="58" t="s">
        <v>58</v>
      </c>
      <c r="AD1494" s="57"/>
      <c r="AE1494" s="11"/>
      <c r="AH1494" s="25"/>
    </row>
    <row r="1495" spans="1:34" ht="90">
      <c r="A1495" s="16"/>
      <c r="B1495" s="17"/>
      <c r="C1495" s="29" t="s">
        <v>1862</v>
      </c>
      <c r="D1495" s="29" t="s">
        <v>1863</v>
      </c>
      <c r="E1495" s="20">
        <v>1</v>
      </c>
      <c r="F1495" s="47" t="s">
        <v>1302</v>
      </c>
      <c r="G1495" s="23">
        <v>16440000</v>
      </c>
      <c r="H1495" s="20">
        <v>1</v>
      </c>
      <c r="I1495" s="22">
        <v>0</v>
      </c>
      <c r="J1495" s="20">
        <v>1</v>
      </c>
      <c r="K1495" s="23">
        <v>121168150</v>
      </c>
      <c r="L1495" s="384">
        <v>0</v>
      </c>
      <c r="M1495" s="23">
        <v>0</v>
      </c>
      <c r="N1495" s="20">
        <v>0</v>
      </c>
      <c r="O1495" s="23"/>
      <c r="P1495" s="20">
        <v>0</v>
      </c>
      <c r="Q1495" s="23"/>
      <c r="R1495" s="20">
        <v>1</v>
      </c>
      <c r="S1495" s="23">
        <v>120621850</v>
      </c>
      <c r="T1495" s="54">
        <f t="shared" si="380"/>
        <v>1</v>
      </c>
      <c r="U1495" s="54">
        <f t="shared" si="381"/>
        <v>100</v>
      </c>
      <c r="V1495" s="35" t="s">
        <v>58</v>
      </c>
      <c r="W1495" s="40">
        <f>SUM(M1495,O1495,Q1495,S1495)</f>
        <v>120621850</v>
      </c>
      <c r="X1495" s="53">
        <f>W1495/K1495*100</f>
        <v>99.549138944516358</v>
      </c>
      <c r="Y1495" s="35" t="s">
        <v>58</v>
      </c>
      <c r="Z1495" s="54">
        <f t="shared" si="367"/>
        <v>2</v>
      </c>
      <c r="AA1495" s="40">
        <f t="shared" si="382"/>
        <v>120621850</v>
      </c>
      <c r="AB1495" s="53"/>
      <c r="AC1495" s="35" t="s">
        <v>58</v>
      </c>
      <c r="AD1495" s="53"/>
      <c r="AE1495" s="11"/>
      <c r="AH1495" s="25"/>
    </row>
    <row r="1496" spans="1:34" ht="240">
      <c r="A1496" s="16"/>
      <c r="B1496" s="17"/>
      <c r="C1496" s="29" t="s">
        <v>1864</v>
      </c>
      <c r="D1496" s="29" t="s">
        <v>1865</v>
      </c>
      <c r="E1496" s="20">
        <v>1</v>
      </c>
      <c r="F1496" s="47" t="s">
        <v>1861</v>
      </c>
      <c r="G1496" s="23">
        <v>143789800</v>
      </c>
      <c r="H1496" s="20">
        <v>1</v>
      </c>
      <c r="I1496" s="22">
        <v>10746368</v>
      </c>
      <c r="J1496" s="20">
        <v>1</v>
      </c>
      <c r="K1496" s="23">
        <v>105483600</v>
      </c>
      <c r="L1496" s="20">
        <v>0</v>
      </c>
      <c r="M1496" s="23">
        <v>16305000</v>
      </c>
      <c r="N1496" s="20">
        <v>1</v>
      </c>
      <c r="O1496" s="23">
        <v>15895000</v>
      </c>
      <c r="P1496" s="20"/>
      <c r="Q1496" s="23">
        <v>23835000</v>
      </c>
      <c r="R1496" s="20"/>
      <c r="S1496" s="23">
        <v>48374900</v>
      </c>
      <c r="T1496" s="54">
        <f t="shared" si="380"/>
        <v>1</v>
      </c>
      <c r="U1496" s="54">
        <f t="shared" si="381"/>
        <v>100</v>
      </c>
      <c r="V1496" s="35" t="s">
        <v>58</v>
      </c>
      <c r="W1496" s="40">
        <f>SUM(M1496,O1496,Q1496,S1496)</f>
        <v>104409900</v>
      </c>
      <c r="X1496" s="53">
        <f>W1496/K1496*100</f>
        <v>98.982116651308829</v>
      </c>
      <c r="Y1496" s="35" t="s">
        <v>58</v>
      </c>
      <c r="Z1496" s="54">
        <f t="shared" si="367"/>
        <v>2</v>
      </c>
      <c r="AA1496" s="40">
        <f t="shared" si="382"/>
        <v>115156268</v>
      </c>
      <c r="AB1496" s="53"/>
      <c r="AC1496" s="35" t="s">
        <v>58</v>
      </c>
      <c r="AD1496" s="53"/>
      <c r="AE1496" s="11"/>
      <c r="AH1496" s="25"/>
    </row>
    <row r="1497" spans="1:34" ht="134.25" customHeight="1">
      <c r="A1497" s="16"/>
      <c r="B1497" s="17"/>
      <c r="C1497" s="29" t="s">
        <v>1866</v>
      </c>
      <c r="D1497" s="29" t="s">
        <v>1867</v>
      </c>
      <c r="E1497" s="20">
        <f>J1497*5</f>
        <v>180</v>
      </c>
      <c r="F1497" s="47" t="s">
        <v>57</v>
      </c>
      <c r="G1497" s="23">
        <v>12560000</v>
      </c>
      <c r="H1497" s="44">
        <v>0</v>
      </c>
      <c r="I1497" s="22">
        <v>23804500</v>
      </c>
      <c r="J1497" s="20">
        <v>36</v>
      </c>
      <c r="K1497" s="23">
        <v>16080000</v>
      </c>
      <c r="L1497" s="20">
        <v>0</v>
      </c>
      <c r="M1497" s="23">
        <v>0</v>
      </c>
      <c r="N1497" s="20">
        <v>12</v>
      </c>
      <c r="O1497" s="23"/>
      <c r="P1497" s="20">
        <v>20</v>
      </c>
      <c r="Q1497" s="23">
        <v>9600000</v>
      </c>
      <c r="R1497" s="20">
        <v>4</v>
      </c>
      <c r="S1497" s="23">
        <v>3600000</v>
      </c>
      <c r="T1497" s="54">
        <f t="shared" si="380"/>
        <v>36</v>
      </c>
      <c r="U1497" s="54">
        <f t="shared" si="381"/>
        <v>100</v>
      </c>
      <c r="V1497" s="35" t="s">
        <v>58</v>
      </c>
      <c r="W1497" s="40">
        <f>SUM(M1497,O1497,Q1497,S1497)</f>
        <v>13200000</v>
      </c>
      <c r="X1497" s="53">
        <f>W1497/K1497*100</f>
        <v>82.089552238805979</v>
      </c>
      <c r="Y1497" s="35" t="s">
        <v>58</v>
      </c>
      <c r="Z1497" s="54">
        <f t="shared" si="367"/>
        <v>36</v>
      </c>
      <c r="AA1497" s="40">
        <f t="shared" si="382"/>
        <v>37004500</v>
      </c>
      <c r="AB1497" s="53"/>
      <c r="AC1497" s="35" t="s">
        <v>58</v>
      </c>
      <c r="AD1497" s="53"/>
      <c r="AE1497" s="11"/>
      <c r="AH1497" s="25"/>
    </row>
    <row r="1498" spans="1:34" ht="225">
      <c r="A1498" s="16"/>
      <c r="B1498" s="17"/>
      <c r="C1498" s="29" t="s">
        <v>1868</v>
      </c>
      <c r="D1498" s="29" t="s">
        <v>1869</v>
      </c>
      <c r="E1498" s="20"/>
      <c r="F1498" s="47" t="s">
        <v>1861</v>
      </c>
      <c r="G1498" s="23"/>
      <c r="H1498" s="44">
        <v>0</v>
      </c>
      <c r="I1498" s="22">
        <v>20454750</v>
      </c>
      <c r="J1498" s="20"/>
      <c r="K1498" s="23"/>
      <c r="L1498" s="20"/>
      <c r="M1498" s="23"/>
      <c r="N1498" s="20"/>
      <c r="O1498" s="23"/>
      <c r="P1498" s="20"/>
      <c r="Q1498" s="23"/>
      <c r="R1498" s="20"/>
      <c r="S1498" s="23"/>
      <c r="T1498" s="54"/>
      <c r="U1498" s="54"/>
      <c r="V1498" s="35"/>
      <c r="W1498" s="40"/>
      <c r="X1498" s="53"/>
      <c r="Y1498" s="35"/>
      <c r="Z1498" s="54">
        <f t="shared" si="367"/>
        <v>0</v>
      </c>
      <c r="AA1498" s="40">
        <f t="shared" si="382"/>
        <v>20454750</v>
      </c>
      <c r="AB1498" s="53"/>
      <c r="AC1498" s="35" t="s">
        <v>58</v>
      </c>
      <c r="AD1498" s="53"/>
      <c r="AE1498" s="11"/>
      <c r="AH1498" s="25"/>
    </row>
    <row r="1499" spans="1:34" ht="92.25" customHeight="1">
      <c r="A1499" s="16"/>
      <c r="B1499" s="17"/>
      <c r="C1499" s="29" t="s">
        <v>1870</v>
      </c>
      <c r="D1499" s="29" t="s">
        <v>1871</v>
      </c>
      <c r="E1499" s="104">
        <v>1550</v>
      </c>
      <c r="F1499" s="47" t="s">
        <v>1872</v>
      </c>
      <c r="G1499" s="23">
        <v>62500000</v>
      </c>
      <c r="H1499" s="44">
        <v>1550</v>
      </c>
      <c r="I1499" s="23">
        <v>194619300</v>
      </c>
      <c r="J1499" s="104"/>
      <c r="K1499" s="23"/>
      <c r="L1499" s="104"/>
      <c r="M1499" s="23"/>
      <c r="N1499" s="44"/>
      <c r="O1499" s="23"/>
      <c r="P1499" s="44"/>
      <c r="Q1499" s="23"/>
      <c r="R1499" s="44"/>
      <c r="S1499" s="23"/>
      <c r="T1499" s="106"/>
      <c r="U1499" s="54"/>
      <c r="V1499" s="35"/>
      <c r="W1499" s="40"/>
      <c r="X1499" s="53"/>
      <c r="Y1499" s="35"/>
      <c r="Z1499" s="106">
        <f t="shared" si="367"/>
        <v>1550</v>
      </c>
      <c r="AA1499" s="40">
        <f t="shared" si="382"/>
        <v>194619300</v>
      </c>
      <c r="AB1499" s="53"/>
      <c r="AC1499" s="35" t="s">
        <v>58</v>
      </c>
      <c r="AD1499" s="53"/>
      <c r="AE1499" s="11"/>
      <c r="AH1499" s="25"/>
    </row>
    <row r="1500" spans="1:34" ht="126.75" customHeight="1">
      <c r="A1500" s="16"/>
      <c r="B1500" s="17"/>
      <c r="C1500" s="19" t="s">
        <v>1873</v>
      </c>
      <c r="D1500" s="19" t="s">
        <v>1874</v>
      </c>
      <c r="E1500" s="45" t="s">
        <v>1875</v>
      </c>
      <c r="F1500" s="76" t="s">
        <v>1638</v>
      </c>
      <c r="G1500" s="42">
        <f>SUM(G1501)</f>
        <v>0</v>
      </c>
      <c r="H1500" s="267">
        <v>40550</v>
      </c>
      <c r="I1500" s="42">
        <f>SUM(I1501)</f>
        <v>22749900</v>
      </c>
      <c r="J1500" s="45">
        <v>47035</v>
      </c>
      <c r="K1500" s="42">
        <f>SUM(K1501)</f>
        <v>50310100</v>
      </c>
      <c r="L1500" s="267">
        <v>6622</v>
      </c>
      <c r="M1500" s="42">
        <f>SUM(M1501)</f>
        <v>0</v>
      </c>
      <c r="N1500" s="267">
        <v>15000</v>
      </c>
      <c r="O1500" s="42">
        <f>O1501</f>
        <v>0</v>
      </c>
      <c r="P1500" s="267">
        <v>14052</v>
      </c>
      <c r="Q1500" s="42">
        <f>Q1501</f>
        <v>39810400</v>
      </c>
      <c r="R1500" s="267">
        <v>11361</v>
      </c>
      <c r="S1500" s="42">
        <f>S1501</f>
        <v>6551500</v>
      </c>
      <c r="T1500" s="390">
        <f>SUM(L1500,N1500,P1500,R1500)</f>
        <v>47035</v>
      </c>
      <c r="U1500" s="55">
        <f>T1500/J1500*100</f>
        <v>100</v>
      </c>
      <c r="V1500" s="58" t="s">
        <v>58</v>
      </c>
      <c r="W1500" s="59">
        <f t="shared" ref="W1500:W1527" si="383">SUM(M1500,O1500,Q1500,S1500)</f>
        <v>46361900</v>
      </c>
      <c r="X1500" s="57">
        <f t="shared" ref="X1500:X1527" si="384">W1500/K1500*100</f>
        <v>92.152271611465693</v>
      </c>
      <c r="Y1500" s="58" t="s">
        <v>58</v>
      </c>
      <c r="Z1500" s="55">
        <f t="shared" si="367"/>
        <v>87585</v>
      </c>
      <c r="AA1500" s="59">
        <f t="shared" si="382"/>
        <v>69111800</v>
      </c>
      <c r="AB1500" s="57"/>
      <c r="AC1500" s="58" t="s">
        <v>58</v>
      </c>
      <c r="AD1500" s="57"/>
      <c r="AE1500" s="11"/>
      <c r="AH1500" s="25"/>
    </row>
    <row r="1501" spans="1:34" ht="135">
      <c r="A1501" s="16"/>
      <c r="B1501" s="17"/>
      <c r="C1501" s="29" t="s">
        <v>1876</v>
      </c>
      <c r="D1501" s="29" t="s">
        <v>1877</v>
      </c>
      <c r="E1501" s="20"/>
      <c r="F1501" s="47" t="s">
        <v>1878</v>
      </c>
      <c r="G1501" s="23"/>
      <c r="H1501" s="44">
        <v>0</v>
      </c>
      <c r="I1501" s="22">
        <v>22749900</v>
      </c>
      <c r="J1501" s="20">
        <v>1</v>
      </c>
      <c r="K1501" s="23">
        <v>50310100</v>
      </c>
      <c r="L1501" s="20">
        <v>0</v>
      </c>
      <c r="M1501" s="23">
        <v>0</v>
      </c>
      <c r="N1501" s="20">
        <v>0</v>
      </c>
      <c r="O1501" s="50">
        <v>0</v>
      </c>
      <c r="P1501" s="20">
        <v>1</v>
      </c>
      <c r="Q1501" s="50">
        <v>39810400</v>
      </c>
      <c r="R1501" s="20"/>
      <c r="S1501" s="50">
        <v>6551500</v>
      </c>
      <c r="T1501" s="54">
        <f t="shared" ref="T1501:T1513" si="385">SUM(L1501,N1501,P1501,R1501)</f>
        <v>1</v>
      </c>
      <c r="U1501" s="54">
        <f t="shared" ref="U1501:U1564" si="386">T1501/J1501*100</f>
        <v>100</v>
      </c>
      <c r="V1501" s="35" t="s">
        <v>58</v>
      </c>
      <c r="W1501" s="40">
        <f t="shared" si="383"/>
        <v>46361900</v>
      </c>
      <c r="X1501" s="53">
        <f t="shared" si="384"/>
        <v>92.152271611465693</v>
      </c>
      <c r="Y1501" s="35" t="s">
        <v>58</v>
      </c>
      <c r="Z1501" s="54">
        <f t="shared" si="367"/>
        <v>1</v>
      </c>
      <c r="AA1501" s="40">
        <f t="shared" si="382"/>
        <v>69111800</v>
      </c>
      <c r="AB1501" s="53"/>
      <c r="AC1501" s="35" t="s">
        <v>58</v>
      </c>
      <c r="AD1501" s="53"/>
      <c r="AE1501" s="11"/>
      <c r="AH1501" s="25"/>
    </row>
    <row r="1502" spans="1:34" ht="60">
      <c r="A1502" s="16"/>
      <c r="B1502" s="17"/>
      <c r="C1502" s="29" t="s">
        <v>1879</v>
      </c>
      <c r="D1502" s="29"/>
      <c r="E1502" s="20"/>
      <c r="F1502" s="47"/>
      <c r="G1502" s="23">
        <v>36295100</v>
      </c>
      <c r="H1502" s="44"/>
      <c r="I1502" s="22"/>
      <c r="J1502" s="20"/>
      <c r="K1502" s="23"/>
      <c r="L1502" s="20"/>
      <c r="M1502" s="23"/>
      <c r="N1502" s="20"/>
      <c r="O1502" s="50"/>
      <c r="P1502" s="20"/>
      <c r="Q1502" s="50"/>
      <c r="R1502" s="20"/>
      <c r="S1502" s="50"/>
      <c r="T1502" s="54"/>
      <c r="U1502" s="54"/>
      <c r="V1502" s="35"/>
      <c r="W1502" s="40"/>
      <c r="X1502" s="53"/>
      <c r="Y1502" s="35"/>
      <c r="Z1502" s="54"/>
      <c r="AA1502" s="40"/>
      <c r="AB1502" s="53"/>
      <c r="AC1502" s="35"/>
      <c r="AD1502" s="53"/>
      <c r="AE1502" s="11"/>
      <c r="AH1502" s="25"/>
    </row>
    <row r="1503" spans="1:34" ht="132.75" customHeight="1">
      <c r="A1503" s="16"/>
      <c r="B1503" s="17"/>
      <c r="C1503" s="19" t="s">
        <v>1880</v>
      </c>
      <c r="D1503" s="19" t="s">
        <v>1881</v>
      </c>
      <c r="E1503" s="564">
        <v>70</v>
      </c>
      <c r="F1503" s="76" t="s">
        <v>943</v>
      </c>
      <c r="G1503" s="42">
        <f>G1504+G1507+G1509</f>
        <v>374822050</v>
      </c>
      <c r="H1503" s="557">
        <v>66.56</v>
      </c>
      <c r="I1503" s="42">
        <f>I1504+I1507+I1509</f>
        <v>192795750</v>
      </c>
      <c r="J1503" s="564">
        <v>58</v>
      </c>
      <c r="K1503" s="42">
        <f>K1504+K1507+K1509</f>
        <v>115303950</v>
      </c>
      <c r="L1503" s="254">
        <v>0</v>
      </c>
      <c r="M1503" s="42">
        <f>M1504+M1507+M1509</f>
        <v>0</v>
      </c>
      <c r="N1503" s="254">
        <v>0</v>
      </c>
      <c r="O1503" s="42">
        <f>O1504+O1507+O1509</f>
        <v>3170000</v>
      </c>
      <c r="P1503" s="254">
        <v>0</v>
      </c>
      <c r="Q1503" s="42">
        <f>Q1504+Q1507+Q1509</f>
        <v>7537550</v>
      </c>
      <c r="R1503" s="254">
        <v>58.28</v>
      </c>
      <c r="S1503" s="42">
        <f>S1504+S1507+S1509</f>
        <v>94777700</v>
      </c>
      <c r="T1503" s="55">
        <f t="shared" si="385"/>
        <v>58.28</v>
      </c>
      <c r="U1503" s="55">
        <f>T1503/J1503*100</f>
        <v>100.48275862068965</v>
      </c>
      <c r="V1503" s="58" t="s">
        <v>58</v>
      </c>
      <c r="W1503" s="59">
        <f t="shared" si="383"/>
        <v>105485250</v>
      </c>
      <c r="X1503" s="57">
        <f t="shared" si="384"/>
        <v>91.484506818716966</v>
      </c>
      <c r="Y1503" s="58" t="s">
        <v>58</v>
      </c>
      <c r="Z1503" s="55">
        <f t="shared" ref="Z1503:Z1513" si="387">SUM(H1503,T1503)</f>
        <v>124.84</v>
      </c>
      <c r="AA1503" s="59">
        <f t="shared" si="382"/>
        <v>298281000</v>
      </c>
      <c r="AB1503" s="57"/>
      <c r="AC1503" s="58" t="s">
        <v>58</v>
      </c>
      <c r="AD1503" s="57"/>
      <c r="AE1503" s="11"/>
      <c r="AH1503" s="25"/>
    </row>
    <row r="1504" spans="1:34" ht="105.75" customHeight="1">
      <c r="A1504" s="16"/>
      <c r="B1504" s="17"/>
      <c r="C1504" s="454" t="s">
        <v>1882</v>
      </c>
      <c r="D1504" s="571" t="s">
        <v>1883</v>
      </c>
      <c r="E1504" s="564">
        <v>100</v>
      </c>
      <c r="F1504" s="75" t="s">
        <v>58</v>
      </c>
      <c r="G1504" s="42">
        <f>SUM(G1505)</f>
        <v>269167050</v>
      </c>
      <c r="H1504" s="564">
        <v>32</v>
      </c>
      <c r="I1504" s="42">
        <f>SUM(I1505)</f>
        <v>114533750</v>
      </c>
      <c r="J1504" s="564">
        <v>100</v>
      </c>
      <c r="K1504" s="42">
        <f>SUM(K1505)</f>
        <v>10266550</v>
      </c>
      <c r="L1504" s="564">
        <v>0</v>
      </c>
      <c r="M1504" s="42">
        <f>SUM(M1505)</f>
        <v>0</v>
      </c>
      <c r="N1504" s="564">
        <v>0</v>
      </c>
      <c r="O1504" s="42">
        <f>O1505</f>
        <v>0</v>
      </c>
      <c r="P1504" s="564">
        <v>0</v>
      </c>
      <c r="Q1504" s="42">
        <f>Q1505</f>
        <v>6367550</v>
      </c>
      <c r="R1504" s="564">
        <v>100</v>
      </c>
      <c r="S1504" s="42">
        <f>S1505</f>
        <v>3899000</v>
      </c>
      <c r="T1504" s="55">
        <f t="shared" si="385"/>
        <v>100</v>
      </c>
      <c r="U1504" s="55">
        <f t="shared" si="386"/>
        <v>100</v>
      </c>
      <c r="V1504" s="58" t="s">
        <v>58</v>
      </c>
      <c r="W1504" s="59">
        <f t="shared" si="383"/>
        <v>10266550</v>
      </c>
      <c r="X1504" s="57">
        <f t="shared" si="384"/>
        <v>100</v>
      </c>
      <c r="Y1504" s="58" t="s">
        <v>58</v>
      </c>
      <c r="Z1504" s="55">
        <f t="shared" si="387"/>
        <v>132</v>
      </c>
      <c r="AA1504" s="59">
        <f t="shared" si="382"/>
        <v>124800300</v>
      </c>
      <c r="AB1504" s="57"/>
      <c r="AC1504" s="58" t="s">
        <v>58</v>
      </c>
      <c r="AD1504" s="57"/>
      <c r="AE1504" s="11"/>
      <c r="AH1504" s="25"/>
    </row>
    <row r="1505" spans="1:34" ht="123.75" customHeight="1">
      <c r="A1505" s="16"/>
      <c r="B1505" s="17"/>
      <c r="C1505" s="29" t="s">
        <v>1884</v>
      </c>
      <c r="D1505" s="29" t="s">
        <v>1885</v>
      </c>
      <c r="E1505" s="20">
        <v>38</v>
      </c>
      <c r="F1505" s="47" t="s">
        <v>1886</v>
      </c>
      <c r="G1505" s="23">
        <f>128949750+11267550+128949750</f>
        <v>269167050</v>
      </c>
      <c r="H1505" s="44">
        <v>30</v>
      </c>
      <c r="I1505" s="22">
        <v>114533750</v>
      </c>
      <c r="J1505" s="20">
        <v>5000</v>
      </c>
      <c r="K1505" s="23">
        <v>10266550</v>
      </c>
      <c r="L1505" s="20">
        <v>1000</v>
      </c>
      <c r="M1505" s="23">
        <v>0</v>
      </c>
      <c r="N1505" s="20">
        <v>1500</v>
      </c>
      <c r="O1505" s="23">
        <v>0</v>
      </c>
      <c r="P1505" s="20">
        <v>1500</v>
      </c>
      <c r="Q1505" s="23">
        <v>6367550</v>
      </c>
      <c r="R1505" s="20">
        <v>1000</v>
      </c>
      <c r="S1505" s="23">
        <v>3899000</v>
      </c>
      <c r="T1505" s="54">
        <f t="shared" si="385"/>
        <v>5000</v>
      </c>
      <c r="U1505" s="54">
        <f t="shared" si="386"/>
        <v>100</v>
      </c>
      <c r="V1505" s="35" t="s">
        <v>58</v>
      </c>
      <c r="W1505" s="40">
        <f t="shared" si="383"/>
        <v>10266550</v>
      </c>
      <c r="X1505" s="53">
        <f t="shared" si="384"/>
        <v>100</v>
      </c>
      <c r="Y1505" s="35" t="s">
        <v>58</v>
      </c>
      <c r="Z1505" s="54">
        <f t="shared" si="387"/>
        <v>5030</v>
      </c>
      <c r="AA1505" s="40">
        <f t="shared" si="382"/>
        <v>124800300</v>
      </c>
      <c r="AB1505" s="53"/>
      <c r="AC1505" s="35" t="s">
        <v>58</v>
      </c>
      <c r="AD1505" s="53"/>
      <c r="AE1505" s="11"/>
      <c r="AH1505" s="25"/>
    </row>
    <row r="1506" spans="1:34" ht="123.75" customHeight="1">
      <c r="A1506" s="16"/>
      <c r="B1506" s="17"/>
      <c r="C1506" s="568" t="s">
        <v>1887</v>
      </c>
      <c r="D1506" s="29"/>
      <c r="E1506" s="20"/>
      <c r="F1506" s="275"/>
      <c r="G1506" s="23">
        <v>30839800</v>
      </c>
      <c r="H1506" s="44"/>
      <c r="I1506" s="22"/>
      <c r="J1506" s="20"/>
      <c r="K1506" s="23"/>
      <c r="L1506" s="20"/>
      <c r="M1506" s="23"/>
      <c r="N1506" s="20"/>
      <c r="O1506" s="23"/>
      <c r="P1506" s="20"/>
      <c r="Q1506" s="23"/>
      <c r="R1506" s="20"/>
      <c r="S1506" s="23"/>
      <c r="T1506" s="54"/>
      <c r="U1506" s="54"/>
      <c r="V1506" s="35"/>
      <c r="W1506" s="40"/>
      <c r="X1506" s="53"/>
      <c r="Y1506" s="35"/>
      <c r="Z1506" s="54"/>
      <c r="AA1506" s="40"/>
      <c r="AB1506" s="53"/>
      <c r="AC1506" s="35"/>
      <c r="AD1506" s="53"/>
      <c r="AE1506" s="11"/>
      <c r="AH1506" s="25"/>
    </row>
    <row r="1507" spans="1:34" ht="107.25" customHeight="1">
      <c r="A1507" s="16"/>
      <c r="B1507" s="17"/>
      <c r="C1507" s="454" t="s">
        <v>1888</v>
      </c>
      <c r="D1507" s="19" t="s">
        <v>1889</v>
      </c>
      <c r="E1507" s="564">
        <v>100</v>
      </c>
      <c r="F1507" s="75" t="s">
        <v>58</v>
      </c>
      <c r="G1507" s="42">
        <f>SUM(G1508)</f>
        <v>79186000</v>
      </c>
      <c r="H1507" s="45">
        <v>21</v>
      </c>
      <c r="I1507" s="42">
        <f>SUM(I1508)</f>
        <v>52831050</v>
      </c>
      <c r="J1507" s="45">
        <v>100</v>
      </c>
      <c r="K1507" s="42">
        <f>SUM(K1508)</f>
        <v>48321000</v>
      </c>
      <c r="L1507" s="45">
        <v>0</v>
      </c>
      <c r="M1507" s="42">
        <f>SUM(M1508)</f>
        <v>0</v>
      </c>
      <c r="N1507" s="45">
        <v>0</v>
      </c>
      <c r="O1507" s="42">
        <f>O1508</f>
        <v>1500000</v>
      </c>
      <c r="P1507" s="45">
        <v>0</v>
      </c>
      <c r="Q1507" s="42">
        <f>Q1508</f>
        <v>0</v>
      </c>
      <c r="R1507" s="45">
        <v>100</v>
      </c>
      <c r="S1507" s="42">
        <f>S1508</f>
        <v>44125000</v>
      </c>
      <c r="T1507" s="55">
        <f t="shared" si="385"/>
        <v>100</v>
      </c>
      <c r="U1507" s="55">
        <f t="shared" si="386"/>
        <v>100</v>
      </c>
      <c r="V1507" s="58" t="s">
        <v>58</v>
      </c>
      <c r="W1507" s="59">
        <f t="shared" si="383"/>
        <v>45625000</v>
      </c>
      <c r="X1507" s="57">
        <f t="shared" si="384"/>
        <v>94.420645268102902</v>
      </c>
      <c r="Y1507" s="58" t="s">
        <v>58</v>
      </c>
      <c r="Z1507" s="55">
        <f t="shared" si="387"/>
        <v>121</v>
      </c>
      <c r="AA1507" s="59">
        <f t="shared" si="382"/>
        <v>98456050</v>
      </c>
      <c r="AB1507" s="57"/>
      <c r="AC1507" s="58" t="s">
        <v>58</v>
      </c>
      <c r="AD1507" s="57"/>
      <c r="AE1507" s="11"/>
      <c r="AH1507" s="25"/>
    </row>
    <row r="1508" spans="1:34" ht="120">
      <c r="A1508" s="16"/>
      <c r="B1508" s="17"/>
      <c r="C1508" s="29" t="s">
        <v>1890</v>
      </c>
      <c r="D1508" s="29" t="s">
        <v>1891</v>
      </c>
      <c r="E1508" s="20"/>
      <c r="F1508" s="47" t="s">
        <v>1892</v>
      </c>
      <c r="G1508" s="23">
        <v>79186000</v>
      </c>
      <c r="H1508" s="20">
        <v>30</v>
      </c>
      <c r="I1508" s="22">
        <v>52831050</v>
      </c>
      <c r="J1508" s="20">
        <v>6488</v>
      </c>
      <c r="K1508" s="23">
        <v>48321000</v>
      </c>
      <c r="L1508" s="384">
        <v>0</v>
      </c>
      <c r="M1508" s="23">
        <v>0</v>
      </c>
      <c r="N1508" s="565">
        <v>2000</v>
      </c>
      <c r="O1508" s="23">
        <v>1500000</v>
      </c>
      <c r="P1508" s="565">
        <v>0</v>
      </c>
      <c r="Q1508" s="23">
        <v>0</v>
      </c>
      <c r="R1508" s="565">
        <v>4488</v>
      </c>
      <c r="S1508" s="23">
        <v>44125000</v>
      </c>
      <c r="T1508" s="102">
        <f t="shared" si="385"/>
        <v>6488</v>
      </c>
      <c r="U1508" s="54">
        <f t="shared" si="386"/>
        <v>100</v>
      </c>
      <c r="V1508" s="35" t="s">
        <v>58</v>
      </c>
      <c r="W1508" s="40">
        <f t="shared" si="383"/>
        <v>45625000</v>
      </c>
      <c r="X1508" s="53">
        <f t="shared" si="384"/>
        <v>94.420645268102902</v>
      </c>
      <c r="Y1508" s="35" t="s">
        <v>58</v>
      </c>
      <c r="Z1508" s="54">
        <f t="shared" si="387"/>
        <v>6518</v>
      </c>
      <c r="AA1508" s="40">
        <f t="shared" si="382"/>
        <v>98456050</v>
      </c>
      <c r="AB1508" s="53"/>
      <c r="AC1508" s="35" t="s">
        <v>58</v>
      </c>
      <c r="AD1508" s="53"/>
      <c r="AE1508" s="11"/>
      <c r="AH1508" s="25"/>
    </row>
    <row r="1509" spans="1:34" ht="115.5" customHeight="1">
      <c r="A1509" s="16"/>
      <c r="B1509" s="17"/>
      <c r="C1509" s="19" t="s">
        <v>1893</v>
      </c>
      <c r="D1509" s="19" t="s">
        <v>1894</v>
      </c>
      <c r="E1509" s="45">
        <f>E1510</f>
        <v>0</v>
      </c>
      <c r="F1509" s="46" t="s">
        <v>57</v>
      </c>
      <c r="G1509" s="42">
        <f>SUM(G1510)</f>
        <v>26469000</v>
      </c>
      <c r="H1509" s="45">
        <v>0</v>
      </c>
      <c r="I1509" s="42">
        <f>SUM(I1510)</f>
        <v>25430950</v>
      </c>
      <c r="J1509" s="45">
        <f>J1510</f>
        <v>1</v>
      </c>
      <c r="K1509" s="42">
        <f>SUM(K1510)</f>
        <v>56716400</v>
      </c>
      <c r="L1509" s="45">
        <f>L1510</f>
        <v>0</v>
      </c>
      <c r="M1509" s="42">
        <f>SUM(M1510)</f>
        <v>0</v>
      </c>
      <c r="N1509" s="45">
        <f>N1510</f>
        <v>0</v>
      </c>
      <c r="O1509" s="42">
        <f>O1510</f>
        <v>1670000</v>
      </c>
      <c r="P1509" s="45">
        <v>1</v>
      </c>
      <c r="Q1509" s="42">
        <f>Q1510</f>
        <v>1170000</v>
      </c>
      <c r="R1509" s="45"/>
      <c r="S1509" s="42">
        <f>S1510</f>
        <v>46753700</v>
      </c>
      <c r="T1509" s="55">
        <f t="shared" si="385"/>
        <v>1</v>
      </c>
      <c r="U1509" s="55">
        <f t="shared" si="386"/>
        <v>100</v>
      </c>
      <c r="V1509" s="58" t="s">
        <v>58</v>
      </c>
      <c r="W1509" s="59">
        <f t="shared" si="383"/>
        <v>49593700</v>
      </c>
      <c r="X1509" s="57">
        <f t="shared" si="384"/>
        <v>87.441551297331984</v>
      </c>
      <c r="Y1509" s="58" t="s">
        <v>58</v>
      </c>
      <c r="Z1509" s="55">
        <f t="shared" si="387"/>
        <v>1</v>
      </c>
      <c r="AA1509" s="59">
        <f t="shared" si="382"/>
        <v>75024650</v>
      </c>
      <c r="AB1509" s="57"/>
      <c r="AC1509" s="58" t="s">
        <v>58</v>
      </c>
      <c r="AD1509" s="57"/>
      <c r="AE1509" s="11"/>
      <c r="AH1509" s="25"/>
    </row>
    <row r="1510" spans="1:34" ht="122.25" customHeight="1">
      <c r="A1510" s="16"/>
      <c r="B1510" s="17"/>
      <c r="C1510" s="568" t="s">
        <v>1895</v>
      </c>
      <c r="D1510" s="29" t="s">
        <v>1896</v>
      </c>
      <c r="E1510" s="20"/>
      <c r="F1510" s="21" t="s">
        <v>173</v>
      </c>
      <c r="G1510" s="23">
        <v>26469000</v>
      </c>
      <c r="H1510" s="20">
        <v>0</v>
      </c>
      <c r="I1510" s="22">
        <v>25430950</v>
      </c>
      <c r="J1510" s="20">
        <v>1</v>
      </c>
      <c r="K1510" s="23">
        <v>56716400</v>
      </c>
      <c r="L1510" s="20">
        <v>0</v>
      </c>
      <c r="M1510" s="23">
        <v>0</v>
      </c>
      <c r="N1510" s="20">
        <v>0</v>
      </c>
      <c r="O1510" s="23">
        <v>1670000</v>
      </c>
      <c r="P1510" s="20">
        <v>0</v>
      </c>
      <c r="Q1510" s="23">
        <v>1170000</v>
      </c>
      <c r="R1510" s="20">
        <v>1</v>
      </c>
      <c r="S1510" s="23">
        <v>46753700</v>
      </c>
      <c r="T1510" s="54">
        <f t="shared" si="385"/>
        <v>1</v>
      </c>
      <c r="U1510" s="54">
        <f t="shared" si="386"/>
        <v>100</v>
      </c>
      <c r="V1510" s="35" t="s">
        <v>58</v>
      </c>
      <c r="W1510" s="40">
        <f t="shared" si="383"/>
        <v>49593700</v>
      </c>
      <c r="X1510" s="53">
        <f t="shared" si="384"/>
        <v>87.441551297331984</v>
      </c>
      <c r="Y1510" s="35" t="s">
        <v>58</v>
      </c>
      <c r="Z1510" s="54">
        <f t="shared" si="387"/>
        <v>1</v>
      </c>
      <c r="AA1510" s="40">
        <f t="shared" si="382"/>
        <v>75024650</v>
      </c>
      <c r="AB1510" s="53"/>
      <c r="AC1510" s="35" t="s">
        <v>58</v>
      </c>
      <c r="AD1510" s="53"/>
      <c r="AE1510" s="11"/>
      <c r="AH1510" s="25"/>
    </row>
    <row r="1511" spans="1:34" ht="138.75" customHeight="1">
      <c r="A1511" s="16"/>
      <c r="B1511" s="17"/>
      <c r="C1511" s="19" t="s">
        <v>1897</v>
      </c>
      <c r="D1511" s="19" t="s">
        <v>1898</v>
      </c>
      <c r="E1511" s="564">
        <v>100</v>
      </c>
      <c r="F1511" s="75" t="s">
        <v>58</v>
      </c>
      <c r="G1511" s="42">
        <f>SUM(G1512)</f>
        <v>6800000</v>
      </c>
      <c r="H1511" s="557"/>
      <c r="I1511" s="42">
        <f>SUM(I1512)</f>
        <v>0</v>
      </c>
      <c r="J1511" s="564">
        <v>100</v>
      </c>
      <c r="K1511" s="42">
        <f>SUM(K1512)</f>
        <v>32556400</v>
      </c>
      <c r="L1511" s="254">
        <v>0</v>
      </c>
      <c r="M1511" s="42">
        <f>M1512+M2149+M2151</f>
        <v>0</v>
      </c>
      <c r="N1511" s="254">
        <v>0</v>
      </c>
      <c r="O1511" s="42">
        <f>O1512</f>
        <v>26635000</v>
      </c>
      <c r="P1511" s="254">
        <v>0</v>
      </c>
      <c r="Q1511" s="42">
        <f>Q1512</f>
        <v>0</v>
      </c>
      <c r="R1511" s="254">
        <v>100</v>
      </c>
      <c r="S1511" s="42">
        <f>S1512</f>
        <v>2375000</v>
      </c>
      <c r="T1511" s="55">
        <f t="shared" si="385"/>
        <v>100</v>
      </c>
      <c r="U1511" s="55">
        <f t="shared" si="386"/>
        <v>100</v>
      </c>
      <c r="V1511" s="58" t="s">
        <v>58</v>
      </c>
      <c r="W1511" s="59">
        <f t="shared" si="383"/>
        <v>29010000</v>
      </c>
      <c r="X1511" s="57">
        <f t="shared" si="384"/>
        <v>89.10690371171259</v>
      </c>
      <c r="Y1511" s="58" t="s">
        <v>58</v>
      </c>
      <c r="Z1511" s="55">
        <f t="shared" si="387"/>
        <v>100</v>
      </c>
      <c r="AA1511" s="59">
        <f t="shared" si="382"/>
        <v>29010000</v>
      </c>
      <c r="AB1511" s="57"/>
      <c r="AC1511" s="58" t="s">
        <v>58</v>
      </c>
      <c r="AD1511" s="57"/>
      <c r="AE1511" s="11"/>
      <c r="AH1511" s="25"/>
    </row>
    <row r="1512" spans="1:34" ht="267.75">
      <c r="A1512" s="16"/>
      <c r="B1512" s="17"/>
      <c r="C1512" s="454" t="s">
        <v>1899</v>
      </c>
      <c r="D1512" s="571" t="s">
        <v>1900</v>
      </c>
      <c r="E1512" s="564">
        <v>100</v>
      </c>
      <c r="F1512" s="75" t="s">
        <v>58</v>
      </c>
      <c r="G1512" s="42">
        <f>SUM(G1513)</f>
        <v>6800000</v>
      </c>
      <c r="H1512" s="564">
        <v>90</v>
      </c>
      <c r="I1512" s="42">
        <f>SUM(I1513)</f>
        <v>0</v>
      </c>
      <c r="J1512" s="564">
        <v>100</v>
      </c>
      <c r="K1512" s="42">
        <f>SUM(K1513)</f>
        <v>32556400</v>
      </c>
      <c r="L1512" s="564">
        <v>0</v>
      </c>
      <c r="M1512" s="42">
        <f>SUM(M1513)</f>
        <v>0</v>
      </c>
      <c r="N1512" s="564">
        <v>0</v>
      </c>
      <c r="O1512" s="42">
        <f>O1513</f>
        <v>26635000</v>
      </c>
      <c r="P1512" s="564">
        <v>0</v>
      </c>
      <c r="Q1512" s="42">
        <f>Q1513</f>
        <v>0</v>
      </c>
      <c r="R1512" s="564">
        <v>100</v>
      </c>
      <c r="S1512" s="42">
        <f>S1513</f>
        <v>2375000</v>
      </c>
      <c r="T1512" s="55">
        <f t="shared" si="385"/>
        <v>100</v>
      </c>
      <c r="U1512" s="55">
        <f t="shared" si="386"/>
        <v>100</v>
      </c>
      <c r="V1512" s="58" t="s">
        <v>58</v>
      </c>
      <c r="W1512" s="59">
        <f t="shared" si="383"/>
        <v>29010000</v>
      </c>
      <c r="X1512" s="57">
        <f t="shared" si="384"/>
        <v>89.10690371171259</v>
      </c>
      <c r="Y1512" s="58" t="s">
        <v>58</v>
      </c>
      <c r="Z1512" s="55">
        <f t="shared" si="387"/>
        <v>190</v>
      </c>
      <c r="AA1512" s="59">
        <f t="shared" si="382"/>
        <v>29010000</v>
      </c>
      <c r="AB1512" s="57"/>
      <c r="AC1512" s="58" t="s">
        <v>58</v>
      </c>
      <c r="AD1512" s="57"/>
      <c r="AE1512" s="11"/>
      <c r="AH1512" s="25"/>
    </row>
    <row r="1513" spans="1:34" ht="210">
      <c r="A1513" s="16"/>
      <c r="B1513" s="17"/>
      <c r="C1513" s="29" t="s">
        <v>1901</v>
      </c>
      <c r="D1513" s="29" t="s">
        <v>1902</v>
      </c>
      <c r="E1513" s="20"/>
      <c r="F1513" s="47" t="s">
        <v>1892</v>
      </c>
      <c r="G1513" s="23">
        <v>6800000</v>
      </c>
      <c r="H1513" s="44"/>
      <c r="I1513" s="22">
        <v>0</v>
      </c>
      <c r="J1513" s="20">
        <v>250</v>
      </c>
      <c r="K1513" s="23">
        <v>32556400</v>
      </c>
      <c r="L1513" s="20">
        <v>0</v>
      </c>
      <c r="M1513" s="23">
        <v>0</v>
      </c>
      <c r="N1513" s="20">
        <v>100</v>
      </c>
      <c r="O1513" s="23">
        <v>26635000</v>
      </c>
      <c r="P1513" s="20">
        <v>150</v>
      </c>
      <c r="Q1513" s="23">
        <v>0</v>
      </c>
      <c r="R1513" s="20"/>
      <c r="S1513" s="23">
        <v>2375000</v>
      </c>
      <c r="T1513" s="54">
        <f t="shared" si="385"/>
        <v>250</v>
      </c>
      <c r="U1513" s="54">
        <f t="shared" si="386"/>
        <v>100</v>
      </c>
      <c r="V1513" s="35" t="s">
        <v>58</v>
      </c>
      <c r="W1513" s="40">
        <f t="shared" si="383"/>
        <v>29010000</v>
      </c>
      <c r="X1513" s="53">
        <f t="shared" si="384"/>
        <v>89.10690371171259</v>
      </c>
      <c r="Y1513" s="35" t="s">
        <v>58</v>
      </c>
      <c r="Z1513" s="54">
        <f t="shared" si="387"/>
        <v>250</v>
      </c>
      <c r="AA1513" s="40">
        <f t="shared" si="382"/>
        <v>29010000</v>
      </c>
      <c r="AB1513" s="53"/>
      <c r="AC1513" s="35" t="s">
        <v>58</v>
      </c>
      <c r="AD1513" s="53"/>
      <c r="AE1513" s="11"/>
      <c r="AH1513" s="25"/>
    </row>
    <row r="1514" spans="1:34" ht="123" customHeight="1">
      <c r="A1514" s="48">
        <v>1</v>
      </c>
      <c r="B1514" s="17" t="s">
        <v>29</v>
      </c>
      <c r="C1514" s="19" t="s">
        <v>68</v>
      </c>
      <c r="D1514" s="1037" t="s">
        <v>143</v>
      </c>
      <c r="E1514" s="45">
        <v>100</v>
      </c>
      <c r="F1514" s="46" t="s">
        <v>58</v>
      </c>
      <c r="G1514" s="42">
        <f>G1515+G1518+G1523+G1529+G1534</f>
        <v>10867122746</v>
      </c>
      <c r="H1514" s="45">
        <v>100</v>
      </c>
      <c r="I1514" s="42">
        <f>I1515+I1518+I1523+I1529+I1534</f>
        <v>2925154651</v>
      </c>
      <c r="J1514" s="45">
        <v>100</v>
      </c>
      <c r="K1514" s="42">
        <f>K1515+K1518+K1523+K1529+K1534</f>
        <v>3075994201</v>
      </c>
      <c r="L1514" s="45">
        <v>25</v>
      </c>
      <c r="M1514" s="42">
        <f>M1515+M1518+M1523+M1529+M1534</f>
        <v>501910109</v>
      </c>
      <c r="N1514" s="1027">
        <v>25</v>
      </c>
      <c r="O1514" s="1170">
        <f>O1515+O1518+O1523+O1529+O1534</f>
        <v>2198317440</v>
      </c>
      <c r="P1514" s="1027">
        <v>25</v>
      </c>
      <c r="Q1514" s="1170">
        <f>Q1515+Q1518+Q1523+Q1529+Q1534</f>
        <v>81388580</v>
      </c>
      <c r="R1514" s="45">
        <v>25</v>
      </c>
      <c r="S1514" s="42">
        <f>S1515+S1518+S1523+S1529+S1534</f>
        <v>212127650</v>
      </c>
      <c r="T1514" s="55">
        <f>SUM(L1514,N1514,P1514,R1514)</f>
        <v>100</v>
      </c>
      <c r="U1514" s="55">
        <f t="shared" si="386"/>
        <v>100</v>
      </c>
      <c r="V1514" s="58" t="s">
        <v>58</v>
      </c>
      <c r="W1514" s="59">
        <f t="shared" si="383"/>
        <v>2993743779</v>
      </c>
      <c r="X1514" s="57">
        <f t="shared" si="384"/>
        <v>97.326054061699452</v>
      </c>
      <c r="Y1514" s="58" t="s">
        <v>58</v>
      </c>
      <c r="Z1514" s="55">
        <f>AVERAGE(H1514,T1514)</f>
        <v>100</v>
      </c>
      <c r="AA1514" s="59">
        <f t="shared" si="382"/>
        <v>5918898430</v>
      </c>
      <c r="AB1514" s="57">
        <f>Z1514/E1514*100</f>
        <v>100</v>
      </c>
      <c r="AC1514" s="58" t="s">
        <v>58</v>
      </c>
      <c r="AD1514" s="57">
        <f>AA1514/G1514*100</f>
        <v>54.46610449098538</v>
      </c>
      <c r="AE1514" s="397" t="s">
        <v>2941</v>
      </c>
      <c r="AH1514" s="25">
        <f>M1514+O1514+Q1514+S1514</f>
        <v>2993743779</v>
      </c>
    </row>
    <row r="1515" spans="1:34" ht="118.5" customHeight="1">
      <c r="A1515" s="48">
        <v>2</v>
      </c>
      <c r="B1515" s="49" t="s">
        <v>30</v>
      </c>
      <c r="C1515" s="19" t="s">
        <v>309</v>
      </c>
      <c r="D1515" s="1037" t="s">
        <v>1556</v>
      </c>
      <c r="E1515" s="45">
        <f>SUM(E1516:E1517)</f>
        <v>25</v>
      </c>
      <c r="F1515" s="46" t="s">
        <v>55</v>
      </c>
      <c r="G1515" s="42">
        <f>SUM(G1516:G1517)</f>
        <v>23999750</v>
      </c>
      <c r="H1515" s="45">
        <v>15</v>
      </c>
      <c r="I1515" s="42">
        <f t="shared" ref="I1515:S1515" si="388">SUM(I1516:I1517)</f>
        <v>7999900</v>
      </c>
      <c r="J1515" s="45">
        <f t="shared" si="388"/>
        <v>15</v>
      </c>
      <c r="K1515" s="42">
        <f t="shared" si="388"/>
        <v>7999550</v>
      </c>
      <c r="L1515" s="45">
        <f t="shared" si="388"/>
        <v>5</v>
      </c>
      <c r="M1515" s="42">
        <f t="shared" si="388"/>
        <v>0</v>
      </c>
      <c r="N1515" s="1027">
        <f t="shared" si="388"/>
        <v>4</v>
      </c>
      <c r="O1515" s="1170">
        <f t="shared" si="388"/>
        <v>4088350</v>
      </c>
      <c r="P1515" s="1027">
        <f t="shared" si="388"/>
        <v>4</v>
      </c>
      <c r="Q1515" s="1170">
        <f t="shared" si="388"/>
        <v>1099000</v>
      </c>
      <c r="R1515" s="45">
        <v>2</v>
      </c>
      <c r="S1515" s="42">
        <f t="shared" si="388"/>
        <v>2812150</v>
      </c>
      <c r="T1515" s="55">
        <f>AVERAGE(L1515,N1515,P1515,R1515)</f>
        <v>3.75</v>
      </c>
      <c r="U1515" s="55">
        <f t="shared" si="386"/>
        <v>25</v>
      </c>
      <c r="V1515" s="58" t="s">
        <v>58</v>
      </c>
      <c r="W1515" s="59">
        <f t="shared" si="383"/>
        <v>7999500</v>
      </c>
      <c r="X1515" s="57">
        <f t="shared" si="384"/>
        <v>99.999374964841763</v>
      </c>
      <c r="Y1515" s="58" t="s">
        <v>58</v>
      </c>
      <c r="Z1515" s="55">
        <f t="shared" ref="Z1515:Z1564" si="389">SUM(H1515,T1515)</f>
        <v>18.75</v>
      </c>
      <c r="AA1515" s="59">
        <f t="shared" si="382"/>
        <v>15999400</v>
      </c>
      <c r="AB1515" s="57">
        <f t="shared" ref="AB1515:AB1564" si="390">Z1515/E1515*100</f>
        <v>75</v>
      </c>
      <c r="AC1515" s="58" t="s">
        <v>58</v>
      </c>
      <c r="AD1515" s="57">
        <f t="shared" ref="AD1515:AD1564" si="391">AA1515/G1515*100</f>
        <v>66.664861092303042</v>
      </c>
      <c r="AE1515" s="24"/>
      <c r="AH1515" s="25"/>
    </row>
    <row r="1516" spans="1:34" ht="75">
      <c r="A1516" s="16"/>
      <c r="B1516" s="17"/>
      <c r="C1516" s="29" t="s">
        <v>69</v>
      </c>
      <c r="D1516" s="1046" t="s">
        <v>211</v>
      </c>
      <c r="E1516" s="20">
        <f>5*3</f>
        <v>15</v>
      </c>
      <c r="F1516" s="21" t="s">
        <v>55</v>
      </c>
      <c r="G1516" s="23">
        <f>6500000+K1516+6500150</f>
        <v>19500000</v>
      </c>
      <c r="H1516" s="20">
        <v>5</v>
      </c>
      <c r="I1516" s="23">
        <v>6499900</v>
      </c>
      <c r="J1516" s="20">
        <v>5</v>
      </c>
      <c r="K1516" s="23">
        <v>6499850</v>
      </c>
      <c r="L1516" s="20">
        <v>1</v>
      </c>
      <c r="M1516" s="23">
        <v>0</v>
      </c>
      <c r="N1516" s="1021">
        <v>3</v>
      </c>
      <c r="O1516" s="1171">
        <v>4088350</v>
      </c>
      <c r="P1516" s="1021">
        <v>3</v>
      </c>
      <c r="Q1516" s="1171">
        <v>0</v>
      </c>
      <c r="R1516" s="20">
        <v>1</v>
      </c>
      <c r="S1516" s="23">
        <v>2411500</v>
      </c>
      <c r="T1516" s="55">
        <f>AVERAGE(L1516,N1516,P1516,R1516)</f>
        <v>2</v>
      </c>
      <c r="U1516" s="55">
        <f t="shared" si="386"/>
        <v>40</v>
      </c>
      <c r="V1516" s="35" t="s">
        <v>58</v>
      </c>
      <c r="W1516" s="40">
        <f t="shared" si="383"/>
        <v>6499850</v>
      </c>
      <c r="X1516" s="53">
        <f t="shared" si="384"/>
        <v>100</v>
      </c>
      <c r="Y1516" s="35" t="s">
        <v>58</v>
      </c>
      <c r="Z1516" s="54">
        <f t="shared" si="389"/>
        <v>7</v>
      </c>
      <c r="AA1516" s="40">
        <f t="shared" si="382"/>
        <v>12999750</v>
      </c>
      <c r="AB1516" s="57">
        <f t="shared" si="390"/>
        <v>46.666666666666664</v>
      </c>
      <c r="AC1516" s="35" t="s">
        <v>58</v>
      </c>
      <c r="AD1516" s="57">
        <f t="shared" si="391"/>
        <v>66.66538461538461</v>
      </c>
      <c r="AE1516" s="11"/>
      <c r="AH1516" s="25"/>
    </row>
    <row r="1517" spans="1:34" ht="90">
      <c r="A1517" s="16"/>
      <c r="B1517" s="17"/>
      <c r="C1517" s="29" t="s">
        <v>70</v>
      </c>
      <c r="D1517" s="1046" t="s">
        <v>212</v>
      </c>
      <c r="E1517" s="20">
        <v>10</v>
      </c>
      <c r="F1517" s="21" t="s">
        <v>173</v>
      </c>
      <c r="G1517" s="23">
        <f>1500000+1500050+K1517</f>
        <v>4499750</v>
      </c>
      <c r="H1517" s="20">
        <v>10</v>
      </c>
      <c r="I1517" s="23">
        <v>1500000</v>
      </c>
      <c r="J1517" s="20">
        <v>10</v>
      </c>
      <c r="K1517" s="23">
        <v>1499700</v>
      </c>
      <c r="L1517" s="20">
        <v>4</v>
      </c>
      <c r="M1517" s="23">
        <v>0</v>
      </c>
      <c r="N1517" s="1021">
        <v>1</v>
      </c>
      <c r="O1517" s="1171">
        <v>0</v>
      </c>
      <c r="P1517" s="1021">
        <v>1</v>
      </c>
      <c r="Q1517" s="1171">
        <v>1099000</v>
      </c>
      <c r="R1517" s="20">
        <v>4</v>
      </c>
      <c r="S1517" s="23">
        <v>400650</v>
      </c>
      <c r="T1517" s="55">
        <f t="shared" ref="T1517:T1555" si="392">AVERAGE(L1517,N1517,P1517,R1517)</f>
        <v>2.5</v>
      </c>
      <c r="U1517" s="55">
        <f t="shared" si="386"/>
        <v>25</v>
      </c>
      <c r="V1517" s="35" t="s">
        <v>58</v>
      </c>
      <c r="W1517" s="40">
        <f t="shared" si="383"/>
        <v>1499650</v>
      </c>
      <c r="X1517" s="53">
        <f t="shared" si="384"/>
        <v>99.996665999866636</v>
      </c>
      <c r="Y1517" s="35" t="s">
        <v>58</v>
      </c>
      <c r="Z1517" s="54">
        <f t="shared" si="389"/>
        <v>12.5</v>
      </c>
      <c r="AA1517" s="40">
        <f t="shared" si="382"/>
        <v>2999650</v>
      </c>
      <c r="AB1517" s="57">
        <f t="shared" si="390"/>
        <v>125</v>
      </c>
      <c r="AC1517" s="35" t="s">
        <v>58</v>
      </c>
      <c r="AD1517" s="57">
        <f t="shared" si="391"/>
        <v>66.662592366242563</v>
      </c>
      <c r="AE1517" s="11"/>
      <c r="AH1517" s="25"/>
    </row>
    <row r="1518" spans="1:34" ht="94.5">
      <c r="A1518" s="16"/>
      <c r="B1518" s="17"/>
      <c r="C1518" s="19" t="s">
        <v>71</v>
      </c>
      <c r="D1518" s="1037" t="s">
        <v>140</v>
      </c>
      <c r="E1518" s="108">
        <f>SUM(E1520:E1522)</f>
        <v>42</v>
      </c>
      <c r="F1518" s="46" t="s">
        <v>55</v>
      </c>
      <c r="G1518" s="42">
        <f>SUM(G1519:G1522)</f>
        <v>9519214293</v>
      </c>
      <c r="H1518" s="108">
        <v>17</v>
      </c>
      <c r="I1518" s="42">
        <f>SUM(I1519:I1522)</f>
        <v>2576949874</v>
      </c>
      <c r="J1518" s="108">
        <f>SUM(J1520:J1522)</f>
        <v>14</v>
      </c>
      <c r="K1518" s="42">
        <f>SUM(K1519:K1522)</f>
        <v>2719293076</v>
      </c>
      <c r="L1518" s="108">
        <f>SUM(L1520:L1522)</f>
        <v>3</v>
      </c>
      <c r="M1518" s="42">
        <f>SUM(M1519:M1522)</f>
        <v>483910109</v>
      </c>
      <c r="N1518" s="1027">
        <f>SUM(N1520:N1522)</f>
        <v>3</v>
      </c>
      <c r="O1518" s="1170">
        <f>SUM(O1519:O1522)</f>
        <v>2144229090</v>
      </c>
      <c r="P1518" s="1027">
        <f>SUM(P1520:P1522)</f>
        <v>3</v>
      </c>
      <c r="Q1518" s="1170">
        <f>SUM(Q1519:Q1522)</f>
        <v>250000</v>
      </c>
      <c r="R1518" s="108">
        <f>SUM(R1520:R1522)</f>
        <v>5</v>
      </c>
      <c r="S1518" s="42">
        <f>SUM(S1519:S1522)</f>
        <v>65846785</v>
      </c>
      <c r="T1518" s="55">
        <f t="shared" si="392"/>
        <v>3.5</v>
      </c>
      <c r="U1518" s="55">
        <f t="shared" si="386"/>
        <v>25</v>
      </c>
      <c r="V1518" s="58" t="s">
        <v>58</v>
      </c>
      <c r="W1518" s="59">
        <f t="shared" si="383"/>
        <v>2694235984</v>
      </c>
      <c r="X1518" s="57">
        <f t="shared" si="384"/>
        <v>99.078543897266925</v>
      </c>
      <c r="Y1518" s="58" t="s">
        <v>58</v>
      </c>
      <c r="Z1518" s="55">
        <f t="shared" si="389"/>
        <v>20.5</v>
      </c>
      <c r="AA1518" s="59">
        <f t="shared" si="382"/>
        <v>5271185858</v>
      </c>
      <c r="AB1518" s="57">
        <f t="shared" si="390"/>
        <v>48.80952380952381</v>
      </c>
      <c r="AC1518" s="58" t="s">
        <v>58</v>
      </c>
      <c r="AD1518" s="57">
        <f t="shared" si="391"/>
        <v>55.374169503424163</v>
      </c>
      <c r="AE1518" s="11"/>
      <c r="AH1518" s="25"/>
    </row>
    <row r="1519" spans="1:34" ht="90">
      <c r="A1519" s="16"/>
      <c r="B1519" s="17"/>
      <c r="C1519" s="29" t="s">
        <v>72</v>
      </c>
      <c r="D1519" s="1172" t="s">
        <v>213</v>
      </c>
      <c r="E1519" s="44">
        <f>12*3</f>
        <v>36</v>
      </c>
      <c r="F1519" s="27" t="s">
        <v>57</v>
      </c>
      <c r="G1519" s="23">
        <f>3196603596+K1519+3593317621</f>
        <v>9504215193</v>
      </c>
      <c r="H1519" s="44">
        <v>20</v>
      </c>
      <c r="I1519" s="23">
        <v>2571949874</v>
      </c>
      <c r="J1519" s="44">
        <v>20</v>
      </c>
      <c r="K1519" s="23">
        <v>2714293976</v>
      </c>
      <c r="L1519" s="44">
        <v>20</v>
      </c>
      <c r="M1519" s="23">
        <v>483910109</v>
      </c>
      <c r="N1519" s="1021">
        <v>20</v>
      </c>
      <c r="O1519" s="1171">
        <v>2144229090</v>
      </c>
      <c r="P1519" s="1021">
        <v>20</v>
      </c>
      <c r="Q1519" s="1171">
        <v>0</v>
      </c>
      <c r="R1519" s="44">
        <v>20</v>
      </c>
      <c r="S1519" s="23">
        <v>61097685</v>
      </c>
      <c r="T1519" s="55">
        <f t="shared" si="392"/>
        <v>20</v>
      </c>
      <c r="U1519" s="55">
        <f t="shared" si="386"/>
        <v>100</v>
      </c>
      <c r="V1519" s="35" t="s">
        <v>58</v>
      </c>
      <c r="W1519" s="40">
        <f t="shared" si="383"/>
        <v>2689236884</v>
      </c>
      <c r="X1519" s="53">
        <f t="shared" si="384"/>
        <v>99.076846788831404</v>
      </c>
      <c r="Y1519" s="35" t="s">
        <v>58</v>
      </c>
      <c r="Z1519" s="54">
        <f t="shared" si="389"/>
        <v>40</v>
      </c>
      <c r="AA1519" s="40">
        <f t="shared" si="382"/>
        <v>5261186758</v>
      </c>
      <c r="AB1519" s="57">
        <f t="shared" si="390"/>
        <v>111.11111111111111</v>
      </c>
      <c r="AC1519" s="35" t="s">
        <v>58</v>
      </c>
      <c r="AD1519" s="57">
        <f t="shared" si="391"/>
        <v>55.356351378438319</v>
      </c>
      <c r="AE1519" s="30"/>
      <c r="AH1519" s="25">
        <f>M1519+O1519+Q1519+S1519</f>
        <v>2689236884</v>
      </c>
    </row>
    <row r="1520" spans="1:34" ht="195">
      <c r="A1520" s="16"/>
      <c r="B1520" s="17"/>
      <c r="C1520" s="29" t="s">
        <v>73</v>
      </c>
      <c r="D1520" s="1046" t="s">
        <v>214</v>
      </c>
      <c r="E1520" s="44">
        <f>1*3</f>
        <v>3</v>
      </c>
      <c r="F1520" s="27" t="s">
        <v>173</v>
      </c>
      <c r="G1520" s="23">
        <f>2000000+K1520+2000000</f>
        <v>5999700</v>
      </c>
      <c r="H1520" s="44">
        <v>1</v>
      </c>
      <c r="I1520" s="23">
        <v>2000000</v>
      </c>
      <c r="J1520" s="44">
        <v>1</v>
      </c>
      <c r="K1520" s="23">
        <v>1999700</v>
      </c>
      <c r="L1520" s="44">
        <v>0</v>
      </c>
      <c r="M1520" s="23">
        <v>0</v>
      </c>
      <c r="N1520" s="1021">
        <v>0</v>
      </c>
      <c r="O1520" s="1171"/>
      <c r="P1520" s="1021">
        <v>0</v>
      </c>
      <c r="Q1520" s="1171">
        <v>0</v>
      </c>
      <c r="R1520" s="44">
        <v>1</v>
      </c>
      <c r="S1520" s="23">
        <v>1999700</v>
      </c>
      <c r="T1520" s="55">
        <f t="shared" si="392"/>
        <v>0.25</v>
      </c>
      <c r="U1520" s="55">
        <f t="shared" si="386"/>
        <v>25</v>
      </c>
      <c r="V1520" s="35" t="s">
        <v>58</v>
      </c>
      <c r="W1520" s="40">
        <f t="shared" si="383"/>
        <v>1999700</v>
      </c>
      <c r="X1520" s="53">
        <f t="shared" si="384"/>
        <v>100</v>
      </c>
      <c r="Y1520" s="35" t="s">
        <v>58</v>
      </c>
      <c r="Z1520" s="54">
        <f t="shared" si="389"/>
        <v>1.25</v>
      </c>
      <c r="AA1520" s="40">
        <f t="shared" si="382"/>
        <v>3999700</v>
      </c>
      <c r="AB1520" s="57">
        <f t="shared" si="390"/>
        <v>41.666666666666671</v>
      </c>
      <c r="AC1520" s="35" t="s">
        <v>58</v>
      </c>
      <c r="AD1520" s="57">
        <f t="shared" si="391"/>
        <v>66.664999916662509</v>
      </c>
      <c r="AE1520" s="11"/>
      <c r="AH1520" s="25">
        <f>M1520+O1520+Q1520+S1520</f>
        <v>1999700</v>
      </c>
    </row>
    <row r="1521" spans="1:34" ht="210">
      <c r="A1521" s="16"/>
      <c r="B1521" s="17"/>
      <c r="C1521" s="29" t="s">
        <v>74</v>
      </c>
      <c r="D1521" s="1046" t="s">
        <v>215</v>
      </c>
      <c r="E1521" s="44">
        <f>12*3</f>
        <v>36</v>
      </c>
      <c r="F1521" s="27" t="s">
        <v>173</v>
      </c>
      <c r="G1521" s="23">
        <f>1500000+K1521+1500000</f>
        <v>4499700</v>
      </c>
      <c r="H1521" s="44">
        <v>15</v>
      </c>
      <c r="I1521" s="23">
        <v>1500000</v>
      </c>
      <c r="J1521" s="44">
        <v>12</v>
      </c>
      <c r="K1521" s="23">
        <v>1499700</v>
      </c>
      <c r="L1521" s="44">
        <v>3</v>
      </c>
      <c r="M1521" s="23">
        <v>0</v>
      </c>
      <c r="N1521" s="1021">
        <v>3</v>
      </c>
      <c r="O1521" s="1171"/>
      <c r="P1521" s="1021">
        <v>3</v>
      </c>
      <c r="Q1521" s="1171">
        <v>250000</v>
      </c>
      <c r="R1521" s="44">
        <v>3</v>
      </c>
      <c r="S1521" s="23">
        <v>1249700</v>
      </c>
      <c r="T1521" s="55">
        <f t="shared" si="392"/>
        <v>3</v>
      </c>
      <c r="U1521" s="55">
        <f t="shared" si="386"/>
        <v>25</v>
      </c>
      <c r="V1521" s="35" t="s">
        <v>58</v>
      </c>
      <c r="W1521" s="40">
        <f t="shared" si="383"/>
        <v>1499700</v>
      </c>
      <c r="X1521" s="53">
        <f t="shared" si="384"/>
        <v>100</v>
      </c>
      <c r="Y1521" s="35" t="s">
        <v>58</v>
      </c>
      <c r="Z1521" s="54">
        <f t="shared" si="389"/>
        <v>18</v>
      </c>
      <c r="AA1521" s="40">
        <f t="shared" si="382"/>
        <v>2999700</v>
      </c>
      <c r="AB1521" s="57">
        <f t="shared" si="390"/>
        <v>50</v>
      </c>
      <c r="AC1521" s="35" t="s">
        <v>58</v>
      </c>
      <c r="AD1521" s="57">
        <f t="shared" si="391"/>
        <v>66.664444296286419</v>
      </c>
      <c r="AE1521" s="11"/>
      <c r="AH1521" s="25">
        <f>M1521+O1521+Q1521+S1521</f>
        <v>1499700</v>
      </c>
    </row>
    <row r="1522" spans="1:34" ht="105">
      <c r="A1522" s="16"/>
      <c r="B1522" s="17"/>
      <c r="C1522" s="29" t="s">
        <v>75</v>
      </c>
      <c r="D1522" s="1046" t="s">
        <v>216</v>
      </c>
      <c r="E1522" s="44">
        <f>1*3</f>
        <v>3</v>
      </c>
      <c r="F1522" s="27" t="s">
        <v>55</v>
      </c>
      <c r="G1522" s="23">
        <f>1500000+K1522+1500000</f>
        <v>4499700</v>
      </c>
      <c r="H1522" s="44">
        <v>1</v>
      </c>
      <c r="I1522" s="23">
        <v>1500000</v>
      </c>
      <c r="J1522" s="44">
        <v>1</v>
      </c>
      <c r="K1522" s="23">
        <v>1499700</v>
      </c>
      <c r="L1522" s="44">
        <v>0</v>
      </c>
      <c r="M1522" s="23">
        <v>0</v>
      </c>
      <c r="N1522" s="1021">
        <v>0</v>
      </c>
      <c r="O1522" s="1171"/>
      <c r="P1522" s="1021">
        <v>0</v>
      </c>
      <c r="Q1522" s="1171">
        <v>0</v>
      </c>
      <c r="R1522" s="44">
        <v>1</v>
      </c>
      <c r="S1522" s="23">
        <v>1499700</v>
      </c>
      <c r="T1522" s="55">
        <f t="shared" si="392"/>
        <v>0.25</v>
      </c>
      <c r="U1522" s="55">
        <f t="shared" si="386"/>
        <v>25</v>
      </c>
      <c r="V1522" s="35" t="s">
        <v>58</v>
      </c>
      <c r="W1522" s="40">
        <f t="shared" si="383"/>
        <v>1499700</v>
      </c>
      <c r="X1522" s="53">
        <f t="shared" si="384"/>
        <v>100</v>
      </c>
      <c r="Y1522" s="35" t="s">
        <v>58</v>
      </c>
      <c r="Z1522" s="54">
        <f t="shared" si="389"/>
        <v>1.25</v>
      </c>
      <c r="AA1522" s="40">
        <f t="shared" si="382"/>
        <v>2999700</v>
      </c>
      <c r="AB1522" s="57">
        <f t="shared" si="390"/>
        <v>41.666666666666671</v>
      </c>
      <c r="AC1522" s="35" t="s">
        <v>58</v>
      </c>
      <c r="AD1522" s="57">
        <f t="shared" si="391"/>
        <v>66.664444296286419</v>
      </c>
      <c r="AE1522" s="11"/>
      <c r="AH1522" s="25">
        <f>M1522+O1522+Q1522+S1522</f>
        <v>1499700</v>
      </c>
    </row>
    <row r="1523" spans="1:34" ht="98.25" customHeight="1">
      <c r="A1523" s="16"/>
      <c r="B1523" s="17"/>
      <c r="C1523" s="19" t="s">
        <v>76</v>
      </c>
      <c r="D1523" s="1037" t="s">
        <v>141</v>
      </c>
      <c r="E1523" s="108">
        <v>1</v>
      </c>
      <c r="F1523" s="46" t="s">
        <v>55</v>
      </c>
      <c r="G1523" s="42">
        <f>SUM(G1524:G1528)</f>
        <v>587456288</v>
      </c>
      <c r="H1523" s="108">
        <v>1</v>
      </c>
      <c r="I1523" s="42">
        <f>SUM(I1524:I1528)</f>
        <v>171358888</v>
      </c>
      <c r="J1523" s="108">
        <v>1</v>
      </c>
      <c r="K1523" s="42">
        <f>SUM(K1524:K1528)</f>
        <v>127007000</v>
      </c>
      <c r="L1523" s="108">
        <v>0</v>
      </c>
      <c r="M1523" s="42">
        <f>SUM(M1524:M1527)</f>
        <v>0</v>
      </c>
      <c r="N1523" s="1027">
        <v>0</v>
      </c>
      <c r="O1523" s="1170">
        <f>SUM(O1524:O1528)</f>
        <v>0</v>
      </c>
      <c r="P1523" s="1027">
        <v>0</v>
      </c>
      <c r="Q1523" s="1170">
        <f>SUM(Q1524:Q1528)</f>
        <v>37467100</v>
      </c>
      <c r="R1523" s="108">
        <f>SUM(R1524:R1528)</f>
        <v>12</v>
      </c>
      <c r="S1523" s="42">
        <f>SUM(S1524:S1528)</f>
        <v>83533000</v>
      </c>
      <c r="T1523" s="55">
        <f t="shared" si="392"/>
        <v>3</v>
      </c>
      <c r="U1523" s="55">
        <f t="shared" si="386"/>
        <v>300</v>
      </c>
      <c r="V1523" s="58" t="s">
        <v>58</v>
      </c>
      <c r="W1523" s="59">
        <f t="shared" si="383"/>
        <v>121000100</v>
      </c>
      <c r="X1523" s="57">
        <f t="shared" si="384"/>
        <v>95.270418165927865</v>
      </c>
      <c r="Y1523" s="58" t="s">
        <v>58</v>
      </c>
      <c r="Z1523" s="55">
        <f t="shared" si="389"/>
        <v>4</v>
      </c>
      <c r="AA1523" s="59">
        <f t="shared" si="382"/>
        <v>292358988</v>
      </c>
      <c r="AB1523" s="57">
        <f t="shared" si="390"/>
        <v>400</v>
      </c>
      <c r="AC1523" s="58" t="s">
        <v>58</v>
      </c>
      <c r="AD1523" s="57">
        <f t="shared" si="391"/>
        <v>49.766934829370655</v>
      </c>
      <c r="AE1523" s="11"/>
      <c r="AH1523" s="25">
        <f>M1523+O1523+Q1523+S1523</f>
        <v>121000100</v>
      </c>
    </row>
    <row r="1524" spans="1:34" ht="75">
      <c r="A1524" s="16"/>
      <c r="B1524" s="17"/>
      <c r="C1524" s="29" t="s">
        <v>347</v>
      </c>
      <c r="D1524" s="1172" t="s">
        <v>218</v>
      </c>
      <c r="E1524" s="20">
        <v>12</v>
      </c>
      <c r="F1524" s="21" t="s">
        <v>59</v>
      </c>
      <c r="G1524" s="23">
        <f>39720000+K1524+36100000</f>
        <v>112920000</v>
      </c>
      <c r="H1524" s="20">
        <v>12</v>
      </c>
      <c r="I1524" s="23">
        <v>28720000</v>
      </c>
      <c r="J1524" s="20">
        <v>12</v>
      </c>
      <c r="K1524" s="23">
        <v>37100000</v>
      </c>
      <c r="L1524" s="20">
        <v>3</v>
      </c>
      <c r="M1524" s="23">
        <v>0</v>
      </c>
      <c r="N1524" s="1021">
        <v>3</v>
      </c>
      <c r="O1524" s="1171">
        <v>0</v>
      </c>
      <c r="P1524" s="1021">
        <v>3</v>
      </c>
      <c r="Q1524" s="1171">
        <v>7750000</v>
      </c>
      <c r="R1524" s="20">
        <v>3</v>
      </c>
      <c r="S1524" s="23">
        <v>25025000</v>
      </c>
      <c r="T1524" s="55">
        <f t="shared" si="392"/>
        <v>3</v>
      </c>
      <c r="U1524" s="55">
        <f t="shared" si="386"/>
        <v>25</v>
      </c>
      <c r="V1524" s="35" t="s">
        <v>58</v>
      </c>
      <c r="W1524" s="40">
        <f t="shared" si="383"/>
        <v>32775000</v>
      </c>
      <c r="X1524" s="53">
        <f t="shared" si="384"/>
        <v>88.342318059299203</v>
      </c>
      <c r="Y1524" s="35" t="s">
        <v>58</v>
      </c>
      <c r="Z1524" s="54">
        <f t="shared" si="389"/>
        <v>15</v>
      </c>
      <c r="AA1524" s="40">
        <f t="shared" si="382"/>
        <v>61495000</v>
      </c>
      <c r="AB1524" s="57">
        <f t="shared" si="390"/>
        <v>125</v>
      </c>
      <c r="AC1524" s="35" t="s">
        <v>58</v>
      </c>
      <c r="AD1524" s="57">
        <f t="shared" si="391"/>
        <v>54.458908962097063</v>
      </c>
      <c r="AE1524" s="11"/>
      <c r="AH1524" s="25"/>
    </row>
    <row r="1525" spans="1:34" ht="90">
      <c r="A1525" s="16"/>
      <c r="B1525" s="17"/>
      <c r="C1525" s="29" t="s">
        <v>349</v>
      </c>
      <c r="D1525" s="1172" t="s">
        <v>219</v>
      </c>
      <c r="E1525" s="20">
        <v>12</v>
      </c>
      <c r="F1525" s="21" t="s">
        <v>59</v>
      </c>
      <c r="G1525" s="23">
        <f>8190000+K1525+5189700</f>
        <v>18569400</v>
      </c>
      <c r="H1525" s="20">
        <v>12</v>
      </c>
      <c r="I1525" s="23">
        <v>5910000</v>
      </c>
      <c r="J1525" s="20">
        <v>12</v>
      </c>
      <c r="K1525" s="23">
        <v>5189700</v>
      </c>
      <c r="L1525" s="20">
        <v>3</v>
      </c>
      <c r="M1525" s="23">
        <v>0</v>
      </c>
      <c r="N1525" s="1021">
        <v>3</v>
      </c>
      <c r="O1525" s="1171">
        <v>0</v>
      </c>
      <c r="P1525" s="1021">
        <v>3</v>
      </c>
      <c r="Q1525" s="1171">
        <v>4961600</v>
      </c>
      <c r="R1525" s="20">
        <v>3</v>
      </c>
      <c r="S1525" s="23">
        <v>86000</v>
      </c>
      <c r="T1525" s="55">
        <f t="shared" si="392"/>
        <v>3</v>
      </c>
      <c r="U1525" s="55">
        <f t="shared" si="386"/>
        <v>25</v>
      </c>
      <c r="V1525" s="35" t="s">
        <v>58</v>
      </c>
      <c r="W1525" s="40">
        <f t="shared" si="383"/>
        <v>5047600</v>
      </c>
      <c r="X1525" s="53">
        <f t="shared" si="384"/>
        <v>97.261884116615605</v>
      </c>
      <c r="Y1525" s="35" t="s">
        <v>58</v>
      </c>
      <c r="Z1525" s="54">
        <f t="shared" si="389"/>
        <v>15</v>
      </c>
      <c r="AA1525" s="40">
        <f t="shared" si="382"/>
        <v>10957600</v>
      </c>
      <c r="AB1525" s="57">
        <f t="shared" si="390"/>
        <v>125</v>
      </c>
      <c r="AC1525" s="35" t="s">
        <v>58</v>
      </c>
      <c r="AD1525" s="57">
        <f t="shared" si="391"/>
        <v>59.008907126778468</v>
      </c>
      <c r="AE1525" s="11"/>
      <c r="AH1525" s="25"/>
    </row>
    <row r="1526" spans="1:34" ht="135">
      <c r="A1526" s="16"/>
      <c r="B1526" s="17"/>
      <c r="C1526" s="29" t="s">
        <v>2942</v>
      </c>
      <c r="D1526" s="1173" t="s">
        <v>1179</v>
      </c>
      <c r="E1526" s="20">
        <v>12</v>
      </c>
      <c r="F1526" s="21" t="s">
        <v>55</v>
      </c>
      <c r="G1526" s="23">
        <f>2400000+K1526+2640000</f>
        <v>7440000</v>
      </c>
      <c r="H1526" s="20">
        <v>12</v>
      </c>
      <c r="I1526" s="23">
        <v>1020000</v>
      </c>
      <c r="J1526" s="20">
        <v>12</v>
      </c>
      <c r="K1526" s="23">
        <v>2400000</v>
      </c>
      <c r="L1526" s="20">
        <v>3</v>
      </c>
      <c r="M1526" s="23">
        <v>0</v>
      </c>
      <c r="N1526" s="1021">
        <v>3</v>
      </c>
      <c r="O1526" s="1171">
        <v>0</v>
      </c>
      <c r="P1526" s="1021">
        <v>3</v>
      </c>
      <c r="Q1526" s="1171">
        <v>445000</v>
      </c>
      <c r="R1526" s="20">
        <v>3</v>
      </c>
      <c r="S1526" s="23">
        <v>570000</v>
      </c>
      <c r="T1526" s="55">
        <f t="shared" si="392"/>
        <v>3</v>
      </c>
      <c r="U1526" s="55">
        <f t="shared" si="386"/>
        <v>25</v>
      </c>
      <c r="V1526" s="35" t="s">
        <v>58</v>
      </c>
      <c r="W1526" s="40">
        <f t="shared" si="383"/>
        <v>1015000</v>
      </c>
      <c r="X1526" s="53">
        <f t="shared" si="384"/>
        <v>42.291666666666664</v>
      </c>
      <c r="Y1526" s="35" t="s">
        <v>58</v>
      </c>
      <c r="Z1526" s="54">
        <f t="shared" si="389"/>
        <v>15</v>
      </c>
      <c r="AA1526" s="40">
        <f t="shared" si="382"/>
        <v>2035000</v>
      </c>
      <c r="AB1526" s="57">
        <f t="shared" si="390"/>
        <v>125</v>
      </c>
      <c r="AC1526" s="35" t="s">
        <v>58</v>
      </c>
      <c r="AD1526" s="57">
        <f t="shared" si="391"/>
        <v>27.352150537634408</v>
      </c>
      <c r="AE1526" s="11"/>
      <c r="AH1526" s="25"/>
    </row>
    <row r="1527" spans="1:34" ht="120">
      <c r="A1527" s="16"/>
      <c r="B1527" s="17"/>
      <c r="C1527" s="29" t="s">
        <v>77</v>
      </c>
      <c r="D1527" s="1173" t="s">
        <v>220</v>
      </c>
      <c r="E1527" s="20">
        <v>12</v>
      </c>
      <c r="F1527" s="21" t="s">
        <v>173</v>
      </c>
      <c r="G1527" s="23">
        <f>119000000+K1527+120000000</f>
        <v>321317300</v>
      </c>
      <c r="H1527" s="20">
        <v>12</v>
      </c>
      <c r="I1527" s="23">
        <v>101843100</v>
      </c>
      <c r="J1527" s="20">
        <v>12</v>
      </c>
      <c r="K1527" s="23">
        <v>82317300</v>
      </c>
      <c r="L1527" s="20">
        <v>3</v>
      </c>
      <c r="M1527" s="23">
        <v>0</v>
      </c>
      <c r="N1527" s="1021">
        <v>3</v>
      </c>
      <c r="O1527" s="1171">
        <v>0</v>
      </c>
      <c r="P1527" s="1021">
        <v>3</v>
      </c>
      <c r="Q1527" s="1171">
        <v>24310500</v>
      </c>
      <c r="R1527" s="20">
        <v>3</v>
      </c>
      <c r="S1527" s="23">
        <v>57852000</v>
      </c>
      <c r="T1527" s="55">
        <f t="shared" si="392"/>
        <v>3</v>
      </c>
      <c r="U1527" s="55">
        <f t="shared" si="386"/>
        <v>25</v>
      </c>
      <c r="V1527" s="35" t="s">
        <v>58</v>
      </c>
      <c r="W1527" s="40">
        <f t="shared" si="383"/>
        <v>82162500</v>
      </c>
      <c r="X1527" s="53">
        <f t="shared" si="384"/>
        <v>99.811947184856649</v>
      </c>
      <c r="Y1527" s="35" t="s">
        <v>58</v>
      </c>
      <c r="Z1527" s="54">
        <f t="shared" si="389"/>
        <v>15</v>
      </c>
      <c r="AA1527" s="40">
        <f t="shared" si="382"/>
        <v>184005600</v>
      </c>
      <c r="AB1527" s="57">
        <f t="shared" si="390"/>
        <v>125</v>
      </c>
      <c r="AC1527" s="35" t="s">
        <v>58</v>
      </c>
      <c r="AD1527" s="57">
        <f t="shared" si="391"/>
        <v>57.266010887057753</v>
      </c>
      <c r="AE1527" s="11"/>
      <c r="AH1527" s="25"/>
    </row>
    <row r="1528" spans="1:34" ht="90">
      <c r="A1528" s="16"/>
      <c r="B1528" s="17"/>
      <c r="C1528" s="1174" t="s">
        <v>345</v>
      </c>
      <c r="D1528" s="1174" t="s">
        <v>217</v>
      </c>
      <c r="E1528" s="20">
        <v>12</v>
      </c>
      <c r="F1528" s="21" t="s">
        <v>59</v>
      </c>
      <c r="G1528" s="23">
        <f>34818788+92390800+K1528</f>
        <v>127209588</v>
      </c>
      <c r="H1528" s="20">
        <v>12</v>
      </c>
      <c r="I1528" s="23">
        <v>33865788</v>
      </c>
      <c r="J1528" s="20"/>
      <c r="K1528" s="20"/>
      <c r="L1528" s="20"/>
      <c r="M1528" s="20"/>
      <c r="N1528" s="514"/>
      <c r="O1528" s="20"/>
      <c r="P1528" s="514"/>
      <c r="Q1528" s="20"/>
      <c r="R1528" s="20"/>
      <c r="S1528" s="20"/>
      <c r="T1528" s="55">
        <v>0</v>
      </c>
      <c r="U1528" s="55">
        <v>0</v>
      </c>
      <c r="V1528" s="20"/>
      <c r="W1528" s="20"/>
      <c r="X1528" s="20"/>
      <c r="Y1528" s="20"/>
      <c r="Z1528" s="54">
        <f t="shared" si="389"/>
        <v>12</v>
      </c>
      <c r="AA1528" s="40">
        <f t="shared" si="382"/>
        <v>33865788</v>
      </c>
      <c r="AB1528" s="57">
        <f t="shared" si="390"/>
        <v>100</v>
      </c>
      <c r="AC1528" s="35" t="s">
        <v>58</v>
      </c>
      <c r="AD1528" s="57">
        <f t="shared" si="391"/>
        <v>26.622040470723007</v>
      </c>
      <c r="AE1528" s="11"/>
      <c r="AH1528" s="25">
        <f>M1528+O1528+Q1528+S1528</f>
        <v>0</v>
      </c>
    </row>
    <row r="1529" spans="1:34" ht="102" customHeight="1">
      <c r="A1529" s="16"/>
      <c r="B1529" s="17"/>
      <c r="C1529" s="19" t="s">
        <v>2943</v>
      </c>
      <c r="D1529" s="1037" t="s">
        <v>142</v>
      </c>
      <c r="E1529" s="45">
        <v>100</v>
      </c>
      <c r="F1529" s="46" t="s">
        <v>58</v>
      </c>
      <c r="G1529" s="42">
        <f>SUM(G1530:G1533)</f>
        <v>379828575</v>
      </c>
      <c r="H1529" s="45">
        <v>100</v>
      </c>
      <c r="I1529" s="42">
        <f>SUM(I1530:I1533)</f>
        <v>103600689</v>
      </c>
      <c r="J1529" s="45">
        <v>100</v>
      </c>
      <c r="K1529" s="42">
        <f>SUM(K1530:K1533)</f>
        <v>120694575</v>
      </c>
      <c r="L1529" s="45">
        <v>25</v>
      </c>
      <c r="M1529" s="42">
        <f>SUM(M1530:M1533)</f>
        <v>18000000</v>
      </c>
      <c r="N1529" s="1027">
        <v>25</v>
      </c>
      <c r="O1529" s="1170">
        <f>SUM(O1530:O1533)</f>
        <v>50000000</v>
      </c>
      <c r="P1529" s="1027">
        <v>25</v>
      </c>
      <c r="Q1529" s="1170">
        <f>SUM(Q1530:Q1533)</f>
        <v>24252824</v>
      </c>
      <c r="R1529" s="45">
        <v>25</v>
      </c>
      <c r="S1529" s="42">
        <f>SUM(S1530:S1533)</f>
        <v>26891551</v>
      </c>
      <c r="T1529" s="55">
        <f>SUM(L1529,N1529,P1529,R1529)</f>
        <v>100</v>
      </c>
      <c r="U1529" s="55">
        <f t="shared" si="386"/>
        <v>100</v>
      </c>
      <c r="V1529" s="58" t="s">
        <v>58</v>
      </c>
      <c r="W1529" s="59">
        <f t="shared" ref="W1529:W1542" si="393">SUM(M1529,O1529,Q1529,S1529)</f>
        <v>119144375</v>
      </c>
      <c r="X1529" s="57">
        <f t="shared" ref="X1529:X1542" si="394">W1529/K1529*100</f>
        <v>98.715600929039269</v>
      </c>
      <c r="Y1529" s="58" t="s">
        <v>58</v>
      </c>
      <c r="Z1529" s="55">
        <f t="shared" si="389"/>
        <v>200</v>
      </c>
      <c r="AA1529" s="59">
        <f t="shared" si="382"/>
        <v>222745064</v>
      </c>
      <c r="AB1529" s="57">
        <f t="shared" si="390"/>
        <v>200</v>
      </c>
      <c r="AC1529" s="58" t="s">
        <v>58</v>
      </c>
      <c r="AD1529" s="57">
        <f t="shared" si="391"/>
        <v>58.643577303261083</v>
      </c>
      <c r="AE1529" s="11"/>
      <c r="AH1529" s="25"/>
    </row>
    <row r="1530" spans="1:34" ht="75">
      <c r="A1530" s="16"/>
      <c r="B1530" s="17"/>
      <c r="C1530" s="29" t="s">
        <v>86</v>
      </c>
      <c r="D1530" s="1046" t="s">
        <v>222</v>
      </c>
      <c r="E1530" s="20">
        <f t="shared" ref="E1530:E1533" si="395">12*3</f>
        <v>36</v>
      </c>
      <c r="F1530" s="21" t="s">
        <v>173</v>
      </c>
      <c r="G1530" s="23">
        <f>150000+K1530+150000</f>
        <v>450000</v>
      </c>
      <c r="H1530" s="20">
        <v>12</v>
      </c>
      <c r="I1530" s="23">
        <v>84000</v>
      </c>
      <c r="J1530" s="20">
        <v>12</v>
      </c>
      <c r="K1530" s="23">
        <v>150000</v>
      </c>
      <c r="L1530" s="20">
        <v>3</v>
      </c>
      <c r="M1530" s="23">
        <v>0</v>
      </c>
      <c r="N1530" s="1021">
        <v>3</v>
      </c>
      <c r="O1530" s="1171">
        <v>0</v>
      </c>
      <c r="P1530" s="1021">
        <v>3</v>
      </c>
      <c r="Q1530" s="1171">
        <v>0</v>
      </c>
      <c r="R1530" s="20">
        <v>3</v>
      </c>
      <c r="S1530" s="23">
        <v>0</v>
      </c>
      <c r="T1530" s="55">
        <f t="shared" si="392"/>
        <v>3</v>
      </c>
      <c r="U1530" s="55">
        <f t="shared" si="386"/>
        <v>25</v>
      </c>
      <c r="V1530" s="35" t="s">
        <v>58</v>
      </c>
      <c r="W1530" s="40">
        <f t="shared" si="393"/>
        <v>0</v>
      </c>
      <c r="X1530" s="53">
        <f t="shared" si="394"/>
        <v>0</v>
      </c>
      <c r="Y1530" s="35" t="s">
        <v>58</v>
      </c>
      <c r="Z1530" s="54">
        <f t="shared" si="389"/>
        <v>15</v>
      </c>
      <c r="AA1530" s="40">
        <f t="shared" si="382"/>
        <v>84000</v>
      </c>
      <c r="AB1530" s="57">
        <f t="shared" si="390"/>
        <v>41.666666666666671</v>
      </c>
      <c r="AC1530" s="35" t="s">
        <v>58</v>
      </c>
      <c r="AD1530" s="57">
        <f t="shared" si="391"/>
        <v>18.666666666666668</v>
      </c>
      <c r="AE1530" s="11"/>
      <c r="AH1530" s="25"/>
    </row>
    <row r="1531" spans="1:34" ht="135">
      <c r="A1531" s="16"/>
      <c r="B1531" s="17"/>
      <c r="C1531" s="29" t="s">
        <v>357</v>
      </c>
      <c r="D1531" s="1046" t="s">
        <v>223</v>
      </c>
      <c r="E1531" s="20">
        <f t="shared" si="395"/>
        <v>36</v>
      </c>
      <c r="F1531" s="21" t="s">
        <v>173</v>
      </c>
      <c r="G1531" s="23">
        <f>39000000+K1531+45600000</f>
        <v>100400000</v>
      </c>
      <c r="H1531" s="20">
        <v>12</v>
      </c>
      <c r="I1531" s="23">
        <v>27086289</v>
      </c>
      <c r="J1531" s="20">
        <v>12</v>
      </c>
      <c r="K1531" s="23">
        <v>15800000</v>
      </c>
      <c r="L1531" s="20">
        <v>3</v>
      </c>
      <c r="M1531" s="23">
        <v>0</v>
      </c>
      <c r="N1531" s="1021">
        <v>3</v>
      </c>
      <c r="O1531" s="1171">
        <v>0</v>
      </c>
      <c r="P1531" s="1021">
        <v>3</v>
      </c>
      <c r="Q1531" s="1171">
        <v>10507799</v>
      </c>
      <c r="R1531" s="20"/>
      <c r="S1531" s="23">
        <v>4822851</v>
      </c>
      <c r="T1531" s="55">
        <f t="shared" si="392"/>
        <v>3</v>
      </c>
      <c r="U1531" s="55">
        <f t="shared" si="386"/>
        <v>25</v>
      </c>
      <c r="V1531" s="35" t="s">
        <v>58</v>
      </c>
      <c r="W1531" s="40">
        <f t="shared" si="393"/>
        <v>15330650</v>
      </c>
      <c r="X1531" s="53">
        <f t="shared" si="394"/>
        <v>97.029430379746842</v>
      </c>
      <c r="Y1531" s="35" t="s">
        <v>58</v>
      </c>
      <c r="Z1531" s="54">
        <f t="shared" si="389"/>
        <v>15</v>
      </c>
      <c r="AA1531" s="40">
        <f t="shared" si="382"/>
        <v>42416939</v>
      </c>
      <c r="AB1531" s="57">
        <f t="shared" si="390"/>
        <v>41.666666666666671</v>
      </c>
      <c r="AC1531" s="35" t="s">
        <v>58</v>
      </c>
      <c r="AD1531" s="57">
        <f t="shared" si="391"/>
        <v>42.247947211155378</v>
      </c>
      <c r="AE1531" s="11"/>
      <c r="AH1531" s="25"/>
    </row>
    <row r="1532" spans="1:34" ht="135">
      <c r="A1532" s="16"/>
      <c r="B1532" s="17"/>
      <c r="C1532" s="29" t="s">
        <v>2944</v>
      </c>
      <c r="D1532" s="1046" t="s">
        <v>2945</v>
      </c>
      <c r="E1532" s="20">
        <v>36</v>
      </c>
      <c r="F1532" s="21" t="s">
        <v>173</v>
      </c>
      <c r="G1532" s="23">
        <f>K1532</f>
        <v>22418575</v>
      </c>
      <c r="H1532" s="20">
        <v>12</v>
      </c>
      <c r="I1532" s="23">
        <v>0</v>
      </c>
      <c r="J1532" s="20">
        <v>12</v>
      </c>
      <c r="K1532" s="23">
        <v>22418575</v>
      </c>
      <c r="L1532" s="20">
        <v>3</v>
      </c>
      <c r="M1532" s="23">
        <v>0</v>
      </c>
      <c r="N1532" s="1021">
        <v>3</v>
      </c>
      <c r="O1532" s="1171">
        <v>0</v>
      </c>
      <c r="P1532" s="1021">
        <v>3</v>
      </c>
      <c r="Q1532" s="1171">
        <v>13745025</v>
      </c>
      <c r="R1532" s="20"/>
      <c r="S1532" s="23">
        <v>15332300</v>
      </c>
      <c r="T1532" s="55">
        <f t="shared" si="392"/>
        <v>3</v>
      </c>
      <c r="U1532" s="55">
        <f t="shared" si="386"/>
        <v>25</v>
      </c>
      <c r="V1532" s="35" t="s">
        <v>58</v>
      </c>
      <c r="W1532" s="40">
        <f t="shared" si="393"/>
        <v>29077325</v>
      </c>
      <c r="X1532" s="53">
        <f t="shared" si="394"/>
        <v>129.70193243772184</v>
      </c>
      <c r="Y1532" s="35" t="s">
        <v>58</v>
      </c>
      <c r="Z1532" s="53">
        <f t="shared" si="389"/>
        <v>15</v>
      </c>
      <c r="AA1532" s="40">
        <f t="shared" si="382"/>
        <v>29077325</v>
      </c>
      <c r="AB1532" s="57">
        <f t="shared" si="390"/>
        <v>41.666666666666671</v>
      </c>
      <c r="AC1532" s="35" t="s">
        <v>58</v>
      </c>
      <c r="AD1532" s="57">
        <f t="shared" si="391"/>
        <v>129.70193243772184</v>
      </c>
      <c r="AE1532" s="11"/>
      <c r="AH1532" s="25"/>
    </row>
    <row r="1533" spans="1:34" ht="120">
      <c r="A1533" s="16"/>
      <c r="B1533" s="17"/>
      <c r="C1533" s="29" t="s">
        <v>80</v>
      </c>
      <c r="D1533" s="1046" t="s">
        <v>224</v>
      </c>
      <c r="E1533" s="20">
        <f t="shared" si="395"/>
        <v>36</v>
      </c>
      <c r="F1533" s="21" t="s">
        <v>173</v>
      </c>
      <c r="G1533" s="23">
        <f>82326000+K1533+91908000</f>
        <v>256560000</v>
      </c>
      <c r="H1533" s="20">
        <v>12</v>
      </c>
      <c r="I1533" s="23">
        <v>76430400</v>
      </c>
      <c r="J1533" s="20">
        <v>12</v>
      </c>
      <c r="K1533" s="23">
        <v>82326000</v>
      </c>
      <c r="L1533" s="20">
        <v>3</v>
      </c>
      <c r="M1533" s="23">
        <v>18000000</v>
      </c>
      <c r="N1533" s="1021">
        <v>3</v>
      </c>
      <c r="O1533" s="1171">
        <v>50000000</v>
      </c>
      <c r="P1533" s="1021">
        <v>3</v>
      </c>
      <c r="Q1533" s="1171">
        <v>0</v>
      </c>
      <c r="R1533" s="20">
        <v>3</v>
      </c>
      <c r="S1533" s="23">
        <v>6736400</v>
      </c>
      <c r="T1533" s="55">
        <f t="shared" si="392"/>
        <v>3</v>
      </c>
      <c r="U1533" s="55">
        <f t="shared" si="386"/>
        <v>25</v>
      </c>
      <c r="V1533" s="35" t="s">
        <v>58</v>
      </c>
      <c r="W1533" s="40">
        <f t="shared" si="393"/>
        <v>74736400</v>
      </c>
      <c r="X1533" s="53">
        <f t="shared" si="394"/>
        <v>90.781041226344044</v>
      </c>
      <c r="Y1533" s="35" t="s">
        <v>58</v>
      </c>
      <c r="Z1533" s="53">
        <f t="shared" si="389"/>
        <v>15</v>
      </c>
      <c r="AA1533" s="40">
        <f t="shared" si="382"/>
        <v>151166800</v>
      </c>
      <c r="AB1533" s="57">
        <f t="shared" si="390"/>
        <v>41.666666666666671</v>
      </c>
      <c r="AC1533" s="35" t="s">
        <v>58</v>
      </c>
      <c r="AD1533" s="57">
        <f t="shared" si="391"/>
        <v>58.9206423448706</v>
      </c>
      <c r="AE1533" s="11"/>
      <c r="AH1533" s="25"/>
    </row>
    <row r="1534" spans="1:34" ht="100.5" customHeight="1">
      <c r="A1534" s="16"/>
      <c r="B1534" s="17"/>
      <c r="C1534" s="19" t="s">
        <v>81</v>
      </c>
      <c r="D1534" s="1037" t="s">
        <v>142</v>
      </c>
      <c r="E1534" s="45">
        <v>100</v>
      </c>
      <c r="F1534" s="46" t="s">
        <v>58</v>
      </c>
      <c r="G1534" s="42">
        <f>SUM(G1535:G1536)</f>
        <v>356623840</v>
      </c>
      <c r="H1534" s="45">
        <v>100</v>
      </c>
      <c r="I1534" s="42">
        <f>SUM(I1535:I1536)</f>
        <v>65245300</v>
      </c>
      <c r="J1534" s="45">
        <v>100</v>
      </c>
      <c r="K1534" s="42">
        <f>SUM(K1535:K1536)</f>
        <v>101000000</v>
      </c>
      <c r="L1534" s="45">
        <v>0</v>
      </c>
      <c r="M1534" s="42">
        <f>SUM(M1535:M1536)</f>
        <v>0</v>
      </c>
      <c r="N1534" s="1027">
        <v>0</v>
      </c>
      <c r="O1534" s="1170">
        <f>SUM(O1535:O1536)</f>
        <v>0</v>
      </c>
      <c r="P1534" s="1027">
        <v>0</v>
      </c>
      <c r="Q1534" s="1170">
        <f>SUM(Q1535:Q1536)</f>
        <v>18319656</v>
      </c>
      <c r="R1534" s="45">
        <v>67</v>
      </c>
      <c r="S1534" s="42">
        <f>SUM(S1535:S1536)</f>
        <v>33044164</v>
      </c>
      <c r="T1534" s="55">
        <f>SUM(L1534,N1534,P1534,R1534)</f>
        <v>67</v>
      </c>
      <c r="U1534" s="55">
        <f t="shared" si="386"/>
        <v>67</v>
      </c>
      <c r="V1534" s="58" t="s">
        <v>58</v>
      </c>
      <c r="W1534" s="59">
        <f t="shared" si="393"/>
        <v>51363820</v>
      </c>
      <c r="X1534" s="57">
        <f t="shared" si="394"/>
        <v>50.85526732673268</v>
      </c>
      <c r="Y1534" s="58" t="s">
        <v>58</v>
      </c>
      <c r="Z1534" s="55">
        <f t="shared" si="389"/>
        <v>167</v>
      </c>
      <c r="AA1534" s="59">
        <f t="shared" si="382"/>
        <v>116609120</v>
      </c>
      <c r="AB1534" s="57">
        <f t="shared" si="390"/>
        <v>167</v>
      </c>
      <c r="AC1534" s="58" t="s">
        <v>58</v>
      </c>
      <c r="AD1534" s="57">
        <f t="shared" si="391"/>
        <v>32.698072007749118</v>
      </c>
      <c r="AE1534" s="11"/>
      <c r="AH1534" s="25"/>
    </row>
    <row r="1535" spans="1:34" ht="180">
      <c r="A1535" s="16"/>
      <c r="B1535" s="17"/>
      <c r="C1535" s="440" t="s">
        <v>82</v>
      </c>
      <c r="D1535" s="1046" t="s">
        <v>226</v>
      </c>
      <c r="E1535" s="1019">
        <v>26</v>
      </c>
      <c r="F1535" s="1175" t="s">
        <v>138</v>
      </c>
      <c r="G1535" s="1171">
        <f>95900000+K1535+137723840</f>
        <v>325523840</v>
      </c>
      <c r="H1535" s="1019">
        <v>15</v>
      </c>
      <c r="I1535" s="1171">
        <v>53175300</v>
      </c>
      <c r="J1535" s="1019">
        <v>26</v>
      </c>
      <c r="K1535" s="1171">
        <v>91900000</v>
      </c>
      <c r="L1535" s="20">
        <v>0</v>
      </c>
      <c r="M1535" s="23">
        <v>0</v>
      </c>
      <c r="N1535" s="1021">
        <v>0</v>
      </c>
      <c r="O1535" s="1171">
        <v>0</v>
      </c>
      <c r="P1535" s="1021">
        <v>4</v>
      </c>
      <c r="Q1535" s="1171">
        <v>16877656</v>
      </c>
      <c r="R1535" s="20">
        <v>9</v>
      </c>
      <c r="S1535" s="23">
        <v>30485110</v>
      </c>
      <c r="T1535" s="55">
        <f t="shared" si="392"/>
        <v>3.25</v>
      </c>
      <c r="U1535" s="55">
        <f t="shared" si="386"/>
        <v>12.5</v>
      </c>
      <c r="V1535" s="35" t="s">
        <v>58</v>
      </c>
      <c r="W1535" s="40">
        <f t="shared" si="393"/>
        <v>47362766</v>
      </c>
      <c r="X1535" s="53">
        <f t="shared" si="394"/>
        <v>51.537286180631128</v>
      </c>
      <c r="Y1535" s="35" t="s">
        <v>58</v>
      </c>
      <c r="Z1535" s="54">
        <f t="shared" si="389"/>
        <v>18.25</v>
      </c>
      <c r="AA1535" s="40">
        <f t="shared" si="382"/>
        <v>100538066</v>
      </c>
      <c r="AB1535" s="57">
        <f t="shared" si="390"/>
        <v>70.192307692307693</v>
      </c>
      <c r="AC1535" s="35" t="s">
        <v>58</v>
      </c>
      <c r="AD1535" s="57">
        <f t="shared" si="391"/>
        <v>30.885008606435704</v>
      </c>
      <c r="AE1535" s="11"/>
      <c r="AH1535" s="25"/>
    </row>
    <row r="1536" spans="1:34" ht="135">
      <c r="A1536" s="16"/>
      <c r="B1536" s="17"/>
      <c r="C1536" s="440" t="s">
        <v>84</v>
      </c>
      <c r="D1536" s="1173" t="s">
        <v>228</v>
      </c>
      <c r="E1536" s="1019">
        <v>26</v>
      </c>
      <c r="F1536" s="1175" t="s">
        <v>138</v>
      </c>
      <c r="G1536" s="1171">
        <f>13000000+K1536+9000000</f>
        <v>31100000</v>
      </c>
      <c r="H1536" s="1019">
        <v>15</v>
      </c>
      <c r="I1536" s="1171">
        <v>12070000</v>
      </c>
      <c r="J1536" s="1019">
        <v>2</v>
      </c>
      <c r="K1536" s="1171">
        <v>9100000</v>
      </c>
      <c r="L1536" s="20">
        <v>0</v>
      </c>
      <c r="M1536" s="23">
        <v>0</v>
      </c>
      <c r="N1536" s="1021">
        <v>0</v>
      </c>
      <c r="O1536" s="1171">
        <v>0</v>
      </c>
      <c r="P1536" s="1021">
        <v>1</v>
      </c>
      <c r="Q1536" s="1171">
        <v>1442000</v>
      </c>
      <c r="R1536" s="20">
        <v>1</v>
      </c>
      <c r="S1536" s="23">
        <v>2559054</v>
      </c>
      <c r="T1536" s="55">
        <f t="shared" si="392"/>
        <v>0.5</v>
      </c>
      <c r="U1536" s="55">
        <f t="shared" si="386"/>
        <v>25</v>
      </c>
      <c r="V1536" s="35" t="s">
        <v>58</v>
      </c>
      <c r="W1536" s="40">
        <f t="shared" si="393"/>
        <v>4001054</v>
      </c>
      <c r="X1536" s="53">
        <f t="shared" si="394"/>
        <v>43.967626373626373</v>
      </c>
      <c r="Y1536" s="35" t="s">
        <v>58</v>
      </c>
      <c r="Z1536" s="54">
        <f t="shared" si="389"/>
        <v>15.5</v>
      </c>
      <c r="AA1536" s="40">
        <f t="shared" si="382"/>
        <v>16071054</v>
      </c>
      <c r="AB1536" s="57">
        <f t="shared" si="390"/>
        <v>59.615384615384613</v>
      </c>
      <c r="AC1536" s="35" t="s">
        <v>58</v>
      </c>
      <c r="AD1536" s="57">
        <f t="shared" si="391"/>
        <v>51.67541479099679</v>
      </c>
      <c r="AE1536" s="11"/>
      <c r="AH1536" s="25"/>
    </row>
    <row r="1537" spans="1:34" ht="84.75" customHeight="1">
      <c r="A1537" s="48">
        <v>27</v>
      </c>
      <c r="B1537" s="49" t="s">
        <v>1465</v>
      </c>
      <c r="C1537" s="573" t="s">
        <v>2946</v>
      </c>
      <c r="D1537" s="19" t="s">
        <v>2947</v>
      </c>
      <c r="E1537" s="1176">
        <v>100</v>
      </c>
      <c r="F1537" s="1177" t="s">
        <v>58</v>
      </c>
      <c r="G1537" s="42">
        <f>G1538+G1540</f>
        <v>2121855000</v>
      </c>
      <c r="H1537" s="267">
        <v>100</v>
      </c>
      <c r="I1537" s="42">
        <f>I1538+I1540</f>
        <v>1392670150</v>
      </c>
      <c r="J1537" s="750">
        <v>75</v>
      </c>
      <c r="K1537" s="42">
        <f>K1538+K1540</f>
        <v>1337804800</v>
      </c>
      <c r="L1537" s="1012">
        <v>25</v>
      </c>
      <c r="M1537" s="42">
        <f>M1538+M1540</f>
        <v>0</v>
      </c>
      <c r="N1537" s="1012">
        <v>25</v>
      </c>
      <c r="O1537" s="42">
        <f>O1538+O1540</f>
        <v>4825000</v>
      </c>
      <c r="P1537" s="1012">
        <v>25</v>
      </c>
      <c r="Q1537" s="42">
        <f>Q1538+Q1540</f>
        <v>299884750</v>
      </c>
      <c r="R1537" s="294"/>
      <c r="S1537" s="42"/>
      <c r="T1537" s="390">
        <f t="shared" si="392"/>
        <v>25</v>
      </c>
      <c r="U1537" s="55">
        <f t="shared" si="386"/>
        <v>33.333333333333329</v>
      </c>
      <c r="V1537" s="58" t="s">
        <v>58</v>
      </c>
      <c r="W1537" s="59">
        <f t="shared" si="393"/>
        <v>304709750</v>
      </c>
      <c r="X1537" s="57">
        <f t="shared" si="394"/>
        <v>22.77684681651613</v>
      </c>
      <c r="Y1537" s="58" t="s">
        <v>58</v>
      </c>
      <c r="Z1537" s="390">
        <f t="shared" si="389"/>
        <v>125</v>
      </c>
      <c r="AA1537" s="59">
        <f t="shared" si="382"/>
        <v>1697379900</v>
      </c>
      <c r="AB1537" s="57">
        <f t="shared" si="390"/>
        <v>125</v>
      </c>
      <c r="AC1537" s="58" t="s">
        <v>58</v>
      </c>
      <c r="AD1537" s="57">
        <f t="shared" si="391"/>
        <v>79.995093915465475</v>
      </c>
      <c r="AE1537" s="11"/>
      <c r="AH1537" s="25"/>
    </row>
    <row r="1538" spans="1:34" ht="283.5">
      <c r="A1538" s="16"/>
      <c r="B1538" s="17"/>
      <c r="C1538" s="19" t="s">
        <v>2948</v>
      </c>
      <c r="D1538" s="19" t="s">
        <v>2949</v>
      </c>
      <c r="E1538" s="267">
        <f>E1539</f>
        <v>1808</v>
      </c>
      <c r="F1538" s="46" t="str">
        <f>F1539</f>
        <v>Unit</v>
      </c>
      <c r="G1538" s="42">
        <f>SUM(G1539)</f>
        <v>2051890000</v>
      </c>
      <c r="H1538" s="267">
        <f>H1539</f>
        <v>1445</v>
      </c>
      <c r="I1538" s="42">
        <f>SUM(I1539)</f>
        <v>1368022850</v>
      </c>
      <c r="J1538" s="267">
        <f>J1539</f>
        <v>600</v>
      </c>
      <c r="K1538" s="42">
        <f>SUM(K1539)</f>
        <v>791179800</v>
      </c>
      <c r="L1538" s="108">
        <f>L1539</f>
        <v>0</v>
      </c>
      <c r="M1538" s="42">
        <f>SUM(M1539)</f>
        <v>0</v>
      </c>
      <c r="N1538" s="108">
        <f>N1539</f>
        <v>0</v>
      </c>
      <c r="O1538" s="42">
        <f>SUM(O1539)</f>
        <v>0</v>
      </c>
      <c r="P1538" s="108">
        <f>P1539</f>
        <v>300</v>
      </c>
      <c r="Q1538" s="42">
        <f>SUM(Q1539)</f>
        <v>299884750</v>
      </c>
      <c r="R1538" s="108">
        <f>R1539</f>
        <v>300</v>
      </c>
      <c r="S1538" s="42">
        <f>SUM(S1539)</f>
        <v>409333818</v>
      </c>
      <c r="T1538" s="55">
        <f t="shared" si="392"/>
        <v>150</v>
      </c>
      <c r="U1538" s="55">
        <f t="shared" si="386"/>
        <v>25</v>
      </c>
      <c r="V1538" s="58" t="s">
        <v>58</v>
      </c>
      <c r="W1538" s="59">
        <f t="shared" si="393"/>
        <v>709218568</v>
      </c>
      <c r="X1538" s="57">
        <f t="shared" si="394"/>
        <v>89.640631371023375</v>
      </c>
      <c r="Y1538" s="58" t="s">
        <v>58</v>
      </c>
      <c r="Z1538" s="390">
        <f t="shared" si="389"/>
        <v>1595</v>
      </c>
      <c r="AA1538" s="59">
        <f t="shared" si="382"/>
        <v>2077241418</v>
      </c>
      <c r="AB1538" s="57">
        <f t="shared" si="390"/>
        <v>88.219026548672559</v>
      </c>
      <c r="AC1538" s="58" t="s">
        <v>58</v>
      </c>
      <c r="AD1538" s="57">
        <f t="shared" si="391"/>
        <v>101.23551545160802</v>
      </c>
      <c r="AE1538" s="11"/>
      <c r="AH1538" s="25"/>
    </row>
    <row r="1539" spans="1:34" ht="105">
      <c r="A1539" s="16"/>
      <c r="B1539" s="17"/>
      <c r="C1539" s="61" t="s">
        <v>2950</v>
      </c>
      <c r="D1539" s="568" t="s">
        <v>2951</v>
      </c>
      <c r="E1539" s="104">
        <f>600+604+604</f>
        <v>1808</v>
      </c>
      <c r="F1539" s="47" t="s">
        <v>138</v>
      </c>
      <c r="G1539" s="23">
        <f>2051890000</f>
        <v>2051890000</v>
      </c>
      <c r="H1539" s="104">
        <v>1445</v>
      </c>
      <c r="I1539" s="23">
        <v>1368022850</v>
      </c>
      <c r="J1539" s="20">
        <v>600</v>
      </c>
      <c r="K1539" s="62">
        <v>791179800</v>
      </c>
      <c r="L1539" s="20">
        <v>0</v>
      </c>
      <c r="M1539" s="62">
        <v>0</v>
      </c>
      <c r="N1539" s="1021">
        <v>0</v>
      </c>
      <c r="O1539" s="1178">
        <v>0</v>
      </c>
      <c r="P1539" s="1021">
        <v>300</v>
      </c>
      <c r="Q1539" s="1178">
        <v>299884750</v>
      </c>
      <c r="R1539" s="20">
        <v>300</v>
      </c>
      <c r="S1539" s="62">
        <v>409333818</v>
      </c>
      <c r="T1539" s="55">
        <f t="shared" si="392"/>
        <v>150</v>
      </c>
      <c r="U1539" s="55">
        <f t="shared" si="386"/>
        <v>25</v>
      </c>
      <c r="V1539" s="35" t="s">
        <v>58</v>
      </c>
      <c r="W1539" s="80">
        <f t="shared" si="393"/>
        <v>709218568</v>
      </c>
      <c r="X1539" s="248">
        <f t="shared" si="394"/>
        <v>89.640631371023375</v>
      </c>
      <c r="Y1539" s="253" t="s">
        <v>58</v>
      </c>
      <c r="Z1539" s="106">
        <f t="shared" si="389"/>
        <v>1595</v>
      </c>
      <c r="AA1539" s="80">
        <f t="shared" si="382"/>
        <v>2077241418</v>
      </c>
      <c r="AB1539" s="57">
        <f t="shared" si="390"/>
        <v>88.219026548672559</v>
      </c>
      <c r="AC1539" s="35" t="s">
        <v>58</v>
      </c>
      <c r="AD1539" s="57">
        <f t="shared" si="391"/>
        <v>101.23551545160802</v>
      </c>
      <c r="AE1539" s="11"/>
      <c r="AH1539" s="25"/>
    </row>
    <row r="1540" spans="1:34" ht="110.25">
      <c r="A1540" s="16"/>
      <c r="B1540" s="17"/>
      <c r="C1540" s="573" t="s">
        <v>2952</v>
      </c>
      <c r="D1540" s="19" t="s">
        <v>2953</v>
      </c>
      <c r="E1540" s="45">
        <v>4.91</v>
      </c>
      <c r="F1540" s="76" t="s">
        <v>58</v>
      </c>
      <c r="G1540" s="42">
        <f>SUM(G1541)</f>
        <v>69965000</v>
      </c>
      <c r="H1540" s="107">
        <v>1.6069918240766845</v>
      </c>
      <c r="I1540" s="42">
        <f>SUM(I1541)</f>
        <v>24647300</v>
      </c>
      <c r="J1540" s="45">
        <v>2.65</v>
      </c>
      <c r="K1540" s="42">
        <f>SUM(K1541)</f>
        <v>546625000</v>
      </c>
      <c r="L1540" s="107">
        <f>(L1541)/17735*100</f>
        <v>0</v>
      </c>
      <c r="M1540" s="42">
        <f>SUM(M1541)</f>
        <v>0</v>
      </c>
      <c r="N1540" s="1028">
        <f>(N1541)/17735*100</f>
        <v>0.28192839018889199</v>
      </c>
      <c r="O1540" s="1170">
        <f>SUM(O1541)</f>
        <v>4825000</v>
      </c>
      <c r="P1540" s="1028">
        <f>(P1541)/17735*100</f>
        <v>0</v>
      </c>
      <c r="Q1540" s="1170">
        <f>SUM(Q1541)</f>
        <v>0</v>
      </c>
      <c r="R1540" s="107"/>
      <c r="S1540" s="42"/>
      <c r="T1540" s="57">
        <f t="shared" si="392"/>
        <v>9.3976130062964E-2</v>
      </c>
      <c r="U1540" s="57">
        <f t="shared" si="386"/>
        <v>3.5462690589797736</v>
      </c>
      <c r="V1540" s="58" t="s">
        <v>58</v>
      </c>
      <c r="W1540" s="59">
        <f t="shared" si="393"/>
        <v>4825000</v>
      </c>
      <c r="X1540" s="57">
        <f t="shared" si="394"/>
        <v>0.88268922936199401</v>
      </c>
      <c r="Y1540" s="58" t="s">
        <v>58</v>
      </c>
      <c r="Z1540" s="57">
        <f t="shared" si="389"/>
        <v>1.7009679541396485</v>
      </c>
      <c r="AA1540" s="59">
        <f t="shared" si="382"/>
        <v>29472300</v>
      </c>
      <c r="AB1540" s="57">
        <f t="shared" si="390"/>
        <v>34.642931856204648</v>
      </c>
      <c r="AC1540" s="58" t="s">
        <v>58</v>
      </c>
      <c r="AD1540" s="57">
        <f t="shared" si="391"/>
        <v>42.124347888229828</v>
      </c>
      <c r="AE1540" s="11"/>
      <c r="AH1540" s="25"/>
    </row>
    <row r="1541" spans="1:34" ht="66" customHeight="1">
      <c r="A1541" s="16"/>
      <c r="B1541" s="17"/>
      <c r="C1541" s="29" t="s">
        <v>2954</v>
      </c>
      <c r="D1541" s="568" t="s">
        <v>2955</v>
      </c>
      <c r="E1541" s="478">
        <f>150*3</f>
        <v>450</v>
      </c>
      <c r="F1541" s="47" t="s">
        <v>57</v>
      </c>
      <c r="G1541" s="23">
        <v>69965000</v>
      </c>
      <c r="H1541" s="478">
        <v>200</v>
      </c>
      <c r="I1541" s="23">
        <v>24647300</v>
      </c>
      <c r="J1541" s="478">
        <v>150</v>
      </c>
      <c r="K1541" s="1179">
        <v>546625000</v>
      </c>
      <c r="L1541" s="478">
        <v>0</v>
      </c>
      <c r="M1541" s="62">
        <v>0</v>
      </c>
      <c r="N1541" s="1180">
        <v>50</v>
      </c>
      <c r="O1541" s="1178">
        <v>4825000</v>
      </c>
      <c r="P1541" s="1180">
        <v>0</v>
      </c>
      <c r="Q1541" s="1178">
        <v>0</v>
      </c>
      <c r="R1541" s="478">
        <v>100</v>
      </c>
      <c r="S1541" s="62">
        <v>179400000</v>
      </c>
      <c r="T1541" s="55">
        <f>SUM(L1541,N1541,P1541,R1541)</f>
        <v>150</v>
      </c>
      <c r="U1541" s="57">
        <f t="shared" si="386"/>
        <v>100</v>
      </c>
      <c r="V1541" s="35" t="s">
        <v>58</v>
      </c>
      <c r="W1541" s="40">
        <f t="shared" si="393"/>
        <v>184225000</v>
      </c>
      <c r="X1541" s="53">
        <f t="shared" si="394"/>
        <v>33.702263892064941</v>
      </c>
      <c r="Y1541" s="35" t="s">
        <v>58</v>
      </c>
      <c r="Z1541" s="102">
        <f t="shared" si="389"/>
        <v>350</v>
      </c>
      <c r="AA1541" s="40">
        <f t="shared" si="382"/>
        <v>208872300</v>
      </c>
      <c r="AB1541" s="57">
        <f t="shared" si="390"/>
        <v>77.777777777777786</v>
      </c>
      <c r="AC1541" s="35" t="s">
        <v>58</v>
      </c>
      <c r="AD1541" s="57">
        <f t="shared" si="391"/>
        <v>298.53826913456726</v>
      </c>
      <c r="AE1541" s="11"/>
      <c r="AH1541" s="25"/>
    </row>
    <row r="1542" spans="1:34" ht="78.75">
      <c r="A1542" s="16"/>
      <c r="B1542" s="17"/>
      <c r="C1542" s="49" t="s">
        <v>2956</v>
      </c>
      <c r="D1542" s="19" t="s">
        <v>2957</v>
      </c>
      <c r="E1542" s="563">
        <v>100</v>
      </c>
      <c r="F1542" s="46" t="s">
        <v>58</v>
      </c>
      <c r="G1542" s="52">
        <f>G1546+G1548</f>
        <v>2131953250</v>
      </c>
      <c r="H1542" s="561">
        <v>30.449826989619378</v>
      </c>
      <c r="I1542" s="52">
        <f>I1546+I1548</f>
        <v>700826500</v>
      </c>
      <c r="J1542" s="294">
        <f>(H1548+J1548)/E1548*100</f>
        <v>50.403690888119954</v>
      </c>
      <c r="K1542" s="52">
        <f>K1546+K1548</f>
        <v>1041963737</v>
      </c>
      <c r="L1542" s="294">
        <f>L1548/E1548*100</f>
        <v>0</v>
      </c>
      <c r="M1542" s="52">
        <f>M1546+M1548</f>
        <v>0</v>
      </c>
      <c r="N1542" s="107">
        <f>N1548/E1548*100</f>
        <v>0</v>
      </c>
      <c r="O1542" s="52">
        <f>O1546+O1548</f>
        <v>13593700</v>
      </c>
      <c r="P1542" s="107">
        <f>P1548/E1548*100</f>
        <v>5.7670126874279131</v>
      </c>
      <c r="Q1542" s="52">
        <f>Q1546+Q1548</f>
        <v>228946800</v>
      </c>
      <c r="R1542" s="294">
        <f>R1548/G1548*100</f>
        <v>0</v>
      </c>
      <c r="S1542" s="52">
        <f>S1546+S1548</f>
        <v>593488819</v>
      </c>
      <c r="T1542" s="55">
        <f t="shared" si="392"/>
        <v>1.4417531718569783</v>
      </c>
      <c r="U1542" s="55">
        <f t="shared" si="386"/>
        <v>2.8604118993135015</v>
      </c>
      <c r="V1542" s="58" t="s">
        <v>58</v>
      </c>
      <c r="W1542" s="56">
        <f t="shared" si="393"/>
        <v>836029319</v>
      </c>
      <c r="X1542" s="60">
        <f t="shared" si="394"/>
        <v>80.235932337441795</v>
      </c>
      <c r="Y1542" s="48" t="s">
        <v>58</v>
      </c>
      <c r="Z1542" s="128">
        <f t="shared" si="389"/>
        <v>31.891580161476355</v>
      </c>
      <c r="AA1542" s="56">
        <f t="shared" si="382"/>
        <v>1536855819</v>
      </c>
      <c r="AB1542" s="57">
        <f t="shared" si="390"/>
        <v>31.891580161476359</v>
      </c>
      <c r="AC1542" s="58" t="s">
        <v>58</v>
      </c>
      <c r="AD1542" s="57">
        <f t="shared" si="391"/>
        <v>72.086750448209884</v>
      </c>
      <c r="AE1542" s="11"/>
      <c r="AH1542" s="25"/>
    </row>
    <row r="1543" spans="1:34" ht="78.75">
      <c r="A1543" s="16"/>
      <c r="B1543" s="17"/>
      <c r="C1543" s="17"/>
      <c r="D1543" s="19" t="s">
        <v>2958</v>
      </c>
      <c r="E1543" s="563">
        <v>100</v>
      </c>
      <c r="F1543" s="46" t="s">
        <v>58</v>
      </c>
      <c r="G1543" s="122"/>
      <c r="H1543" s="561">
        <v>34.397470966896535</v>
      </c>
      <c r="I1543" s="122"/>
      <c r="J1543" s="294">
        <f>(H1549+J1549)/E1549*100</f>
        <v>54.216966143060716</v>
      </c>
      <c r="K1543" s="97"/>
      <c r="L1543" s="294">
        <f>L1549/E1549*100</f>
        <v>1.2599806214980414</v>
      </c>
      <c r="M1543" s="97"/>
      <c r="N1543" s="107">
        <f>N1549/E1549*100</f>
        <v>7.5598837289882486</v>
      </c>
      <c r="O1543" s="97"/>
      <c r="P1543" s="107">
        <f>P1549/E1549*100</f>
        <v>5.0399224859921654</v>
      </c>
      <c r="Q1543" s="97">
        <f>Q1552</f>
        <v>7143550</v>
      </c>
      <c r="R1543" s="294" t="e">
        <f>R1549/G1549*100</f>
        <v>#DIV/0!</v>
      </c>
      <c r="S1543" s="97">
        <f>S1552</f>
        <v>0</v>
      </c>
      <c r="T1543" s="57" t="e">
        <f t="shared" si="392"/>
        <v>#DIV/0!</v>
      </c>
      <c r="U1543" s="57" t="e">
        <f t="shared" si="386"/>
        <v>#DIV/0!</v>
      </c>
      <c r="V1543" s="58" t="s">
        <v>58</v>
      </c>
      <c r="W1543" s="276"/>
      <c r="X1543" s="241"/>
      <c r="Y1543" s="16"/>
      <c r="Z1543" s="128" t="e">
        <f t="shared" si="389"/>
        <v>#DIV/0!</v>
      </c>
      <c r="AA1543" s="276"/>
      <c r="AB1543" s="57" t="e">
        <f t="shared" si="390"/>
        <v>#DIV/0!</v>
      </c>
      <c r="AC1543" s="58" t="s">
        <v>58</v>
      </c>
      <c r="AD1543" s="57" t="e">
        <f t="shared" si="391"/>
        <v>#DIV/0!</v>
      </c>
      <c r="AE1543" s="11"/>
      <c r="AH1543" s="25"/>
    </row>
    <row r="1544" spans="1:34" ht="146.25" customHeight="1">
      <c r="A1544" s="16"/>
      <c r="B1544" s="17"/>
      <c r="C1544" s="17"/>
      <c r="D1544" s="19" t="s">
        <v>2959</v>
      </c>
      <c r="E1544" s="563">
        <f>15/15*100</f>
        <v>100</v>
      </c>
      <c r="F1544" s="46" t="s">
        <v>58</v>
      </c>
      <c r="G1544" s="122"/>
      <c r="H1544" s="563">
        <v>40</v>
      </c>
      <c r="I1544" s="122"/>
      <c r="J1544" s="267">
        <f>(H1553+J1553)/E1553*100</f>
        <v>60</v>
      </c>
      <c r="K1544" s="97"/>
      <c r="L1544" s="267">
        <f>L1550/E1550*100</f>
        <v>6.666666666666667</v>
      </c>
      <c r="M1544" s="97"/>
      <c r="N1544" s="107">
        <f>N1550/E1550*100</f>
        <v>13.333333333333334</v>
      </c>
      <c r="O1544" s="97"/>
      <c r="P1544" s="107">
        <f>P1550/E1550*100</f>
        <v>6.666666666666667</v>
      </c>
      <c r="Q1544" s="97">
        <f>Q1553</f>
        <v>1112550</v>
      </c>
      <c r="R1544" s="294" t="e">
        <f>R1550/G1550*100</f>
        <v>#DIV/0!</v>
      </c>
      <c r="S1544" s="97">
        <f>S1553</f>
        <v>0</v>
      </c>
      <c r="T1544" s="57" t="e">
        <f t="shared" si="392"/>
        <v>#DIV/0!</v>
      </c>
      <c r="U1544" s="57" t="e">
        <f t="shared" si="386"/>
        <v>#DIV/0!</v>
      </c>
      <c r="V1544" s="58" t="s">
        <v>58</v>
      </c>
      <c r="W1544" s="276"/>
      <c r="X1544" s="241"/>
      <c r="Y1544" s="16"/>
      <c r="Z1544" s="128" t="e">
        <f t="shared" si="389"/>
        <v>#DIV/0!</v>
      </c>
      <c r="AA1544" s="276"/>
      <c r="AB1544" s="57" t="e">
        <f t="shared" si="390"/>
        <v>#DIV/0!</v>
      </c>
      <c r="AC1544" s="58" t="s">
        <v>58</v>
      </c>
      <c r="AD1544" s="57" t="e">
        <f t="shared" si="391"/>
        <v>#DIV/0!</v>
      </c>
      <c r="AE1544" s="11"/>
      <c r="AH1544" s="25"/>
    </row>
    <row r="1545" spans="1:34" ht="78.75">
      <c r="A1545" s="16"/>
      <c r="B1545" s="17"/>
      <c r="C1545" s="18"/>
      <c r="D1545" s="19" t="s">
        <v>2960</v>
      </c>
      <c r="E1545" s="563">
        <v>100</v>
      </c>
      <c r="F1545" s="46" t="s">
        <v>58</v>
      </c>
      <c r="G1545" s="41"/>
      <c r="H1545" s="563">
        <v>45</v>
      </c>
      <c r="I1545" s="41"/>
      <c r="J1545" s="267">
        <v>65</v>
      </c>
      <c r="K1545" s="41"/>
      <c r="L1545" s="267"/>
      <c r="M1545" s="41"/>
      <c r="N1545" s="107"/>
      <c r="O1545" s="41"/>
      <c r="P1545" s="107">
        <v>1</v>
      </c>
      <c r="Q1545" s="41">
        <f>Q1546</f>
        <v>28696800</v>
      </c>
      <c r="R1545" s="107">
        <v>1</v>
      </c>
      <c r="S1545" s="41">
        <f>S1546</f>
        <v>11377119</v>
      </c>
      <c r="T1545" s="55">
        <v>0</v>
      </c>
      <c r="U1545" s="55">
        <f t="shared" si="386"/>
        <v>0</v>
      </c>
      <c r="V1545" s="58" t="s">
        <v>58</v>
      </c>
      <c r="W1545" s="94"/>
      <c r="X1545" s="239"/>
      <c r="Y1545" s="240"/>
      <c r="Z1545" s="128">
        <f t="shared" si="389"/>
        <v>45</v>
      </c>
      <c r="AA1545" s="94"/>
      <c r="AB1545" s="57">
        <f t="shared" si="390"/>
        <v>45</v>
      </c>
      <c r="AC1545" s="58" t="s">
        <v>58</v>
      </c>
      <c r="AD1545" s="57" t="e">
        <f t="shared" si="391"/>
        <v>#DIV/0!</v>
      </c>
      <c r="AE1545" s="11"/>
      <c r="AH1545" s="25"/>
    </row>
    <row r="1546" spans="1:34" ht="94.5">
      <c r="A1546" s="16"/>
      <c r="B1546" s="17"/>
      <c r="C1546" s="19" t="s">
        <v>2961</v>
      </c>
      <c r="D1546" s="19" t="s">
        <v>2962</v>
      </c>
      <c r="E1546" s="1013">
        <f>E1547</f>
        <v>410</v>
      </c>
      <c r="F1546" s="1181" t="str">
        <f>F1547</f>
        <v>orang</v>
      </c>
      <c r="G1546" s="42">
        <f>SUM(G1547)</f>
        <v>290360500</v>
      </c>
      <c r="H1546" s="267">
        <v>110</v>
      </c>
      <c r="I1546" s="42">
        <f>SUM(I1547)</f>
        <v>108548500</v>
      </c>
      <c r="J1546" s="267">
        <f>J1547</f>
        <v>100</v>
      </c>
      <c r="K1546" s="42">
        <f>SUM(K1547)</f>
        <v>58090500</v>
      </c>
      <c r="L1546" s="267">
        <f>L1547</f>
        <v>0</v>
      </c>
      <c r="M1546" s="23">
        <f>SUM(M1547)</f>
        <v>0</v>
      </c>
      <c r="N1546" s="1182">
        <f>N1547</f>
        <v>30</v>
      </c>
      <c r="O1546" s="1170">
        <f>SUM(O1547)</f>
        <v>13593700</v>
      </c>
      <c r="P1546" s="1182">
        <f>P1547</f>
        <v>70</v>
      </c>
      <c r="Q1546" s="1170">
        <f>SUM(Q1547)</f>
        <v>28696800</v>
      </c>
      <c r="R1546" s="267">
        <f>R1547</f>
        <v>0</v>
      </c>
      <c r="S1546" s="42">
        <f>SUM(S1547)</f>
        <v>11377119</v>
      </c>
      <c r="T1546" s="55">
        <f t="shared" si="392"/>
        <v>25</v>
      </c>
      <c r="U1546" s="55">
        <f t="shared" si="386"/>
        <v>25</v>
      </c>
      <c r="V1546" s="58" t="s">
        <v>58</v>
      </c>
      <c r="W1546" s="59">
        <f>SUM(M1546,O1546,Q1546,S1546)</f>
        <v>53667619</v>
      </c>
      <c r="X1546" s="57">
        <f>W1546/K1546*100</f>
        <v>92.386223220664306</v>
      </c>
      <c r="Y1546" s="58" t="s">
        <v>58</v>
      </c>
      <c r="Z1546" s="55">
        <f t="shared" si="389"/>
        <v>135</v>
      </c>
      <c r="AA1546" s="59">
        <f>SUM(I1546,W1546)</f>
        <v>162216119</v>
      </c>
      <c r="AB1546" s="57">
        <f t="shared" si="390"/>
        <v>32.926829268292686</v>
      </c>
      <c r="AC1546" s="58" t="s">
        <v>58</v>
      </c>
      <c r="AD1546" s="57">
        <f t="shared" si="391"/>
        <v>55.86714411912088</v>
      </c>
      <c r="AE1546" s="11"/>
      <c r="AH1546" s="25"/>
    </row>
    <row r="1547" spans="1:34" ht="105">
      <c r="A1547" s="16"/>
      <c r="B1547" s="17"/>
      <c r="C1547" s="29" t="s">
        <v>2963</v>
      </c>
      <c r="D1547" s="568" t="s">
        <v>2964</v>
      </c>
      <c r="E1547" s="1021">
        <f>60+50+80+100+120</f>
        <v>410</v>
      </c>
      <c r="F1547" s="1183" t="s">
        <v>1638</v>
      </c>
      <c r="G1547" s="23">
        <v>290360500</v>
      </c>
      <c r="H1547" s="44">
        <v>100</v>
      </c>
      <c r="I1547" s="23">
        <v>108548500</v>
      </c>
      <c r="J1547" s="44">
        <v>100</v>
      </c>
      <c r="K1547" s="62">
        <v>58090500</v>
      </c>
      <c r="L1547" s="44">
        <v>0</v>
      </c>
      <c r="M1547" s="62">
        <v>0</v>
      </c>
      <c r="N1547" s="1184">
        <v>30</v>
      </c>
      <c r="O1547" s="1178">
        <v>13593700</v>
      </c>
      <c r="P1547" s="1184">
        <v>70</v>
      </c>
      <c r="Q1547" s="1178">
        <v>28696800</v>
      </c>
      <c r="R1547" s="44"/>
      <c r="S1547" s="62">
        <v>11377119</v>
      </c>
      <c r="T1547" s="55">
        <f t="shared" si="392"/>
        <v>33.333333333333336</v>
      </c>
      <c r="U1547" s="55">
        <f t="shared" si="386"/>
        <v>33.333333333333336</v>
      </c>
      <c r="V1547" s="35" t="s">
        <v>58</v>
      </c>
      <c r="W1547" s="40">
        <f>SUM(M1547,O1547,Q1547,S1547)</f>
        <v>53667619</v>
      </c>
      <c r="X1547" s="53">
        <f>W1547/K1547*100</f>
        <v>92.386223220664306</v>
      </c>
      <c r="Y1547" s="35" t="s">
        <v>58</v>
      </c>
      <c r="Z1547" s="54">
        <f t="shared" si="389"/>
        <v>133.33333333333334</v>
      </c>
      <c r="AA1547" s="40">
        <f>SUM(I1547,W1547)</f>
        <v>162216119</v>
      </c>
      <c r="AB1547" s="57">
        <f t="shared" si="390"/>
        <v>32.520325203252035</v>
      </c>
      <c r="AC1547" s="35" t="s">
        <v>58</v>
      </c>
      <c r="AD1547" s="57">
        <f t="shared" si="391"/>
        <v>55.86714411912088</v>
      </c>
      <c r="AE1547" s="11"/>
      <c r="AH1547" s="25"/>
    </row>
    <row r="1548" spans="1:34" ht="51.75" customHeight="1">
      <c r="A1548" s="16"/>
      <c r="B1548" s="17"/>
      <c r="C1548" s="49" t="s">
        <v>2965</v>
      </c>
      <c r="D1548" s="19" t="s">
        <v>2966</v>
      </c>
      <c r="E1548" s="1185">
        <f>E1551</f>
        <v>0.86699999999999999</v>
      </c>
      <c r="F1548" s="1181" t="s">
        <v>1068</v>
      </c>
      <c r="G1548" s="52">
        <f>SUM(G1551:G1553)</f>
        <v>1841592750</v>
      </c>
      <c r="H1548" s="1186">
        <v>0.26400000000000001</v>
      </c>
      <c r="I1548" s="52">
        <f>SUM(I1551:I1553)</f>
        <v>592278000</v>
      </c>
      <c r="J1548" s="1186">
        <f>J1551</f>
        <v>0.17299999999999999</v>
      </c>
      <c r="K1548" s="52">
        <f>SUM(K1551:K1553)</f>
        <v>983873237</v>
      </c>
      <c r="L1548" s="563">
        <f t="shared" ref="L1548:S1548" si="396">L1551</f>
        <v>0</v>
      </c>
      <c r="M1548" s="52">
        <f t="shared" si="396"/>
        <v>0</v>
      </c>
      <c r="N1548" s="1187">
        <f t="shared" si="396"/>
        <v>0</v>
      </c>
      <c r="O1548" s="52">
        <f t="shared" si="396"/>
        <v>0</v>
      </c>
      <c r="P1548" s="1187">
        <f t="shared" si="396"/>
        <v>0.05</v>
      </c>
      <c r="Q1548" s="52">
        <f t="shared" si="396"/>
        <v>200250000</v>
      </c>
      <c r="R1548" s="1186">
        <f t="shared" si="396"/>
        <v>0</v>
      </c>
      <c r="S1548" s="52">
        <f t="shared" si="396"/>
        <v>582111700</v>
      </c>
      <c r="T1548" s="55">
        <f t="shared" si="392"/>
        <v>1.2500000000000001E-2</v>
      </c>
      <c r="U1548" s="55">
        <f t="shared" si="386"/>
        <v>7.2254335260115612</v>
      </c>
      <c r="V1548" s="58" t="s">
        <v>58</v>
      </c>
      <c r="W1548" s="56">
        <f>SUM(M1548,O1548,Q1548,S1548)</f>
        <v>782361700</v>
      </c>
      <c r="X1548" s="60">
        <f>W1548/K1548*100</f>
        <v>79.518546757665291</v>
      </c>
      <c r="Y1548" s="48" t="s">
        <v>58</v>
      </c>
      <c r="Z1548" s="55">
        <f t="shared" si="389"/>
        <v>0.27650000000000002</v>
      </c>
      <c r="AA1548" s="56">
        <f>SUM(I1548,W1548)</f>
        <v>1374639700</v>
      </c>
      <c r="AB1548" s="57">
        <f t="shared" si="390"/>
        <v>31.891580161476359</v>
      </c>
      <c r="AC1548" s="58" t="s">
        <v>58</v>
      </c>
      <c r="AD1548" s="57">
        <f t="shared" si="391"/>
        <v>74.644065578559648</v>
      </c>
      <c r="AE1548" s="11"/>
      <c r="AH1548" s="25"/>
    </row>
    <row r="1549" spans="1:34" ht="47.25">
      <c r="A1549" s="16"/>
      <c r="B1549" s="17"/>
      <c r="C1549" s="17"/>
      <c r="D1549" s="19" t="s">
        <v>2967</v>
      </c>
      <c r="E1549" s="1013">
        <f>650000+715000+786500+865150+951665</f>
        <v>3968315</v>
      </c>
      <c r="F1549" s="1181" t="s">
        <v>2968</v>
      </c>
      <c r="G1549" s="97"/>
      <c r="H1549" s="267">
        <v>1365000</v>
      </c>
      <c r="I1549" s="97"/>
      <c r="J1549" s="267">
        <f>J1552</f>
        <v>786500</v>
      </c>
      <c r="K1549" s="97"/>
      <c r="L1549" s="267">
        <v>50000</v>
      </c>
      <c r="M1549" s="97"/>
      <c r="N1549" s="267">
        <f>N1552</f>
        <v>300000</v>
      </c>
      <c r="O1549" s="1188"/>
      <c r="P1549" s="267">
        <f>P1552</f>
        <v>200000</v>
      </c>
      <c r="Q1549" s="1188">
        <f>Q1552</f>
        <v>7143550</v>
      </c>
      <c r="R1549" s="267">
        <f>R1552</f>
        <v>0</v>
      </c>
      <c r="S1549" s="97">
        <f>S1552</f>
        <v>0</v>
      </c>
      <c r="T1549" s="390">
        <f t="shared" si="392"/>
        <v>137500</v>
      </c>
      <c r="U1549" s="57">
        <f t="shared" si="386"/>
        <v>17.482517482517483</v>
      </c>
      <c r="V1549" s="58" t="s">
        <v>58</v>
      </c>
      <c r="W1549" s="276"/>
      <c r="X1549" s="241"/>
      <c r="Y1549" s="240"/>
      <c r="Z1549" s="390">
        <f t="shared" si="389"/>
        <v>1502500</v>
      </c>
      <c r="AA1549" s="276"/>
      <c r="AB1549" s="57">
        <f t="shared" si="390"/>
        <v>37.862417676016143</v>
      </c>
      <c r="AC1549" s="58" t="s">
        <v>58</v>
      </c>
      <c r="AD1549" s="57" t="e">
        <f t="shared" si="391"/>
        <v>#DIV/0!</v>
      </c>
      <c r="AE1549" s="11"/>
      <c r="AH1549" s="25"/>
    </row>
    <row r="1550" spans="1:34" ht="168" customHeight="1">
      <c r="A1550" s="16"/>
      <c r="B1550" s="17"/>
      <c r="C1550" s="18"/>
      <c r="D1550" s="19" t="s">
        <v>2969</v>
      </c>
      <c r="E1550" s="1189">
        <f>E1553</f>
        <v>15</v>
      </c>
      <c r="F1550" s="1181" t="s">
        <v>2970</v>
      </c>
      <c r="G1550" s="41"/>
      <c r="H1550" s="563">
        <v>6</v>
      </c>
      <c r="I1550" s="41"/>
      <c r="J1550" s="563">
        <f>J1553</f>
        <v>3</v>
      </c>
      <c r="K1550" s="41"/>
      <c r="L1550" s="563">
        <f>L1553</f>
        <v>1</v>
      </c>
      <c r="M1550" s="1190"/>
      <c r="N1550" s="563">
        <f t="shared" ref="N1550" si="397">N1553</f>
        <v>2</v>
      </c>
      <c r="O1550" s="1190"/>
      <c r="P1550" s="563">
        <f t="shared" ref="P1550:R1550" si="398">P1553</f>
        <v>1</v>
      </c>
      <c r="Q1550" s="1190">
        <f>Q1553</f>
        <v>1112550</v>
      </c>
      <c r="R1550" s="563">
        <f t="shared" si="398"/>
        <v>0</v>
      </c>
      <c r="S1550" s="41">
        <f>S1553</f>
        <v>0</v>
      </c>
      <c r="T1550" s="55">
        <f t="shared" si="392"/>
        <v>1</v>
      </c>
      <c r="U1550" s="55">
        <f t="shared" si="386"/>
        <v>33.333333333333329</v>
      </c>
      <c r="V1550" s="58" t="s">
        <v>58</v>
      </c>
      <c r="W1550" s="94"/>
      <c r="X1550" s="239"/>
      <c r="Y1550" s="58"/>
      <c r="Z1550" s="55">
        <f t="shared" si="389"/>
        <v>7</v>
      </c>
      <c r="AA1550" s="94"/>
      <c r="AB1550" s="57">
        <f t="shared" si="390"/>
        <v>46.666666666666664</v>
      </c>
      <c r="AC1550" s="58" t="s">
        <v>58</v>
      </c>
      <c r="AD1550" s="57" t="e">
        <f t="shared" si="391"/>
        <v>#DIV/0!</v>
      </c>
      <c r="AE1550" s="11"/>
      <c r="AH1550" s="25"/>
    </row>
    <row r="1551" spans="1:34" ht="120">
      <c r="A1551" s="16"/>
      <c r="B1551" s="17"/>
      <c r="C1551" s="440" t="s">
        <v>2971</v>
      </c>
      <c r="D1551" s="29" t="s">
        <v>2972</v>
      </c>
      <c r="E1551" s="1191">
        <f>0.12+0.144+0.173+0.2+0.23</f>
        <v>0.86699999999999999</v>
      </c>
      <c r="F1551" s="1175" t="s">
        <v>1068</v>
      </c>
      <c r="G1551" s="23">
        <f>429033500*3</f>
        <v>1287100500</v>
      </c>
      <c r="H1551" s="1192">
        <v>0.26400000000000001</v>
      </c>
      <c r="I1551" s="23">
        <v>414275000</v>
      </c>
      <c r="J1551" s="1192">
        <v>0.17299999999999999</v>
      </c>
      <c r="K1551" s="62">
        <v>800142937</v>
      </c>
      <c r="L1551" s="104">
        <v>0</v>
      </c>
      <c r="M1551" s="62">
        <v>0</v>
      </c>
      <c r="N1551" s="1021">
        <v>0</v>
      </c>
      <c r="O1551" s="1178">
        <v>0</v>
      </c>
      <c r="P1551" s="1193">
        <v>0.05</v>
      </c>
      <c r="Q1551" s="1178">
        <v>200250000</v>
      </c>
      <c r="R1551" s="1192"/>
      <c r="S1551" s="62">
        <v>582111700</v>
      </c>
      <c r="T1551" s="55">
        <f t="shared" si="392"/>
        <v>1.6666666666666666E-2</v>
      </c>
      <c r="U1551" s="55">
        <f t="shared" si="386"/>
        <v>9.6339113680154149</v>
      </c>
      <c r="V1551" s="35" t="s">
        <v>58</v>
      </c>
      <c r="W1551" s="40">
        <f>SUM(M1551,O1551,Q1551,S1551)</f>
        <v>782361700</v>
      </c>
      <c r="X1551" s="53">
        <f>W1551/K1551*100</f>
        <v>97.777742428538119</v>
      </c>
      <c r="Y1551" s="35" t="s">
        <v>58</v>
      </c>
      <c r="Z1551" s="1194">
        <f t="shared" si="389"/>
        <v>0.28066666666666668</v>
      </c>
      <c r="AA1551" s="40">
        <f>SUM(I1551,W1551)</f>
        <v>1196636700</v>
      </c>
      <c r="AB1551" s="57">
        <f t="shared" si="390"/>
        <v>32.372164552095349</v>
      </c>
      <c r="AC1551" s="35" t="s">
        <v>58</v>
      </c>
      <c r="AD1551" s="57">
        <f t="shared" si="391"/>
        <v>92.971504556171027</v>
      </c>
      <c r="AE1551" s="11"/>
      <c r="AH1551" s="25"/>
    </row>
    <row r="1552" spans="1:34" ht="150">
      <c r="A1552" s="16"/>
      <c r="B1552" s="17"/>
      <c r="C1552" s="440" t="s">
        <v>2973</v>
      </c>
      <c r="D1552" s="29" t="s">
        <v>2974</v>
      </c>
      <c r="E1552" s="1016">
        <f>J1552+865150+951665</f>
        <v>2603315</v>
      </c>
      <c r="F1552" s="1183" t="s">
        <v>2975</v>
      </c>
      <c r="G1552" s="23">
        <v>539492250</v>
      </c>
      <c r="H1552" s="104">
        <v>715000</v>
      </c>
      <c r="I1552" s="23">
        <v>174503000</v>
      </c>
      <c r="J1552" s="104">
        <v>786500</v>
      </c>
      <c r="K1552" s="62">
        <v>178730350</v>
      </c>
      <c r="L1552" s="104">
        <v>50000</v>
      </c>
      <c r="M1552" s="62">
        <v>13500000</v>
      </c>
      <c r="N1552" s="104">
        <v>300000</v>
      </c>
      <c r="O1552" s="1178">
        <v>145173350</v>
      </c>
      <c r="P1552" s="104">
        <v>200000</v>
      </c>
      <c r="Q1552" s="1178">
        <v>7143550</v>
      </c>
      <c r="R1552" s="104">
        <v>0</v>
      </c>
      <c r="S1552" s="62">
        <v>0</v>
      </c>
      <c r="T1552" s="390">
        <f t="shared" si="392"/>
        <v>137500</v>
      </c>
      <c r="U1552" s="57">
        <f t="shared" si="386"/>
        <v>17.482517482517483</v>
      </c>
      <c r="V1552" s="35" t="s">
        <v>58</v>
      </c>
      <c r="W1552" s="40">
        <f>SUM(M1552,O1552,Q1552,S1552)</f>
        <v>165816900</v>
      </c>
      <c r="X1552" s="53">
        <f>W1552/K1552*100</f>
        <v>92.774898051729878</v>
      </c>
      <c r="Y1552" s="35" t="s">
        <v>58</v>
      </c>
      <c r="Z1552" s="106">
        <f t="shared" si="389"/>
        <v>852500</v>
      </c>
      <c r="AA1552" s="40">
        <f>SUM(I1552,W1552)</f>
        <v>340319900</v>
      </c>
      <c r="AB1552" s="57">
        <f t="shared" si="390"/>
        <v>32.746709483869608</v>
      </c>
      <c r="AC1552" s="35" t="s">
        <v>58</v>
      </c>
      <c r="AD1552" s="57">
        <f t="shared" si="391"/>
        <v>63.081517853129498</v>
      </c>
      <c r="AE1552" s="11"/>
      <c r="AH1552" s="25"/>
    </row>
    <row r="1553" spans="1:34" ht="150">
      <c r="A1553" s="16"/>
      <c r="B1553" s="17"/>
      <c r="C1553" s="440" t="s">
        <v>2976</v>
      </c>
      <c r="D1553" s="29" t="s">
        <v>2977</v>
      </c>
      <c r="E1553" s="1016">
        <f>3*5</f>
        <v>15</v>
      </c>
      <c r="F1553" s="1183" t="s">
        <v>2978</v>
      </c>
      <c r="G1553" s="23">
        <f>5000000*3</f>
        <v>15000000</v>
      </c>
      <c r="H1553" s="104">
        <v>6</v>
      </c>
      <c r="I1553" s="23">
        <v>3500000</v>
      </c>
      <c r="J1553" s="104">
        <v>3</v>
      </c>
      <c r="K1553" s="62">
        <v>4999950</v>
      </c>
      <c r="L1553" s="104">
        <v>1</v>
      </c>
      <c r="M1553" s="62">
        <v>0</v>
      </c>
      <c r="N1553" s="1184">
        <v>2</v>
      </c>
      <c r="O1553" s="1178">
        <v>4862700</v>
      </c>
      <c r="P1553" s="1184">
        <v>1</v>
      </c>
      <c r="Q1553" s="1178">
        <v>1112550</v>
      </c>
      <c r="R1553" s="104">
        <v>0</v>
      </c>
      <c r="S1553" s="62">
        <v>0</v>
      </c>
      <c r="T1553" s="55">
        <f t="shared" si="392"/>
        <v>1</v>
      </c>
      <c r="U1553" s="55">
        <f t="shared" si="386"/>
        <v>33.333333333333329</v>
      </c>
      <c r="V1553" s="35" t="s">
        <v>58</v>
      </c>
      <c r="W1553" s="40">
        <f>SUM(M1553,O1553,Q1553,S1553)</f>
        <v>5975250</v>
      </c>
      <c r="X1553" s="53">
        <f>W1553/K1553*100</f>
        <v>119.50619506195062</v>
      </c>
      <c r="Y1553" s="35" t="s">
        <v>58</v>
      </c>
      <c r="Z1553" s="102">
        <f t="shared" si="389"/>
        <v>7</v>
      </c>
      <c r="AA1553" s="40">
        <f>SUM(I1553,W1553)</f>
        <v>9475250</v>
      </c>
      <c r="AB1553" s="57">
        <f t="shared" si="390"/>
        <v>46.666666666666664</v>
      </c>
      <c r="AC1553" s="35" t="s">
        <v>58</v>
      </c>
      <c r="AD1553" s="57">
        <f t="shared" si="391"/>
        <v>63.168333333333337</v>
      </c>
      <c r="AE1553" s="11"/>
      <c r="AH1553" s="25"/>
    </row>
    <row r="1554" spans="1:34" ht="123" customHeight="1">
      <c r="A1554" s="16"/>
      <c r="B1554" s="17"/>
      <c r="C1554" s="836" t="s">
        <v>2979</v>
      </c>
      <c r="D1554" s="19" t="s">
        <v>2980</v>
      </c>
      <c r="E1554" s="108">
        <f>6/6*100</f>
        <v>100</v>
      </c>
      <c r="F1554" s="46" t="s">
        <v>58</v>
      </c>
      <c r="G1554" s="52">
        <f>G1555</f>
        <v>4296080000</v>
      </c>
      <c r="H1554" s="108">
        <f>7/7*100</f>
        <v>100</v>
      </c>
      <c r="I1554" s="52">
        <f>I1555</f>
        <v>1345571000</v>
      </c>
      <c r="J1554" s="108">
        <f>6/6*100</f>
        <v>100</v>
      </c>
      <c r="K1554" s="52">
        <f>K1555</f>
        <v>983873237</v>
      </c>
      <c r="L1554" s="108">
        <v>100</v>
      </c>
      <c r="M1554" s="52">
        <f>M1555</f>
        <v>63250000</v>
      </c>
      <c r="N1554" s="108">
        <v>100</v>
      </c>
      <c r="O1554" s="52">
        <f>O1555</f>
        <v>176750000</v>
      </c>
      <c r="P1554" s="108">
        <v>100</v>
      </c>
      <c r="Q1554" s="52">
        <f>Q1555</f>
        <v>63368000</v>
      </c>
      <c r="R1554" s="108">
        <v>100</v>
      </c>
      <c r="S1554" s="42">
        <f>S1555</f>
        <v>649785550</v>
      </c>
      <c r="T1554" s="55">
        <f t="shared" si="392"/>
        <v>100</v>
      </c>
      <c r="U1554" s="55">
        <f t="shared" si="386"/>
        <v>100</v>
      </c>
      <c r="V1554" s="58" t="s">
        <v>58</v>
      </c>
      <c r="W1554" s="56">
        <f>SUM(M1554,O1554,Q1554,S1554)</f>
        <v>953153550</v>
      </c>
      <c r="X1554" s="60">
        <f>W1554/K1554*100</f>
        <v>96.877678358883941</v>
      </c>
      <c r="Y1554" s="48" t="s">
        <v>58</v>
      </c>
      <c r="Z1554" s="55">
        <f t="shared" si="389"/>
        <v>200</v>
      </c>
      <c r="AA1554" s="56">
        <f>SUM(I1554,W1554)</f>
        <v>2298724550</v>
      </c>
      <c r="AB1554" s="57">
        <f t="shared" si="390"/>
        <v>200</v>
      </c>
      <c r="AC1554" s="58" t="s">
        <v>58</v>
      </c>
      <c r="AD1554" s="57">
        <f t="shared" si="391"/>
        <v>53.507489385672521</v>
      </c>
      <c r="AE1554" s="11"/>
      <c r="AH1554" s="25"/>
    </row>
    <row r="1555" spans="1:34" ht="74.25" customHeight="1">
      <c r="A1555" s="16"/>
      <c r="B1555" s="17"/>
      <c r="C1555" s="1195" t="s">
        <v>2981</v>
      </c>
      <c r="D1555" s="19" t="s">
        <v>2982</v>
      </c>
      <c r="E1555" s="45">
        <v>6</v>
      </c>
      <c r="F1555" s="76" t="s">
        <v>2983</v>
      </c>
      <c r="G1555" s="1196">
        <f>SUM(G1557)</f>
        <v>4296080000</v>
      </c>
      <c r="H1555" s="45">
        <v>7</v>
      </c>
      <c r="I1555" s="1196">
        <f>SUM(I1557)</f>
        <v>1345571000</v>
      </c>
      <c r="J1555" s="45">
        <v>6</v>
      </c>
      <c r="K1555" s="1196">
        <v>983873237</v>
      </c>
      <c r="L1555" s="45">
        <v>3</v>
      </c>
      <c r="M1555" s="1196">
        <f>SUM(M1557)</f>
        <v>63250000</v>
      </c>
      <c r="N1555" s="1027">
        <f>N1557</f>
        <v>3</v>
      </c>
      <c r="O1555" s="1197">
        <f>SUM(O1557)</f>
        <v>176750000</v>
      </c>
      <c r="P1555" s="1027">
        <v>0</v>
      </c>
      <c r="Q1555" s="1197">
        <f>SUM(Q1557)</f>
        <v>63368000</v>
      </c>
      <c r="R1555" s="45">
        <v>0</v>
      </c>
      <c r="S1555" s="1196">
        <f>SUM(S1557)</f>
        <v>649785550</v>
      </c>
      <c r="T1555" s="55">
        <f t="shared" si="392"/>
        <v>1.5</v>
      </c>
      <c r="U1555" s="55">
        <f t="shared" si="386"/>
        <v>25</v>
      </c>
      <c r="V1555" s="58" t="s">
        <v>58</v>
      </c>
      <c r="W1555" s="1198">
        <f t="shared" ref="W1555:W1564" si="399">SUM(M1555,O1555,Q1555,S1555)</f>
        <v>953153550</v>
      </c>
      <c r="X1555" s="57">
        <f t="shared" ref="X1555:X1564" si="400">W1555/K1555*100</f>
        <v>96.877678358883941</v>
      </c>
      <c r="Y1555" s="58" t="s">
        <v>58</v>
      </c>
      <c r="Z1555" s="55">
        <f t="shared" si="389"/>
        <v>8.5</v>
      </c>
      <c r="AA1555" s="1198">
        <f t="shared" ref="AA1555:AA1564" si="401">SUM(I1555,W1555)</f>
        <v>2298724550</v>
      </c>
      <c r="AB1555" s="57">
        <f t="shared" si="390"/>
        <v>141.66666666666669</v>
      </c>
      <c r="AC1555" s="58" t="s">
        <v>58</v>
      </c>
      <c r="AD1555" s="1199">
        <f t="shared" si="391"/>
        <v>53.507489385672521</v>
      </c>
      <c r="AE1555" s="11"/>
      <c r="AH1555" s="25"/>
    </row>
    <row r="1556" spans="1:34" ht="71.25" customHeight="1">
      <c r="A1556" s="16"/>
      <c r="B1556" s="17"/>
      <c r="C1556" s="1200"/>
      <c r="D1556" s="454" t="s">
        <v>2984</v>
      </c>
      <c r="E1556" s="45">
        <v>12</v>
      </c>
      <c r="F1556" s="76" t="s">
        <v>1070</v>
      </c>
      <c r="G1556" s="1201"/>
      <c r="H1556" s="45">
        <v>12</v>
      </c>
      <c r="I1556" s="1201"/>
      <c r="J1556" s="45">
        <v>12</v>
      </c>
      <c r="K1556" s="1201"/>
      <c r="L1556" s="45">
        <v>3</v>
      </c>
      <c r="M1556" s="1201"/>
      <c r="N1556" s="1027">
        <v>3</v>
      </c>
      <c r="O1556" s="1202"/>
      <c r="P1556" s="1027">
        <v>3</v>
      </c>
      <c r="Q1556" s="1202"/>
      <c r="R1556" s="45">
        <v>3</v>
      </c>
      <c r="S1556" s="1201"/>
      <c r="T1556" s="55"/>
      <c r="U1556" s="55"/>
      <c r="V1556" s="58"/>
      <c r="W1556" s="1203"/>
      <c r="X1556" s="60"/>
      <c r="Y1556" s="48"/>
      <c r="Z1556" s="55"/>
      <c r="AA1556" s="1203"/>
      <c r="AB1556" s="57"/>
      <c r="AC1556" s="58"/>
      <c r="AD1556" s="1204"/>
      <c r="AE1556" s="11"/>
      <c r="AH1556" s="25"/>
    </row>
    <row r="1557" spans="1:34" ht="90">
      <c r="A1557" s="16"/>
      <c r="B1557" s="17"/>
      <c r="C1557" s="931" t="s">
        <v>2985</v>
      </c>
      <c r="D1557" s="29" t="s">
        <v>2986</v>
      </c>
      <c r="E1557" s="384">
        <v>7</v>
      </c>
      <c r="F1557" s="47" t="s">
        <v>2987</v>
      </c>
      <c r="G1557" s="1205">
        <v>4296080000</v>
      </c>
      <c r="H1557" s="384">
        <v>7</v>
      </c>
      <c r="I1557" s="1205">
        <v>1345571000</v>
      </c>
      <c r="J1557" s="384">
        <v>7</v>
      </c>
      <c r="K1557" s="1205">
        <v>983873327</v>
      </c>
      <c r="L1557" s="384">
        <v>3</v>
      </c>
      <c r="M1557" s="1205">
        <v>63250000</v>
      </c>
      <c r="N1557" s="1180">
        <v>3</v>
      </c>
      <c r="O1557" s="1206">
        <v>176750000</v>
      </c>
      <c r="P1557" s="1180">
        <v>0</v>
      </c>
      <c r="Q1557" s="1206">
        <v>63368000</v>
      </c>
      <c r="R1557" s="384">
        <v>1</v>
      </c>
      <c r="S1557" s="1205">
        <v>649785550</v>
      </c>
      <c r="T1557" s="54">
        <f t="shared" ref="T1557:T1564" si="402">SUM(L1557,N1557,P1557,R1557)</f>
        <v>7</v>
      </c>
      <c r="U1557" s="54">
        <f t="shared" si="386"/>
        <v>100</v>
      </c>
      <c r="V1557" s="35" t="s">
        <v>58</v>
      </c>
      <c r="W1557" s="1207">
        <f t="shared" si="399"/>
        <v>953153550</v>
      </c>
      <c r="X1557" s="248">
        <f t="shared" si="400"/>
        <v>96.877669496979863</v>
      </c>
      <c r="Y1557" s="253" t="s">
        <v>58</v>
      </c>
      <c r="Z1557" s="364">
        <f t="shared" si="389"/>
        <v>14</v>
      </c>
      <c r="AA1557" s="1207">
        <f t="shared" si="401"/>
        <v>2298724550</v>
      </c>
      <c r="AB1557" s="57">
        <f t="shared" si="390"/>
        <v>200</v>
      </c>
      <c r="AC1557" s="35" t="s">
        <v>58</v>
      </c>
      <c r="AD1557" s="57">
        <f t="shared" si="391"/>
        <v>53.507489385672521</v>
      </c>
      <c r="AE1557" s="11"/>
      <c r="AH1557" s="25"/>
    </row>
    <row r="1558" spans="1:34" ht="149.25" customHeight="1">
      <c r="A1558" s="16"/>
      <c r="B1558" s="17"/>
      <c r="C1558" s="931" t="s">
        <v>2988</v>
      </c>
      <c r="D1558" s="29" t="s">
        <v>2989</v>
      </c>
      <c r="E1558" s="384">
        <v>12</v>
      </c>
      <c r="F1558" s="47" t="s">
        <v>1070</v>
      </c>
      <c r="G1558" s="1208"/>
      <c r="H1558" s="384"/>
      <c r="I1558" s="1208"/>
      <c r="J1558" s="384"/>
      <c r="K1558" s="1208"/>
      <c r="L1558" s="384"/>
      <c r="M1558" s="1208"/>
      <c r="N1558" s="1180"/>
      <c r="O1558" s="1209"/>
      <c r="P1558" s="1180"/>
      <c r="Q1558" s="1209"/>
      <c r="R1558" s="384"/>
      <c r="S1558" s="1208"/>
      <c r="T1558" s="54"/>
      <c r="U1558" s="54"/>
      <c r="V1558" s="35"/>
      <c r="W1558" s="1210"/>
      <c r="X1558" s="248"/>
      <c r="Y1558" s="253"/>
      <c r="Z1558" s="364"/>
      <c r="AA1558" s="1210"/>
      <c r="AB1558" s="57"/>
      <c r="AC1558" s="35"/>
      <c r="AD1558" s="57"/>
      <c r="AE1558" s="11"/>
      <c r="AH1558" s="25"/>
    </row>
    <row r="1559" spans="1:34" ht="83.25" customHeight="1">
      <c r="A1559" s="16"/>
      <c r="B1559" s="17"/>
      <c r="C1559" s="19" t="s">
        <v>2990</v>
      </c>
      <c r="D1559" s="19" t="s">
        <v>2991</v>
      </c>
      <c r="E1559" s="563">
        <v>27</v>
      </c>
      <c r="F1559" s="76" t="s">
        <v>58</v>
      </c>
      <c r="G1559" s="42">
        <f>G1560+G1562</f>
        <v>135193634</v>
      </c>
      <c r="H1559" s="561">
        <v>100</v>
      </c>
      <c r="I1559" s="42">
        <f>I1560+I1562</f>
        <v>32067667</v>
      </c>
      <c r="J1559" s="563">
        <v>26</v>
      </c>
      <c r="K1559" s="42">
        <f>K1560+K1562</f>
        <v>34194183</v>
      </c>
      <c r="L1559" s="1211">
        <v>4</v>
      </c>
      <c r="M1559" s="1170">
        <f>M1560+M1562</f>
        <v>1200000</v>
      </c>
      <c r="N1559" s="1212">
        <v>7</v>
      </c>
      <c r="O1559" s="1170">
        <v>2500000</v>
      </c>
      <c r="P1559" s="1212">
        <v>7</v>
      </c>
      <c r="Q1559" s="1170">
        <f>Q1560+Q1562</f>
        <v>1762500</v>
      </c>
      <c r="R1559" s="561">
        <v>8</v>
      </c>
      <c r="S1559" s="42">
        <f>S1560+S1562</f>
        <v>19016300</v>
      </c>
      <c r="T1559" s="390">
        <f t="shared" si="402"/>
        <v>26</v>
      </c>
      <c r="U1559" s="57">
        <f t="shared" si="386"/>
        <v>100</v>
      </c>
      <c r="V1559" s="58" t="s">
        <v>58</v>
      </c>
      <c r="W1559" s="59">
        <f t="shared" si="399"/>
        <v>24478800</v>
      </c>
      <c r="X1559" s="57">
        <f t="shared" si="400"/>
        <v>71.587614770617563</v>
      </c>
      <c r="Y1559" s="58" t="s">
        <v>58</v>
      </c>
      <c r="Z1559" s="1213">
        <f t="shared" si="389"/>
        <v>126</v>
      </c>
      <c r="AA1559" s="59">
        <f t="shared" si="401"/>
        <v>56546467</v>
      </c>
      <c r="AB1559" s="57">
        <f t="shared" si="390"/>
        <v>466.66666666666669</v>
      </c>
      <c r="AC1559" s="58" t="s">
        <v>58</v>
      </c>
      <c r="AD1559" s="57">
        <f t="shared" si="391"/>
        <v>41.826279335016622</v>
      </c>
      <c r="AE1559" s="11"/>
      <c r="AH1559" s="25"/>
    </row>
    <row r="1560" spans="1:34" ht="162.75" customHeight="1">
      <c r="A1560" s="16"/>
      <c r="B1560" s="17"/>
      <c r="C1560" s="19" t="s">
        <v>2992</v>
      </c>
      <c r="D1560" s="19" t="s">
        <v>2993</v>
      </c>
      <c r="E1560" s="267">
        <f>12*3</f>
        <v>36</v>
      </c>
      <c r="F1560" s="46" t="s">
        <v>173</v>
      </c>
      <c r="G1560" s="52">
        <f>SUM(G1561)</f>
        <v>22140000</v>
      </c>
      <c r="H1560" s="267">
        <v>15</v>
      </c>
      <c r="I1560" s="52">
        <f>SUM(I1561)</f>
        <v>7380000</v>
      </c>
      <c r="J1560" s="267">
        <v>12</v>
      </c>
      <c r="K1560" s="52">
        <f>SUM(K1561)</f>
        <v>7379700</v>
      </c>
      <c r="L1560" s="267">
        <v>3</v>
      </c>
      <c r="M1560" s="52">
        <f>SUM(M1561)</f>
        <v>1200000</v>
      </c>
      <c r="N1560" s="1182">
        <f>N1561</f>
        <v>3</v>
      </c>
      <c r="O1560" s="1214">
        <f>SUM(O1561)</f>
        <v>3854700</v>
      </c>
      <c r="P1560" s="1182">
        <f>P1561</f>
        <v>3</v>
      </c>
      <c r="Q1560" s="1214">
        <f>SUM(Q1561)</f>
        <v>1762500</v>
      </c>
      <c r="R1560" s="267">
        <v>3</v>
      </c>
      <c r="S1560" s="52">
        <f>SUM(S1561)</f>
        <v>562500</v>
      </c>
      <c r="T1560" s="55">
        <f t="shared" si="402"/>
        <v>12</v>
      </c>
      <c r="U1560" s="55">
        <f t="shared" si="386"/>
        <v>100</v>
      </c>
      <c r="V1560" s="58" t="s">
        <v>58</v>
      </c>
      <c r="W1560" s="59">
        <f t="shared" si="399"/>
        <v>7379700</v>
      </c>
      <c r="X1560" s="57">
        <f t="shared" si="400"/>
        <v>100</v>
      </c>
      <c r="Y1560" s="58" t="s">
        <v>58</v>
      </c>
      <c r="Z1560" s="55">
        <f t="shared" si="389"/>
        <v>27</v>
      </c>
      <c r="AA1560" s="59">
        <f t="shared" si="401"/>
        <v>14759700</v>
      </c>
      <c r="AB1560" s="57">
        <f t="shared" si="390"/>
        <v>75</v>
      </c>
      <c r="AC1560" s="58" t="s">
        <v>58</v>
      </c>
      <c r="AD1560" s="57">
        <f t="shared" si="391"/>
        <v>66.665311653116532</v>
      </c>
      <c r="AE1560" s="11"/>
      <c r="AH1560" s="25"/>
    </row>
    <row r="1561" spans="1:34" ht="210">
      <c r="A1561" s="16"/>
      <c r="B1561" s="17"/>
      <c r="C1561" s="440" t="s">
        <v>2994</v>
      </c>
      <c r="D1561" s="780" t="s">
        <v>2995</v>
      </c>
      <c r="E1561" s="104">
        <f>J1561*3</f>
        <v>36</v>
      </c>
      <c r="F1561" s="47" t="s">
        <v>55</v>
      </c>
      <c r="G1561" s="23">
        <v>22140000</v>
      </c>
      <c r="H1561" s="104">
        <v>12</v>
      </c>
      <c r="I1561" s="23">
        <v>7380000</v>
      </c>
      <c r="J1561" s="104">
        <v>12</v>
      </c>
      <c r="K1561" s="1179">
        <v>7379700</v>
      </c>
      <c r="L1561" s="104">
        <v>3</v>
      </c>
      <c r="M1561" s="62">
        <v>1200000</v>
      </c>
      <c r="N1561" s="1184">
        <v>3</v>
      </c>
      <c r="O1561" s="1178">
        <v>3854700</v>
      </c>
      <c r="P1561" s="1184">
        <v>3</v>
      </c>
      <c r="Q1561" s="1178">
        <v>1762500</v>
      </c>
      <c r="R1561" s="104">
        <v>3</v>
      </c>
      <c r="S1561" s="1179">
        <v>562500</v>
      </c>
      <c r="T1561" s="54">
        <f t="shared" si="402"/>
        <v>12</v>
      </c>
      <c r="U1561" s="54">
        <f t="shared" si="386"/>
        <v>100</v>
      </c>
      <c r="V1561" s="35" t="s">
        <v>58</v>
      </c>
      <c r="W1561" s="40">
        <f t="shared" si="399"/>
        <v>7379700</v>
      </c>
      <c r="X1561" s="53">
        <f t="shared" si="400"/>
        <v>100</v>
      </c>
      <c r="Y1561" s="35" t="s">
        <v>58</v>
      </c>
      <c r="Z1561" s="54">
        <f t="shared" si="389"/>
        <v>24</v>
      </c>
      <c r="AA1561" s="40">
        <f t="shared" si="401"/>
        <v>14759700</v>
      </c>
      <c r="AB1561" s="57">
        <f t="shared" si="390"/>
        <v>66.666666666666657</v>
      </c>
      <c r="AC1561" s="35" t="s">
        <v>58</v>
      </c>
      <c r="AD1561" s="57">
        <f t="shared" si="391"/>
        <v>66.665311653116532</v>
      </c>
      <c r="AE1561" s="11"/>
      <c r="AH1561" s="25"/>
    </row>
    <row r="1562" spans="1:34" ht="173.25">
      <c r="A1562" s="16"/>
      <c r="B1562" s="17"/>
      <c r="C1562" s="573" t="s">
        <v>2996</v>
      </c>
      <c r="D1562" s="19" t="s">
        <v>2997</v>
      </c>
      <c r="E1562" s="294">
        <v>54.48</v>
      </c>
      <c r="F1562" s="76" t="s">
        <v>2998</v>
      </c>
      <c r="G1562" s="42">
        <f>SUM(G1563:G1564)</f>
        <v>113053634</v>
      </c>
      <c r="H1562" s="294">
        <v>62.68</v>
      </c>
      <c r="I1562" s="42">
        <f>SUM(I1563:I1564)</f>
        <v>24687667</v>
      </c>
      <c r="J1562" s="294">
        <v>54.28</v>
      </c>
      <c r="K1562" s="42">
        <f>SUM(K1563:K1564)</f>
        <v>26814483</v>
      </c>
      <c r="L1562" s="267">
        <v>0</v>
      </c>
      <c r="M1562" s="42">
        <f>SUM(M1563:M1564)</f>
        <v>0</v>
      </c>
      <c r="N1562" s="1027">
        <v>0</v>
      </c>
      <c r="O1562" s="1170">
        <f>SUM(O1563:O1564)</f>
        <v>4118500</v>
      </c>
      <c r="P1562" s="1027">
        <v>0</v>
      </c>
      <c r="Q1562" s="1170">
        <f>SUM(Q1563:Q1564)</f>
        <v>0</v>
      </c>
      <c r="R1562" s="250">
        <v>62.67</v>
      </c>
      <c r="S1562" s="42">
        <f>SUM(S1563:S1564)</f>
        <v>18453800</v>
      </c>
      <c r="T1562" s="55">
        <f t="shared" si="402"/>
        <v>62.67</v>
      </c>
      <c r="U1562" s="55">
        <f t="shared" si="386"/>
        <v>115.45689019896832</v>
      </c>
      <c r="V1562" s="35" t="s">
        <v>58</v>
      </c>
      <c r="W1562" s="40">
        <f t="shared" si="399"/>
        <v>22572300</v>
      </c>
      <c r="X1562" s="53">
        <f t="shared" si="400"/>
        <v>84.179508514111561</v>
      </c>
      <c r="Y1562" s="35" t="s">
        <v>58</v>
      </c>
      <c r="Z1562" s="53">
        <f t="shared" si="389"/>
        <v>125.35</v>
      </c>
      <c r="AA1562" s="40">
        <f t="shared" si="401"/>
        <v>47259967</v>
      </c>
      <c r="AB1562" s="57">
        <f t="shared" si="390"/>
        <v>230.08443465491925</v>
      </c>
      <c r="AC1562" s="35" t="s">
        <v>58</v>
      </c>
      <c r="AD1562" s="57">
        <f t="shared" si="391"/>
        <v>41.803138322824722</v>
      </c>
      <c r="AE1562" s="11"/>
      <c r="AH1562" s="25"/>
    </row>
    <row r="1563" spans="1:34" ht="180">
      <c r="A1563" s="16"/>
      <c r="B1563" s="17"/>
      <c r="C1563" s="440" t="s">
        <v>2999</v>
      </c>
      <c r="D1563" s="568" t="s">
        <v>3000</v>
      </c>
      <c r="E1563" s="104">
        <f>3*3</f>
        <v>9</v>
      </c>
      <c r="F1563" s="21" t="s">
        <v>1118</v>
      </c>
      <c r="G1563" s="23">
        <v>62032234</v>
      </c>
      <c r="H1563" s="104">
        <v>1</v>
      </c>
      <c r="I1563" s="23">
        <v>14831667</v>
      </c>
      <c r="J1563" s="104">
        <v>3</v>
      </c>
      <c r="K1563" s="62">
        <v>17996683</v>
      </c>
      <c r="L1563" s="104">
        <v>0</v>
      </c>
      <c r="M1563" s="62">
        <v>0</v>
      </c>
      <c r="N1563" s="1184">
        <v>2</v>
      </c>
      <c r="O1563" s="1178">
        <v>4118500</v>
      </c>
      <c r="P1563" s="1184">
        <v>0</v>
      </c>
      <c r="Q1563" s="1178">
        <v>0</v>
      </c>
      <c r="R1563" s="104">
        <v>1</v>
      </c>
      <c r="S1563" s="62">
        <v>11546900</v>
      </c>
      <c r="T1563" s="55">
        <f t="shared" si="402"/>
        <v>3</v>
      </c>
      <c r="U1563" s="55">
        <f t="shared" si="386"/>
        <v>100</v>
      </c>
      <c r="V1563" s="35" t="s">
        <v>58</v>
      </c>
      <c r="W1563" s="40">
        <f t="shared" si="399"/>
        <v>15665400</v>
      </c>
      <c r="X1563" s="53">
        <f t="shared" si="400"/>
        <v>87.04604065093551</v>
      </c>
      <c r="Y1563" s="35" t="s">
        <v>58</v>
      </c>
      <c r="Z1563" s="54">
        <f t="shared" si="389"/>
        <v>4</v>
      </c>
      <c r="AA1563" s="40">
        <f t="shared" si="401"/>
        <v>30497067</v>
      </c>
      <c r="AB1563" s="57">
        <f t="shared" si="390"/>
        <v>44.444444444444443</v>
      </c>
      <c r="AC1563" s="35" t="s">
        <v>58</v>
      </c>
      <c r="AD1563" s="57">
        <f t="shared" si="391"/>
        <v>49.163257605715124</v>
      </c>
      <c r="AE1563" s="11"/>
      <c r="AH1563" s="25"/>
    </row>
    <row r="1564" spans="1:34" ht="180">
      <c r="A1564" s="16"/>
      <c r="B1564" s="17"/>
      <c r="C1564" s="440" t="s">
        <v>3001</v>
      </c>
      <c r="D1564" s="29" t="s">
        <v>3002</v>
      </c>
      <c r="E1564" s="104">
        <f>2+2+5</f>
        <v>9</v>
      </c>
      <c r="F1564" s="47" t="s">
        <v>1645</v>
      </c>
      <c r="G1564" s="23">
        <f>10000000+11021400+30000000</f>
        <v>51021400</v>
      </c>
      <c r="H1564" s="104">
        <v>2</v>
      </c>
      <c r="I1564" s="23">
        <v>9856000</v>
      </c>
      <c r="J1564" s="104">
        <v>2</v>
      </c>
      <c r="K1564" s="62">
        <v>8817800</v>
      </c>
      <c r="L1564" s="104">
        <v>0</v>
      </c>
      <c r="M1564" s="62">
        <v>0</v>
      </c>
      <c r="N1564" s="1021">
        <v>0</v>
      </c>
      <c r="O1564" s="1178">
        <v>0</v>
      </c>
      <c r="P1564" s="1021">
        <v>0</v>
      </c>
      <c r="Q1564" s="1178">
        <v>0</v>
      </c>
      <c r="R1564" s="104">
        <v>2</v>
      </c>
      <c r="S1564" s="62">
        <v>6906900</v>
      </c>
      <c r="T1564" s="55">
        <f t="shared" si="402"/>
        <v>2</v>
      </c>
      <c r="U1564" s="55">
        <f t="shared" si="386"/>
        <v>100</v>
      </c>
      <c r="V1564" s="35" t="s">
        <v>58</v>
      </c>
      <c r="W1564" s="40">
        <f t="shared" si="399"/>
        <v>6906900</v>
      </c>
      <c r="X1564" s="53">
        <f t="shared" si="400"/>
        <v>78.329061670711525</v>
      </c>
      <c r="Y1564" s="35" t="s">
        <v>58</v>
      </c>
      <c r="Z1564" s="54">
        <f t="shared" si="389"/>
        <v>4</v>
      </c>
      <c r="AA1564" s="40">
        <f t="shared" si="401"/>
        <v>16762900</v>
      </c>
      <c r="AB1564" s="57">
        <f t="shared" si="390"/>
        <v>44.444444444444443</v>
      </c>
      <c r="AC1564" s="35" t="s">
        <v>58</v>
      </c>
      <c r="AD1564" s="57">
        <f t="shared" si="391"/>
        <v>32.854645305695257</v>
      </c>
      <c r="AE1564" s="11"/>
      <c r="AH1564" s="25"/>
    </row>
    <row r="1565" spans="1:34" s="33" customFormat="1" ht="126">
      <c r="A1565" s="58">
        <v>1</v>
      </c>
      <c r="B1565" s="19" t="s">
        <v>1465</v>
      </c>
      <c r="C1565" s="468" t="s">
        <v>1903</v>
      </c>
      <c r="D1565" s="573" t="s">
        <v>1904</v>
      </c>
      <c r="E1565" s="574" t="s">
        <v>1905</v>
      </c>
      <c r="F1565" s="575" t="s">
        <v>58</v>
      </c>
      <c r="G1565" s="576">
        <f>G1568+G1576</f>
        <v>1038915800</v>
      </c>
      <c r="H1565" s="574"/>
      <c r="I1565" s="576"/>
      <c r="J1565" s="577">
        <v>23</v>
      </c>
      <c r="K1565" s="576">
        <f>K1568+K1576+K1579</f>
        <v>1761306850</v>
      </c>
      <c r="L1565" s="577">
        <v>0</v>
      </c>
      <c r="M1565" s="576">
        <f>M1568+M1576+M1579</f>
        <v>150344400</v>
      </c>
      <c r="N1565" s="577" t="s">
        <v>1906</v>
      </c>
      <c r="O1565" s="576">
        <f>O1568+O1576+O1579</f>
        <v>420662400</v>
      </c>
      <c r="P1565" s="578">
        <v>17.5</v>
      </c>
      <c r="Q1565" s="576">
        <f>Q1568+Q1576+Q1579</f>
        <v>575767200</v>
      </c>
      <c r="R1565" s="578"/>
      <c r="S1565" s="23">
        <v>996429600</v>
      </c>
      <c r="T1565" s="579">
        <f t="shared" ref="T1565:T1611" si="403">SUM(L1565,N1565,P1565,R1565)</f>
        <v>17.5</v>
      </c>
      <c r="U1565" s="579">
        <f t="shared" ref="U1565:U1611" si="404">T1565/J1565*100</f>
        <v>76.08695652173914</v>
      </c>
      <c r="V1565" s="35" t="s">
        <v>58</v>
      </c>
      <c r="W1565" s="40">
        <f t="shared" ref="W1565:W1611" si="405">SUM(M1565,O1565,Q1565,S1565)</f>
        <v>2143203600</v>
      </c>
      <c r="X1565" s="580">
        <f>W1565/K1565*100</f>
        <v>121.68257904634845</v>
      </c>
      <c r="Y1565" s="35" t="s">
        <v>58</v>
      </c>
      <c r="Z1565" s="572">
        <f>H1565+T1565</f>
        <v>17.5</v>
      </c>
      <c r="AA1565" s="40">
        <f>I1565+W1565</f>
        <v>2143203600</v>
      </c>
      <c r="AB1565" s="57">
        <f>Z1565/E1565*100</f>
        <v>648.14814814814804</v>
      </c>
      <c r="AC1565" s="35" t="s">
        <v>58</v>
      </c>
      <c r="AD1565" s="57">
        <f>AA1565/G1565*100</f>
        <v>206.29232898373479</v>
      </c>
      <c r="AE1565" s="24" t="s">
        <v>2048</v>
      </c>
      <c r="AG1565" s="581"/>
      <c r="AH1565" s="582"/>
    </row>
    <row r="1566" spans="1:34" s="33" customFormat="1" ht="105">
      <c r="A1566" s="58"/>
      <c r="B1566" s="19"/>
      <c r="C1566" s="468"/>
      <c r="D1566" s="440" t="s">
        <v>1907</v>
      </c>
      <c r="E1566" s="583">
        <v>0.95</v>
      </c>
      <c r="F1566" s="575" t="s">
        <v>58</v>
      </c>
      <c r="G1566" s="584"/>
      <c r="H1566" s="583"/>
      <c r="I1566" s="584"/>
      <c r="J1566" s="585">
        <v>22</v>
      </c>
      <c r="K1566" s="584"/>
      <c r="L1566" s="585">
        <v>0</v>
      </c>
      <c r="M1566" s="584"/>
      <c r="N1566" s="585">
        <v>0.42</v>
      </c>
      <c r="O1566" s="584"/>
      <c r="P1566" s="578">
        <v>15.4</v>
      </c>
      <c r="Q1566" s="584"/>
      <c r="R1566" s="578"/>
      <c r="S1566" s="23">
        <v>0</v>
      </c>
      <c r="T1566" s="579">
        <f t="shared" si="403"/>
        <v>15.82</v>
      </c>
      <c r="U1566" s="579">
        <f t="shared" si="404"/>
        <v>71.909090909090907</v>
      </c>
      <c r="V1566" s="35" t="s">
        <v>58</v>
      </c>
      <c r="W1566" s="586">
        <f t="shared" si="405"/>
        <v>0</v>
      </c>
      <c r="X1566" s="580"/>
      <c r="Y1566" s="35" t="s">
        <v>58</v>
      </c>
      <c r="Z1566" s="587">
        <f t="shared" ref="Z1566:Z1611" si="406">SUM(H1566,T1566)</f>
        <v>15.82</v>
      </c>
      <c r="AA1566" s="40">
        <f t="shared" ref="AA1566:AA1611" si="407">SUM(I1566,W1566)</f>
        <v>0</v>
      </c>
      <c r="AB1566" s="53"/>
      <c r="AC1566" s="35" t="s">
        <v>58</v>
      </c>
      <c r="AD1566" s="53"/>
      <c r="AE1566" s="12"/>
      <c r="AG1566" s="581"/>
      <c r="AH1566" s="582"/>
    </row>
    <row r="1567" spans="1:34" s="33" customFormat="1" ht="105">
      <c r="A1567" s="58"/>
      <c r="B1567" s="19"/>
      <c r="C1567" s="468"/>
      <c r="D1567" s="440" t="s">
        <v>1908</v>
      </c>
      <c r="E1567" s="583">
        <v>0.75</v>
      </c>
      <c r="F1567" s="575" t="s">
        <v>58</v>
      </c>
      <c r="G1567" s="584"/>
      <c r="H1567" s="583"/>
      <c r="I1567" s="584"/>
      <c r="J1567" s="585">
        <v>0.4</v>
      </c>
      <c r="K1567" s="584"/>
      <c r="L1567" s="585">
        <v>0</v>
      </c>
      <c r="M1567" s="584"/>
      <c r="N1567" s="585">
        <v>0.23</v>
      </c>
      <c r="O1567" s="584"/>
      <c r="P1567" s="588">
        <v>0.12</v>
      </c>
      <c r="Q1567" s="584"/>
      <c r="R1567" s="589"/>
      <c r="S1567" s="42">
        <v>0</v>
      </c>
      <c r="T1567" s="580">
        <f t="shared" si="403"/>
        <v>0.35</v>
      </c>
      <c r="U1567" s="580">
        <f t="shared" si="404"/>
        <v>87.499999999999986</v>
      </c>
      <c r="V1567" s="35" t="s">
        <v>58</v>
      </c>
      <c r="W1567" s="586">
        <f t="shared" si="405"/>
        <v>0</v>
      </c>
      <c r="X1567" s="580"/>
      <c r="Y1567" s="35" t="s">
        <v>58</v>
      </c>
      <c r="Z1567" s="587">
        <f t="shared" si="406"/>
        <v>0.35</v>
      </c>
      <c r="AA1567" s="59">
        <f t="shared" si="407"/>
        <v>0</v>
      </c>
      <c r="AB1567" s="57"/>
      <c r="AC1567" s="58" t="s">
        <v>58</v>
      </c>
      <c r="AD1567" s="57"/>
      <c r="AE1567" s="12"/>
      <c r="AG1567" s="581"/>
      <c r="AH1567" s="582"/>
    </row>
    <row r="1568" spans="1:34" s="600" customFormat="1" ht="78.75">
      <c r="A1568" s="410"/>
      <c r="B1568" s="573"/>
      <c r="C1568" s="573" t="s">
        <v>1909</v>
      </c>
      <c r="D1568" s="468" t="s">
        <v>1910</v>
      </c>
      <c r="E1568" s="590">
        <v>0.16</v>
      </c>
      <c r="F1568" s="575" t="s">
        <v>58</v>
      </c>
      <c r="G1568" s="576">
        <f>SUM(G1569:G1570)</f>
        <v>614796000</v>
      </c>
      <c r="H1568" s="591"/>
      <c r="I1568" s="576"/>
      <c r="J1568" s="592">
        <v>2.6</v>
      </c>
      <c r="K1568" s="576">
        <v>1000337000</v>
      </c>
      <c r="L1568" s="592">
        <v>0</v>
      </c>
      <c r="M1568" s="576">
        <f>M1569</f>
        <v>0</v>
      </c>
      <c r="N1568" s="592">
        <v>0.44</v>
      </c>
      <c r="O1568" s="576">
        <f>O1569</f>
        <v>265650000</v>
      </c>
      <c r="P1568" s="593"/>
      <c r="Q1568" s="576">
        <f>Q1569</f>
        <v>90469000</v>
      </c>
      <c r="R1568" s="594"/>
      <c r="S1568" s="273">
        <v>356119000</v>
      </c>
      <c r="T1568" s="595">
        <f t="shared" si="403"/>
        <v>0.44</v>
      </c>
      <c r="U1568" s="595">
        <f t="shared" si="404"/>
        <v>16.92307692307692</v>
      </c>
      <c r="V1568" s="575" t="s">
        <v>58</v>
      </c>
      <c r="W1568" s="596">
        <f t="shared" si="405"/>
        <v>712238000</v>
      </c>
      <c r="X1568" s="597">
        <f t="shared" ref="X1568:X1589" si="408">W1568/K1568*100</f>
        <v>71.199805665490729</v>
      </c>
      <c r="Y1568" s="575" t="s">
        <v>58</v>
      </c>
      <c r="Z1568" s="598">
        <f t="shared" si="406"/>
        <v>0.44</v>
      </c>
      <c r="AA1568" s="407">
        <f t="shared" si="407"/>
        <v>712238000</v>
      </c>
      <c r="AB1568" s="408"/>
      <c r="AC1568" s="300" t="s">
        <v>58</v>
      </c>
      <c r="AD1568" s="408"/>
      <c r="AE1568" s="599"/>
      <c r="AG1568" s="581"/>
      <c r="AH1568" s="582"/>
    </row>
    <row r="1569" spans="1:34" s="600" customFormat="1" ht="107.45" customHeight="1">
      <c r="A1569" s="410"/>
      <c r="B1569" s="573"/>
      <c r="C1569" s="440" t="s">
        <v>1911</v>
      </c>
      <c r="D1569" s="360" t="s">
        <v>1912</v>
      </c>
      <c r="E1569" s="601">
        <v>844</v>
      </c>
      <c r="F1569" s="583" t="s">
        <v>1068</v>
      </c>
      <c r="G1569" s="584">
        <v>141108000</v>
      </c>
      <c r="H1569" s="601"/>
      <c r="I1569" s="584"/>
      <c r="J1569" s="602">
        <v>280</v>
      </c>
      <c r="K1569" s="584">
        <v>356119000</v>
      </c>
      <c r="L1569" s="602">
        <v>0</v>
      </c>
      <c r="M1569" s="584">
        <f>M1570</f>
        <v>0</v>
      </c>
      <c r="N1569" s="602">
        <v>230</v>
      </c>
      <c r="O1569" s="584">
        <v>265650000</v>
      </c>
      <c r="P1569" s="593">
        <v>0</v>
      </c>
      <c r="Q1569" s="584">
        <v>90469000</v>
      </c>
      <c r="R1569" s="594">
        <v>50</v>
      </c>
      <c r="S1569" s="273">
        <v>356119000</v>
      </c>
      <c r="T1569" s="595">
        <f t="shared" si="403"/>
        <v>280</v>
      </c>
      <c r="U1569" s="595">
        <f t="shared" si="404"/>
        <v>100</v>
      </c>
      <c r="V1569" s="583" t="s">
        <v>58</v>
      </c>
      <c r="W1569" s="596">
        <f t="shared" si="405"/>
        <v>712238000</v>
      </c>
      <c r="X1569" s="597">
        <f t="shared" si="408"/>
        <v>200</v>
      </c>
      <c r="Y1569" s="583" t="s">
        <v>58</v>
      </c>
      <c r="Z1569" s="598">
        <f t="shared" si="406"/>
        <v>280</v>
      </c>
      <c r="AA1569" s="407">
        <f t="shared" si="407"/>
        <v>712238000</v>
      </c>
      <c r="AB1569" s="408"/>
      <c r="AC1569" s="300" t="s">
        <v>58</v>
      </c>
      <c r="AD1569" s="408"/>
      <c r="AE1569" s="599"/>
      <c r="AG1569" s="581"/>
      <c r="AH1569" s="582"/>
    </row>
    <row r="1570" spans="1:34" s="600" customFormat="1" ht="90">
      <c r="A1570" s="410"/>
      <c r="B1570" s="573"/>
      <c r="C1570" s="360" t="s">
        <v>1913</v>
      </c>
      <c r="D1570" s="603" t="s">
        <v>1914</v>
      </c>
      <c r="E1570" s="604">
        <v>0.16</v>
      </c>
      <c r="F1570" s="583" t="s">
        <v>58</v>
      </c>
      <c r="G1570" s="584">
        <v>473688000</v>
      </c>
      <c r="H1570" s="601"/>
      <c r="I1570" s="584"/>
      <c r="J1570" s="602">
        <v>7000</v>
      </c>
      <c r="K1570" s="584">
        <v>356119000</v>
      </c>
      <c r="L1570" s="602">
        <v>0</v>
      </c>
      <c r="M1570" s="584">
        <v>0</v>
      </c>
      <c r="N1570" s="602">
        <v>5750</v>
      </c>
      <c r="O1570" s="584">
        <v>265650000</v>
      </c>
      <c r="P1570" s="593">
        <v>0</v>
      </c>
      <c r="Q1570" s="584">
        <v>90469000</v>
      </c>
      <c r="R1570" s="593">
        <v>1250</v>
      </c>
      <c r="S1570" s="273">
        <v>356119000</v>
      </c>
      <c r="T1570" s="595">
        <f t="shared" si="403"/>
        <v>7000</v>
      </c>
      <c r="U1570" s="595">
        <f t="shared" si="404"/>
        <v>100</v>
      </c>
      <c r="V1570" s="583" t="s">
        <v>58</v>
      </c>
      <c r="W1570" s="407">
        <f t="shared" si="405"/>
        <v>712238000</v>
      </c>
      <c r="X1570" s="597">
        <f t="shared" si="408"/>
        <v>200</v>
      </c>
      <c r="Y1570" s="583" t="s">
        <v>58</v>
      </c>
      <c r="Z1570" s="598">
        <f t="shared" si="406"/>
        <v>7000</v>
      </c>
      <c r="AA1570" s="407">
        <f t="shared" si="407"/>
        <v>712238000</v>
      </c>
      <c r="AB1570" s="408"/>
      <c r="AC1570" s="300" t="s">
        <v>58</v>
      </c>
      <c r="AD1570" s="408"/>
      <c r="AE1570" s="599"/>
      <c r="AG1570" s="581"/>
      <c r="AH1570" s="582"/>
    </row>
    <row r="1571" spans="1:34" s="600" customFormat="1" ht="60">
      <c r="A1571" s="410"/>
      <c r="B1571" s="573"/>
      <c r="C1571" s="360"/>
      <c r="D1571" s="603" t="s">
        <v>1915</v>
      </c>
      <c r="E1571" s="604"/>
      <c r="F1571" s="583"/>
      <c r="G1571" s="584"/>
      <c r="H1571" s="601"/>
      <c r="I1571" s="584"/>
      <c r="J1571" s="602">
        <v>75</v>
      </c>
      <c r="K1571" s="584">
        <v>42485200</v>
      </c>
      <c r="L1571" s="602">
        <v>0</v>
      </c>
      <c r="M1571" s="584">
        <v>0</v>
      </c>
      <c r="N1571" s="602">
        <v>75</v>
      </c>
      <c r="O1571" s="584">
        <v>42485200</v>
      </c>
      <c r="P1571" s="593">
        <v>0</v>
      </c>
      <c r="Q1571" s="584">
        <v>0</v>
      </c>
      <c r="R1571" s="593">
        <v>0</v>
      </c>
      <c r="S1571" s="273">
        <v>42485200</v>
      </c>
      <c r="T1571" s="595">
        <f t="shared" si="403"/>
        <v>75</v>
      </c>
      <c r="U1571" s="595">
        <f t="shared" si="404"/>
        <v>100</v>
      </c>
      <c r="V1571" s="583" t="s">
        <v>58</v>
      </c>
      <c r="W1571" s="407">
        <f t="shared" si="405"/>
        <v>84970400</v>
      </c>
      <c r="X1571" s="597">
        <f t="shared" si="408"/>
        <v>200</v>
      </c>
      <c r="Y1571" s="583" t="s">
        <v>58</v>
      </c>
      <c r="Z1571" s="598">
        <f t="shared" si="406"/>
        <v>75</v>
      </c>
      <c r="AA1571" s="407">
        <f t="shared" si="407"/>
        <v>84970400</v>
      </c>
      <c r="AB1571" s="408"/>
      <c r="AC1571" s="300"/>
      <c r="AD1571" s="408"/>
      <c r="AE1571" s="599"/>
      <c r="AG1571" s="581"/>
      <c r="AH1571" s="582"/>
    </row>
    <row r="1572" spans="1:34" s="600" customFormat="1" ht="60">
      <c r="A1572" s="410"/>
      <c r="B1572" s="573"/>
      <c r="C1572" s="360"/>
      <c r="D1572" s="603" t="s">
        <v>1916</v>
      </c>
      <c r="E1572" s="604"/>
      <c r="F1572" s="583"/>
      <c r="G1572" s="584"/>
      <c r="H1572" s="601"/>
      <c r="I1572" s="584"/>
      <c r="J1572" s="602">
        <v>60</v>
      </c>
      <c r="K1572" s="584">
        <v>88048200</v>
      </c>
      <c r="L1572" s="602">
        <v>0</v>
      </c>
      <c r="M1572" s="584">
        <v>0</v>
      </c>
      <c r="N1572" s="602">
        <v>0</v>
      </c>
      <c r="O1572" s="584">
        <v>0</v>
      </c>
      <c r="P1572" s="593">
        <v>0</v>
      </c>
      <c r="Q1572" s="584">
        <v>88048200</v>
      </c>
      <c r="R1572" s="593">
        <v>60</v>
      </c>
      <c r="S1572" s="273">
        <v>88048200</v>
      </c>
      <c r="T1572" s="595">
        <f t="shared" si="403"/>
        <v>60</v>
      </c>
      <c r="U1572" s="595">
        <f t="shared" si="404"/>
        <v>100</v>
      </c>
      <c r="V1572" s="583" t="s">
        <v>58</v>
      </c>
      <c r="W1572" s="407">
        <f t="shared" si="405"/>
        <v>176096400</v>
      </c>
      <c r="X1572" s="597">
        <f t="shared" si="408"/>
        <v>200</v>
      </c>
      <c r="Y1572" s="583" t="s">
        <v>58</v>
      </c>
      <c r="Z1572" s="598">
        <f t="shared" si="406"/>
        <v>60</v>
      </c>
      <c r="AA1572" s="407">
        <f t="shared" si="407"/>
        <v>176096400</v>
      </c>
      <c r="AB1572" s="408"/>
      <c r="AC1572" s="300"/>
      <c r="AD1572" s="408"/>
      <c r="AE1572" s="599"/>
      <c r="AG1572" s="581"/>
      <c r="AH1572" s="582"/>
    </row>
    <row r="1573" spans="1:34" s="600" customFormat="1" ht="60">
      <c r="A1573" s="410"/>
      <c r="B1573" s="573"/>
      <c r="C1573" s="360"/>
      <c r="D1573" s="603" t="s">
        <v>1917</v>
      </c>
      <c r="E1573" s="604"/>
      <c r="F1573" s="583"/>
      <c r="G1573" s="584"/>
      <c r="H1573" s="601"/>
      <c r="I1573" s="584"/>
      <c r="J1573" s="602">
        <v>500</v>
      </c>
      <c r="K1573" s="584">
        <v>32900000</v>
      </c>
      <c r="L1573" s="602">
        <v>0</v>
      </c>
      <c r="M1573" s="584">
        <v>0</v>
      </c>
      <c r="N1573" s="602">
        <v>0</v>
      </c>
      <c r="O1573" s="584">
        <v>0</v>
      </c>
      <c r="P1573" s="593">
        <v>0</v>
      </c>
      <c r="Q1573" s="584">
        <v>32900000</v>
      </c>
      <c r="R1573" s="593">
        <v>500</v>
      </c>
      <c r="S1573" s="273">
        <v>32900000</v>
      </c>
      <c r="T1573" s="595">
        <f t="shared" si="403"/>
        <v>500</v>
      </c>
      <c r="U1573" s="595">
        <f t="shared" si="404"/>
        <v>100</v>
      </c>
      <c r="V1573" s="583" t="s">
        <v>58</v>
      </c>
      <c r="W1573" s="407">
        <f t="shared" si="405"/>
        <v>65800000</v>
      </c>
      <c r="X1573" s="597">
        <f t="shared" si="408"/>
        <v>200</v>
      </c>
      <c r="Y1573" s="583" t="s">
        <v>58</v>
      </c>
      <c r="Z1573" s="598">
        <f t="shared" si="406"/>
        <v>500</v>
      </c>
      <c r="AA1573" s="407">
        <f t="shared" si="407"/>
        <v>65800000</v>
      </c>
      <c r="AB1573" s="408"/>
      <c r="AC1573" s="300"/>
      <c r="AD1573" s="408"/>
      <c r="AE1573" s="599"/>
      <c r="AG1573" s="581"/>
      <c r="AH1573" s="582"/>
    </row>
    <row r="1574" spans="1:34" s="600" customFormat="1" ht="73.5" customHeight="1">
      <c r="A1574" s="410"/>
      <c r="B1574" s="573"/>
      <c r="C1574" s="360"/>
      <c r="D1574" s="603" t="s">
        <v>1918</v>
      </c>
      <c r="E1574" s="604"/>
      <c r="F1574" s="583"/>
      <c r="G1574" s="584"/>
      <c r="H1574" s="601"/>
      <c r="I1574" s="584"/>
      <c r="J1574" s="602">
        <v>1700</v>
      </c>
      <c r="K1574" s="584">
        <v>13830000</v>
      </c>
      <c r="L1574" s="602">
        <v>0</v>
      </c>
      <c r="M1574" s="584">
        <v>0</v>
      </c>
      <c r="N1574" s="602">
        <v>0</v>
      </c>
      <c r="O1574" s="584">
        <v>0</v>
      </c>
      <c r="P1574" s="593">
        <v>0</v>
      </c>
      <c r="Q1574" s="584">
        <v>13830000</v>
      </c>
      <c r="R1574" s="593">
        <v>1700</v>
      </c>
      <c r="S1574" s="273">
        <v>13830000</v>
      </c>
      <c r="T1574" s="595">
        <f t="shared" si="403"/>
        <v>1700</v>
      </c>
      <c r="U1574" s="595">
        <f t="shared" si="404"/>
        <v>100</v>
      </c>
      <c r="V1574" s="583" t="s">
        <v>58</v>
      </c>
      <c r="W1574" s="407">
        <f t="shared" si="405"/>
        <v>27660000</v>
      </c>
      <c r="X1574" s="597">
        <f t="shared" si="408"/>
        <v>200</v>
      </c>
      <c r="Y1574" s="583" t="s">
        <v>58</v>
      </c>
      <c r="Z1574" s="598">
        <f t="shared" si="406"/>
        <v>1700</v>
      </c>
      <c r="AA1574" s="407">
        <f t="shared" si="407"/>
        <v>27660000</v>
      </c>
      <c r="AB1574" s="408"/>
      <c r="AC1574" s="300"/>
      <c r="AD1574" s="408"/>
      <c r="AE1574" s="599"/>
      <c r="AG1574" s="581"/>
      <c r="AH1574" s="582"/>
    </row>
    <row r="1575" spans="1:34" s="600" customFormat="1" ht="90">
      <c r="A1575" s="410"/>
      <c r="B1575" s="573"/>
      <c r="C1575" s="360"/>
      <c r="D1575" s="603" t="str">
        <f>[1]Cascading!$AF$14</f>
        <v>Terlaksananya bimbingan teknis kegiatan tanaman pangan</v>
      </c>
      <c r="E1575" s="584">
        <v>880</v>
      </c>
      <c r="F1575" s="583" t="s">
        <v>1771</v>
      </c>
      <c r="G1575" s="584">
        <v>33000000</v>
      </c>
      <c r="H1575" s="584"/>
      <c r="I1575" s="584"/>
      <c r="J1575" s="605">
        <v>2510</v>
      </c>
      <c r="K1575" s="584">
        <f>J1575*37500</f>
        <v>94125000</v>
      </c>
      <c r="L1575" s="605">
        <v>195</v>
      </c>
      <c r="M1575" s="584">
        <f>L1575*37500</f>
        <v>7312500</v>
      </c>
      <c r="N1575" s="605">
        <v>440</v>
      </c>
      <c r="O1575" s="584">
        <f>N1575*37500</f>
        <v>16500000</v>
      </c>
      <c r="P1575" s="594">
        <v>870</v>
      </c>
      <c r="Q1575" s="584">
        <f>P1575*37500</f>
        <v>32625000</v>
      </c>
      <c r="R1575" s="594">
        <v>905</v>
      </c>
      <c r="S1575" s="273">
        <v>49125000</v>
      </c>
      <c r="T1575" s="595">
        <f t="shared" si="403"/>
        <v>2410</v>
      </c>
      <c r="U1575" s="595">
        <f t="shared" si="404"/>
        <v>96.01593625498009</v>
      </c>
      <c r="V1575" s="583" t="s">
        <v>58</v>
      </c>
      <c r="W1575" s="407">
        <f t="shared" si="405"/>
        <v>105562500</v>
      </c>
      <c r="X1575" s="597">
        <f t="shared" si="408"/>
        <v>112.15139442231074</v>
      </c>
      <c r="Y1575" s="583" t="s">
        <v>58</v>
      </c>
      <c r="Z1575" s="598">
        <f t="shared" si="406"/>
        <v>2410</v>
      </c>
      <c r="AA1575" s="407">
        <f t="shared" si="407"/>
        <v>105562500</v>
      </c>
      <c r="AB1575" s="408"/>
      <c r="AC1575" s="300" t="s">
        <v>58</v>
      </c>
      <c r="AD1575" s="408"/>
      <c r="AE1575" s="599"/>
      <c r="AG1575" s="581"/>
      <c r="AH1575" s="582"/>
    </row>
    <row r="1576" spans="1:34" s="600" customFormat="1" ht="129" customHeight="1">
      <c r="A1576" s="410"/>
      <c r="B1576" s="573"/>
      <c r="C1576" s="468" t="s">
        <v>1919</v>
      </c>
      <c r="D1576" s="606" t="s">
        <v>1920</v>
      </c>
      <c r="E1576" s="604">
        <f>SUM(E1577:E1578)</f>
        <v>3.25</v>
      </c>
      <c r="F1576" s="575" t="s">
        <v>58</v>
      </c>
      <c r="G1576" s="576">
        <f>SUM(G1577:G1578)</f>
        <v>424119800</v>
      </c>
      <c r="H1576" s="604"/>
      <c r="I1576" s="576"/>
      <c r="J1576" s="607">
        <v>3.16</v>
      </c>
      <c r="K1576" s="576">
        <f>SUM(K1577:K1578)</f>
        <v>288460000</v>
      </c>
      <c r="L1576" s="607">
        <v>0</v>
      </c>
      <c r="M1576" s="576">
        <f>SUM(M1577:M1578)</f>
        <v>60182000</v>
      </c>
      <c r="N1576" s="607">
        <v>1.8</v>
      </c>
      <c r="O1576" s="576">
        <f>SUM(O1577:O1578)</f>
        <v>67100000</v>
      </c>
      <c r="P1576" s="594"/>
      <c r="Q1576" s="576">
        <f>SUM(Q1577:Q1578)</f>
        <v>104761000</v>
      </c>
      <c r="R1576" s="594"/>
      <c r="S1576" s="273">
        <v>171861000</v>
      </c>
      <c r="T1576" s="595">
        <f t="shared" si="403"/>
        <v>1.8</v>
      </c>
      <c r="U1576" s="595">
        <f t="shared" si="404"/>
        <v>56.962025316455701</v>
      </c>
      <c r="V1576" s="575" t="s">
        <v>58</v>
      </c>
      <c r="W1576" s="407">
        <f t="shared" si="405"/>
        <v>403904000</v>
      </c>
      <c r="X1576" s="597">
        <f t="shared" si="408"/>
        <v>140.02080011093392</v>
      </c>
      <c r="Y1576" s="575" t="s">
        <v>58</v>
      </c>
      <c r="Z1576" s="598">
        <f t="shared" si="406"/>
        <v>1.8</v>
      </c>
      <c r="AA1576" s="407">
        <f t="shared" si="407"/>
        <v>403904000</v>
      </c>
      <c r="AB1576" s="408"/>
      <c r="AC1576" s="300" t="s">
        <v>58</v>
      </c>
      <c r="AD1576" s="408"/>
      <c r="AE1576" s="599"/>
      <c r="AG1576" s="581"/>
      <c r="AH1576" s="582"/>
    </row>
    <row r="1577" spans="1:34" s="600" customFormat="1" ht="120">
      <c r="A1577" s="410"/>
      <c r="B1577" s="573"/>
      <c r="C1577" s="360" t="s">
        <v>1921</v>
      </c>
      <c r="D1577" s="603" t="s">
        <v>1922</v>
      </c>
      <c r="E1577" s="604">
        <v>2.65</v>
      </c>
      <c r="F1577" s="575" t="s">
        <v>58</v>
      </c>
      <c r="G1577" s="584">
        <v>51779800</v>
      </c>
      <c r="H1577" s="604"/>
      <c r="I1577" s="584"/>
      <c r="J1577" s="607">
        <v>2.63</v>
      </c>
      <c r="K1577" s="584">
        <v>288460000</v>
      </c>
      <c r="L1577" s="607">
        <v>0</v>
      </c>
      <c r="M1577" s="584">
        <f>5000000+2289000</f>
        <v>7289000</v>
      </c>
      <c r="N1577" s="607">
        <v>1.4</v>
      </c>
      <c r="O1577" s="584">
        <v>5000000</v>
      </c>
      <c r="P1577" s="608">
        <v>0.61</v>
      </c>
      <c r="Q1577" s="584">
        <f>13854000+2289000</f>
        <v>16143000</v>
      </c>
      <c r="R1577" s="609">
        <v>0.63</v>
      </c>
      <c r="S1577" s="610">
        <v>21143000</v>
      </c>
      <c r="T1577" s="595">
        <f t="shared" si="403"/>
        <v>2.6399999999999997</v>
      </c>
      <c r="U1577" s="595">
        <f t="shared" si="404"/>
        <v>100.38022813688212</v>
      </c>
      <c r="V1577" s="575" t="s">
        <v>58</v>
      </c>
      <c r="W1577" s="407">
        <f t="shared" si="405"/>
        <v>49575000</v>
      </c>
      <c r="X1577" s="597">
        <f t="shared" si="408"/>
        <v>17.186091659155515</v>
      </c>
      <c r="Y1577" s="575" t="s">
        <v>58</v>
      </c>
      <c r="Z1577" s="598">
        <f t="shared" si="406"/>
        <v>2.6399999999999997</v>
      </c>
      <c r="AA1577" s="407">
        <f t="shared" si="407"/>
        <v>49575000</v>
      </c>
      <c r="AB1577" s="408"/>
      <c r="AC1577" s="300" t="s">
        <v>58</v>
      </c>
      <c r="AD1577" s="412"/>
      <c r="AE1577" s="599"/>
      <c r="AG1577" s="581"/>
      <c r="AH1577" s="582"/>
    </row>
    <row r="1578" spans="1:34" s="600" customFormat="1" ht="75">
      <c r="A1578" s="410"/>
      <c r="B1578" s="573"/>
      <c r="C1578" s="360" t="s">
        <v>1923</v>
      </c>
      <c r="D1578" s="603" t="s">
        <v>1924</v>
      </c>
      <c r="E1578" s="604">
        <v>0.6</v>
      </c>
      <c r="F1578" s="575" t="s">
        <v>58</v>
      </c>
      <c r="G1578" s="584">
        <v>372340000</v>
      </c>
      <c r="H1578" s="604"/>
      <c r="I1578" s="584"/>
      <c r="J1578" s="607">
        <v>0.53</v>
      </c>
      <c r="K1578" s="584">
        <v>0</v>
      </c>
      <c r="L1578" s="607">
        <v>0</v>
      </c>
      <c r="M1578" s="584">
        <f>38500000+14393000</f>
        <v>52893000</v>
      </c>
      <c r="N1578" s="607">
        <v>0.2</v>
      </c>
      <c r="O1578" s="584">
        <v>62100000</v>
      </c>
      <c r="P1578" s="607">
        <v>0.2</v>
      </c>
      <c r="Q1578" s="584">
        <f>67000000+21618000</f>
        <v>88618000</v>
      </c>
      <c r="R1578" s="607">
        <v>0.13</v>
      </c>
      <c r="S1578" s="273">
        <v>150718000</v>
      </c>
      <c r="T1578" s="595">
        <f t="shared" si="403"/>
        <v>0.53</v>
      </c>
      <c r="U1578" s="595">
        <f t="shared" si="404"/>
        <v>100</v>
      </c>
      <c r="V1578" s="575" t="s">
        <v>58</v>
      </c>
      <c r="W1578" s="407">
        <f t="shared" si="405"/>
        <v>354329000</v>
      </c>
      <c r="X1578" s="597" t="e">
        <f t="shared" si="408"/>
        <v>#DIV/0!</v>
      </c>
      <c r="Y1578" s="575" t="s">
        <v>58</v>
      </c>
      <c r="Z1578" s="598">
        <f t="shared" si="406"/>
        <v>0.53</v>
      </c>
      <c r="AA1578" s="407">
        <f t="shared" si="407"/>
        <v>354329000</v>
      </c>
      <c r="AB1578" s="408"/>
      <c r="AC1578" s="300" t="s">
        <v>58</v>
      </c>
      <c r="AD1578" s="408"/>
      <c r="AE1578" s="599"/>
      <c r="AG1578" s="581"/>
      <c r="AH1578" s="582"/>
    </row>
    <row r="1579" spans="1:34" s="600" customFormat="1" ht="136.9" customHeight="1">
      <c r="A1579" s="410"/>
      <c r="B1579" s="573"/>
      <c r="C1579" s="468" t="s">
        <v>1925</v>
      </c>
      <c r="D1579" s="611" t="s">
        <v>1926</v>
      </c>
      <c r="E1579" s="576">
        <v>100</v>
      </c>
      <c r="F1579" s="575" t="s">
        <v>58</v>
      </c>
      <c r="G1579" s="576" t="s">
        <v>1927</v>
      </c>
      <c r="H1579" s="576"/>
      <c r="I1579" s="576"/>
      <c r="J1579" s="612">
        <v>100</v>
      </c>
      <c r="K1579" s="576">
        <f>SUM(K1580)</f>
        <v>472509850</v>
      </c>
      <c r="L1579" s="612">
        <v>0</v>
      </c>
      <c r="M1579" s="576">
        <f>SUM(M1580)</f>
        <v>90162400</v>
      </c>
      <c r="N1579" s="612">
        <v>100</v>
      </c>
      <c r="O1579" s="576">
        <f>SUM(O1580)</f>
        <v>87912400</v>
      </c>
      <c r="P1579" s="613"/>
      <c r="Q1579" s="576">
        <f>SUM(Q1580)</f>
        <v>380537200</v>
      </c>
      <c r="R1579" s="593"/>
      <c r="S1579" s="273">
        <v>468449600</v>
      </c>
      <c r="T1579" s="614">
        <f t="shared" si="403"/>
        <v>100</v>
      </c>
      <c r="U1579" s="614">
        <f t="shared" si="404"/>
        <v>100</v>
      </c>
      <c r="V1579" s="575" t="s">
        <v>58</v>
      </c>
      <c r="W1579" s="411">
        <f t="shared" si="405"/>
        <v>1027061600</v>
      </c>
      <c r="X1579" s="615">
        <f t="shared" si="408"/>
        <v>217.36300312046404</v>
      </c>
      <c r="Y1579" s="575" t="s">
        <v>58</v>
      </c>
      <c r="Z1579" s="616">
        <f t="shared" si="406"/>
        <v>100</v>
      </c>
      <c r="AA1579" s="411">
        <f t="shared" si="407"/>
        <v>1027061600</v>
      </c>
      <c r="AB1579" s="412"/>
      <c r="AC1579" s="410" t="s">
        <v>58</v>
      </c>
      <c r="AD1579" s="412"/>
      <c r="AE1579" s="599"/>
      <c r="AG1579" s="581"/>
      <c r="AH1579" s="582"/>
    </row>
    <row r="1580" spans="1:34" s="600" customFormat="1" ht="90">
      <c r="A1580" s="410"/>
      <c r="B1580" s="573"/>
      <c r="C1580" s="360" t="s">
        <v>1928</v>
      </c>
      <c r="D1580" s="603" t="s">
        <v>1929</v>
      </c>
      <c r="E1580" s="584">
        <v>100</v>
      </c>
      <c r="F1580" s="583" t="s">
        <v>58</v>
      </c>
      <c r="G1580" s="584" t="s">
        <v>1930</v>
      </c>
      <c r="H1580" s="584"/>
      <c r="I1580" s="584"/>
      <c r="J1580" s="605">
        <v>100</v>
      </c>
      <c r="K1580" s="584">
        <v>472509850</v>
      </c>
      <c r="L1580" s="605">
        <v>0</v>
      </c>
      <c r="M1580" s="584">
        <f>75000000+15162400</f>
        <v>90162400</v>
      </c>
      <c r="N1580" s="605">
        <v>100</v>
      </c>
      <c r="O1580" s="584">
        <v>87912400</v>
      </c>
      <c r="P1580" s="594"/>
      <c r="Q1580" s="584">
        <f>365374800+15162400</f>
        <v>380537200</v>
      </c>
      <c r="R1580" s="594"/>
      <c r="S1580" s="273">
        <v>468449600</v>
      </c>
      <c r="T1580" s="595">
        <f t="shared" si="403"/>
        <v>100</v>
      </c>
      <c r="U1580" s="595">
        <f t="shared" si="404"/>
        <v>100</v>
      </c>
      <c r="V1580" s="583" t="s">
        <v>58</v>
      </c>
      <c r="W1580" s="407">
        <f t="shared" si="405"/>
        <v>1027061600</v>
      </c>
      <c r="X1580" s="597">
        <f t="shared" si="408"/>
        <v>217.36300312046404</v>
      </c>
      <c r="Y1580" s="583" t="s">
        <v>58</v>
      </c>
      <c r="Z1580" s="598">
        <f t="shared" si="406"/>
        <v>100</v>
      </c>
      <c r="AA1580" s="407">
        <f t="shared" si="407"/>
        <v>1027061600</v>
      </c>
      <c r="AB1580" s="408"/>
      <c r="AC1580" s="300" t="s">
        <v>58</v>
      </c>
      <c r="AD1580" s="408"/>
      <c r="AE1580" s="599"/>
      <c r="AG1580" s="581"/>
      <c r="AH1580" s="582"/>
    </row>
    <row r="1581" spans="1:34" s="600" customFormat="1" ht="141.75">
      <c r="A1581" s="410"/>
      <c r="B1581" s="573" t="s">
        <v>1931</v>
      </c>
      <c r="C1581" s="468" t="s">
        <v>1932</v>
      </c>
      <c r="D1581" s="617" t="s">
        <v>1933</v>
      </c>
      <c r="E1581" s="590">
        <v>65</v>
      </c>
      <c r="F1581" s="575" t="s">
        <v>58</v>
      </c>
      <c r="G1581" s="576">
        <f>SUM(G1582)</f>
        <v>82500000</v>
      </c>
      <c r="H1581" s="590"/>
      <c r="I1581" s="576"/>
      <c r="J1581" s="618">
        <v>63.41</v>
      </c>
      <c r="K1581" s="576">
        <f>K1582+K1584</f>
        <v>9854734250</v>
      </c>
      <c r="L1581" s="618">
        <v>0</v>
      </c>
      <c r="M1581" s="576">
        <f>M1582+M1584</f>
        <v>1334387050</v>
      </c>
      <c r="N1581" s="618">
        <v>28</v>
      </c>
      <c r="O1581" s="576">
        <f>O1582+O1584</f>
        <v>1864050000</v>
      </c>
      <c r="P1581" s="594">
        <v>22</v>
      </c>
      <c r="Q1581" s="576">
        <f>Q1582+Q1584</f>
        <v>5720913143</v>
      </c>
      <c r="R1581" s="594">
        <v>50</v>
      </c>
      <c r="S1581" s="273">
        <v>7584963143</v>
      </c>
      <c r="T1581" s="595">
        <f t="shared" si="403"/>
        <v>100</v>
      </c>
      <c r="U1581" s="595">
        <f t="shared" si="404"/>
        <v>157.70383220312254</v>
      </c>
      <c r="V1581" s="300" t="s">
        <v>58</v>
      </c>
      <c r="W1581" s="407">
        <f t="shared" si="405"/>
        <v>16504313336</v>
      </c>
      <c r="X1581" s="597">
        <f t="shared" si="408"/>
        <v>167.4759858288416</v>
      </c>
      <c r="Y1581" s="300" t="s">
        <v>58</v>
      </c>
      <c r="Z1581" s="595">
        <f t="shared" si="406"/>
        <v>100</v>
      </c>
      <c r="AA1581" s="407">
        <f t="shared" si="407"/>
        <v>16504313336</v>
      </c>
      <c r="AB1581" s="408"/>
      <c r="AC1581" s="300" t="s">
        <v>58</v>
      </c>
      <c r="AD1581" s="408"/>
      <c r="AE1581" s="599"/>
      <c r="AG1581" s="581"/>
      <c r="AH1581" s="582"/>
    </row>
    <row r="1582" spans="1:34" s="600" customFormat="1" ht="63">
      <c r="A1582" s="410"/>
      <c r="B1582" s="573"/>
      <c r="C1582" s="468" t="s">
        <v>1934</v>
      </c>
      <c r="D1582" s="617" t="s">
        <v>1935</v>
      </c>
      <c r="E1582" s="576">
        <f>E1583</f>
        <v>22294.84</v>
      </c>
      <c r="F1582" s="575" t="s">
        <v>1068</v>
      </c>
      <c r="G1582" s="576">
        <f>SUM(G1583)</f>
        <v>82500000</v>
      </c>
      <c r="H1582" s="576"/>
      <c r="I1582" s="576"/>
      <c r="J1582" s="612">
        <v>22294.84</v>
      </c>
      <c r="K1582" s="576">
        <v>28510000</v>
      </c>
      <c r="L1582" s="612">
        <v>0</v>
      </c>
      <c r="M1582" s="576">
        <f>SUM(M1583)</f>
        <v>4225000</v>
      </c>
      <c r="N1582" s="612">
        <f>N1583</f>
        <v>12800</v>
      </c>
      <c r="O1582" s="576">
        <f>SUM(O1583)</f>
        <v>4225000</v>
      </c>
      <c r="P1582" s="594">
        <f>8505+990</f>
        <v>9495</v>
      </c>
      <c r="Q1582" s="576">
        <f>SUM(Q1583)</f>
        <v>4225000</v>
      </c>
      <c r="R1582" s="619"/>
      <c r="S1582" s="610">
        <v>8450000</v>
      </c>
      <c r="T1582" s="620">
        <f t="shared" si="403"/>
        <v>22295</v>
      </c>
      <c r="U1582" s="595">
        <f t="shared" si="404"/>
        <v>100.00071765484748</v>
      </c>
      <c r="V1582" s="300" t="s">
        <v>58</v>
      </c>
      <c r="W1582" s="407">
        <f t="shared" si="405"/>
        <v>21125000</v>
      </c>
      <c r="X1582" s="597">
        <f t="shared" si="408"/>
        <v>74.096808137495614</v>
      </c>
      <c r="Y1582" s="300" t="s">
        <v>58</v>
      </c>
      <c r="Z1582" s="620">
        <f t="shared" si="406"/>
        <v>22295</v>
      </c>
      <c r="AA1582" s="407">
        <f t="shared" si="407"/>
        <v>21125000</v>
      </c>
      <c r="AB1582" s="408"/>
      <c r="AC1582" s="300" t="s">
        <v>58</v>
      </c>
      <c r="AD1582" s="408"/>
      <c r="AE1582" s="599"/>
      <c r="AG1582" s="581"/>
      <c r="AH1582" s="582"/>
    </row>
    <row r="1583" spans="1:34" s="600" customFormat="1" ht="90">
      <c r="A1583" s="410"/>
      <c r="B1583" s="573"/>
      <c r="C1583" s="360" t="s">
        <v>1936</v>
      </c>
      <c r="D1583" s="603" t="s">
        <v>1937</v>
      </c>
      <c r="E1583" s="604">
        <v>22294.84</v>
      </c>
      <c r="F1583" s="583" t="s">
        <v>1068</v>
      </c>
      <c r="G1583" s="584">
        <v>82500000</v>
      </c>
      <c r="H1583" s="604"/>
      <c r="I1583" s="584"/>
      <c r="J1583" s="607">
        <v>22294.84</v>
      </c>
      <c r="K1583" s="584">
        <v>1705000</v>
      </c>
      <c r="L1583" s="607">
        <v>0</v>
      </c>
      <c r="M1583" s="584">
        <v>4225000</v>
      </c>
      <c r="N1583" s="607">
        <v>12800</v>
      </c>
      <c r="O1583" s="584">
        <v>4225000</v>
      </c>
      <c r="P1583" s="594"/>
      <c r="Q1583" s="584">
        <v>4225000</v>
      </c>
      <c r="R1583" s="621"/>
      <c r="S1583" s="610">
        <v>8450000</v>
      </c>
      <c r="T1583" s="620">
        <f t="shared" si="403"/>
        <v>12800</v>
      </c>
      <c r="U1583" s="595">
        <f t="shared" si="404"/>
        <v>57.412387799149933</v>
      </c>
      <c r="V1583" s="300" t="s">
        <v>58</v>
      </c>
      <c r="W1583" s="407">
        <f t="shared" si="405"/>
        <v>21125000</v>
      </c>
      <c r="X1583" s="597">
        <f t="shared" si="408"/>
        <v>1239.0029325513196</v>
      </c>
      <c r="Y1583" s="300" t="s">
        <v>58</v>
      </c>
      <c r="Z1583" s="620">
        <f t="shared" si="406"/>
        <v>12800</v>
      </c>
      <c r="AA1583" s="407">
        <f t="shared" si="407"/>
        <v>21125000</v>
      </c>
      <c r="AB1583" s="408"/>
      <c r="AC1583" s="300" t="s">
        <v>58</v>
      </c>
      <c r="AD1583" s="408"/>
      <c r="AE1583" s="599"/>
      <c r="AG1583" s="581"/>
      <c r="AH1583" s="582"/>
    </row>
    <row r="1584" spans="1:34" s="600" customFormat="1" ht="84" customHeight="1">
      <c r="A1584" s="410"/>
      <c r="B1584" s="573"/>
      <c r="C1584" s="468" t="s">
        <v>1938</v>
      </c>
      <c r="D1584" s="611" t="s">
        <v>1939</v>
      </c>
      <c r="E1584" s="576">
        <f>SUM(E1585:E1588)</f>
        <v>26</v>
      </c>
      <c r="F1584" s="575" t="s">
        <v>138</v>
      </c>
      <c r="G1584" s="576">
        <f>SUM(G1585:G1588)</f>
        <v>102576000</v>
      </c>
      <c r="H1584" s="576"/>
      <c r="I1584" s="576"/>
      <c r="J1584" s="612">
        <v>26</v>
      </c>
      <c r="K1584" s="576">
        <f>SUM(K1585:K1588)</f>
        <v>9826224250</v>
      </c>
      <c r="L1584" s="612">
        <v>0</v>
      </c>
      <c r="M1584" s="576">
        <f>SUM(M1585:M1588)</f>
        <v>1330162050</v>
      </c>
      <c r="N1584" s="612">
        <f>SUM(N1585:N1588)</f>
        <v>11</v>
      </c>
      <c r="O1584" s="576">
        <f>SUM(O1585:O1588)</f>
        <v>1859825000</v>
      </c>
      <c r="P1584" s="613"/>
      <c r="Q1584" s="576">
        <f>SUM(Q1585:Q1588)</f>
        <v>5716688143</v>
      </c>
      <c r="R1584" s="609"/>
      <c r="S1584" s="610">
        <v>7576513143</v>
      </c>
      <c r="T1584" s="622">
        <f t="shared" si="403"/>
        <v>11</v>
      </c>
      <c r="U1584" s="614">
        <f t="shared" si="404"/>
        <v>42.307692307692307</v>
      </c>
      <c r="V1584" s="410" t="s">
        <v>58</v>
      </c>
      <c r="W1584" s="411">
        <f t="shared" si="405"/>
        <v>16483188336</v>
      </c>
      <c r="X1584" s="615">
        <f t="shared" si="408"/>
        <v>167.74691800871531</v>
      </c>
      <c r="Y1584" s="410" t="s">
        <v>58</v>
      </c>
      <c r="Z1584" s="622">
        <f t="shared" si="406"/>
        <v>11</v>
      </c>
      <c r="AA1584" s="411">
        <f t="shared" si="407"/>
        <v>16483188336</v>
      </c>
      <c r="AB1584" s="412"/>
      <c r="AC1584" s="410" t="s">
        <v>58</v>
      </c>
      <c r="AD1584" s="412"/>
      <c r="AE1584" s="599"/>
      <c r="AG1584" s="581"/>
      <c r="AH1584" s="582"/>
    </row>
    <row r="1585" spans="1:42" s="600" customFormat="1" ht="85.9" customHeight="1">
      <c r="A1585" s="410"/>
      <c r="B1585" s="573"/>
      <c r="C1585" s="360" t="s">
        <v>1940</v>
      </c>
      <c r="D1585" s="440" t="s">
        <v>1941</v>
      </c>
      <c r="E1585" s="584">
        <v>2</v>
      </c>
      <c r="F1585" s="583" t="s">
        <v>138</v>
      </c>
      <c r="G1585" s="584">
        <v>102576000</v>
      </c>
      <c r="H1585" s="584"/>
      <c r="I1585" s="584"/>
      <c r="J1585" s="605">
        <v>2</v>
      </c>
      <c r="K1585" s="584">
        <v>634630000</v>
      </c>
      <c r="L1585" s="605">
        <v>0</v>
      </c>
      <c r="M1585" s="584">
        <f>156733500+9750000</f>
        <v>166483500</v>
      </c>
      <c r="N1585" s="605">
        <v>1</v>
      </c>
      <c r="O1585" s="584">
        <v>176670000</v>
      </c>
      <c r="P1585" s="594">
        <v>1</v>
      </c>
      <c r="Q1585" s="584">
        <f>366025805+9750000</f>
        <v>375775805</v>
      </c>
      <c r="R1585" s="593"/>
      <c r="S1585" s="273">
        <v>552445805</v>
      </c>
      <c r="T1585" s="595">
        <f t="shared" si="403"/>
        <v>2</v>
      </c>
      <c r="U1585" s="595">
        <f t="shared" si="404"/>
        <v>100</v>
      </c>
      <c r="V1585" s="300" t="s">
        <v>58</v>
      </c>
      <c r="W1585" s="407">
        <f t="shared" si="405"/>
        <v>1271375110</v>
      </c>
      <c r="X1585" s="597">
        <f t="shared" si="408"/>
        <v>200.33328238501173</v>
      </c>
      <c r="Y1585" s="300" t="s">
        <v>58</v>
      </c>
      <c r="Z1585" s="598">
        <f t="shared" si="406"/>
        <v>2</v>
      </c>
      <c r="AA1585" s="407">
        <f t="shared" si="407"/>
        <v>1271375110</v>
      </c>
      <c r="AB1585" s="408"/>
      <c r="AC1585" s="300" t="s">
        <v>58</v>
      </c>
      <c r="AD1585" s="408"/>
      <c r="AE1585" s="599"/>
      <c r="AG1585" s="581"/>
      <c r="AH1585" s="582"/>
    </row>
    <row r="1586" spans="1:42" s="600" customFormat="1" ht="69" customHeight="1">
      <c r="A1586" s="410"/>
      <c r="B1586" s="573"/>
      <c r="C1586" s="360" t="s">
        <v>1942</v>
      </c>
      <c r="D1586" s="440" t="s">
        <v>1943</v>
      </c>
      <c r="E1586" s="584">
        <v>10</v>
      </c>
      <c r="F1586" s="583" t="s">
        <v>138</v>
      </c>
      <c r="G1586" s="584">
        <v>0</v>
      </c>
      <c r="H1586" s="584"/>
      <c r="I1586" s="584"/>
      <c r="J1586" s="605">
        <v>10</v>
      </c>
      <c r="K1586" s="584">
        <v>2055805000</v>
      </c>
      <c r="L1586" s="605">
        <v>0</v>
      </c>
      <c r="M1586" s="584">
        <v>375746000</v>
      </c>
      <c r="N1586" s="605">
        <v>4</v>
      </c>
      <c r="O1586" s="584">
        <v>554800000</v>
      </c>
      <c r="P1586" s="594">
        <v>6</v>
      </c>
      <c r="Q1586" s="584">
        <v>1031783650</v>
      </c>
      <c r="R1586" s="593"/>
      <c r="S1586" s="273">
        <v>1586583650</v>
      </c>
      <c r="T1586" s="595">
        <f t="shared" si="403"/>
        <v>10</v>
      </c>
      <c r="U1586" s="595">
        <f t="shared" si="404"/>
        <v>100</v>
      </c>
      <c r="V1586" s="300" t="s">
        <v>58</v>
      </c>
      <c r="W1586" s="407">
        <f t="shared" si="405"/>
        <v>3548913300</v>
      </c>
      <c r="X1586" s="597">
        <f t="shared" si="408"/>
        <v>172.62888746743977</v>
      </c>
      <c r="Y1586" s="300" t="s">
        <v>58</v>
      </c>
      <c r="Z1586" s="598">
        <f t="shared" si="406"/>
        <v>10</v>
      </c>
      <c r="AA1586" s="407">
        <f t="shared" si="407"/>
        <v>3548913300</v>
      </c>
      <c r="AB1586" s="408"/>
      <c r="AC1586" s="300" t="s">
        <v>58</v>
      </c>
      <c r="AD1586" s="408"/>
      <c r="AE1586" s="599"/>
      <c r="AG1586" s="581"/>
      <c r="AH1586" s="582"/>
    </row>
    <row r="1587" spans="1:42" s="600" customFormat="1" ht="112.15" customHeight="1">
      <c r="A1587" s="410"/>
      <c r="B1587" s="573"/>
      <c r="C1587" s="360" t="s">
        <v>1944</v>
      </c>
      <c r="D1587" s="440" t="s">
        <v>1945</v>
      </c>
      <c r="E1587" s="584">
        <v>7</v>
      </c>
      <c r="F1587" s="583" t="s">
        <v>138</v>
      </c>
      <c r="G1587" s="584">
        <v>0</v>
      </c>
      <c r="H1587" s="584"/>
      <c r="I1587" s="584"/>
      <c r="J1587" s="605">
        <v>7</v>
      </c>
      <c r="K1587" s="584">
        <v>3367319250</v>
      </c>
      <c r="L1587" s="605">
        <v>0</v>
      </c>
      <c r="M1587" s="584">
        <v>189255000</v>
      </c>
      <c r="N1587" s="605">
        <v>3</v>
      </c>
      <c r="O1587" s="584">
        <v>189355000</v>
      </c>
      <c r="P1587" s="594">
        <v>4</v>
      </c>
      <c r="Q1587" s="584">
        <v>1716732788</v>
      </c>
      <c r="R1587" s="593"/>
      <c r="S1587" s="273">
        <v>1906087788</v>
      </c>
      <c r="T1587" s="595">
        <f t="shared" si="403"/>
        <v>7</v>
      </c>
      <c r="U1587" s="595">
        <f t="shared" si="404"/>
        <v>100</v>
      </c>
      <c r="V1587" s="300" t="s">
        <v>58</v>
      </c>
      <c r="W1587" s="407">
        <f t="shared" si="405"/>
        <v>4001430576</v>
      </c>
      <c r="X1587" s="597">
        <f t="shared" si="408"/>
        <v>118.83133967769761</v>
      </c>
      <c r="Y1587" s="300" t="s">
        <v>58</v>
      </c>
      <c r="Z1587" s="598">
        <f t="shared" si="406"/>
        <v>7</v>
      </c>
      <c r="AA1587" s="407">
        <f t="shared" si="407"/>
        <v>4001430576</v>
      </c>
      <c r="AB1587" s="408"/>
      <c r="AC1587" s="300" t="s">
        <v>58</v>
      </c>
      <c r="AD1587" s="408"/>
      <c r="AE1587" s="599"/>
      <c r="AG1587" s="581"/>
      <c r="AH1587" s="582"/>
    </row>
    <row r="1588" spans="1:42" s="600" customFormat="1" ht="135">
      <c r="A1588" s="410"/>
      <c r="B1588" s="573"/>
      <c r="C1588" s="360" t="s">
        <v>1946</v>
      </c>
      <c r="D1588" s="440" t="s">
        <v>1947</v>
      </c>
      <c r="E1588" s="584">
        <v>7</v>
      </c>
      <c r="F1588" s="583" t="s">
        <v>138</v>
      </c>
      <c r="G1588" s="584">
        <v>0</v>
      </c>
      <c r="H1588" s="584"/>
      <c r="I1588" s="584"/>
      <c r="J1588" s="605">
        <v>7</v>
      </c>
      <c r="K1588" s="584">
        <v>3768470000</v>
      </c>
      <c r="L1588" s="605">
        <v>0</v>
      </c>
      <c r="M1588" s="584">
        <f>595580350+3097200</f>
        <v>598677550</v>
      </c>
      <c r="N1588" s="605">
        <v>3</v>
      </c>
      <c r="O1588" s="584">
        <v>939000000</v>
      </c>
      <c r="P1588" s="623">
        <v>4</v>
      </c>
      <c r="Q1588" s="584">
        <f>2589298700+3097200</f>
        <v>2592395900</v>
      </c>
      <c r="R1588" s="593"/>
      <c r="S1588" s="273">
        <v>3531395900</v>
      </c>
      <c r="T1588" s="615">
        <f t="shared" si="403"/>
        <v>7</v>
      </c>
      <c r="U1588" s="614">
        <f t="shared" si="404"/>
        <v>100</v>
      </c>
      <c r="V1588" s="410" t="s">
        <v>58</v>
      </c>
      <c r="W1588" s="411">
        <f t="shared" si="405"/>
        <v>7661469350</v>
      </c>
      <c r="X1588" s="615">
        <f t="shared" si="408"/>
        <v>203.30450686883538</v>
      </c>
      <c r="Y1588" s="410" t="s">
        <v>58</v>
      </c>
      <c r="Z1588" s="616">
        <f t="shared" si="406"/>
        <v>7</v>
      </c>
      <c r="AA1588" s="411">
        <f t="shared" si="407"/>
        <v>7661469350</v>
      </c>
      <c r="AB1588" s="412"/>
      <c r="AC1588" s="410" t="s">
        <v>58</v>
      </c>
      <c r="AD1588" s="412"/>
      <c r="AE1588" s="599"/>
      <c r="AG1588" s="581"/>
      <c r="AH1588" s="582"/>
    </row>
    <row r="1589" spans="1:42" s="600" customFormat="1" ht="173.25">
      <c r="A1589" s="410"/>
      <c r="B1589" s="573" t="s">
        <v>1948</v>
      </c>
      <c r="C1589" s="468" t="s">
        <v>1949</v>
      </c>
      <c r="D1589" s="617" t="s">
        <v>1926</v>
      </c>
      <c r="E1589" s="576">
        <v>100</v>
      </c>
      <c r="F1589" s="575" t="s">
        <v>58</v>
      </c>
      <c r="G1589" s="576">
        <f>G1591+G1594</f>
        <v>158039300</v>
      </c>
      <c r="H1589" s="576"/>
      <c r="I1589" s="576"/>
      <c r="J1589" s="612">
        <v>100</v>
      </c>
      <c r="K1589" s="576">
        <f>K1591+K1594</f>
        <v>303223050</v>
      </c>
      <c r="L1589" s="612">
        <v>0</v>
      </c>
      <c r="M1589" s="576">
        <f>M1591+M1594</f>
        <v>36194400</v>
      </c>
      <c r="N1589" s="612">
        <v>25</v>
      </c>
      <c r="O1589" s="576">
        <f>O1591+O1594</f>
        <v>54000000</v>
      </c>
      <c r="P1589" s="593">
        <v>50</v>
      </c>
      <c r="Q1589" s="576">
        <f>Q1591+Q1594</f>
        <v>54194400</v>
      </c>
      <c r="R1589" s="593">
        <v>25</v>
      </c>
      <c r="S1589" s="610">
        <v>108194400</v>
      </c>
      <c r="T1589" s="615">
        <f t="shared" si="403"/>
        <v>100</v>
      </c>
      <c r="U1589" s="614">
        <f t="shared" si="404"/>
        <v>100</v>
      </c>
      <c r="V1589" s="410" t="s">
        <v>58</v>
      </c>
      <c r="W1589" s="411">
        <f t="shared" si="405"/>
        <v>252583200</v>
      </c>
      <c r="X1589" s="615">
        <f t="shared" si="408"/>
        <v>83.299472121265183</v>
      </c>
      <c r="Y1589" s="410" t="s">
        <v>58</v>
      </c>
      <c r="Z1589" s="616">
        <f t="shared" si="406"/>
        <v>100</v>
      </c>
      <c r="AA1589" s="411">
        <f t="shared" si="407"/>
        <v>252583200</v>
      </c>
      <c r="AB1589" s="412"/>
      <c r="AC1589" s="410"/>
      <c r="AD1589" s="412"/>
      <c r="AE1589" s="599"/>
      <c r="AG1589" s="581"/>
      <c r="AH1589" s="582"/>
    </row>
    <row r="1590" spans="1:42" s="600" customFormat="1" ht="90">
      <c r="A1590" s="410"/>
      <c r="B1590" s="573"/>
      <c r="C1590" s="468"/>
      <c r="D1590" s="624" t="s">
        <v>1950</v>
      </c>
      <c r="E1590" s="584">
        <v>100</v>
      </c>
      <c r="F1590" s="583" t="s">
        <v>58</v>
      </c>
      <c r="G1590" s="584"/>
      <c r="H1590" s="584"/>
      <c r="I1590" s="584"/>
      <c r="J1590" s="605">
        <v>100</v>
      </c>
      <c r="K1590" s="584"/>
      <c r="L1590" s="605">
        <v>0</v>
      </c>
      <c r="M1590" s="584"/>
      <c r="N1590" s="605">
        <v>25</v>
      </c>
      <c r="O1590" s="584"/>
      <c r="P1590" s="593">
        <v>50</v>
      </c>
      <c r="Q1590" s="584"/>
      <c r="R1590" s="593">
        <v>25</v>
      </c>
      <c r="S1590" s="273">
        <v>0</v>
      </c>
      <c r="T1590" s="615">
        <f t="shared" si="403"/>
        <v>100</v>
      </c>
      <c r="U1590" s="614">
        <f t="shared" si="404"/>
        <v>100</v>
      </c>
      <c r="V1590" s="410" t="s">
        <v>58</v>
      </c>
      <c r="W1590" s="411">
        <f t="shared" si="405"/>
        <v>0</v>
      </c>
      <c r="X1590" s="615"/>
      <c r="Y1590" s="410" t="s">
        <v>58</v>
      </c>
      <c r="Z1590" s="616">
        <f t="shared" si="406"/>
        <v>100</v>
      </c>
      <c r="AA1590" s="411">
        <f t="shared" si="407"/>
        <v>0</v>
      </c>
      <c r="AB1590" s="412"/>
      <c r="AC1590" s="410"/>
      <c r="AD1590" s="412"/>
      <c r="AE1590" s="599"/>
      <c r="AG1590" s="581"/>
      <c r="AH1590" s="582"/>
    </row>
    <row r="1591" spans="1:42" s="600" customFormat="1" ht="129" customHeight="1">
      <c r="A1591" s="410"/>
      <c r="B1591" s="573"/>
      <c r="C1591" s="468" t="s">
        <v>1951</v>
      </c>
      <c r="D1591" s="603" t="s">
        <v>1952</v>
      </c>
      <c r="E1591" s="576">
        <v>12</v>
      </c>
      <c r="F1591" s="575" t="s">
        <v>1176</v>
      </c>
      <c r="G1591" s="576">
        <f>G1592+G1593</f>
        <v>117761300</v>
      </c>
      <c r="H1591" s="576"/>
      <c r="I1591" s="576"/>
      <c r="J1591" s="612">
        <v>12</v>
      </c>
      <c r="K1591" s="576">
        <f>K1592+K1593</f>
        <v>208145850</v>
      </c>
      <c r="L1591" s="612">
        <v>3</v>
      </c>
      <c r="M1591" s="576">
        <f>M1592+M1593</f>
        <v>18097200</v>
      </c>
      <c r="N1591" s="612">
        <v>3</v>
      </c>
      <c r="O1591" s="576">
        <f>O1592+O1593</f>
        <v>27000000</v>
      </c>
      <c r="P1591" s="612">
        <v>3</v>
      </c>
      <c r="Q1591" s="576">
        <f>Q1592+Q1593</f>
        <v>27097200</v>
      </c>
      <c r="R1591" s="625">
        <v>3</v>
      </c>
      <c r="S1591" s="610">
        <v>54097200</v>
      </c>
      <c r="T1591" s="626">
        <f t="shared" si="403"/>
        <v>12</v>
      </c>
      <c r="U1591" s="614">
        <f t="shared" si="404"/>
        <v>100</v>
      </c>
      <c r="V1591" s="410" t="s">
        <v>58</v>
      </c>
      <c r="W1591" s="411">
        <f t="shared" si="405"/>
        <v>126291600</v>
      </c>
      <c r="X1591" s="615">
        <f t="shared" ref="X1591:X1605" si="409">W1591/K1591*100</f>
        <v>60.674570259267725</v>
      </c>
      <c r="Y1591" s="410" t="s">
        <v>58</v>
      </c>
      <c r="Z1591" s="627">
        <f t="shared" si="406"/>
        <v>12</v>
      </c>
      <c r="AA1591" s="411">
        <f t="shared" si="407"/>
        <v>126291600</v>
      </c>
      <c r="AB1591" s="412"/>
      <c r="AC1591" s="410" t="s">
        <v>58</v>
      </c>
      <c r="AD1591" s="412"/>
      <c r="AE1591" s="599"/>
      <c r="AG1591" s="581"/>
      <c r="AH1591" s="582"/>
    </row>
    <row r="1592" spans="1:42" s="600" customFormat="1" ht="112.15" customHeight="1">
      <c r="A1592" s="410"/>
      <c r="B1592" s="573"/>
      <c r="C1592" s="360" t="s">
        <v>1953</v>
      </c>
      <c r="D1592" s="628" t="s">
        <v>1954</v>
      </c>
      <c r="E1592" s="584">
        <v>24</v>
      </c>
      <c r="F1592" s="575" t="s">
        <v>1072</v>
      </c>
      <c r="G1592" s="584">
        <v>94364300</v>
      </c>
      <c r="H1592" s="576"/>
      <c r="I1592" s="584"/>
      <c r="J1592" s="612">
        <v>48</v>
      </c>
      <c r="K1592" s="584">
        <v>143006050</v>
      </c>
      <c r="L1592" s="612">
        <v>0</v>
      </c>
      <c r="M1592" s="584">
        <f>15000000+3097200</f>
        <v>18097200</v>
      </c>
      <c r="N1592" s="612">
        <v>24</v>
      </c>
      <c r="O1592" s="584">
        <v>27000000</v>
      </c>
      <c r="P1592" s="612">
        <v>12</v>
      </c>
      <c r="Q1592" s="584">
        <f>24000000+3097200</f>
        <v>27097200</v>
      </c>
      <c r="R1592" s="625">
        <v>12</v>
      </c>
      <c r="S1592" s="610">
        <v>54097200</v>
      </c>
      <c r="T1592" s="626">
        <f t="shared" si="403"/>
        <v>48</v>
      </c>
      <c r="U1592" s="614">
        <f t="shared" si="404"/>
        <v>100</v>
      </c>
      <c r="V1592" s="410" t="s">
        <v>58</v>
      </c>
      <c r="W1592" s="411">
        <f t="shared" si="405"/>
        <v>126291600</v>
      </c>
      <c r="X1592" s="615">
        <f t="shared" si="409"/>
        <v>88.312067916007749</v>
      </c>
      <c r="Y1592" s="410" t="s">
        <v>58</v>
      </c>
      <c r="Z1592" s="627">
        <f t="shared" si="406"/>
        <v>48</v>
      </c>
      <c r="AA1592" s="411">
        <f t="shared" si="407"/>
        <v>126291600</v>
      </c>
      <c r="AB1592" s="412"/>
      <c r="AC1592" s="410" t="s">
        <v>58</v>
      </c>
      <c r="AD1592" s="412"/>
      <c r="AE1592" s="599"/>
      <c r="AG1592" s="581"/>
      <c r="AH1592" s="582"/>
    </row>
    <row r="1593" spans="1:42" s="600" customFormat="1" ht="105.6" customHeight="1">
      <c r="A1593" s="410"/>
      <c r="B1593" s="573"/>
      <c r="C1593" s="360" t="s">
        <v>1955</v>
      </c>
      <c r="D1593" s="628" t="s">
        <v>1956</v>
      </c>
      <c r="E1593" s="584">
        <v>12</v>
      </c>
      <c r="F1593" s="575" t="s">
        <v>1957</v>
      </c>
      <c r="G1593" s="584">
        <v>23397000</v>
      </c>
      <c r="H1593" s="576"/>
      <c r="I1593" s="584"/>
      <c r="J1593" s="612">
        <v>6</v>
      </c>
      <c r="K1593" s="584">
        <v>65139800</v>
      </c>
      <c r="L1593" s="612">
        <v>0</v>
      </c>
      <c r="M1593" s="584">
        <v>0</v>
      </c>
      <c r="N1593" s="612">
        <v>3</v>
      </c>
      <c r="O1593" s="584">
        <v>0</v>
      </c>
      <c r="P1593" s="612">
        <v>0</v>
      </c>
      <c r="Q1593" s="584"/>
      <c r="R1593" s="625">
        <v>3</v>
      </c>
      <c r="S1593" s="610">
        <v>0</v>
      </c>
      <c r="T1593" s="626">
        <f t="shared" si="403"/>
        <v>6</v>
      </c>
      <c r="U1593" s="614">
        <f t="shared" si="404"/>
        <v>100</v>
      </c>
      <c r="V1593" s="410" t="s">
        <v>58</v>
      </c>
      <c r="W1593" s="411">
        <f t="shared" si="405"/>
        <v>0</v>
      </c>
      <c r="X1593" s="615">
        <f t="shared" si="409"/>
        <v>0</v>
      </c>
      <c r="Y1593" s="410" t="s">
        <v>58</v>
      </c>
      <c r="Z1593" s="627">
        <f t="shared" si="406"/>
        <v>6</v>
      </c>
      <c r="AA1593" s="411">
        <f t="shared" si="407"/>
        <v>0</v>
      </c>
      <c r="AB1593" s="412"/>
      <c r="AC1593" s="410" t="s">
        <v>58</v>
      </c>
      <c r="AD1593" s="412"/>
      <c r="AE1593" s="599"/>
      <c r="AG1593" s="581"/>
      <c r="AH1593" s="582"/>
    </row>
    <row r="1594" spans="1:42" s="600" customFormat="1" ht="123.6" customHeight="1">
      <c r="A1594" s="410"/>
      <c r="B1594" s="573"/>
      <c r="C1594" s="468" t="s">
        <v>1958</v>
      </c>
      <c r="D1594" s="603" t="str">
        <f>[2]Cascading!$Y$31</f>
        <v xml:space="preserve">Persentase daging sapi dan unggas yang ASUH (Aman, Sehat, Utuh, dan Halal) </v>
      </c>
      <c r="E1594" s="576">
        <v>100</v>
      </c>
      <c r="F1594" s="575" t="s">
        <v>58</v>
      </c>
      <c r="G1594" s="576">
        <f>G1595</f>
        <v>40278000</v>
      </c>
      <c r="H1594" s="576"/>
      <c r="I1594" s="576"/>
      <c r="J1594" s="612">
        <v>100</v>
      </c>
      <c r="K1594" s="576">
        <f>K1595</f>
        <v>95077200</v>
      </c>
      <c r="L1594" s="612">
        <v>0</v>
      </c>
      <c r="M1594" s="576">
        <f>M1595</f>
        <v>18097200</v>
      </c>
      <c r="N1594" s="612">
        <v>100</v>
      </c>
      <c r="O1594" s="576">
        <f>O1595</f>
        <v>27000000</v>
      </c>
      <c r="P1594" s="612">
        <v>0</v>
      </c>
      <c r="Q1594" s="576">
        <f>Q1595</f>
        <v>27097200</v>
      </c>
      <c r="R1594" s="625"/>
      <c r="S1594" s="610">
        <v>54097200</v>
      </c>
      <c r="T1594" s="626">
        <f t="shared" si="403"/>
        <v>100</v>
      </c>
      <c r="U1594" s="614">
        <f t="shared" si="404"/>
        <v>100</v>
      </c>
      <c r="V1594" s="410" t="s">
        <v>58</v>
      </c>
      <c r="W1594" s="411">
        <f t="shared" si="405"/>
        <v>126291600</v>
      </c>
      <c r="X1594" s="615">
        <f t="shared" si="409"/>
        <v>132.83058398859032</v>
      </c>
      <c r="Y1594" s="410" t="s">
        <v>58</v>
      </c>
      <c r="Z1594" s="627">
        <f t="shared" si="406"/>
        <v>100</v>
      </c>
      <c r="AA1594" s="411">
        <f t="shared" si="407"/>
        <v>126291600</v>
      </c>
      <c r="AB1594" s="412"/>
      <c r="AC1594" s="410" t="s">
        <v>58</v>
      </c>
      <c r="AD1594" s="412"/>
      <c r="AE1594" s="599"/>
      <c r="AG1594" s="581"/>
      <c r="AH1594" s="582"/>
    </row>
    <row r="1595" spans="1:42" s="600" customFormat="1" ht="108.6" customHeight="1">
      <c r="A1595" s="410"/>
      <c r="B1595" s="573"/>
      <c r="C1595" s="360" t="s">
        <v>1959</v>
      </c>
      <c r="D1595" s="628" t="s">
        <v>1960</v>
      </c>
      <c r="E1595" s="584">
        <v>1</v>
      </c>
      <c r="F1595" s="575" t="s">
        <v>1072</v>
      </c>
      <c r="G1595" s="584">
        <v>40278000</v>
      </c>
      <c r="H1595" s="576"/>
      <c r="I1595" s="584"/>
      <c r="J1595" s="612">
        <v>2</v>
      </c>
      <c r="K1595" s="584">
        <v>95077200</v>
      </c>
      <c r="L1595" s="612">
        <v>0</v>
      </c>
      <c r="M1595" s="584">
        <f>15000000+3097200</f>
        <v>18097200</v>
      </c>
      <c r="N1595" s="612">
        <v>2</v>
      </c>
      <c r="O1595" s="584">
        <v>27000000</v>
      </c>
      <c r="P1595" s="625">
        <v>0</v>
      </c>
      <c r="Q1595" s="584">
        <f>24000000+3097200</f>
        <v>27097200</v>
      </c>
      <c r="R1595" s="625"/>
      <c r="S1595" s="610">
        <v>54097200</v>
      </c>
      <c r="T1595" s="626">
        <f t="shared" si="403"/>
        <v>2</v>
      </c>
      <c r="U1595" s="614">
        <f t="shared" si="404"/>
        <v>100</v>
      </c>
      <c r="V1595" s="410" t="s">
        <v>58</v>
      </c>
      <c r="W1595" s="411">
        <f t="shared" si="405"/>
        <v>126291600</v>
      </c>
      <c r="X1595" s="615">
        <f t="shared" si="409"/>
        <v>132.83058398859032</v>
      </c>
      <c r="Y1595" s="410" t="s">
        <v>58</v>
      </c>
      <c r="Z1595" s="627">
        <f t="shared" si="406"/>
        <v>2</v>
      </c>
      <c r="AA1595" s="411">
        <f t="shared" si="407"/>
        <v>126291600</v>
      </c>
      <c r="AB1595" s="412"/>
      <c r="AC1595" s="410" t="s">
        <v>58</v>
      </c>
      <c r="AD1595" s="412"/>
      <c r="AE1595" s="599"/>
      <c r="AG1595" s="581"/>
      <c r="AH1595" s="582"/>
    </row>
    <row r="1596" spans="1:42" s="600" customFormat="1" ht="97.15" customHeight="1">
      <c r="A1596" s="410"/>
      <c r="B1596" s="573" t="s">
        <v>1961</v>
      </c>
      <c r="C1596" s="468" t="s">
        <v>1962</v>
      </c>
      <c r="D1596" s="629" t="s">
        <v>1963</v>
      </c>
      <c r="E1596" s="590">
        <v>63.41</v>
      </c>
      <c r="F1596" s="575" t="s">
        <v>58</v>
      </c>
      <c r="G1596" s="576">
        <f>G1599</f>
        <v>382266000</v>
      </c>
      <c r="H1596" s="576"/>
      <c r="I1596" s="576"/>
      <c r="J1596" s="612">
        <v>90</v>
      </c>
      <c r="K1596" s="576">
        <f>K1597</f>
        <v>415050966</v>
      </c>
      <c r="L1596" s="612">
        <v>97.68</v>
      </c>
      <c r="M1596" s="576">
        <f>M1597</f>
        <v>173653900</v>
      </c>
      <c r="N1596" s="618">
        <v>87.52</v>
      </c>
      <c r="O1596" s="576">
        <f>O1597</f>
        <v>45605500</v>
      </c>
      <c r="P1596" s="625">
        <v>99.88</v>
      </c>
      <c r="Q1596" s="576">
        <f>Q1597</f>
        <v>67873820</v>
      </c>
      <c r="R1596" s="625" t="s">
        <v>1964</v>
      </c>
      <c r="S1596" s="630">
        <v>113479320</v>
      </c>
      <c r="T1596" s="631">
        <f t="shared" si="403"/>
        <v>285.08</v>
      </c>
      <c r="U1596" s="614">
        <f t="shared" si="404"/>
        <v>316.75555555555553</v>
      </c>
      <c r="V1596" s="410" t="s">
        <v>58</v>
      </c>
      <c r="W1596" s="411">
        <f t="shared" si="405"/>
        <v>400612540</v>
      </c>
      <c r="X1596" s="615">
        <f t="shared" si="409"/>
        <v>96.521288424130546</v>
      </c>
      <c r="Y1596" s="410" t="s">
        <v>58</v>
      </c>
      <c r="Z1596" s="632">
        <f t="shared" si="406"/>
        <v>285.08</v>
      </c>
      <c r="AA1596" s="411">
        <f t="shared" si="407"/>
        <v>400612540</v>
      </c>
      <c r="AB1596" s="412"/>
      <c r="AC1596" s="410" t="s">
        <v>58</v>
      </c>
      <c r="AD1596" s="412"/>
      <c r="AE1596" s="599"/>
      <c r="AG1596" s="581"/>
      <c r="AH1596" s="582"/>
      <c r="AI1596" s="633"/>
      <c r="AJ1596" s="634"/>
      <c r="AK1596" s="634"/>
    </row>
    <row r="1597" spans="1:42" s="600" customFormat="1" ht="140.44999999999999" customHeight="1">
      <c r="A1597" s="410"/>
      <c r="B1597" s="573"/>
      <c r="C1597" s="468" t="s">
        <v>1965</v>
      </c>
      <c r="D1597" s="635" t="s">
        <v>1966</v>
      </c>
      <c r="E1597" s="584">
        <v>510</v>
      </c>
      <c r="F1597" s="583" t="s">
        <v>1967</v>
      </c>
      <c r="G1597" s="584">
        <f>G1599</f>
        <v>382266000</v>
      </c>
      <c r="H1597" s="584"/>
      <c r="I1597" s="584"/>
      <c r="J1597" s="605">
        <v>475</v>
      </c>
      <c r="K1597" s="584">
        <f>K1599+K1600+K1601</f>
        <v>415050966</v>
      </c>
      <c r="L1597" s="605">
        <v>0</v>
      </c>
      <c r="M1597" s="584">
        <f>M1599+M1600+M1601</f>
        <v>173653900</v>
      </c>
      <c r="N1597" s="605">
        <v>350</v>
      </c>
      <c r="O1597" s="584">
        <f>O1599+O1600+O1601</f>
        <v>45605500</v>
      </c>
      <c r="P1597" s="625"/>
      <c r="Q1597" s="584">
        <f>Q1599+Q1600+Q1601</f>
        <v>67873820</v>
      </c>
      <c r="R1597" s="625">
        <v>125</v>
      </c>
      <c r="S1597" s="630">
        <v>113479320</v>
      </c>
      <c r="T1597" s="636">
        <f t="shared" si="403"/>
        <v>475</v>
      </c>
      <c r="U1597" s="595">
        <f t="shared" si="404"/>
        <v>100</v>
      </c>
      <c r="V1597" s="300" t="s">
        <v>58</v>
      </c>
      <c r="W1597" s="411">
        <f t="shared" si="405"/>
        <v>400612540</v>
      </c>
      <c r="X1597" s="615">
        <f t="shared" si="409"/>
        <v>96.521288424130546</v>
      </c>
      <c r="Y1597" s="300" t="s">
        <v>58</v>
      </c>
      <c r="Z1597" s="637">
        <f t="shared" si="406"/>
        <v>475</v>
      </c>
      <c r="AA1597" s="411">
        <f t="shared" si="407"/>
        <v>400612540</v>
      </c>
      <c r="AB1597" s="412"/>
      <c r="AC1597" s="410" t="s">
        <v>58</v>
      </c>
      <c r="AD1597" s="412"/>
      <c r="AE1597" s="599"/>
      <c r="AG1597" s="581"/>
      <c r="AH1597" s="582"/>
      <c r="AI1597" s="633"/>
    </row>
    <row r="1598" spans="1:42" s="600" customFormat="1" ht="99" customHeight="1">
      <c r="A1598" s="410"/>
      <c r="B1598" s="573"/>
      <c r="C1598" s="468"/>
      <c r="D1598" s="603" t="s">
        <v>1968</v>
      </c>
      <c r="E1598" s="584">
        <v>1000</v>
      </c>
      <c r="F1598" s="583" t="s">
        <v>1068</v>
      </c>
      <c r="G1598" s="584">
        <f>G1600</f>
        <v>59100000</v>
      </c>
      <c r="H1598" s="584"/>
      <c r="I1598" s="584"/>
      <c r="J1598" s="605">
        <v>1000</v>
      </c>
      <c r="K1598" s="584"/>
      <c r="L1598" s="605">
        <v>0</v>
      </c>
      <c r="M1598" s="584"/>
      <c r="N1598" s="605">
        <v>798.9</v>
      </c>
      <c r="O1598" s="584"/>
      <c r="P1598" s="608">
        <v>129.97</v>
      </c>
      <c r="Q1598" s="584"/>
      <c r="R1598" s="625"/>
      <c r="S1598" s="630">
        <v>0</v>
      </c>
      <c r="T1598" s="636">
        <f t="shared" si="403"/>
        <v>928.87</v>
      </c>
      <c r="U1598" s="595">
        <f t="shared" si="404"/>
        <v>92.887</v>
      </c>
      <c r="V1598" s="300" t="s">
        <v>58</v>
      </c>
      <c r="W1598" s="411">
        <f t="shared" si="405"/>
        <v>0</v>
      </c>
      <c r="X1598" s="615" t="e">
        <f t="shared" si="409"/>
        <v>#DIV/0!</v>
      </c>
      <c r="Y1598" s="300" t="s">
        <v>58</v>
      </c>
      <c r="Z1598" s="637">
        <f t="shared" si="406"/>
        <v>928.87</v>
      </c>
      <c r="AA1598" s="411">
        <f t="shared" si="407"/>
        <v>0</v>
      </c>
      <c r="AB1598" s="412"/>
      <c r="AC1598" s="410" t="s">
        <v>58</v>
      </c>
      <c r="AD1598" s="412"/>
      <c r="AE1598" s="599"/>
      <c r="AG1598" s="581"/>
      <c r="AH1598" s="582"/>
      <c r="AI1598" s="633"/>
    </row>
    <row r="1599" spans="1:42" s="600" customFormat="1" ht="149.25" customHeight="1">
      <c r="A1599" s="410"/>
      <c r="B1599" s="573"/>
      <c r="C1599" s="360" t="s">
        <v>1969</v>
      </c>
      <c r="D1599" s="603" t="s">
        <v>1970</v>
      </c>
      <c r="E1599" s="584">
        <v>735</v>
      </c>
      <c r="F1599" s="583" t="s">
        <v>1967</v>
      </c>
      <c r="G1599" s="584">
        <v>382266000</v>
      </c>
      <c r="H1599" s="584"/>
      <c r="I1599" s="584"/>
      <c r="J1599" s="605">
        <v>475</v>
      </c>
      <c r="K1599" s="584">
        <v>290199800</v>
      </c>
      <c r="L1599" s="605">
        <v>0</v>
      </c>
      <c r="M1599" s="584">
        <f>99645000+44617900</f>
        <v>144262900</v>
      </c>
      <c r="N1599" s="605">
        <v>350</v>
      </c>
      <c r="O1599" s="584">
        <v>38324500</v>
      </c>
      <c r="P1599" s="638"/>
      <c r="Q1599" s="584">
        <v>14050500</v>
      </c>
      <c r="R1599" s="638">
        <v>125</v>
      </c>
      <c r="S1599" s="639">
        <v>52375000</v>
      </c>
      <c r="T1599" s="636">
        <f t="shared" si="403"/>
        <v>475</v>
      </c>
      <c r="U1599" s="595">
        <f t="shared" si="404"/>
        <v>100</v>
      </c>
      <c r="V1599" s="300" t="s">
        <v>58</v>
      </c>
      <c r="W1599" s="411">
        <f t="shared" si="405"/>
        <v>249012900</v>
      </c>
      <c r="X1599" s="615">
        <f t="shared" si="409"/>
        <v>85.807398902411364</v>
      </c>
      <c r="Y1599" s="300" t="s">
        <v>58</v>
      </c>
      <c r="Z1599" s="637">
        <f t="shared" si="406"/>
        <v>475</v>
      </c>
      <c r="AA1599" s="411">
        <f t="shared" si="407"/>
        <v>249012900</v>
      </c>
      <c r="AB1599" s="408"/>
      <c r="AC1599" s="300" t="s">
        <v>58</v>
      </c>
      <c r="AD1599" s="408"/>
      <c r="AE1599" s="599"/>
      <c r="AG1599" s="581"/>
      <c r="AH1599" s="582"/>
      <c r="AI1599" s="634"/>
      <c r="AJ1599" s="634"/>
      <c r="AK1599" s="640"/>
      <c r="AN1599" s="634"/>
      <c r="AO1599" s="634"/>
      <c r="AP1599" s="634"/>
    </row>
    <row r="1600" spans="1:42" s="600" customFormat="1" ht="115.9" customHeight="1">
      <c r="A1600" s="410"/>
      <c r="B1600" s="573"/>
      <c r="C1600" s="360" t="s">
        <v>1971</v>
      </c>
      <c r="D1600" s="603" t="s">
        <v>1972</v>
      </c>
      <c r="E1600" s="584">
        <v>1000</v>
      </c>
      <c r="F1600" s="583" t="s">
        <v>1068</v>
      </c>
      <c r="G1600" s="584">
        <v>59100000</v>
      </c>
      <c r="H1600" s="584"/>
      <c r="I1600" s="584"/>
      <c r="J1600" s="605">
        <v>1000</v>
      </c>
      <c r="K1600" s="584">
        <v>82548000</v>
      </c>
      <c r="L1600" s="605">
        <v>0</v>
      </c>
      <c r="M1600" s="584">
        <v>17100000</v>
      </c>
      <c r="N1600" s="607">
        <v>789.9</v>
      </c>
      <c r="O1600" s="584">
        <v>2855000</v>
      </c>
      <c r="P1600" s="608">
        <v>129.87</v>
      </c>
      <c r="Q1600" s="584">
        <f>47232320-13200000</f>
        <v>34032320</v>
      </c>
      <c r="R1600" s="638"/>
      <c r="S1600" s="639">
        <v>36887320</v>
      </c>
      <c r="T1600" s="636">
        <f t="shared" si="403"/>
        <v>919.77</v>
      </c>
      <c r="U1600" s="595">
        <f t="shared" si="404"/>
        <v>91.977000000000004</v>
      </c>
      <c r="V1600" s="300" t="s">
        <v>58</v>
      </c>
      <c r="W1600" s="411">
        <f t="shared" si="405"/>
        <v>90874640</v>
      </c>
      <c r="X1600" s="615">
        <f t="shared" si="409"/>
        <v>110.08702815331685</v>
      </c>
      <c r="Y1600" s="300" t="s">
        <v>58</v>
      </c>
      <c r="Z1600" s="637">
        <f t="shared" si="406"/>
        <v>919.77</v>
      </c>
      <c r="AA1600" s="411">
        <f t="shared" si="407"/>
        <v>90874640</v>
      </c>
      <c r="AB1600" s="408"/>
      <c r="AC1600" s="300" t="s">
        <v>58</v>
      </c>
      <c r="AD1600" s="408"/>
      <c r="AE1600" s="599"/>
      <c r="AG1600" s="581"/>
      <c r="AH1600" s="582"/>
      <c r="AI1600" s="634"/>
      <c r="AJ1600" s="634"/>
      <c r="AN1600" s="634"/>
      <c r="AP1600" s="634"/>
    </row>
    <row r="1601" spans="1:35" s="600" customFormat="1" ht="127.9" customHeight="1">
      <c r="A1601" s="410"/>
      <c r="B1601" s="573"/>
      <c r="C1601" s="360" t="s">
        <v>1973</v>
      </c>
      <c r="D1601" s="603" t="s">
        <v>1974</v>
      </c>
      <c r="E1601" s="584">
        <v>0</v>
      </c>
      <c r="F1601" s="583" t="s">
        <v>1072</v>
      </c>
      <c r="G1601" s="584">
        <v>0</v>
      </c>
      <c r="H1601" s="584"/>
      <c r="I1601" s="584"/>
      <c r="J1601" s="605">
        <v>20</v>
      </c>
      <c r="K1601" s="584">
        <v>42303166</v>
      </c>
      <c r="L1601" s="605">
        <v>0</v>
      </c>
      <c r="M1601" s="584">
        <v>12291000</v>
      </c>
      <c r="N1601" s="605">
        <v>10</v>
      </c>
      <c r="O1601" s="584">
        <v>4426000</v>
      </c>
      <c r="P1601" s="638">
        <v>10</v>
      </c>
      <c r="Q1601" s="584">
        <v>19791000</v>
      </c>
      <c r="R1601" s="638"/>
      <c r="S1601" s="639">
        <v>24217000</v>
      </c>
      <c r="T1601" s="636">
        <f t="shared" si="403"/>
        <v>20</v>
      </c>
      <c r="U1601" s="595">
        <f t="shared" si="404"/>
        <v>100</v>
      </c>
      <c r="V1601" s="300" t="s">
        <v>58</v>
      </c>
      <c r="W1601" s="411">
        <f t="shared" si="405"/>
        <v>60725000</v>
      </c>
      <c r="X1601" s="615">
        <f t="shared" si="409"/>
        <v>143.54717564165293</v>
      </c>
      <c r="Y1601" s="300" t="s">
        <v>58</v>
      </c>
      <c r="Z1601" s="637">
        <f t="shared" si="406"/>
        <v>20</v>
      </c>
      <c r="AA1601" s="411">
        <f t="shared" si="407"/>
        <v>60725000</v>
      </c>
      <c r="AB1601" s="408"/>
      <c r="AC1601" s="300" t="s">
        <v>58</v>
      </c>
      <c r="AD1601" s="408"/>
      <c r="AE1601" s="599"/>
      <c r="AG1601" s="581"/>
      <c r="AH1601" s="582"/>
      <c r="AI1601" s="634"/>
    </row>
    <row r="1602" spans="1:35" s="600" customFormat="1" ht="124.9" customHeight="1">
      <c r="A1602" s="410"/>
      <c r="B1602" s="573" t="s">
        <v>1975</v>
      </c>
      <c r="C1602" s="573" t="s">
        <v>1976</v>
      </c>
      <c r="D1602" s="606" t="s">
        <v>1977</v>
      </c>
      <c r="E1602" s="641" t="s">
        <v>1978</v>
      </c>
      <c r="F1602" s="575" t="s">
        <v>58</v>
      </c>
      <c r="G1602" s="576">
        <f>G1603</f>
        <v>316936000</v>
      </c>
      <c r="H1602" s="641"/>
      <c r="I1602" s="576"/>
      <c r="J1602" s="642" t="s">
        <v>1979</v>
      </c>
      <c r="K1602" s="576">
        <f>K1603</f>
        <v>241707400</v>
      </c>
      <c r="L1602" s="642" t="s">
        <v>1980</v>
      </c>
      <c r="M1602" s="576">
        <f>M1603</f>
        <v>33212000</v>
      </c>
      <c r="N1602" s="642" t="s">
        <v>1981</v>
      </c>
      <c r="O1602" s="576">
        <f>O1603</f>
        <v>31739800</v>
      </c>
      <c r="P1602" s="638">
        <v>4</v>
      </c>
      <c r="Q1602" s="576">
        <f>Q1603</f>
        <v>45836000</v>
      </c>
      <c r="R1602" s="638">
        <v>5</v>
      </c>
      <c r="S1602" s="273">
        <v>77575800</v>
      </c>
      <c r="T1602" s="643">
        <f t="shared" si="403"/>
        <v>9</v>
      </c>
      <c r="U1602" s="595">
        <f t="shared" si="404"/>
        <v>180</v>
      </c>
      <c r="V1602" s="300" t="s">
        <v>58</v>
      </c>
      <c r="W1602" s="411">
        <f t="shared" si="405"/>
        <v>188363600</v>
      </c>
      <c r="X1602" s="615">
        <f t="shared" si="409"/>
        <v>77.930423313477377</v>
      </c>
      <c r="Y1602" s="300" t="s">
        <v>58</v>
      </c>
      <c r="Z1602" s="643">
        <f t="shared" si="406"/>
        <v>9</v>
      </c>
      <c r="AA1602" s="411">
        <f t="shared" si="407"/>
        <v>188363600</v>
      </c>
      <c r="AB1602" s="408"/>
      <c r="AC1602" s="300" t="s">
        <v>58</v>
      </c>
      <c r="AD1602" s="408"/>
      <c r="AE1602" s="599"/>
      <c r="AF1602" s="644"/>
      <c r="AG1602" s="581"/>
      <c r="AH1602" s="582"/>
    </row>
    <row r="1603" spans="1:35" s="600" customFormat="1" ht="97.9" customHeight="1">
      <c r="A1603" s="410"/>
      <c r="B1603" s="573"/>
      <c r="C1603" s="573" t="s">
        <v>1982</v>
      </c>
      <c r="D1603" s="606" t="s">
        <v>1983</v>
      </c>
      <c r="E1603" s="641" t="s">
        <v>1984</v>
      </c>
      <c r="F1603" s="575" t="s">
        <v>58</v>
      </c>
      <c r="G1603" s="576">
        <f>G1604</f>
        <v>316936000</v>
      </c>
      <c r="H1603" s="641"/>
      <c r="I1603" s="576"/>
      <c r="J1603" s="642" t="s">
        <v>1985</v>
      </c>
      <c r="K1603" s="576">
        <f>K1604</f>
        <v>241707400</v>
      </c>
      <c r="L1603" s="642" t="s">
        <v>1980</v>
      </c>
      <c r="M1603" s="576">
        <f>M1604</f>
        <v>33212000</v>
      </c>
      <c r="N1603" s="642" t="s">
        <v>1979</v>
      </c>
      <c r="O1603" s="576">
        <f>O1604</f>
        <v>31739800</v>
      </c>
      <c r="P1603" s="638">
        <v>8</v>
      </c>
      <c r="Q1603" s="576">
        <f>Q1604</f>
        <v>45836000</v>
      </c>
      <c r="R1603" s="638">
        <v>10</v>
      </c>
      <c r="S1603" s="273">
        <v>77575800</v>
      </c>
      <c r="T1603" s="643">
        <f t="shared" si="403"/>
        <v>18</v>
      </c>
      <c r="U1603" s="595">
        <f t="shared" si="404"/>
        <v>180</v>
      </c>
      <c r="V1603" s="300" t="s">
        <v>58</v>
      </c>
      <c r="W1603" s="411">
        <f t="shared" si="405"/>
        <v>188363600</v>
      </c>
      <c r="X1603" s="615">
        <f t="shared" si="409"/>
        <v>77.930423313477377</v>
      </c>
      <c r="Y1603" s="300" t="s">
        <v>58</v>
      </c>
      <c r="Z1603" s="643">
        <f t="shared" si="406"/>
        <v>18</v>
      </c>
      <c r="AA1603" s="411">
        <f t="shared" si="407"/>
        <v>188363600</v>
      </c>
      <c r="AB1603" s="408"/>
      <c r="AC1603" s="300" t="s">
        <v>58</v>
      </c>
      <c r="AD1603" s="408"/>
      <c r="AE1603" s="599"/>
      <c r="AG1603" s="581"/>
      <c r="AH1603" s="582"/>
    </row>
    <row r="1604" spans="1:35" s="600" customFormat="1" ht="83.25" customHeight="1">
      <c r="A1604" s="410"/>
      <c r="B1604" s="573"/>
      <c r="C1604" s="440" t="s">
        <v>1986</v>
      </c>
      <c r="D1604" s="603" t="s">
        <v>1987</v>
      </c>
      <c r="E1604" s="584" t="s">
        <v>1988</v>
      </c>
      <c r="F1604" s="583" t="s">
        <v>1430</v>
      </c>
      <c r="G1604" s="584">
        <v>316936000</v>
      </c>
      <c r="H1604" s="584"/>
      <c r="I1604" s="584"/>
      <c r="J1604" s="605">
        <v>30</v>
      </c>
      <c r="K1604" s="584">
        <v>241707400</v>
      </c>
      <c r="L1604" s="605">
        <v>0</v>
      </c>
      <c r="M1604" s="584">
        <f>15000000+18212000</f>
        <v>33212000</v>
      </c>
      <c r="N1604" s="605">
        <v>15</v>
      </c>
      <c r="O1604" s="584">
        <v>31739800</v>
      </c>
      <c r="P1604" s="638">
        <v>17</v>
      </c>
      <c r="Q1604" s="584">
        <f>24000000+21836000</f>
        <v>45836000</v>
      </c>
      <c r="R1604" s="638">
        <v>30</v>
      </c>
      <c r="S1604" s="273">
        <v>77575800</v>
      </c>
      <c r="T1604" s="643">
        <f t="shared" si="403"/>
        <v>62</v>
      </c>
      <c r="U1604" s="595">
        <f t="shared" si="404"/>
        <v>206.66666666666669</v>
      </c>
      <c r="V1604" s="300" t="s">
        <v>58</v>
      </c>
      <c r="W1604" s="411">
        <f t="shared" si="405"/>
        <v>188363600</v>
      </c>
      <c r="X1604" s="615">
        <f t="shared" si="409"/>
        <v>77.930423313477377</v>
      </c>
      <c r="Y1604" s="300" t="s">
        <v>58</v>
      </c>
      <c r="Z1604" s="643">
        <f t="shared" si="406"/>
        <v>62</v>
      </c>
      <c r="AA1604" s="411">
        <f t="shared" si="407"/>
        <v>188363600</v>
      </c>
      <c r="AB1604" s="408"/>
      <c r="AC1604" s="300" t="s">
        <v>58</v>
      </c>
      <c r="AD1604" s="408"/>
      <c r="AE1604" s="599"/>
      <c r="AF1604" s="645"/>
      <c r="AG1604" s="581"/>
      <c r="AH1604" s="582"/>
    </row>
    <row r="1605" spans="1:35" s="600" customFormat="1" ht="83.25" customHeight="1">
      <c r="A1605" s="410"/>
      <c r="B1605" s="573" t="s">
        <v>1989</v>
      </c>
      <c r="C1605" s="573" t="s">
        <v>1990</v>
      </c>
      <c r="D1605" s="606" t="s">
        <v>1991</v>
      </c>
      <c r="E1605" s="641" t="s">
        <v>1992</v>
      </c>
      <c r="F1605" s="575" t="s">
        <v>58</v>
      </c>
      <c r="G1605" s="576">
        <f>G1607</f>
        <v>2039773900</v>
      </c>
      <c r="H1605" s="641"/>
      <c r="I1605" s="576"/>
      <c r="J1605" s="642" t="s">
        <v>1993</v>
      </c>
      <c r="K1605" s="576">
        <f>K1607</f>
        <v>5147036800</v>
      </c>
      <c r="L1605" s="642" t="s">
        <v>1980</v>
      </c>
      <c r="M1605" s="576">
        <f>M1607</f>
        <v>699587200</v>
      </c>
      <c r="N1605" s="642" t="s">
        <v>1994</v>
      </c>
      <c r="O1605" s="576">
        <f>O1607</f>
        <v>71075000</v>
      </c>
      <c r="P1605" s="638">
        <v>6</v>
      </c>
      <c r="Q1605" s="576">
        <f>Q1607</f>
        <v>114448400</v>
      </c>
      <c r="R1605" s="638">
        <v>7</v>
      </c>
      <c r="S1605" s="273">
        <v>185523400</v>
      </c>
      <c r="T1605" s="643">
        <f t="shared" si="403"/>
        <v>13</v>
      </c>
      <c r="U1605" s="595">
        <f t="shared" si="404"/>
        <v>185.71428571428572</v>
      </c>
      <c r="V1605" s="300" t="s">
        <v>58</v>
      </c>
      <c r="W1605" s="411">
        <f t="shared" si="405"/>
        <v>1070634000</v>
      </c>
      <c r="X1605" s="615">
        <f t="shared" si="409"/>
        <v>20.800978147271067</v>
      </c>
      <c r="Y1605" s="300" t="s">
        <v>58</v>
      </c>
      <c r="Z1605" s="643">
        <f t="shared" si="406"/>
        <v>13</v>
      </c>
      <c r="AA1605" s="411">
        <f t="shared" si="407"/>
        <v>1070634000</v>
      </c>
      <c r="AB1605" s="408"/>
      <c r="AC1605" s="300" t="s">
        <v>58</v>
      </c>
      <c r="AD1605" s="408"/>
      <c r="AE1605" s="599"/>
      <c r="AG1605" s="581"/>
      <c r="AH1605" s="582"/>
    </row>
    <row r="1606" spans="1:35" s="600" customFormat="1" ht="48.6" customHeight="1">
      <c r="A1606" s="410"/>
      <c r="B1606" s="573"/>
      <c r="C1606" s="573"/>
      <c r="D1606" s="360" t="s">
        <v>1995</v>
      </c>
      <c r="E1606" s="584" t="s">
        <v>1996</v>
      </c>
      <c r="F1606" s="583" t="s">
        <v>1638</v>
      </c>
      <c r="G1606" s="584"/>
      <c r="H1606" s="584"/>
      <c r="I1606" s="584"/>
      <c r="J1606" s="605">
        <v>103</v>
      </c>
      <c r="K1606" s="584"/>
      <c r="L1606" s="605">
        <v>0</v>
      </c>
      <c r="M1606" s="584"/>
      <c r="N1606" s="605">
        <v>25</v>
      </c>
      <c r="O1606" s="584"/>
      <c r="P1606" s="638">
        <v>33</v>
      </c>
      <c r="Q1606" s="584"/>
      <c r="R1606" s="638">
        <v>45</v>
      </c>
      <c r="S1606" s="273">
        <v>0</v>
      </c>
      <c r="T1606" s="643">
        <f t="shared" si="403"/>
        <v>103</v>
      </c>
      <c r="U1606" s="595">
        <f t="shared" si="404"/>
        <v>100</v>
      </c>
      <c r="V1606" s="300" t="s">
        <v>58</v>
      </c>
      <c r="W1606" s="411">
        <f t="shared" si="405"/>
        <v>0</v>
      </c>
      <c r="X1606" s="615"/>
      <c r="Y1606" s="300" t="s">
        <v>58</v>
      </c>
      <c r="Z1606" s="643">
        <f t="shared" si="406"/>
        <v>103</v>
      </c>
      <c r="AA1606" s="411">
        <f t="shared" si="407"/>
        <v>0</v>
      </c>
      <c r="AB1606" s="408"/>
      <c r="AC1606" s="300" t="s">
        <v>58</v>
      </c>
      <c r="AD1606" s="408"/>
      <c r="AE1606" s="599"/>
      <c r="AG1606" s="581"/>
      <c r="AH1606" s="582"/>
    </row>
    <row r="1607" spans="1:35" s="600" customFormat="1" ht="101.45" customHeight="1">
      <c r="A1607" s="410"/>
      <c r="B1607" s="573"/>
      <c r="C1607" s="573" t="s">
        <v>1997</v>
      </c>
      <c r="D1607" s="573" t="s">
        <v>1977</v>
      </c>
      <c r="E1607" s="641" t="s">
        <v>1998</v>
      </c>
      <c r="F1607" s="575" t="s">
        <v>58</v>
      </c>
      <c r="G1607" s="576">
        <f>SUM(G1611:G1613)</f>
        <v>2039773900</v>
      </c>
      <c r="H1607" s="641"/>
      <c r="I1607" s="576"/>
      <c r="J1607" s="642" t="s">
        <v>1993</v>
      </c>
      <c r="K1607" s="576">
        <f>SUM(K1608:K1613)</f>
        <v>5147036800</v>
      </c>
      <c r="L1607" s="642" t="s">
        <v>1980</v>
      </c>
      <c r="M1607" s="576">
        <f>SUM(M1608:M1613)</f>
        <v>699587200</v>
      </c>
      <c r="N1607" s="642" t="s">
        <v>1999</v>
      </c>
      <c r="O1607" s="576">
        <f>SUM(O1608:O1613)</f>
        <v>71075000</v>
      </c>
      <c r="P1607" s="625">
        <v>4</v>
      </c>
      <c r="Q1607" s="576">
        <f>SUM(Q1608:Q1613)</f>
        <v>114448400</v>
      </c>
      <c r="R1607" s="625">
        <v>3</v>
      </c>
      <c r="S1607" s="273">
        <v>185523400</v>
      </c>
      <c r="T1607" s="646">
        <f t="shared" si="403"/>
        <v>7</v>
      </c>
      <c r="U1607" s="614">
        <f t="shared" si="404"/>
        <v>100</v>
      </c>
      <c r="V1607" s="410" t="s">
        <v>58</v>
      </c>
      <c r="W1607" s="411">
        <f t="shared" si="405"/>
        <v>1070634000</v>
      </c>
      <c r="X1607" s="615">
        <f>W1607/K1607*100</f>
        <v>20.800978147271067</v>
      </c>
      <c r="Y1607" s="410" t="s">
        <v>58</v>
      </c>
      <c r="Z1607" s="622">
        <f t="shared" si="406"/>
        <v>7</v>
      </c>
      <c r="AA1607" s="411">
        <f t="shared" si="407"/>
        <v>1070634000</v>
      </c>
      <c r="AB1607" s="412"/>
      <c r="AC1607" s="410" t="s">
        <v>58</v>
      </c>
      <c r="AD1607" s="412"/>
      <c r="AE1607" s="599"/>
      <c r="AG1607" s="581"/>
      <c r="AH1607" s="582"/>
    </row>
    <row r="1608" spans="1:35" s="600" customFormat="1" ht="45" customHeight="1">
      <c r="A1608" s="300"/>
      <c r="B1608" s="440"/>
      <c r="C1608" s="440"/>
      <c r="D1608" s="603" t="s">
        <v>2000</v>
      </c>
      <c r="E1608" s="583" t="s">
        <v>2001</v>
      </c>
      <c r="F1608" s="583" t="s">
        <v>1088</v>
      </c>
      <c r="G1608" s="584"/>
      <c r="H1608" s="583"/>
      <c r="I1608" s="584"/>
      <c r="J1608" s="585">
        <v>148</v>
      </c>
      <c r="K1608" s="584">
        <f>SUM(K1609:K1613)</f>
        <v>2573518400</v>
      </c>
      <c r="L1608" s="585">
        <v>0</v>
      </c>
      <c r="M1608" s="584">
        <f>SUM(M1609:M1613)</f>
        <v>349793600</v>
      </c>
      <c r="N1608" s="585">
        <v>46</v>
      </c>
      <c r="O1608" s="584"/>
      <c r="P1608" s="593">
        <v>56</v>
      </c>
      <c r="Q1608" s="584"/>
      <c r="R1608" s="593">
        <v>46</v>
      </c>
      <c r="S1608" s="273">
        <v>0</v>
      </c>
      <c r="T1608" s="595">
        <f t="shared" si="403"/>
        <v>148</v>
      </c>
      <c r="U1608" s="595">
        <f t="shared" si="404"/>
        <v>100</v>
      </c>
      <c r="V1608" s="300" t="s">
        <v>58</v>
      </c>
      <c r="W1608" s="407">
        <f t="shared" si="405"/>
        <v>349793600</v>
      </c>
      <c r="X1608" s="597">
        <f>W1608/K1608*100</f>
        <v>13.592038044103358</v>
      </c>
      <c r="Y1608" s="300" t="s">
        <v>58</v>
      </c>
      <c r="Z1608" s="595">
        <f t="shared" si="406"/>
        <v>148</v>
      </c>
      <c r="AA1608" s="407">
        <f t="shared" si="407"/>
        <v>349793600</v>
      </c>
      <c r="AB1608" s="408"/>
      <c r="AC1608" s="300" t="s">
        <v>58</v>
      </c>
      <c r="AD1608" s="408"/>
      <c r="AE1608" s="599"/>
      <c r="AG1608" s="581"/>
      <c r="AH1608" s="582"/>
    </row>
    <row r="1609" spans="1:35" s="600" customFormat="1" ht="28.9" customHeight="1">
      <c r="A1609" s="300"/>
      <c r="B1609" s="440"/>
      <c r="C1609" s="440"/>
      <c r="D1609" s="603"/>
      <c r="E1609" s="583" t="s">
        <v>2002</v>
      </c>
      <c r="F1609" s="583" t="s">
        <v>2003</v>
      </c>
      <c r="G1609" s="584"/>
      <c r="H1609" s="583"/>
      <c r="I1609" s="584"/>
      <c r="J1609" s="585">
        <v>11</v>
      </c>
      <c r="K1609" s="584">
        <f>SUM(K1610:K1613)</f>
        <v>1286759200</v>
      </c>
      <c r="L1609" s="585">
        <v>2</v>
      </c>
      <c r="M1609" s="584">
        <f>SUM(M1610:M1613)</f>
        <v>174896800</v>
      </c>
      <c r="N1609" s="585">
        <v>3</v>
      </c>
      <c r="O1609" s="584"/>
      <c r="P1609" s="593">
        <v>3</v>
      </c>
      <c r="Q1609" s="584"/>
      <c r="R1609" s="593">
        <v>3</v>
      </c>
      <c r="S1609" s="273">
        <v>0</v>
      </c>
      <c r="T1609" s="595">
        <f t="shared" si="403"/>
        <v>11</v>
      </c>
      <c r="U1609" s="595">
        <f t="shared" si="404"/>
        <v>100</v>
      </c>
      <c r="V1609" s="300" t="s">
        <v>58</v>
      </c>
      <c r="W1609" s="407">
        <f t="shared" si="405"/>
        <v>174896800</v>
      </c>
      <c r="X1609" s="597">
        <f>W1609/K1609*100</f>
        <v>13.592038044103358</v>
      </c>
      <c r="Y1609" s="300" t="s">
        <v>58</v>
      </c>
      <c r="Z1609" s="595">
        <f t="shared" si="406"/>
        <v>11</v>
      </c>
      <c r="AA1609" s="407">
        <f t="shared" si="407"/>
        <v>174896800</v>
      </c>
      <c r="AB1609" s="408"/>
      <c r="AC1609" s="300" t="s">
        <v>58</v>
      </c>
      <c r="AD1609" s="408"/>
      <c r="AE1609" s="599"/>
      <c r="AG1609" s="581"/>
      <c r="AH1609" s="582"/>
    </row>
    <row r="1610" spans="1:35" s="600" customFormat="1" ht="27" customHeight="1">
      <c r="A1610" s="300"/>
      <c r="B1610" s="440"/>
      <c r="C1610" s="440"/>
      <c r="D1610" s="603"/>
      <c r="E1610" s="583" t="s">
        <v>2004</v>
      </c>
      <c r="F1610" s="583" t="s">
        <v>2005</v>
      </c>
      <c r="G1610" s="584"/>
      <c r="H1610" s="583"/>
      <c r="I1610" s="584"/>
      <c r="J1610" s="585">
        <v>1</v>
      </c>
      <c r="K1610" s="584">
        <f>SUM(K1611:K1613)</f>
        <v>643379600</v>
      </c>
      <c r="L1610" s="585">
        <v>0</v>
      </c>
      <c r="M1610" s="584">
        <f>SUM(M1611:M1613)</f>
        <v>87448400</v>
      </c>
      <c r="N1610" s="585">
        <v>0</v>
      </c>
      <c r="O1610" s="584"/>
      <c r="P1610" s="593">
        <v>0</v>
      </c>
      <c r="Q1610" s="584"/>
      <c r="R1610" s="593">
        <f>J1610</f>
        <v>1</v>
      </c>
      <c r="S1610" s="273">
        <v>0</v>
      </c>
      <c r="T1610" s="595">
        <f t="shared" si="403"/>
        <v>1</v>
      </c>
      <c r="U1610" s="595">
        <f t="shared" si="404"/>
        <v>100</v>
      </c>
      <c r="V1610" s="300" t="s">
        <v>58</v>
      </c>
      <c r="W1610" s="407">
        <f t="shared" si="405"/>
        <v>87448400</v>
      </c>
      <c r="X1610" s="597">
        <f>W1610/K1610*100</f>
        <v>13.592038044103358</v>
      </c>
      <c r="Y1610" s="300" t="s">
        <v>58</v>
      </c>
      <c r="Z1610" s="595">
        <f t="shared" si="406"/>
        <v>1</v>
      </c>
      <c r="AA1610" s="407">
        <f t="shared" si="407"/>
        <v>87448400</v>
      </c>
      <c r="AB1610" s="408"/>
      <c r="AC1610" s="300" t="s">
        <v>58</v>
      </c>
      <c r="AD1610" s="408"/>
      <c r="AE1610" s="599"/>
      <c r="AG1610" s="581"/>
      <c r="AH1610" s="582"/>
    </row>
    <row r="1611" spans="1:35" s="600" customFormat="1" ht="104.45" customHeight="1">
      <c r="A1611" s="410"/>
      <c r="B1611" s="573"/>
      <c r="C1611" s="440" t="s">
        <v>2006</v>
      </c>
      <c r="D1611" s="603" t="s">
        <v>2007</v>
      </c>
      <c r="E1611" s="647" t="s">
        <v>1978</v>
      </c>
      <c r="F1611" s="583" t="s">
        <v>58</v>
      </c>
      <c r="G1611" s="584">
        <v>1691970000</v>
      </c>
      <c r="H1611" s="647"/>
      <c r="I1611" s="584"/>
      <c r="J1611" s="648" t="s">
        <v>1979</v>
      </c>
      <c r="K1611" s="584">
        <v>194653500</v>
      </c>
      <c r="L1611" s="648" t="s">
        <v>1980</v>
      </c>
      <c r="M1611" s="584">
        <v>47375000</v>
      </c>
      <c r="N1611" s="648" t="s">
        <v>2008</v>
      </c>
      <c r="O1611" s="584">
        <v>35537500</v>
      </c>
      <c r="P1611" s="638">
        <v>5</v>
      </c>
      <c r="Q1611" s="584">
        <v>58125000</v>
      </c>
      <c r="R1611" s="649"/>
      <c r="S1611" s="273">
        <v>93662500</v>
      </c>
      <c r="T1611" s="650">
        <f t="shared" si="403"/>
        <v>5</v>
      </c>
      <c r="U1611" s="614">
        <f t="shared" si="404"/>
        <v>100</v>
      </c>
      <c r="V1611" s="410" t="s">
        <v>58</v>
      </c>
      <c r="W1611" s="411">
        <f t="shared" si="405"/>
        <v>234700000</v>
      </c>
      <c r="X1611" s="615">
        <f>W1611/K1611*100</f>
        <v>120.57322370263057</v>
      </c>
      <c r="Y1611" s="410" t="s">
        <v>58</v>
      </c>
      <c r="Z1611" s="614">
        <f t="shared" si="406"/>
        <v>5</v>
      </c>
      <c r="AA1611" s="411">
        <f t="shared" si="407"/>
        <v>234700000</v>
      </c>
      <c r="AB1611" s="412"/>
      <c r="AC1611" s="410" t="s">
        <v>58</v>
      </c>
      <c r="AD1611" s="412"/>
      <c r="AE1611" s="599"/>
      <c r="AF1611" s="645"/>
      <c r="AG1611" s="581"/>
      <c r="AH1611" s="582"/>
    </row>
    <row r="1612" spans="1:35" s="600" customFormat="1" ht="117.6" customHeight="1">
      <c r="A1612" s="410"/>
      <c r="B1612" s="573"/>
      <c r="C1612" s="440"/>
      <c r="D1612" s="603" t="s">
        <v>2009</v>
      </c>
      <c r="E1612" s="651" t="s">
        <v>2010</v>
      </c>
      <c r="F1612" s="583" t="s">
        <v>449</v>
      </c>
      <c r="G1612" s="584">
        <v>136315000</v>
      </c>
      <c r="H1612" s="651"/>
      <c r="I1612" s="584"/>
      <c r="J1612" s="652"/>
      <c r="K1612" s="584"/>
      <c r="L1612" s="652"/>
      <c r="M1612" s="584"/>
      <c r="N1612" s="652"/>
      <c r="O1612" s="584"/>
      <c r="P1612" s="625"/>
      <c r="Q1612" s="584"/>
      <c r="R1612" s="593"/>
      <c r="S1612" s="273">
        <v>0</v>
      </c>
      <c r="T1612" s="650"/>
      <c r="U1612" s="614"/>
      <c r="V1612" s="410" t="s">
        <v>58</v>
      </c>
      <c r="W1612" s="411"/>
      <c r="X1612" s="615"/>
      <c r="Y1612" s="410" t="s">
        <v>58</v>
      </c>
      <c r="Z1612" s="614"/>
      <c r="AA1612" s="411"/>
      <c r="AB1612" s="412"/>
      <c r="AC1612" s="410"/>
      <c r="AD1612" s="412"/>
      <c r="AE1612" s="599"/>
      <c r="AF1612" s="653"/>
      <c r="AG1612" s="581"/>
      <c r="AH1612" s="582"/>
    </row>
    <row r="1613" spans="1:35" s="600" customFormat="1" ht="120">
      <c r="A1613" s="410"/>
      <c r="B1613" s="573"/>
      <c r="C1613" s="440" t="s">
        <v>2011</v>
      </c>
      <c r="D1613" s="603" t="s">
        <v>2012</v>
      </c>
      <c r="E1613" s="584" t="s">
        <v>2013</v>
      </c>
      <c r="F1613" s="583" t="s">
        <v>2003</v>
      </c>
      <c r="G1613" s="584">
        <v>211488900</v>
      </c>
      <c r="H1613" s="584"/>
      <c r="I1613" s="584"/>
      <c r="J1613" s="605">
        <v>11</v>
      </c>
      <c r="K1613" s="584">
        <v>448726100</v>
      </c>
      <c r="L1613" s="605">
        <v>3</v>
      </c>
      <c r="M1613" s="584">
        <f>3000000+37073400</f>
        <v>40073400</v>
      </c>
      <c r="N1613" s="605">
        <v>3</v>
      </c>
      <c r="O1613" s="584">
        <v>35537500</v>
      </c>
      <c r="P1613" s="638">
        <v>3</v>
      </c>
      <c r="Q1613" s="584">
        <f>12750000+43573400</f>
        <v>56323400</v>
      </c>
      <c r="R1613" s="593">
        <v>2</v>
      </c>
      <c r="S1613" s="273">
        <v>91860900</v>
      </c>
      <c r="T1613" s="650">
        <f>SUM(L1613,N1613,P1613,R1613)</f>
        <v>11</v>
      </c>
      <c r="U1613" s="614">
        <f t="shared" ref="U1613:U1637" si="410">T1613/J1613*100</f>
        <v>100</v>
      </c>
      <c r="V1613" s="410" t="s">
        <v>58</v>
      </c>
      <c r="W1613" s="411">
        <f t="shared" ref="W1613:W1636" si="411">SUM(M1613,O1613,Q1613,S1613)</f>
        <v>223795200</v>
      </c>
      <c r="X1613" s="597">
        <f t="shared" ref="X1613:X1637" si="412">W1613/K1613*100</f>
        <v>49.873452870247576</v>
      </c>
      <c r="Y1613" s="410" t="s">
        <v>58</v>
      </c>
      <c r="Z1613" s="614">
        <f t="shared" ref="Z1613:Z1636" si="413">SUM(H1613,T1613)</f>
        <v>11</v>
      </c>
      <c r="AA1613" s="411">
        <f t="shared" ref="AA1613:AA1636" si="414">SUM(I1613,W1613)</f>
        <v>223795200</v>
      </c>
      <c r="AB1613" s="412"/>
      <c r="AC1613" s="410" t="s">
        <v>58</v>
      </c>
      <c r="AD1613" s="412"/>
      <c r="AE1613" s="599"/>
      <c r="AF1613" s="645"/>
      <c r="AG1613" s="581"/>
      <c r="AH1613" s="582"/>
    </row>
    <row r="1614" spans="1:35" s="600" customFormat="1" ht="131.44999999999999" customHeight="1">
      <c r="A1614" s="410">
        <v>2</v>
      </c>
      <c r="B1614" s="573" t="s">
        <v>2014</v>
      </c>
      <c r="C1614" s="468" t="s">
        <v>2015</v>
      </c>
      <c r="D1614" s="611" t="s">
        <v>2016</v>
      </c>
      <c r="E1614" s="576" t="s">
        <v>2017</v>
      </c>
      <c r="F1614" s="575"/>
      <c r="G1614" s="576">
        <f>G1615+G1619+G1623+G1629+G1634</f>
        <v>40382711564</v>
      </c>
      <c r="H1614" s="575"/>
      <c r="I1614" s="576"/>
      <c r="J1614" s="654">
        <v>86.42</v>
      </c>
      <c r="K1614" s="576">
        <f>K1615+K1618+K1623+K1629+K1634</f>
        <v>17438567197</v>
      </c>
      <c r="L1614" s="654">
        <v>0</v>
      </c>
      <c r="M1614" s="576">
        <f>M1615+M1618+M1623+M1629+M1634</f>
        <v>2955109210</v>
      </c>
      <c r="N1614" s="654">
        <v>0</v>
      </c>
      <c r="O1614" s="576">
        <f>O1615+O1618+O1623+O1629+O1634</f>
        <v>7619137848</v>
      </c>
      <c r="P1614" s="625"/>
      <c r="Q1614" s="576">
        <f>Q1615+Q1618+Q1623+Q1629+Q1634</f>
        <v>12075184821</v>
      </c>
      <c r="R1614" s="593"/>
      <c r="S1614" s="273">
        <v>19694322669</v>
      </c>
      <c r="T1614" s="650">
        <f>SUM(L1614,N1614,P1614,R1614)</f>
        <v>0</v>
      </c>
      <c r="U1614" s="614">
        <f t="shared" si="410"/>
        <v>0</v>
      </c>
      <c r="V1614" s="410" t="s">
        <v>58</v>
      </c>
      <c r="W1614" s="411">
        <f t="shared" si="411"/>
        <v>42343754548</v>
      </c>
      <c r="X1614" s="597">
        <f t="shared" si="412"/>
        <v>242.81670661156437</v>
      </c>
      <c r="Y1614" s="410" t="s">
        <v>58</v>
      </c>
      <c r="Z1614" s="616">
        <f t="shared" si="413"/>
        <v>0</v>
      </c>
      <c r="AA1614" s="411">
        <f t="shared" si="414"/>
        <v>42343754548</v>
      </c>
      <c r="AB1614" s="412"/>
      <c r="AC1614" s="410" t="s">
        <v>58</v>
      </c>
      <c r="AD1614" s="412"/>
      <c r="AE1614" s="599"/>
      <c r="AG1614" s="581"/>
      <c r="AH1614" s="582"/>
    </row>
    <row r="1615" spans="1:35" s="600" customFormat="1" ht="78" customHeight="1">
      <c r="A1615" s="410"/>
      <c r="B1615" s="573"/>
      <c r="C1615" s="468" t="s">
        <v>1276</v>
      </c>
      <c r="D1615" s="655" t="s">
        <v>2018</v>
      </c>
      <c r="E1615" s="647" t="s">
        <v>2019</v>
      </c>
      <c r="F1615" s="583" t="s">
        <v>58</v>
      </c>
      <c r="G1615" s="576">
        <f>SUM(G1616:G1617)</f>
        <v>18996200</v>
      </c>
      <c r="H1615" s="647"/>
      <c r="I1615" s="576"/>
      <c r="J1615" s="648" t="s">
        <v>2020</v>
      </c>
      <c r="K1615" s="576">
        <f>SUM(K1616:K1617)</f>
        <v>9499050</v>
      </c>
      <c r="L1615" s="648" t="s">
        <v>2021</v>
      </c>
      <c r="M1615" s="576">
        <f>M1616+M1617</f>
        <v>0</v>
      </c>
      <c r="N1615" s="648" t="s">
        <v>2021</v>
      </c>
      <c r="O1615" s="576">
        <f>SUM(O1616:O1617)</f>
        <v>1306850</v>
      </c>
      <c r="P1615" s="625">
        <v>3</v>
      </c>
      <c r="Q1615" s="576">
        <f>SUM(Q1616:Q1617)</f>
        <v>2613700</v>
      </c>
      <c r="R1615" s="593">
        <v>3</v>
      </c>
      <c r="S1615" s="273">
        <v>1657950</v>
      </c>
      <c r="T1615" s="656">
        <f t="shared" ref="T1615:T1636" si="415">L1615+N1615+P1615+R1615</f>
        <v>12</v>
      </c>
      <c r="U1615" s="614">
        <f t="shared" si="410"/>
        <v>100</v>
      </c>
      <c r="V1615" s="410" t="s">
        <v>58</v>
      </c>
      <c r="W1615" s="411">
        <f t="shared" si="411"/>
        <v>5578500</v>
      </c>
      <c r="X1615" s="597">
        <f t="shared" si="412"/>
        <v>58.726925324111356</v>
      </c>
      <c r="Y1615" s="410" t="s">
        <v>58</v>
      </c>
      <c r="Z1615" s="616">
        <f t="shared" si="413"/>
        <v>12</v>
      </c>
      <c r="AA1615" s="411">
        <f t="shared" si="414"/>
        <v>5578500</v>
      </c>
      <c r="AB1615" s="412"/>
      <c r="AC1615" s="410" t="s">
        <v>58</v>
      </c>
      <c r="AD1615" s="412"/>
      <c r="AE1615" s="599"/>
      <c r="AG1615" s="581"/>
      <c r="AH1615" s="582"/>
      <c r="AI1615" s="581">
        <f>AG1615-AH1615</f>
        <v>0</v>
      </c>
    </row>
    <row r="1616" spans="1:35" s="600" customFormat="1" ht="90">
      <c r="A1616" s="410"/>
      <c r="B1616" s="573"/>
      <c r="C1616" s="440" t="s">
        <v>69</v>
      </c>
      <c r="D1616" s="360" t="s">
        <v>2022</v>
      </c>
      <c r="E1616" s="647" t="s">
        <v>1999</v>
      </c>
      <c r="F1616" s="583" t="s">
        <v>1113</v>
      </c>
      <c r="G1616" s="584">
        <v>15996200</v>
      </c>
      <c r="H1616" s="647"/>
      <c r="I1616" s="584"/>
      <c r="J1616" s="648" t="s">
        <v>2023</v>
      </c>
      <c r="K1616" s="584">
        <v>7999200</v>
      </c>
      <c r="L1616" s="648" t="s">
        <v>1980</v>
      </c>
      <c r="M1616" s="584">
        <v>0</v>
      </c>
      <c r="N1616" s="648" t="s">
        <v>1999</v>
      </c>
      <c r="O1616" s="584">
        <v>861850</v>
      </c>
      <c r="P1616" s="625">
        <v>2</v>
      </c>
      <c r="Q1616" s="584">
        <v>2168700</v>
      </c>
      <c r="R1616" s="593">
        <v>2</v>
      </c>
      <c r="S1616" s="273">
        <v>3030550</v>
      </c>
      <c r="T1616" s="656">
        <f t="shared" si="415"/>
        <v>6</v>
      </c>
      <c r="U1616" s="614">
        <f t="shared" si="410"/>
        <v>100</v>
      </c>
      <c r="V1616" s="410" t="s">
        <v>58</v>
      </c>
      <c r="W1616" s="411">
        <f t="shared" si="411"/>
        <v>6061100</v>
      </c>
      <c r="X1616" s="597">
        <f t="shared" si="412"/>
        <v>75.771327132713267</v>
      </c>
      <c r="Y1616" s="410" t="s">
        <v>58</v>
      </c>
      <c r="Z1616" s="616">
        <f t="shared" si="413"/>
        <v>6</v>
      </c>
      <c r="AA1616" s="411">
        <f t="shared" si="414"/>
        <v>6061100</v>
      </c>
      <c r="AB1616" s="412"/>
      <c r="AC1616" s="410" t="s">
        <v>58</v>
      </c>
      <c r="AD1616" s="412"/>
      <c r="AE1616" s="599"/>
      <c r="AG1616" s="581"/>
      <c r="AH1616" s="582"/>
    </row>
    <row r="1617" spans="1:34" s="600" customFormat="1" ht="176.45" customHeight="1">
      <c r="A1617" s="410"/>
      <c r="B1617" s="573"/>
      <c r="C1617" s="440" t="s">
        <v>70</v>
      </c>
      <c r="D1617" s="360" t="s">
        <v>311</v>
      </c>
      <c r="E1617" s="647" t="s">
        <v>1994</v>
      </c>
      <c r="F1617" s="583" t="s">
        <v>1113</v>
      </c>
      <c r="G1617" s="584">
        <v>3000000</v>
      </c>
      <c r="H1617" s="647"/>
      <c r="I1617" s="584"/>
      <c r="J1617" s="648" t="s">
        <v>1994</v>
      </c>
      <c r="K1617" s="584">
        <v>1499850</v>
      </c>
      <c r="L1617" s="648" t="s">
        <v>2024</v>
      </c>
      <c r="M1617" s="584">
        <v>0</v>
      </c>
      <c r="N1617" s="648" t="s">
        <v>2024</v>
      </c>
      <c r="O1617" s="584">
        <v>445000</v>
      </c>
      <c r="P1617" s="593">
        <v>1</v>
      </c>
      <c r="Q1617" s="584">
        <v>445000</v>
      </c>
      <c r="R1617" s="593">
        <v>1</v>
      </c>
      <c r="S1617" s="273">
        <v>890000</v>
      </c>
      <c r="T1617" s="656">
        <f t="shared" si="415"/>
        <v>4</v>
      </c>
      <c r="U1617" s="595">
        <f t="shared" si="410"/>
        <v>100</v>
      </c>
      <c r="V1617" s="300" t="s">
        <v>58</v>
      </c>
      <c r="W1617" s="407">
        <f t="shared" si="411"/>
        <v>1780000</v>
      </c>
      <c r="X1617" s="597">
        <f t="shared" si="412"/>
        <v>118.67853452011867</v>
      </c>
      <c r="Y1617" s="300" t="s">
        <v>58</v>
      </c>
      <c r="Z1617" s="598">
        <f t="shared" si="413"/>
        <v>4</v>
      </c>
      <c r="AA1617" s="411">
        <f t="shared" si="414"/>
        <v>1780000</v>
      </c>
      <c r="AB1617" s="408"/>
      <c r="AC1617" s="300" t="s">
        <v>58</v>
      </c>
      <c r="AD1617" s="408"/>
      <c r="AE1617" s="599"/>
      <c r="AG1617" s="581"/>
      <c r="AH1617" s="582"/>
    </row>
    <row r="1618" spans="1:34" s="600" customFormat="1" ht="84.75" customHeight="1">
      <c r="A1618" s="410"/>
      <c r="B1618" s="573"/>
      <c r="C1618" s="468" t="s">
        <v>71</v>
      </c>
      <c r="D1618" s="611" t="s">
        <v>2025</v>
      </c>
      <c r="E1618" s="641" t="s">
        <v>2019</v>
      </c>
      <c r="F1618" s="575" t="s">
        <v>58</v>
      </c>
      <c r="G1618" s="576">
        <f>G1619+G1623+G1629+G1634</f>
        <v>40363715364</v>
      </c>
      <c r="H1618" s="641"/>
      <c r="I1618" s="576"/>
      <c r="J1618" s="642" t="s">
        <v>2020</v>
      </c>
      <c r="K1618" s="576">
        <f>SUM(K1619:K1622)</f>
        <v>16253261197</v>
      </c>
      <c r="L1618" s="642" t="s">
        <v>2021</v>
      </c>
      <c r="M1618" s="576">
        <f>SUM(M1619:M1622)</f>
        <v>2761568088</v>
      </c>
      <c r="N1618" s="642" t="s">
        <v>2021</v>
      </c>
      <c r="O1618" s="576">
        <f>SUM(O1619:O1622)</f>
        <v>7258818340</v>
      </c>
      <c r="P1618" s="619">
        <v>3</v>
      </c>
      <c r="Q1618" s="576">
        <f>SUM(Q1619:Q1622)</f>
        <v>11547960791</v>
      </c>
      <c r="R1618" s="657">
        <v>3</v>
      </c>
      <c r="S1618" s="610">
        <v>18806779131</v>
      </c>
      <c r="T1618" s="656">
        <f t="shared" si="415"/>
        <v>12</v>
      </c>
      <c r="U1618" s="614">
        <f t="shared" si="410"/>
        <v>100</v>
      </c>
      <c r="V1618" s="410" t="s">
        <v>58</v>
      </c>
      <c r="W1618" s="411">
        <f t="shared" si="411"/>
        <v>40375126350</v>
      </c>
      <c r="X1618" s="615">
        <f t="shared" si="412"/>
        <v>248.41246233988028</v>
      </c>
      <c r="Y1618" s="410" t="s">
        <v>58</v>
      </c>
      <c r="Z1618" s="627">
        <f t="shared" si="413"/>
        <v>12</v>
      </c>
      <c r="AA1618" s="411">
        <f t="shared" si="414"/>
        <v>40375126350</v>
      </c>
      <c r="AB1618" s="412"/>
      <c r="AC1618" s="410" t="s">
        <v>58</v>
      </c>
      <c r="AD1618" s="412"/>
      <c r="AE1618" s="599"/>
      <c r="AG1618" s="581"/>
      <c r="AH1618" s="582"/>
    </row>
    <row r="1619" spans="1:34" s="600" customFormat="1" ht="75">
      <c r="A1619" s="410"/>
      <c r="B1619" s="573"/>
      <c r="C1619" s="440" t="s">
        <v>1173</v>
      </c>
      <c r="D1619" s="635" t="s">
        <v>318</v>
      </c>
      <c r="E1619" s="584" t="s">
        <v>2026</v>
      </c>
      <c r="F1619" s="583" t="s">
        <v>2027</v>
      </c>
      <c r="G1619" s="584">
        <v>38006374264</v>
      </c>
      <c r="H1619" s="584"/>
      <c r="I1619" s="584"/>
      <c r="J1619" s="605">
        <v>12</v>
      </c>
      <c r="K1619" s="584">
        <v>16248261897</v>
      </c>
      <c r="L1619" s="605">
        <v>3</v>
      </c>
      <c r="M1619" s="584">
        <v>2761568088</v>
      </c>
      <c r="N1619" s="605">
        <v>3</v>
      </c>
      <c r="O1619" s="584">
        <v>7258468340</v>
      </c>
      <c r="P1619" s="658">
        <v>3</v>
      </c>
      <c r="Q1619" s="584">
        <v>11546650791</v>
      </c>
      <c r="R1619" s="619">
        <v>3</v>
      </c>
      <c r="S1619" s="273">
        <v>18805119131</v>
      </c>
      <c r="T1619" s="656">
        <f t="shared" si="415"/>
        <v>12</v>
      </c>
      <c r="U1619" s="614">
        <f t="shared" si="410"/>
        <v>100</v>
      </c>
      <c r="V1619" s="410" t="s">
        <v>58</v>
      </c>
      <c r="W1619" s="411">
        <f t="shared" si="411"/>
        <v>40371806350</v>
      </c>
      <c r="X1619" s="615">
        <f t="shared" si="412"/>
        <v>248.46846146327843</v>
      </c>
      <c r="Y1619" s="410" t="s">
        <v>58</v>
      </c>
      <c r="Z1619" s="627">
        <f t="shared" si="413"/>
        <v>12</v>
      </c>
      <c r="AA1619" s="411">
        <f t="shared" si="414"/>
        <v>40371806350</v>
      </c>
      <c r="AB1619" s="412"/>
      <c r="AC1619" s="410" t="s">
        <v>58</v>
      </c>
      <c r="AD1619" s="412"/>
      <c r="AE1619" s="599"/>
      <c r="AG1619" s="581"/>
      <c r="AH1619" s="582"/>
    </row>
    <row r="1620" spans="1:34" s="600" customFormat="1" ht="95.25" customHeight="1">
      <c r="A1620" s="410"/>
      <c r="B1620" s="573"/>
      <c r="C1620" s="440" t="s">
        <v>73</v>
      </c>
      <c r="D1620" s="635" t="s">
        <v>2028</v>
      </c>
      <c r="E1620" s="584" t="s">
        <v>2026</v>
      </c>
      <c r="F1620" s="583" t="s">
        <v>2027</v>
      </c>
      <c r="G1620" s="584">
        <v>4600000</v>
      </c>
      <c r="H1620" s="584"/>
      <c r="I1620" s="584"/>
      <c r="J1620" s="605">
        <v>1</v>
      </c>
      <c r="K1620" s="584">
        <v>1999700</v>
      </c>
      <c r="L1620" s="605">
        <v>0</v>
      </c>
      <c r="M1620" s="584">
        <v>0</v>
      </c>
      <c r="N1620" s="605">
        <v>0</v>
      </c>
      <c r="O1620" s="584">
        <v>0</v>
      </c>
      <c r="P1620" s="658">
        <v>0</v>
      </c>
      <c r="Q1620" s="584">
        <v>960000</v>
      </c>
      <c r="R1620" s="619">
        <v>1</v>
      </c>
      <c r="S1620" s="273">
        <v>960000</v>
      </c>
      <c r="T1620" s="656">
        <f t="shared" si="415"/>
        <v>1</v>
      </c>
      <c r="U1620" s="595">
        <f t="shared" si="410"/>
        <v>100</v>
      </c>
      <c r="V1620" s="300" t="s">
        <v>58</v>
      </c>
      <c r="W1620" s="407">
        <f t="shared" si="411"/>
        <v>1920000</v>
      </c>
      <c r="X1620" s="597">
        <f t="shared" si="412"/>
        <v>96.014402160324053</v>
      </c>
      <c r="Y1620" s="300" t="s">
        <v>58</v>
      </c>
      <c r="Z1620" s="659">
        <f t="shared" si="413"/>
        <v>1</v>
      </c>
      <c r="AA1620" s="411">
        <f t="shared" si="414"/>
        <v>1920000</v>
      </c>
      <c r="AB1620" s="408"/>
      <c r="AC1620" s="300" t="s">
        <v>58</v>
      </c>
      <c r="AD1620" s="408"/>
      <c r="AE1620" s="599"/>
      <c r="AG1620" s="581"/>
      <c r="AH1620" s="582"/>
    </row>
    <row r="1621" spans="1:34" s="600" customFormat="1" ht="93.6" customHeight="1">
      <c r="A1621" s="410"/>
      <c r="B1621" s="573"/>
      <c r="C1621" s="440" t="s">
        <v>1174</v>
      </c>
      <c r="D1621" s="635" t="s">
        <v>2029</v>
      </c>
      <c r="E1621" s="584" t="s">
        <v>2026</v>
      </c>
      <c r="F1621" s="583" t="s">
        <v>2027</v>
      </c>
      <c r="G1621" s="584">
        <v>3400000</v>
      </c>
      <c r="H1621" s="584"/>
      <c r="I1621" s="584"/>
      <c r="J1621" s="605">
        <v>16</v>
      </c>
      <c r="K1621" s="584">
        <v>1499800</v>
      </c>
      <c r="L1621" s="605">
        <v>3</v>
      </c>
      <c r="M1621" s="584">
        <v>0</v>
      </c>
      <c r="N1621" s="605">
        <v>6</v>
      </c>
      <c r="O1621" s="584">
        <v>350000</v>
      </c>
      <c r="P1621" s="658">
        <v>4</v>
      </c>
      <c r="Q1621" s="584">
        <v>350000</v>
      </c>
      <c r="R1621" s="619">
        <v>4</v>
      </c>
      <c r="S1621" s="273">
        <v>700000</v>
      </c>
      <c r="T1621" s="656">
        <f t="shared" si="415"/>
        <v>17</v>
      </c>
      <c r="U1621" s="614">
        <f t="shared" si="410"/>
        <v>106.25</v>
      </c>
      <c r="V1621" s="410" t="s">
        <v>58</v>
      </c>
      <c r="W1621" s="411">
        <f t="shared" si="411"/>
        <v>1400000</v>
      </c>
      <c r="X1621" s="615">
        <f t="shared" si="412"/>
        <v>93.345779437258301</v>
      </c>
      <c r="Y1621" s="410" t="s">
        <v>58</v>
      </c>
      <c r="Z1621" s="627">
        <f t="shared" si="413"/>
        <v>17</v>
      </c>
      <c r="AA1621" s="411">
        <f t="shared" si="414"/>
        <v>1400000</v>
      </c>
      <c r="AB1621" s="412"/>
      <c r="AC1621" s="410" t="s">
        <v>58</v>
      </c>
      <c r="AD1621" s="412"/>
      <c r="AE1621" s="599"/>
      <c r="AG1621" s="581"/>
      <c r="AH1621" s="582"/>
    </row>
    <row r="1622" spans="1:34" s="600" customFormat="1" ht="78.75" customHeight="1">
      <c r="A1622" s="410"/>
      <c r="B1622" s="573"/>
      <c r="C1622" s="440" t="s">
        <v>2030</v>
      </c>
      <c r="D1622" s="635" t="s">
        <v>2031</v>
      </c>
      <c r="E1622" s="584" t="s">
        <v>2032</v>
      </c>
      <c r="F1622" s="583" t="s">
        <v>2027</v>
      </c>
      <c r="G1622" s="584">
        <v>3400000</v>
      </c>
      <c r="H1622" s="584"/>
      <c r="I1622" s="584"/>
      <c r="J1622" s="605">
        <v>1</v>
      </c>
      <c r="K1622" s="584">
        <v>1499800</v>
      </c>
      <c r="L1622" s="605"/>
      <c r="M1622" s="584">
        <v>0</v>
      </c>
      <c r="N1622" s="605"/>
      <c r="O1622" s="584">
        <v>0</v>
      </c>
      <c r="P1622" s="593"/>
      <c r="Q1622" s="584"/>
      <c r="R1622" s="593">
        <v>1</v>
      </c>
      <c r="S1622" s="273">
        <v>0</v>
      </c>
      <c r="T1622" s="656">
        <f t="shared" si="415"/>
        <v>1</v>
      </c>
      <c r="U1622" s="595">
        <f t="shared" si="410"/>
        <v>100</v>
      </c>
      <c r="V1622" s="300" t="s">
        <v>58</v>
      </c>
      <c r="W1622" s="407">
        <f t="shared" si="411"/>
        <v>0</v>
      </c>
      <c r="X1622" s="597">
        <f t="shared" si="412"/>
        <v>0</v>
      </c>
      <c r="Y1622" s="300" t="s">
        <v>58</v>
      </c>
      <c r="Z1622" s="598">
        <f t="shared" si="413"/>
        <v>1</v>
      </c>
      <c r="AA1622" s="411">
        <f t="shared" si="414"/>
        <v>0</v>
      </c>
      <c r="AB1622" s="408"/>
      <c r="AC1622" s="300" t="s">
        <v>58</v>
      </c>
      <c r="AD1622" s="408"/>
      <c r="AE1622" s="599"/>
      <c r="AG1622" s="581"/>
      <c r="AH1622" s="582"/>
    </row>
    <row r="1623" spans="1:34" s="600" customFormat="1" ht="78.75" customHeight="1">
      <c r="A1623" s="410"/>
      <c r="B1623" s="573"/>
      <c r="C1623" s="468" t="s">
        <v>76</v>
      </c>
      <c r="D1623" s="573" t="s">
        <v>2033</v>
      </c>
      <c r="E1623" s="641" t="s">
        <v>2019</v>
      </c>
      <c r="F1623" s="575" t="s">
        <v>58</v>
      </c>
      <c r="G1623" s="576">
        <f>SUM(G1624:G1628)</f>
        <v>709914100</v>
      </c>
      <c r="H1623" s="641"/>
      <c r="I1623" s="576"/>
      <c r="J1623" s="642" t="s">
        <v>2020</v>
      </c>
      <c r="K1623" s="576">
        <f>SUM(K1624:K1628)</f>
        <v>371405350</v>
      </c>
      <c r="L1623" s="642" t="s">
        <v>2021</v>
      </c>
      <c r="M1623" s="576">
        <f>SUM(M1624:M1628)</f>
        <v>80400200</v>
      </c>
      <c r="N1623" s="642" t="s">
        <v>2021</v>
      </c>
      <c r="O1623" s="576">
        <f>SUM(O1624:O1628)</f>
        <v>123198700</v>
      </c>
      <c r="P1623" s="593">
        <v>3</v>
      </c>
      <c r="Q1623" s="576">
        <f>SUM(Q1624:Q1628)</f>
        <v>171672752</v>
      </c>
      <c r="R1623" s="593">
        <v>3</v>
      </c>
      <c r="S1623" s="273">
        <v>294871452</v>
      </c>
      <c r="T1623" s="656">
        <f t="shared" si="415"/>
        <v>12</v>
      </c>
      <c r="U1623" s="595">
        <f t="shared" si="410"/>
        <v>100</v>
      </c>
      <c r="V1623" s="300" t="s">
        <v>58</v>
      </c>
      <c r="W1623" s="407">
        <f t="shared" si="411"/>
        <v>670143104</v>
      </c>
      <c r="X1623" s="597">
        <f t="shared" si="412"/>
        <v>180.43442400600853</v>
      </c>
      <c r="Y1623" s="300" t="s">
        <v>58</v>
      </c>
      <c r="Z1623" s="598">
        <f t="shared" si="413"/>
        <v>12</v>
      </c>
      <c r="AA1623" s="411">
        <f t="shared" si="414"/>
        <v>670143104</v>
      </c>
      <c r="AB1623" s="408"/>
      <c r="AC1623" s="300" t="s">
        <v>58</v>
      </c>
      <c r="AD1623" s="408"/>
      <c r="AE1623" s="599"/>
      <c r="AG1623" s="581"/>
      <c r="AH1623" s="582"/>
    </row>
    <row r="1624" spans="1:34" s="600" customFormat="1" ht="112.5" customHeight="1">
      <c r="A1624" s="410"/>
      <c r="B1624" s="573"/>
      <c r="C1624" s="440" t="s">
        <v>2034</v>
      </c>
      <c r="D1624" s="440" t="s">
        <v>1731</v>
      </c>
      <c r="E1624" s="584" t="s">
        <v>2026</v>
      </c>
      <c r="F1624" s="583" t="s">
        <v>2027</v>
      </c>
      <c r="G1624" s="584">
        <v>21923200</v>
      </c>
      <c r="H1624" s="584"/>
      <c r="I1624" s="584"/>
      <c r="J1624" s="605">
        <v>100</v>
      </c>
      <c r="K1624" s="584">
        <v>11168100</v>
      </c>
      <c r="L1624" s="605"/>
      <c r="M1624" s="584">
        <v>0</v>
      </c>
      <c r="N1624" s="605"/>
      <c r="O1624" s="584">
        <v>0</v>
      </c>
      <c r="P1624" s="593"/>
      <c r="Q1624" s="584">
        <v>0</v>
      </c>
      <c r="R1624" s="593">
        <v>100</v>
      </c>
      <c r="S1624" s="273">
        <v>0</v>
      </c>
      <c r="T1624" s="656">
        <f t="shared" si="415"/>
        <v>100</v>
      </c>
      <c r="U1624" s="595">
        <f t="shared" si="410"/>
        <v>100</v>
      </c>
      <c r="V1624" s="300" t="s">
        <v>58</v>
      </c>
      <c r="W1624" s="407">
        <f t="shared" si="411"/>
        <v>0</v>
      </c>
      <c r="X1624" s="597">
        <f t="shared" si="412"/>
        <v>0</v>
      </c>
      <c r="Y1624" s="300" t="s">
        <v>58</v>
      </c>
      <c r="Z1624" s="598">
        <f t="shared" si="413"/>
        <v>100</v>
      </c>
      <c r="AA1624" s="411">
        <f t="shared" si="414"/>
        <v>0</v>
      </c>
      <c r="AB1624" s="408"/>
      <c r="AC1624" s="300" t="s">
        <v>58</v>
      </c>
      <c r="AD1624" s="408"/>
      <c r="AE1624" s="599"/>
      <c r="AG1624" s="581"/>
      <c r="AH1624" s="582"/>
    </row>
    <row r="1625" spans="1:34" s="600" customFormat="1" ht="105">
      <c r="A1625" s="410"/>
      <c r="B1625" s="573"/>
      <c r="C1625" s="440" t="s">
        <v>2035</v>
      </c>
      <c r="D1625" s="440" t="s">
        <v>2036</v>
      </c>
      <c r="E1625" s="584" t="s">
        <v>2026</v>
      </c>
      <c r="F1625" s="583" t="s">
        <v>2027</v>
      </c>
      <c r="G1625" s="584">
        <v>132465900</v>
      </c>
      <c r="H1625" s="584"/>
      <c r="I1625" s="584"/>
      <c r="J1625" s="605">
        <v>100</v>
      </c>
      <c r="K1625" s="584">
        <v>100795750</v>
      </c>
      <c r="L1625" s="605"/>
      <c r="M1625" s="584">
        <v>0</v>
      </c>
      <c r="N1625" s="605"/>
      <c r="O1625" s="584">
        <v>0</v>
      </c>
      <c r="P1625" s="593"/>
      <c r="Q1625" s="584">
        <v>0</v>
      </c>
      <c r="R1625" s="593">
        <v>100</v>
      </c>
      <c r="S1625" s="273">
        <v>0</v>
      </c>
      <c r="T1625" s="656">
        <f t="shared" si="415"/>
        <v>100</v>
      </c>
      <c r="U1625" s="595">
        <f t="shared" si="410"/>
        <v>100</v>
      </c>
      <c r="V1625" s="300" t="s">
        <v>58</v>
      </c>
      <c r="W1625" s="407">
        <f t="shared" si="411"/>
        <v>0</v>
      </c>
      <c r="X1625" s="597">
        <f t="shared" si="412"/>
        <v>0</v>
      </c>
      <c r="Y1625" s="300" t="s">
        <v>58</v>
      </c>
      <c r="Z1625" s="598">
        <f t="shared" si="413"/>
        <v>100</v>
      </c>
      <c r="AA1625" s="411">
        <f t="shared" si="414"/>
        <v>0</v>
      </c>
      <c r="AB1625" s="408"/>
      <c r="AC1625" s="300" t="s">
        <v>58</v>
      </c>
      <c r="AD1625" s="408"/>
      <c r="AE1625" s="599"/>
      <c r="AG1625" s="581"/>
      <c r="AH1625" s="582"/>
    </row>
    <row r="1626" spans="1:34" s="600" customFormat="1" ht="107.45" customHeight="1">
      <c r="A1626" s="410"/>
      <c r="B1626" s="573"/>
      <c r="C1626" s="440" t="s">
        <v>2037</v>
      </c>
      <c r="D1626" s="440" t="s">
        <v>2036</v>
      </c>
      <c r="E1626" s="584" t="s">
        <v>2026</v>
      </c>
      <c r="F1626" s="583" t="s">
        <v>2027</v>
      </c>
      <c r="G1626" s="584">
        <v>153425000</v>
      </c>
      <c r="H1626" s="584"/>
      <c r="I1626" s="584"/>
      <c r="J1626" s="605">
        <v>100</v>
      </c>
      <c r="K1626" s="584">
        <v>71617500</v>
      </c>
      <c r="L1626" s="605"/>
      <c r="M1626" s="584">
        <v>0</v>
      </c>
      <c r="N1626" s="605"/>
      <c r="O1626" s="584">
        <v>4748500</v>
      </c>
      <c r="P1626" s="593"/>
      <c r="Q1626" s="584">
        <v>4748500</v>
      </c>
      <c r="R1626" s="593">
        <v>100</v>
      </c>
      <c r="S1626" s="273">
        <v>9497000</v>
      </c>
      <c r="T1626" s="656">
        <f t="shared" si="415"/>
        <v>100</v>
      </c>
      <c r="U1626" s="614">
        <f t="shared" si="410"/>
        <v>100</v>
      </c>
      <c r="V1626" s="410" t="s">
        <v>58</v>
      </c>
      <c r="W1626" s="411">
        <f t="shared" si="411"/>
        <v>18994000</v>
      </c>
      <c r="X1626" s="615">
        <f t="shared" si="412"/>
        <v>26.521450762732574</v>
      </c>
      <c r="Y1626" s="410" t="s">
        <v>58</v>
      </c>
      <c r="Z1626" s="616">
        <f t="shared" si="413"/>
        <v>100</v>
      </c>
      <c r="AA1626" s="411">
        <f t="shared" si="414"/>
        <v>18994000</v>
      </c>
      <c r="AB1626" s="412"/>
      <c r="AC1626" s="410" t="s">
        <v>58</v>
      </c>
      <c r="AD1626" s="412"/>
      <c r="AE1626" s="599"/>
      <c r="AG1626" s="581"/>
      <c r="AH1626" s="582"/>
    </row>
    <row r="1627" spans="1:34" s="600" customFormat="1" ht="131.44999999999999" customHeight="1">
      <c r="A1627" s="410"/>
      <c r="B1627" s="573"/>
      <c r="C1627" s="440" t="s">
        <v>963</v>
      </c>
      <c r="D1627" s="440" t="s">
        <v>2038</v>
      </c>
      <c r="E1627" s="584" t="s">
        <v>2026</v>
      </c>
      <c r="F1627" s="583" t="s">
        <v>2027</v>
      </c>
      <c r="G1627" s="584">
        <v>12100000</v>
      </c>
      <c r="H1627" s="584"/>
      <c r="I1627" s="584"/>
      <c r="J1627" s="605">
        <v>100</v>
      </c>
      <c r="K1627" s="584">
        <v>7824000</v>
      </c>
      <c r="L1627" s="605"/>
      <c r="M1627" s="584">
        <v>2190000</v>
      </c>
      <c r="N1627" s="605"/>
      <c r="O1627" s="584">
        <v>3690000</v>
      </c>
      <c r="P1627" s="593"/>
      <c r="Q1627" s="584">
        <v>4870000</v>
      </c>
      <c r="R1627" s="593">
        <v>100</v>
      </c>
      <c r="S1627" s="273">
        <v>8560000</v>
      </c>
      <c r="T1627" s="656">
        <f t="shared" si="415"/>
        <v>100</v>
      </c>
      <c r="U1627" s="614">
        <f t="shared" si="410"/>
        <v>100</v>
      </c>
      <c r="V1627" s="410" t="s">
        <v>58</v>
      </c>
      <c r="W1627" s="411">
        <f t="shared" si="411"/>
        <v>19310000</v>
      </c>
      <c r="X1627" s="615">
        <f t="shared" si="412"/>
        <v>246.80470347648259</v>
      </c>
      <c r="Y1627" s="410" t="s">
        <v>58</v>
      </c>
      <c r="Z1627" s="616">
        <f t="shared" si="413"/>
        <v>100</v>
      </c>
      <c r="AA1627" s="411">
        <f t="shared" si="414"/>
        <v>19310000</v>
      </c>
      <c r="AB1627" s="412"/>
      <c r="AC1627" s="410" t="s">
        <v>58</v>
      </c>
      <c r="AD1627" s="412"/>
      <c r="AE1627" s="599"/>
      <c r="AG1627" s="581"/>
      <c r="AH1627" s="582"/>
    </row>
    <row r="1628" spans="1:34" s="600" customFormat="1" ht="94.5" customHeight="1">
      <c r="A1628" s="410"/>
      <c r="B1628" s="573"/>
      <c r="C1628" s="440" t="s">
        <v>77</v>
      </c>
      <c r="D1628" s="440" t="s">
        <v>340</v>
      </c>
      <c r="E1628" s="584" t="s">
        <v>2026</v>
      </c>
      <c r="F1628" s="583" t="s">
        <v>2027</v>
      </c>
      <c r="G1628" s="584">
        <v>390000000</v>
      </c>
      <c r="H1628" s="584"/>
      <c r="I1628" s="584"/>
      <c r="J1628" s="605">
        <v>100</v>
      </c>
      <c r="K1628" s="584">
        <v>180000000</v>
      </c>
      <c r="L1628" s="605"/>
      <c r="M1628" s="584">
        <v>78210200</v>
      </c>
      <c r="N1628" s="605"/>
      <c r="O1628" s="584">
        <v>114760200</v>
      </c>
      <c r="P1628" s="593"/>
      <c r="Q1628" s="584">
        <f>21688800+140365452</f>
        <v>162054252</v>
      </c>
      <c r="R1628" s="660">
        <v>100</v>
      </c>
      <c r="S1628" s="273">
        <v>276814452</v>
      </c>
      <c r="T1628" s="656">
        <f t="shared" si="415"/>
        <v>100</v>
      </c>
      <c r="U1628" s="595">
        <f t="shared" si="410"/>
        <v>100</v>
      </c>
      <c r="V1628" s="300" t="s">
        <v>58</v>
      </c>
      <c r="W1628" s="407">
        <f t="shared" si="411"/>
        <v>631839104</v>
      </c>
      <c r="X1628" s="597">
        <f t="shared" si="412"/>
        <v>351.02172444444449</v>
      </c>
      <c r="Y1628" s="300" t="s">
        <v>58</v>
      </c>
      <c r="Z1628" s="598">
        <f t="shared" si="413"/>
        <v>100</v>
      </c>
      <c r="AA1628" s="411">
        <f t="shared" si="414"/>
        <v>631839104</v>
      </c>
      <c r="AB1628" s="408"/>
      <c r="AC1628" s="300" t="s">
        <v>58</v>
      </c>
      <c r="AD1628" s="408"/>
      <c r="AE1628" s="599"/>
      <c r="AG1628" s="581"/>
      <c r="AH1628" s="582"/>
    </row>
    <row r="1629" spans="1:34" s="600" customFormat="1" ht="66" customHeight="1">
      <c r="A1629" s="410"/>
      <c r="B1629" s="573"/>
      <c r="C1629" s="468" t="s">
        <v>79</v>
      </c>
      <c r="D1629" s="573" t="str">
        <f>[1]Cascading!$Y$63</f>
        <v>Persentase kesesuaian penyediaan jasa</v>
      </c>
      <c r="E1629" s="576" t="s">
        <v>2026</v>
      </c>
      <c r="F1629" s="583" t="s">
        <v>2027</v>
      </c>
      <c r="G1629" s="576">
        <f>SUM(G1630:G1633)</f>
        <v>1208339000</v>
      </c>
      <c r="H1629" s="576"/>
      <c r="I1629" s="576"/>
      <c r="J1629" s="612">
        <v>100</v>
      </c>
      <c r="K1629" s="576">
        <f>SUM(K1630:K1633)</f>
        <v>580831700</v>
      </c>
      <c r="L1629" s="612"/>
      <c r="M1629" s="576">
        <f>SUM(M1630:M1633)</f>
        <v>100608662</v>
      </c>
      <c r="N1629" s="612"/>
      <c r="O1629" s="576">
        <f>SUM(O1630:O1633)</f>
        <v>211411698</v>
      </c>
      <c r="P1629" s="593"/>
      <c r="Q1629" s="576">
        <f>SUM(Q1630:Q1633)</f>
        <v>314035318</v>
      </c>
      <c r="R1629" s="593">
        <v>100</v>
      </c>
      <c r="S1629" s="273">
        <v>525447016</v>
      </c>
      <c r="T1629" s="656">
        <f t="shared" si="415"/>
        <v>100</v>
      </c>
      <c r="U1629" s="595">
        <f t="shared" si="410"/>
        <v>100</v>
      </c>
      <c r="V1629" s="300" t="s">
        <v>58</v>
      </c>
      <c r="W1629" s="407">
        <f t="shared" si="411"/>
        <v>1151502694</v>
      </c>
      <c r="X1629" s="597">
        <f t="shared" si="412"/>
        <v>198.25066262740137</v>
      </c>
      <c r="Y1629" s="300" t="s">
        <v>58</v>
      </c>
      <c r="Z1629" s="598">
        <f t="shared" si="413"/>
        <v>100</v>
      </c>
      <c r="AA1629" s="411">
        <f t="shared" si="414"/>
        <v>1151502694</v>
      </c>
      <c r="AB1629" s="408"/>
      <c r="AC1629" s="300" t="s">
        <v>58</v>
      </c>
      <c r="AD1629" s="408"/>
      <c r="AE1629" s="599"/>
      <c r="AG1629" s="581"/>
      <c r="AH1629" s="582"/>
    </row>
    <row r="1630" spans="1:34" s="600" customFormat="1" ht="50.45" customHeight="1">
      <c r="A1630" s="410"/>
      <c r="B1630" s="573"/>
      <c r="C1630" s="440" t="s">
        <v>2039</v>
      </c>
      <c r="D1630" s="440" t="s">
        <v>2040</v>
      </c>
      <c r="E1630" s="584" t="s">
        <v>2026</v>
      </c>
      <c r="F1630" s="583" t="s">
        <v>2027</v>
      </c>
      <c r="G1630" s="584">
        <v>1400000</v>
      </c>
      <c r="H1630" s="584"/>
      <c r="I1630" s="584"/>
      <c r="J1630" s="605">
        <v>100</v>
      </c>
      <c r="K1630" s="584">
        <v>750000</v>
      </c>
      <c r="L1630" s="605"/>
      <c r="M1630" s="584">
        <v>0</v>
      </c>
      <c r="N1630" s="605"/>
      <c r="O1630" s="584">
        <v>0</v>
      </c>
      <c r="P1630" s="593"/>
      <c r="Q1630" s="584">
        <v>0</v>
      </c>
      <c r="R1630" s="593">
        <v>100</v>
      </c>
      <c r="S1630" s="273">
        <v>0</v>
      </c>
      <c r="T1630" s="656">
        <f t="shared" si="415"/>
        <v>100</v>
      </c>
      <c r="U1630" s="614">
        <f t="shared" si="410"/>
        <v>100</v>
      </c>
      <c r="V1630" s="410" t="s">
        <v>58</v>
      </c>
      <c r="W1630" s="411">
        <f t="shared" si="411"/>
        <v>0</v>
      </c>
      <c r="X1630" s="615">
        <f t="shared" si="412"/>
        <v>0</v>
      </c>
      <c r="Y1630" s="410" t="s">
        <v>58</v>
      </c>
      <c r="Z1630" s="616">
        <f t="shared" si="413"/>
        <v>100</v>
      </c>
      <c r="AA1630" s="411">
        <f t="shared" si="414"/>
        <v>0</v>
      </c>
      <c r="AB1630" s="412"/>
      <c r="AC1630" s="410" t="s">
        <v>58</v>
      </c>
      <c r="AD1630" s="412"/>
      <c r="AE1630" s="599"/>
      <c r="AG1630" s="581"/>
      <c r="AH1630" s="582"/>
    </row>
    <row r="1631" spans="1:34" s="600" customFormat="1" ht="96" customHeight="1">
      <c r="A1631" s="410"/>
      <c r="B1631" s="573"/>
      <c r="C1631" s="440" t="s">
        <v>357</v>
      </c>
      <c r="D1631" s="440" t="s">
        <v>2041</v>
      </c>
      <c r="E1631" s="584" t="s">
        <v>2026</v>
      </c>
      <c r="F1631" s="583" t="s">
        <v>2027</v>
      </c>
      <c r="G1631" s="584">
        <v>306000000</v>
      </c>
      <c r="H1631" s="584"/>
      <c r="I1631" s="584"/>
      <c r="J1631" s="605">
        <v>100</v>
      </c>
      <c r="K1631" s="584">
        <v>181500000</v>
      </c>
      <c r="L1631" s="605"/>
      <c r="M1631" s="584">
        <v>19608662</v>
      </c>
      <c r="N1631" s="605"/>
      <c r="O1631" s="584">
        <v>38350798</v>
      </c>
      <c r="P1631" s="593"/>
      <c r="Q1631" s="584">
        <f>7346552+54127866</f>
        <v>61474418</v>
      </c>
      <c r="R1631" s="593">
        <v>100</v>
      </c>
      <c r="S1631" s="273">
        <v>99825216</v>
      </c>
      <c r="T1631" s="656">
        <f t="shared" si="415"/>
        <v>100</v>
      </c>
      <c r="U1631" s="595">
        <f t="shared" si="410"/>
        <v>100</v>
      </c>
      <c r="V1631" s="300" t="s">
        <v>58</v>
      </c>
      <c r="W1631" s="407">
        <f t="shared" si="411"/>
        <v>219259094</v>
      </c>
      <c r="X1631" s="597">
        <f t="shared" si="412"/>
        <v>120.8039085399449</v>
      </c>
      <c r="Y1631" s="300" t="s">
        <v>58</v>
      </c>
      <c r="Z1631" s="598">
        <f t="shared" si="413"/>
        <v>100</v>
      </c>
      <c r="AA1631" s="411">
        <f t="shared" si="414"/>
        <v>219259094</v>
      </c>
      <c r="AB1631" s="408"/>
      <c r="AC1631" s="300" t="s">
        <v>58</v>
      </c>
      <c r="AD1631" s="408"/>
      <c r="AE1631" s="599"/>
      <c r="AG1631" s="581"/>
      <c r="AH1631" s="582"/>
    </row>
    <row r="1632" spans="1:34" s="600" customFormat="1" ht="105">
      <c r="A1632" s="410"/>
      <c r="B1632" s="573"/>
      <c r="C1632" s="440" t="s">
        <v>2042</v>
      </c>
      <c r="D1632" s="440" t="s">
        <v>2043</v>
      </c>
      <c r="E1632" s="584" t="s">
        <v>2026</v>
      </c>
      <c r="F1632" s="583" t="s">
        <v>2027</v>
      </c>
      <c r="G1632" s="584">
        <v>19355000</v>
      </c>
      <c r="H1632" s="584"/>
      <c r="I1632" s="584"/>
      <c r="J1632" s="605">
        <v>100</v>
      </c>
      <c r="K1632" s="584">
        <v>18459700</v>
      </c>
      <c r="L1632" s="605"/>
      <c r="M1632" s="584">
        <v>0</v>
      </c>
      <c r="N1632" s="605"/>
      <c r="O1632" s="584">
        <v>0</v>
      </c>
      <c r="P1632" s="593"/>
      <c r="Q1632" s="584">
        <v>0</v>
      </c>
      <c r="R1632" s="593">
        <v>100</v>
      </c>
      <c r="S1632" s="273">
        <v>0</v>
      </c>
      <c r="T1632" s="656">
        <f t="shared" si="415"/>
        <v>100</v>
      </c>
      <c r="U1632" s="614">
        <f t="shared" si="410"/>
        <v>100</v>
      </c>
      <c r="V1632" s="410" t="s">
        <v>58</v>
      </c>
      <c r="W1632" s="411">
        <f t="shared" si="411"/>
        <v>0</v>
      </c>
      <c r="X1632" s="615">
        <f t="shared" si="412"/>
        <v>0</v>
      </c>
      <c r="Y1632" s="410" t="s">
        <v>58</v>
      </c>
      <c r="Z1632" s="616">
        <f t="shared" si="413"/>
        <v>100</v>
      </c>
      <c r="AA1632" s="411">
        <f t="shared" si="414"/>
        <v>0</v>
      </c>
      <c r="AB1632" s="412"/>
      <c r="AC1632" s="410" t="s">
        <v>58</v>
      </c>
      <c r="AD1632" s="412"/>
      <c r="AE1632" s="599"/>
      <c r="AG1632" s="581"/>
      <c r="AH1632" s="582"/>
    </row>
    <row r="1633" spans="1:34" s="600" customFormat="1" ht="90">
      <c r="A1633" s="410"/>
      <c r="B1633" s="573"/>
      <c r="C1633" s="440" t="s">
        <v>2044</v>
      </c>
      <c r="D1633" s="440" t="s">
        <v>2045</v>
      </c>
      <c r="E1633" s="584" t="s">
        <v>2026</v>
      </c>
      <c r="F1633" s="583" t="s">
        <v>2027</v>
      </c>
      <c r="G1633" s="584">
        <v>881584000</v>
      </c>
      <c r="H1633" s="584"/>
      <c r="I1633" s="584"/>
      <c r="J1633" s="605">
        <v>100</v>
      </c>
      <c r="K1633" s="584">
        <v>380122000</v>
      </c>
      <c r="L1633" s="605"/>
      <c r="M1633" s="584">
        <v>81000000</v>
      </c>
      <c r="N1633" s="605"/>
      <c r="O1633" s="584">
        <f>135000000+38060900</f>
        <v>173060900</v>
      </c>
      <c r="P1633" s="593"/>
      <c r="Q1633" s="584">
        <f>214500000+38060900</f>
        <v>252560900</v>
      </c>
      <c r="R1633" s="593">
        <v>100</v>
      </c>
      <c r="S1633" s="273">
        <v>425621800</v>
      </c>
      <c r="T1633" s="656">
        <f t="shared" si="415"/>
        <v>100</v>
      </c>
      <c r="U1633" s="614">
        <f t="shared" si="410"/>
        <v>100</v>
      </c>
      <c r="V1633" s="410" t="s">
        <v>58</v>
      </c>
      <c r="W1633" s="411">
        <f t="shared" si="411"/>
        <v>932243600</v>
      </c>
      <c r="X1633" s="615">
        <f t="shared" si="412"/>
        <v>245.24852547340066</v>
      </c>
      <c r="Y1633" s="410" t="s">
        <v>58</v>
      </c>
      <c r="Z1633" s="616">
        <f t="shared" si="413"/>
        <v>100</v>
      </c>
      <c r="AA1633" s="411">
        <f t="shared" si="414"/>
        <v>932243600</v>
      </c>
      <c r="AB1633" s="412"/>
      <c r="AC1633" s="410" t="s">
        <v>58</v>
      </c>
      <c r="AD1633" s="412"/>
      <c r="AE1633" s="599"/>
      <c r="AG1633" s="581"/>
      <c r="AH1633" s="582"/>
    </row>
    <row r="1634" spans="1:34" s="600" customFormat="1" ht="110.25">
      <c r="A1634" s="410"/>
      <c r="B1634" s="573"/>
      <c r="C1634" s="468" t="s">
        <v>1181</v>
      </c>
      <c r="D1634" s="573" t="str">
        <f>[1]Cascading!$Y$67</f>
        <v>Persentase Pemeliharaan Barang sesuai kebutuhan</v>
      </c>
      <c r="E1634" s="641" t="s">
        <v>2019</v>
      </c>
      <c r="F1634" s="575"/>
      <c r="G1634" s="576">
        <f>SUM(G1635:G1636)</f>
        <v>439088000</v>
      </c>
      <c r="H1634" s="641"/>
      <c r="I1634" s="576"/>
      <c r="J1634" s="642" t="s">
        <v>1992</v>
      </c>
      <c r="K1634" s="576">
        <f>SUM(K1635:K1636)</f>
        <v>223569900</v>
      </c>
      <c r="L1634" s="642"/>
      <c r="M1634" s="576">
        <f>SUM(M1635:M1636)</f>
        <v>12532260</v>
      </c>
      <c r="N1634" s="642"/>
      <c r="O1634" s="576">
        <f>SUM(O1635:O1636)</f>
        <v>24402260</v>
      </c>
      <c r="P1634" s="638"/>
      <c r="Q1634" s="576">
        <f>SUM(Q1635:Q1636)</f>
        <v>38902260</v>
      </c>
      <c r="R1634" s="593">
        <v>100</v>
      </c>
      <c r="S1634" s="273">
        <v>63304520</v>
      </c>
      <c r="T1634" s="656">
        <f t="shared" si="415"/>
        <v>100</v>
      </c>
      <c r="U1634" s="595">
        <f t="shared" si="410"/>
        <v>100</v>
      </c>
      <c r="V1634" s="300" t="s">
        <v>58</v>
      </c>
      <c r="W1634" s="407">
        <f t="shared" si="411"/>
        <v>139141300</v>
      </c>
      <c r="X1634" s="597">
        <f t="shared" si="412"/>
        <v>62.236150751957219</v>
      </c>
      <c r="Y1634" s="300" t="s">
        <v>58</v>
      </c>
      <c r="Z1634" s="598">
        <f t="shared" si="413"/>
        <v>100</v>
      </c>
      <c r="AA1634" s="411">
        <f t="shared" si="414"/>
        <v>139141300</v>
      </c>
      <c r="AB1634" s="408"/>
      <c r="AC1634" s="300" t="s">
        <v>58</v>
      </c>
      <c r="AD1634" s="408"/>
      <c r="AE1634" s="599"/>
      <c r="AG1634" s="581"/>
      <c r="AH1634" s="582"/>
    </row>
    <row r="1635" spans="1:34" s="600" customFormat="1" ht="110.25" customHeight="1">
      <c r="A1635" s="410"/>
      <c r="B1635" s="573"/>
      <c r="C1635" s="440" t="s">
        <v>2046</v>
      </c>
      <c r="D1635" s="635" t="s">
        <v>360</v>
      </c>
      <c r="E1635" s="584" t="s">
        <v>2026</v>
      </c>
      <c r="F1635" s="583" t="s">
        <v>2027</v>
      </c>
      <c r="G1635" s="584">
        <v>390488000</v>
      </c>
      <c r="H1635" s="584"/>
      <c r="I1635" s="584"/>
      <c r="J1635" s="605">
        <v>100</v>
      </c>
      <c r="K1635" s="584">
        <v>199369900</v>
      </c>
      <c r="L1635" s="605"/>
      <c r="M1635" s="584">
        <f>4500000+8032260</f>
        <v>12532260</v>
      </c>
      <c r="N1635" s="605"/>
      <c r="O1635" s="584">
        <f>7500000+16902260</f>
        <v>24402260</v>
      </c>
      <c r="P1635" s="605"/>
      <c r="Q1635" s="584">
        <f>18070000+20832260</f>
        <v>38902260</v>
      </c>
      <c r="R1635" s="593">
        <v>100</v>
      </c>
      <c r="S1635" s="273">
        <v>63304520</v>
      </c>
      <c r="T1635" s="656">
        <f t="shared" si="415"/>
        <v>100</v>
      </c>
      <c r="U1635" s="595">
        <f t="shared" si="410"/>
        <v>100</v>
      </c>
      <c r="V1635" s="300" t="s">
        <v>58</v>
      </c>
      <c r="W1635" s="407">
        <f t="shared" si="411"/>
        <v>139141300</v>
      </c>
      <c r="X1635" s="597">
        <f t="shared" si="412"/>
        <v>69.7905250491674</v>
      </c>
      <c r="Y1635" s="300" t="s">
        <v>58</v>
      </c>
      <c r="Z1635" s="598">
        <f t="shared" si="413"/>
        <v>100</v>
      </c>
      <c r="AA1635" s="411">
        <f t="shared" si="414"/>
        <v>139141300</v>
      </c>
      <c r="AB1635" s="408"/>
      <c r="AC1635" s="300" t="s">
        <v>58</v>
      </c>
      <c r="AD1635" s="408"/>
      <c r="AE1635" s="599"/>
      <c r="AG1635" s="581"/>
      <c r="AH1635" s="582"/>
    </row>
    <row r="1636" spans="1:34" s="600" customFormat="1" ht="125.45" customHeight="1">
      <c r="A1636" s="410"/>
      <c r="B1636" s="573"/>
      <c r="C1636" s="440" t="s">
        <v>84</v>
      </c>
      <c r="D1636" s="635" t="s">
        <v>2047</v>
      </c>
      <c r="E1636" s="584" t="s">
        <v>2026</v>
      </c>
      <c r="F1636" s="583" t="s">
        <v>2027</v>
      </c>
      <c r="G1636" s="584">
        <v>48600000</v>
      </c>
      <c r="H1636" s="584"/>
      <c r="I1636" s="584"/>
      <c r="J1636" s="605">
        <v>100</v>
      </c>
      <c r="K1636" s="584">
        <v>24200000</v>
      </c>
      <c r="L1636" s="605"/>
      <c r="M1636" s="584">
        <v>0</v>
      </c>
      <c r="N1636" s="605"/>
      <c r="O1636" s="584">
        <v>0</v>
      </c>
      <c r="P1636" s="605"/>
      <c r="Q1636" s="584">
        <v>0</v>
      </c>
      <c r="R1636" s="593">
        <v>100</v>
      </c>
      <c r="S1636" s="273">
        <v>0</v>
      </c>
      <c r="T1636" s="656">
        <f t="shared" si="415"/>
        <v>100</v>
      </c>
      <c r="U1636" s="595">
        <f t="shared" si="410"/>
        <v>100</v>
      </c>
      <c r="V1636" s="300" t="s">
        <v>58</v>
      </c>
      <c r="W1636" s="407">
        <f t="shared" si="411"/>
        <v>0</v>
      </c>
      <c r="X1636" s="597">
        <f t="shared" si="412"/>
        <v>0</v>
      </c>
      <c r="Y1636" s="300" t="s">
        <v>58</v>
      </c>
      <c r="Z1636" s="598">
        <f t="shared" si="413"/>
        <v>100</v>
      </c>
      <c r="AA1636" s="407">
        <f t="shared" si="414"/>
        <v>0</v>
      </c>
      <c r="AB1636" s="408"/>
      <c r="AC1636" s="300" t="s">
        <v>58</v>
      </c>
      <c r="AD1636" s="408"/>
      <c r="AE1636" s="599"/>
      <c r="AG1636" s="581"/>
      <c r="AH1636" s="582"/>
    </row>
    <row r="1637" spans="1:34" ht="62.45" customHeight="1">
      <c r="A1637" s="675">
        <v>1</v>
      </c>
      <c r="B1637" s="17" t="s">
        <v>29</v>
      </c>
      <c r="C1637" s="19" t="s">
        <v>68</v>
      </c>
      <c r="D1637" s="19" t="s">
        <v>942</v>
      </c>
      <c r="E1637" s="45">
        <v>26</v>
      </c>
      <c r="F1637" s="676" t="s">
        <v>58</v>
      </c>
      <c r="G1637" s="661">
        <f>SUM(G1642,G1645,G1650,G1659,G1662)</f>
        <v>10571332730</v>
      </c>
      <c r="H1637" s="492">
        <v>25.28</v>
      </c>
      <c r="I1637" s="661">
        <f>SUM(I1642,I1645,I1650,I1659,I1662)</f>
        <v>4617893811</v>
      </c>
      <c r="J1637" s="677">
        <v>26</v>
      </c>
      <c r="K1637" s="661">
        <f>SUM(K1642,K1645,K1650,K1659,K1662)</f>
        <v>5317222770</v>
      </c>
      <c r="L1637" s="492">
        <v>26</v>
      </c>
      <c r="M1637" s="661">
        <f>M1642+M1645+M1650+M1657+M1659+M1662</f>
        <v>902380043</v>
      </c>
      <c r="N1637" s="492">
        <v>26</v>
      </c>
      <c r="O1637" s="661">
        <f>O1642+O1645+O1650+O1657+O1659+O1662</f>
        <v>2581346991</v>
      </c>
      <c r="P1637" s="492">
        <v>26</v>
      </c>
      <c r="Q1637" s="661">
        <f>Q1642+Q1645+Q1650+Q1657+Q1659+Q1662</f>
        <v>331569663</v>
      </c>
      <c r="R1637" s="492">
        <v>26</v>
      </c>
      <c r="S1637" s="661">
        <f>S1642+S1645+S1650+S1657+S1659+S1662</f>
        <v>1212566037</v>
      </c>
      <c r="T1637" s="678">
        <f>AVERAGE(L1637,N1637,P1637,R1637)</f>
        <v>26</v>
      </c>
      <c r="U1637" s="678">
        <f t="shared" si="410"/>
        <v>100</v>
      </c>
      <c r="V1637" s="679" t="s">
        <v>58</v>
      </c>
      <c r="W1637" s="680">
        <f t="shared" ref="W1637:W1656" si="416">SUM(M1637,O1637,Q1637,S1637)</f>
        <v>5027862734</v>
      </c>
      <c r="X1637" s="681">
        <f t="shared" si="412"/>
        <v>94.558060692273756</v>
      </c>
      <c r="Y1637" s="675" t="s">
        <v>58</v>
      </c>
      <c r="Z1637" s="681">
        <f t="shared" ref="Z1637:Z1692" si="417">SUM(H1637,T1637)</f>
        <v>51.28</v>
      </c>
      <c r="AA1637" s="680">
        <f t="shared" ref="AA1637:AA1692" si="418">SUM(I1637,W1637)</f>
        <v>9645756545</v>
      </c>
      <c r="AB1637" s="679"/>
      <c r="AC1637" s="682" t="s">
        <v>58</v>
      </c>
      <c r="AD1637" s="683">
        <f>SUM(H1637,T1637)</f>
        <v>51.28</v>
      </c>
      <c r="AE1637" s="684" t="s">
        <v>2049</v>
      </c>
      <c r="AH1637" s="25"/>
    </row>
    <row r="1638" spans="1:34" ht="62.45" customHeight="1">
      <c r="A1638" s="675"/>
      <c r="B1638" s="17"/>
      <c r="C1638" s="18"/>
      <c r="D1638" s="19" t="s">
        <v>945</v>
      </c>
      <c r="E1638" s="45">
        <v>22</v>
      </c>
      <c r="F1638" s="685"/>
      <c r="G1638" s="661"/>
      <c r="H1638" s="686">
        <v>21.25</v>
      </c>
      <c r="I1638" s="661"/>
      <c r="J1638" s="687">
        <v>22</v>
      </c>
      <c r="K1638" s="661">
        <v>21.25</v>
      </c>
      <c r="L1638" s="45">
        <v>22</v>
      </c>
      <c r="M1638" s="661"/>
      <c r="N1638" s="686">
        <v>22</v>
      </c>
      <c r="O1638" s="661"/>
      <c r="P1638" s="686">
        <v>22</v>
      </c>
      <c r="Q1638" s="661"/>
      <c r="R1638" s="686">
        <v>22</v>
      </c>
      <c r="S1638" s="661"/>
      <c r="T1638" s="678">
        <f t="shared" ref="T1638:T1641" si="419">AVERAGE(L1638,N1638,P1638,R1638)</f>
        <v>22</v>
      </c>
      <c r="U1638" s="678">
        <f t="shared" ref="U1638:U1656" si="420">T1638/J1638*100</f>
        <v>100</v>
      </c>
      <c r="V1638" s="688"/>
      <c r="W1638" s="689"/>
      <c r="X1638" s="681">
        <f>W1637/K1637*100</f>
        <v>94.558060692273756</v>
      </c>
      <c r="Y1638" s="679" t="s">
        <v>58</v>
      </c>
      <c r="Z1638" s="690">
        <f t="shared" si="417"/>
        <v>43.25</v>
      </c>
      <c r="AA1638" s="689"/>
      <c r="AB1638" s="679"/>
      <c r="AC1638" s="682" t="s">
        <v>58</v>
      </c>
      <c r="AD1638" s="683">
        <f>SUM(H1638,T1638)</f>
        <v>43.25</v>
      </c>
      <c r="AE1638" s="684"/>
      <c r="AH1638" s="25"/>
    </row>
    <row r="1639" spans="1:34" ht="62.45" customHeight="1">
      <c r="A1639" s="675"/>
      <c r="B1639" s="17"/>
      <c r="C1639" s="18"/>
      <c r="D1639" s="19" t="s">
        <v>946</v>
      </c>
      <c r="E1639" s="45">
        <v>12</v>
      </c>
      <c r="F1639" s="685"/>
      <c r="G1639" s="661"/>
      <c r="H1639" s="686">
        <v>12.9</v>
      </c>
      <c r="I1639" s="661"/>
      <c r="J1639" s="687">
        <v>12</v>
      </c>
      <c r="K1639" s="661">
        <v>12.9</v>
      </c>
      <c r="L1639" s="45">
        <v>12</v>
      </c>
      <c r="M1639" s="661"/>
      <c r="N1639" s="686">
        <v>12</v>
      </c>
      <c r="O1639" s="661"/>
      <c r="P1639" s="686">
        <v>12</v>
      </c>
      <c r="Q1639" s="661"/>
      <c r="R1639" s="686">
        <v>12</v>
      </c>
      <c r="S1639" s="661"/>
      <c r="T1639" s="678">
        <f t="shared" si="419"/>
        <v>12</v>
      </c>
      <c r="U1639" s="678">
        <f t="shared" si="420"/>
        <v>100</v>
      </c>
      <c r="V1639" s="688"/>
      <c r="W1639" s="689"/>
      <c r="X1639" s="681">
        <f>W1637/K1637*100</f>
        <v>94.558060692273756</v>
      </c>
      <c r="Y1639" s="679" t="s">
        <v>58</v>
      </c>
      <c r="Z1639" s="690">
        <f t="shared" si="417"/>
        <v>24.9</v>
      </c>
      <c r="AA1639" s="689"/>
      <c r="AB1639" s="679"/>
      <c r="AC1639" s="682" t="s">
        <v>58</v>
      </c>
      <c r="AD1639" s="691"/>
      <c r="AE1639" s="684"/>
      <c r="AH1639" s="25"/>
    </row>
    <row r="1640" spans="1:34" ht="62.45" customHeight="1">
      <c r="A1640" s="675"/>
      <c r="B1640" s="17"/>
      <c r="C1640" s="18"/>
      <c r="D1640" s="19" t="s">
        <v>947</v>
      </c>
      <c r="E1640" s="45">
        <v>8.5</v>
      </c>
      <c r="F1640" s="685"/>
      <c r="G1640" s="661"/>
      <c r="H1640" s="686">
        <v>7.83</v>
      </c>
      <c r="I1640" s="661"/>
      <c r="J1640" s="687">
        <v>8.5</v>
      </c>
      <c r="K1640" s="661">
        <v>7.83</v>
      </c>
      <c r="L1640" s="45">
        <v>8.5</v>
      </c>
      <c r="M1640" s="661"/>
      <c r="N1640" s="686">
        <v>8.5</v>
      </c>
      <c r="O1640" s="661"/>
      <c r="P1640" s="686">
        <v>8.5</v>
      </c>
      <c r="Q1640" s="661"/>
      <c r="R1640" s="686">
        <v>8.5</v>
      </c>
      <c r="S1640" s="661"/>
      <c r="T1640" s="678">
        <f t="shared" si="419"/>
        <v>8.5</v>
      </c>
      <c r="U1640" s="678">
        <f t="shared" si="420"/>
        <v>100</v>
      </c>
      <c r="V1640" s="688"/>
      <c r="W1640" s="689"/>
      <c r="X1640" s="681">
        <f>W1637/K1637*100</f>
        <v>94.558060692273756</v>
      </c>
      <c r="Y1640" s="679" t="s">
        <v>58</v>
      </c>
      <c r="Z1640" s="690">
        <f t="shared" si="417"/>
        <v>16.329999999999998</v>
      </c>
      <c r="AA1640" s="689"/>
      <c r="AB1640" s="679"/>
      <c r="AC1640" s="682" t="s">
        <v>58</v>
      </c>
      <c r="AD1640" s="691"/>
      <c r="AE1640" s="684"/>
      <c r="AH1640" s="25"/>
    </row>
    <row r="1641" spans="1:34" ht="62.45" customHeight="1">
      <c r="A1641" s="675"/>
      <c r="B1641" s="17"/>
      <c r="C1641" s="18"/>
      <c r="D1641" s="19" t="s">
        <v>948</v>
      </c>
      <c r="E1641" s="45">
        <v>13</v>
      </c>
      <c r="F1641" s="685"/>
      <c r="G1641" s="661"/>
      <c r="H1641" s="686">
        <v>12.92</v>
      </c>
      <c r="I1641" s="661"/>
      <c r="J1641" s="687">
        <v>13</v>
      </c>
      <c r="K1641" s="661"/>
      <c r="L1641" s="492">
        <v>13</v>
      </c>
      <c r="M1641" s="661"/>
      <c r="N1641" s="686">
        <v>13</v>
      </c>
      <c r="O1641" s="661"/>
      <c r="P1641" s="686">
        <v>13</v>
      </c>
      <c r="Q1641" s="661"/>
      <c r="R1641" s="686">
        <v>13</v>
      </c>
      <c r="S1641" s="661"/>
      <c r="T1641" s="678">
        <f t="shared" si="419"/>
        <v>13</v>
      </c>
      <c r="U1641" s="678">
        <f t="shared" si="420"/>
        <v>100</v>
      </c>
      <c r="V1641" s="688"/>
      <c r="W1641" s="689"/>
      <c r="X1641" s="681">
        <f>W1637/K1637*100</f>
        <v>94.558060692273756</v>
      </c>
      <c r="Y1641" s="679"/>
      <c r="Z1641" s="690">
        <f t="shared" si="417"/>
        <v>25.92</v>
      </c>
      <c r="AA1641" s="689"/>
      <c r="AB1641" s="679"/>
      <c r="AC1641" s="682" t="s">
        <v>58</v>
      </c>
      <c r="AD1641" s="691"/>
      <c r="AE1641" s="684"/>
      <c r="AH1641" s="25"/>
    </row>
    <row r="1642" spans="1:34" ht="81.95" customHeight="1">
      <c r="A1642" s="675">
        <v>2</v>
      </c>
      <c r="B1642" s="49" t="s">
        <v>30</v>
      </c>
      <c r="C1642" s="18" t="s">
        <v>1276</v>
      </c>
      <c r="D1642" s="19" t="s">
        <v>1277</v>
      </c>
      <c r="E1642" s="686">
        <f>SUM(E1643:E1644)</f>
        <v>45</v>
      </c>
      <c r="F1642" s="685" t="s">
        <v>965</v>
      </c>
      <c r="G1642" s="661">
        <f t="shared" ref="G1642:O1642" si="421">SUM(G1643:G1644)</f>
        <v>17915200</v>
      </c>
      <c r="H1642" s="686">
        <f t="shared" si="421"/>
        <v>15</v>
      </c>
      <c r="I1642" s="661">
        <f t="shared" si="421"/>
        <v>8794000</v>
      </c>
      <c r="J1642" s="686">
        <v>12</v>
      </c>
      <c r="K1642" s="661">
        <f t="shared" si="421"/>
        <v>8415200</v>
      </c>
      <c r="L1642" s="686">
        <f t="shared" si="421"/>
        <v>3</v>
      </c>
      <c r="M1642" s="661">
        <f t="shared" si="421"/>
        <v>0</v>
      </c>
      <c r="N1642" s="686">
        <v>3</v>
      </c>
      <c r="O1642" s="661">
        <f t="shared" si="421"/>
        <v>1280000</v>
      </c>
      <c r="P1642" s="686">
        <v>3</v>
      </c>
      <c r="Q1642" s="661">
        <f>SUM(Q1643:Q1644)</f>
        <v>0</v>
      </c>
      <c r="R1642" s="686">
        <v>3</v>
      </c>
      <c r="S1642" s="661">
        <f>SUM(S1643:S1644)</f>
        <v>2412500</v>
      </c>
      <c r="T1642" s="692">
        <f t="shared" ref="T1642:T1656" si="422">SUM(L1642,N1642,P1642,R1642)</f>
        <v>12</v>
      </c>
      <c r="U1642" s="692">
        <f t="shared" si="420"/>
        <v>100</v>
      </c>
      <c r="V1642" s="688" t="s">
        <v>58</v>
      </c>
      <c r="W1642" s="693">
        <f t="shared" si="416"/>
        <v>3692500</v>
      </c>
      <c r="X1642" s="694">
        <f t="shared" ref="X1642:X1656" si="423">W1642/K1642*100</f>
        <v>43.878933358684286</v>
      </c>
      <c r="Y1642" s="688" t="s">
        <v>58</v>
      </c>
      <c r="Z1642" s="694">
        <f t="shared" si="417"/>
        <v>27</v>
      </c>
      <c r="AA1642" s="693">
        <f t="shared" si="418"/>
        <v>12486500</v>
      </c>
      <c r="AB1642" s="690"/>
      <c r="AC1642" s="679" t="s">
        <v>58</v>
      </c>
      <c r="AD1642" s="694"/>
      <c r="AE1642" s="684"/>
      <c r="AH1642" s="25"/>
    </row>
    <row r="1643" spans="1:34" ht="75">
      <c r="A1643" s="675"/>
      <c r="B1643" s="49"/>
      <c r="C1643" s="26" t="s">
        <v>69</v>
      </c>
      <c r="D1643" s="29" t="s">
        <v>211</v>
      </c>
      <c r="E1643" s="504">
        <f>5*3</f>
        <v>15</v>
      </c>
      <c r="F1643" s="695" t="s">
        <v>965</v>
      </c>
      <c r="G1643" s="662">
        <v>15093300</v>
      </c>
      <c r="H1643" s="504">
        <v>5</v>
      </c>
      <c r="I1643" s="662">
        <v>7669000</v>
      </c>
      <c r="J1643" s="696">
        <v>5</v>
      </c>
      <c r="K1643" s="697">
        <v>7093300</v>
      </c>
      <c r="L1643" s="696">
        <v>1</v>
      </c>
      <c r="M1643" s="663">
        <v>0</v>
      </c>
      <c r="N1643" s="504">
        <v>1</v>
      </c>
      <c r="O1643" s="663">
        <v>1280000</v>
      </c>
      <c r="P1643" s="504">
        <v>2</v>
      </c>
      <c r="Q1643" s="698">
        <v>0</v>
      </c>
      <c r="R1643" s="504">
        <v>1</v>
      </c>
      <c r="S1643" s="663">
        <v>2412500</v>
      </c>
      <c r="T1643" s="699">
        <f t="shared" si="422"/>
        <v>5</v>
      </c>
      <c r="U1643" s="699">
        <f t="shared" si="420"/>
        <v>100</v>
      </c>
      <c r="V1643" s="700" t="s">
        <v>58</v>
      </c>
      <c r="W1643" s="701">
        <f t="shared" si="416"/>
        <v>3692500</v>
      </c>
      <c r="X1643" s="702">
        <f t="shared" si="423"/>
        <v>52.05616567747029</v>
      </c>
      <c r="Y1643" s="700" t="s">
        <v>58</v>
      </c>
      <c r="Z1643" s="699">
        <f t="shared" si="417"/>
        <v>10</v>
      </c>
      <c r="AA1643" s="701">
        <f t="shared" si="418"/>
        <v>11361500</v>
      </c>
      <c r="AB1643" s="702"/>
      <c r="AC1643" s="700" t="s">
        <v>58</v>
      </c>
      <c r="AD1643" s="702"/>
      <c r="AE1643" s="703"/>
      <c r="AH1643" s="25"/>
    </row>
    <row r="1644" spans="1:34" ht="90">
      <c r="A1644" s="704"/>
      <c r="B1644" s="17"/>
      <c r="C1644" s="26" t="s">
        <v>70</v>
      </c>
      <c r="D1644" s="29" t="s">
        <v>212</v>
      </c>
      <c r="E1644" s="504">
        <v>30</v>
      </c>
      <c r="F1644" s="695" t="s">
        <v>965</v>
      </c>
      <c r="G1644" s="662">
        <v>2821900</v>
      </c>
      <c r="H1644" s="504">
        <v>10</v>
      </c>
      <c r="I1644" s="662">
        <v>1125000</v>
      </c>
      <c r="J1644" s="696">
        <v>10</v>
      </c>
      <c r="K1644" s="663">
        <v>1321900</v>
      </c>
      <c r="L1644" s="696">
        <v>2</v>
      </c>
      <c r="M1644" s="663">
        <v>0</v>
      </c>
      <c r="N1644" s="504">
        <v>3</v>
      </c>
      <c r="O1644" s="663">
        <v>0</v>
      </c>
      <c r="P1644" s="504">
        <v>3</v>
      </c>
      <c r="Q1644" s="663">
        <v>0</v>
      </c>
      <c r="R1644" s="504">
        <v>2</v>
      </c>
      <c r="S1644" s="663">
        <v>0</v>
      </c>
      <c r="T1644" s="699">
        <f t="shared" si="422"/>
        <v>10</v>
      </c>
      <c r="U1644" s="699">
        <f t="shared" si="420"/>
        <v>100</v>
      </c>
      <c r="V1644" s="700" t="s">
        <v>58</v>
      </c>
      <c r="W1644" s="701">
        <f t="shared" si="416"/>
        <v>0</v>
      </c>
      <c r="X1644" s="702">
        <f t="shared" si="423"/>
        <v>0</v>
      </c>
      <c r="Y1644" s="700" t="s">
        <v>58</v>
      </c>
      <c r="Z1644" s="699">
        <f t="shared" si="417"/>
        <v>20</v>
      </c>
      <c r="AA1644" s="701">
        <f t="shared" si="418"/>
        <v>1125000</v>
      </c>
      <c r="AB1644" s="700"/>
      <c r="AC1644" s="700" t="s">
        <v>58</v>
      </c>
      <c r="AD1644" s="702"/>
      <c r="AE1644" s="703"/>
      <c r="AH1644" s="25"/>
    </row>
    <row r="1645" spans="1:34" ht="94.5">
      <c r="A1645" s="703"/>
      <c r="B1645" s="705"/>
      <c r="C1645" s="17" t="s">
        <v>71</v>
      </c>
      <c r="D1645" s="19" t="s">
        <v>2050</v>
      </c>
      <c r="E1645" s="517">
        <v>42</v>
      </c>
      <c r="F1645" s="685" t="s">
        <v>58</v>
      </c>
      <c r="G1645" s="661">
        <f>SUM(G1646:G1649)</f>
        <v>9163836380</v>
      </c>
      <c r="H1645" s="517">
        <v>42</v>
      </c>
      <c r="I1645" s="661">
        <f>SUM(I1646:I1649)</f>
        <v>3892951921</v>
      </c>
      <c r="J1645" s="517">
        <v>12</v>
      </c>
      <c r="K1645" s="661">
        <f>SUM(K1646:K1649)</f>
        <v>4709876364</v>
      </c>
      <c r="L1645" s="517">
        <v>3</v>
      </c>
      <c r="M1645" s="661">
        <f>SUM(M1646:M1649)</f>
        <v>838824110</v>
      </c>
      <c r="N1645" s="517">
        <f>SUM(N1647:N1649)</f>
        <v>3</v>
      </c>
      <c r="O1645" s="661">
        <f>SUM(O1646:O1649)</f>
        <v>2434636196</v>
      </c>
      <c r="P1645" s="517">
        <v>3</v>
      </c>
      <c r="Q1645" s="661">
        <f>SUM(Q1646:Q1649)</f>
        <v>249999173</v>
      </c>
      <c r="R1645" s="517">
        <v>3</v>
      </c>
      <c r="S1645" s="661">
        <f>SUM(S1646:S1649)</f>
        <v>1048565466</v>
      </c>
      <c r="T1645" s="678">
        <f t="shared" si="422"/>
        <v>12</v>
      </c>
      <c r="U1645" s="690">
        <f t="shared" si="420"/>
        <v>100</v>
      </c>
      <c r="V1645" s="679" t="s">
        <v>58</v>
      </c>
      <c r="W1645" s="689">
        <f t="shared" si="416"/>
        <v>4572024945</v>
      </c>
      <c r="X1645" s="690">
        <f t="shared" si="423"/>
        <v>97.073141451149993</v>
      </c>
      <c r="Y1645" s="679" t="s">
        <v>58</v>
      </c>
      <c r="Z1645" s="678">
        <f t="shared" si="417"/>
        <v>54</v>
      </c>
      <c r="AA1645" s="689">
        <f t="shared" si="418"/>
        <v>8464976866</v>
      </c>
      <c r="AB1645" s="690"/>
      <c r="AC1645" s="679" t="s">
        <v>58</v>
      </c>
      <c r="AD1645" s="690"/>
      <c r="AE1645" s="703"/>
      <c r="AH1645" s="25"/>
    </row>
    <row r="1646" spans="1:34" ht="90">
      <c r="A1646" s="704"/>
      <c r="B1646" s="17"/>
      <c r="C1646" s="29" t="s">
        <v>1173</v>
      </c>
      <c r="D1646" s="26" t="s">
        <v>213</v>
      </c>
      <c r="E1646" s="504">
        <v>45</v>
      </c>
      <c r="F1646" s="706" t="s">
        <v>1771</v>
      </c>
      <c r="G1646" s="664">
        <v>9153837980</v>
      </c>
      <c r="H1646" s="504">
        <v>45</v>
      </c>
      <c r="I1646" s="664">
        <v>3887966921</v>
      </c>
      <c r="J1646" s="696">
        <v>45</v>
      </c>
      <c r="K1646" s="663">
        <v>4704877964</v>
      </c>
      <c r="L1646" s="696">
        <v>45</v>
      </c>
      <c r="M1646" s="663">
        <v>838824110</v>
      </c>
      <c r="N1646" s="504">
        <v>45</v>
      </c>
      <c r="O1646" s="663">
        <v>2434636196</v>
      </c>
      <c r="P1646" s="504">
        <v>45</v>
      </c>
      <c r="Q1646" s="663">
        <v>249999173</v>
      </c>
      <c r="R1646" s="504">
        <v>45</v>
      </c>
      <c r="S1646" s="663">
        <v>1046187666</v>
      </c>
      <c r="T1646" s="699">
        <f>AVERAGE(L1646,N1646,P1646,R1646)</f>
        <v>45</v>
      </c>
      <c r="U1646" s="699">
        <f t="shared" si="420"/>
        <v>100</v>
      </c>
      <c r="V1646" s="700" t="s">
        <v>58</v>
      </c>
      <c r="W1646" s="701">
        <f t="shared" si="416"/>
        <v>4569647145</v>
      </c>
      <c r="X1646" s="702">
        <f t="shared" si="423"/>
        <v>97.125731633535736</v>
      </c>
      <c r="Y1646" s="700" t="s">
        <v>58</v>
      </c>
      <c r="Z1646" s="699">
        <f t="shared" si="417"/>
        <v>90</v>
      </c>
      <c r="AA1646" s="701">
        <f t="shared" si="418"/>
        <v>8457614066</v>
      </c>
      <c r="AB1646" s="702"/>
      <c r="AC1646" s="700" t="s">
        <v>58</v>
      </c>
      <c r="AD1646" s="702"/>
      <c r="AE1646" s="707"/>
      <c r="AH1646" s="25"/>
    </row>
    <row r="1647" spans="1:34" ht="57.75" customHeight="1">
      <c r="A1647" s="704"/>
      <c r="B1647" s="17"/>
      <c r="C1647" s="29" t="s">
        <v>73</v>
      </c>
      <c r="D1647" s="29" t="s">
        <v>214</v>
      </c>
      <c r="E1647" s="504">
        <v>1</v>
      </c>
      <c r="F1647" s="706" t="s">
        <v>966</v>
      </c>
      <c r="G1647" s="662">
        <v>3999000</v>
      </c>
      <c r="H1647" s="504">
        <v>1</v>
      </c>
      <c r="I1647" s="662">
        <v>2000000</v>
      </c>
      <c r="J1647" s="696">
        <v>1</v>
      </c>
      <c r="K1647" s="665">
        <v>1999000</v>
      </c>
      <c r="L1647" s="696">
        <v>1</v>
      </c>
      <c r="M1647" s="665">
        <v>0</v>
      </c>
      <c r="N1647" s="504">
        <v>0</v>
      </c>
      <c r="O1647" s="665">
        <v>0</v>
      </c>
      <c r="P1647" s="504">
        <v>0</v>
      </c>
      <c r="Q1647" s="665">
        <v>0</v>
      </c>
      <c r="R1647" s="504">
        <v>0</v>
      </c>
      <c r="S1647" s="665">
        <v>1789800</v>
      </c>
      <c r="T1647" s="699">
        <f t="shared" si="422"/>
        <v>1</v>
      </c>
      <c r="U1647" s="699">
        <f t="shared" si="420"/>
        <v>100</v>
      </c>
      <c r="V1647" s="700" t="s">
        <v>58</v>
      </c>
      <c r="W1647" s="701">
        <f t="shared" si="416"/>
        <v>1789800</v>
      </c>
      <c r="X1647" s="702">
        <f t="shared" si="423"/>
        <v>89.534767383691843</v>
      </c>
      <c r="Y1647" s="700" t="s">
        <v>58</v>
      </c>
      <c r="Z1647" s="699">
        <f t="shared" si="417"/>
        <v>2</v>
      </c>
      <c r="AA1647" s="701">
        <f t="shared" si="418"/>
        <v>3789800</v>
      </c>
      <c r="AB1647" s="702"/>
      <c r="AC1647" s="700" t="s">
        <v>58</v>
      </c>
      <c r="AD1647" s="702"/>
      <c r="AE1647" s="703"/>
      <c r="AH1647" s="25"/>
    </row>
    <row r="1648" spans="1:34" ht="45" customHeight="1">
      <c r="A1648" s="688"/>
      <c r="B1648" s="18"/>
      <c r="C1648" s="29" t="s">
        <v>1174</v>
      </c>
      <c r="D1648" s="29" t="s">
        <v>215</v>
      </c>
      <c r="E1648" s="504">
        <v>12</v>
      </c>
      <c r="F1648" s="706" t="s">
        <v>965</v>
      </c>
      <c r="G1648" s="662">
        <v>3000000</v>
      </c>
      <c r="H1648" s="504">
        <v>12</v>
      </c>
      <c r="I1648" s="662">
        <v>1500000</v>
      </c>
      <c r="J1648" s="696">
        <v>12</v>
      </c>
      <c r="K1648" s="663">
        <v>1500000</v>
      </c>
      <c r="L1648" s="696">
        <v>3</v>
      </c>
      <c r="M1648" s="663">
        <v>0</v>
      </c>
      <c r="N1648" s="504">
        <v>3</v>
      </c>
      <c r="O1648" s="663">
        <v>0</v>
      </c>
      <c r="P1648" s="504">
        <v>3</v>
      </c>
      <c r="Q1648" s="663">
        <v>0</v>
      </c>
      <c r="R1648" s="504">
        <v>3</v>
      </c>
      <c r="S1648" s="663">
        <v>300000</v>
      </c>
      <c r="T1648" s="699">
        <f t="shared" si="422"/>
        <v>12</v>
      </c>
      <c r="U1648" s="699">
        <f t="shared" si="420"/>
        <v>100</v>
      </c>
      <c r="V1648" s="700" t="s">
        <v>58</v>
      </c>
      <c r="W1648" s="701">
        <f t="shared" si="416"/>
        <v>300000</v>
      </c>
      <c r="X1648" s="702">
        <f t="shared" si="423"/>
        <v>20</v>
      </c>
      <c r="Y1648" s="700" t="s">
        <v>58</v>
      </c>
      <c r="Z1648" s="699">
        <f t="shared" si="417"/>
        <v>24</v>
      </c>
      <c r="AA1648" s="701">
        <f t="shared" si="418"/>
        <v>1800000</v>
      </c>
      <c r="AB1648" s="702"/>
      <c r="AC1648" s="700" t="s">
        <v>58</v>
      </c>
      <c r="AD1648" s="702"/>
      <c r="AE1648" s="703"/>
      <c r="AH1648" s="25"/>
    </row>
    <row r="1649" spans="1:34" ht="105">
      <c r="A1649" s="704"/>
      <c r="B1649" s="17"/>
      <c r="C1649" s="29" t="s">
        <v>75</v>
      </c>
      <c r="D1649" s="29" t="s">
        <v>216</v>
      </c>
      <c r="E1649" s="504">
        <v>1</v>
      </c>
      <c r="F1649" s="706" t="s">
        <v>966</v>
      </c>
      <c r="G1649" s="662">
        <v>2999400</v>
      </c>
      <c r="H1649" s="504">
        <v>1</v>
      </c>
      <c r="I1649" s="662">
        <v>1485000</v>
      </c>
      <c r="J1649" s="696">
        <v>1</v>
      </c>
      <c r="K1649" s="663">
        <v>1499400</v>
      </c>
      <c r="L1649" s="696">
        <v>0</v>
      </c>
      <c r="M1649" s="663">
        <v>0</v>
      </c>
      <c r="N1649" s="504">
        <v>0</v>
      </c>
      <c r="O1649" s="663">
        <v>0</v>
      </c>
      <c r="P1649" s="504">
        <v>1</v>
      </c>
      <c r="Q1649" s="663">
        <v>0</v>
      </c>
      <c r="R1649" s="504"/>
      <c r="S1649" s="663">
        <v>288000</v>
      </c>
      <c r="T1649" s="699">
        <f t="shared" si="422"/>
        <v>1</v>
      </c>
      <c r="U1649" s="699">
        <f t="shared" si="420"/>
        <v>100</v>
      </c>
      <c r="V1649" s="700" t="s">
        <v>58</v>
      </c>
      <c r="W1649" s="701">
        <f t="shared" si="416"/>
        <v>288000</v>
      </c>
      <c r="X1649" s="702">
        <f t="shared" si="423"/>
        <v>19.207683073229294</v>
      </c>
      <c r="Y1649" s="700" t="s">
        <v>58</v>
      </c>
      <c r="Z1649" s="699">
        <f t="shared" si="417"/>
        <v>2</v>
      </c>
      <c r="AA1649" s="701">
        <f t="shared" si="418"/>
        <v>1773000</v>
      </c>
      <c r="AB1649" s="702"/>
      <c r="AC1649" s="700" t="s">
        <v>58</v>
      </c>
      <c r="AD1649" s="702"/>
      <c r="AE1649" s="703"/>
      <c r="AH1649" s="25"/>
    </row>
    <row r="1650" spans="1:34" ht="94.5">
      <c r="A1650" s="704"/>
      <c r="B1650" s="17"/>
      <c r="C1650" s="18" t="s">
        <v>76</v>
      </c>
      <c r="D1650" s="19" t="s">
        <v>2051</v>
      </c>
      <c r="E1650" s="517">
        <v>100</v>
      </c>
      <c r="F1650" s="685" t="s">
        <v>58</v>
      </c>
      <c r="G1650" s="661">
        <f>SUM(G1651:G1656)</f>
        <v>694959150</v>
      </c>
      <c r="H1650" s="517">
        <v>100</v>
      </c>
      <c r="I1650" s="661">
        <f>SUM(I1651:I1656)</f>
        <v>378081354</v>
      </c>
      <c r="J1650" s="517">
        <v>100</v>
      </c>
      <c r="K1650" s="661">
        <f>SUM(K1651:K1656)</f>
        <v>341985206</v>
      </c>
      <c r="L1650" s="708">
        <v>100</v>
      </c>
      <c r="M1650" s="661">
        <f>SUM(M1651:M1656)</f>
        <v>24129860</v>
      </c>
      <c r="N1650" s="517">
        <v>100</v>
      </c>
      <c r="O1650" s="661">
        <f>SUM(O1651:O1656)</f>
        <v>82865335</v>
      </c>
      <c r="P1650" s="517">
        <v>100</v>
      </c>
      <c r="Q1650" s="661">
        <f>SUM(Q1651:Q1656)</f>
        <v>58746136</v>
      </c>
      <c r="R1650" s="517">
        <v>100</v>
      </c>
      <c r="S1650" s="661">
        <f>SUM(S1651:S1656)</f>
        <v>106826700</v>
      </c>
      <c r="T1650" s="678">
        <f>AVERAGE(L1650,N1650,P1650,R1650)</f>
        <v>100</v>
      </c>
      <c r="U1650" s="678">
        <f t="shared" si="420"/>
        <v>100</v>
      </c>
      <c r="V1650" s="679" t="s">
        <v>58</v>
      </c>
      <c r="W1650" s="689">
        <f>SUM(M1650,O1650,Q1650,S1650)</f>
        <v>272568031</v>
      </c>
      <c r="X1650" s="690">
        <f t="shared" si="423"/>
        <v>79.701702359604411</v>
      </c>
      <c r="Y1650" s="679" t="s">
        <v>58</v>
      </c>
      <c r="Z1650" s="678">
        <f t="shared" si="417"/>
        <v>200</v>
      </c>
      <c r="AA1650" s="689">
        <f t="shared" si="418"/>
        <v>650649385</v>
      </c>
      <c r="AB1650" s="690"/>
      <c r="AC1650" s="679" t="s">
        <v>58</v>
      </c>
      <c r="AD1650" s="690"/>
      <c r="AE1650" s="709"/>
      <c r="AH1650" s="25"/>
    </row>
    <row r="1651" spans="1:34" ht="120">
      <c r="A1651" s="704"/>
      <c r="B1651" s="17"/>
      <c r="C1651" s="26" t="s">
        <v>1177</v>
      </c>
      <c r="D1651" s="29" t="s">
        <v>343</v>
      </c>
      <c r="E1651" s="520">
        <v>12</v>
      </c>
      <c r="F1651" s="695" t="s">
        <v>59</v>
      </c>
      <c r="G1651" s="662">
        <v>12298400</v>
      </c>
      <c r="H1651" s="710">
        <v>12</v>
      </c>
      <c r="I1651" s="662">
        <v>5725000</v>
      </c>
      <c r="J1651" s="710">
        <v>12</v>
      </c>
      <c r="K1651" s="663">
        <v>6573400</v>
      </c>
      <c r="L1651" s="710">
        <v>3</v>
      </c>
      <c r="M1651" s="663">
        <v>0</v>
      </c>
      <c r="N1651" s="520">
        <v>3</v>
      </c>
      <c r="O1651" s="663">
        <v>0</v>
      </c>
      <c r="P1651" s="520">
        <v>3</v>
      </c>
      <c r="Q1651" s="663">
        <v>3112000</v>
      </c>
      <c r="R1651" s="520">
        <v>3</v>
      </c>
      <c r="S1651" s="663">
        <v>2170000</v>
      </c>
      <c r="T1651" s="699">
        <f t="shared" si="422"/>
        <v>12</v>
      </c>
      <c r="U1651" s="699">
        <f t="shared" si="420"/>
        <v>100</v>
      </c>
      <c r="V1651" s="700" t="s">
        <v>58</v>
      </c>
      <c r="W1651" s="701">
        <f t="shared" si="416"/>
        <v>5282000</v>
      </c>
      <c r="X1651" s="702">
        <f t="shared" si="423"/>
        <v>80.35415462317826</v>
      </c>
      <c r="Y1651" s="700" t="s">
        <v>58</v>
      </c>
      <c r="Z1651" s="699">
        <f t="shared" si="417"/>
        <v>24</v>
      </c>
      <c r="AA1651" s="701">
        <f t="shared" si="418"/>
        <v>11007000</v>
      </c>
      <c r="AB1651" s="702"/>
      <c r="AC1651" s="700" t="s">
        <v>58</v>
      </c>
      <c r="AD1651" s="702"/>
      <c r="AE1651" s="703"/>
      <c r="AH1651" s="25"/>
    </row>
    <row r="1652" spans="1:34" ht="90">
      <c r="A1652" s="704"/>
      <c r="B1652" s="17"/>
      <c r="C1652" s="26" t="s">
        <v>285</v>
      </c>
      <c r="D1652" s="29" t="s">
        <v>217</v>
      </c>
      <c r="E1652" s="520">
        <v>12</v>
      </c>
      <c r="F1652" s="695" t="s">
        <v>59</v>
      </c>
      <c r="G1652" s="663">
        <v>106010150</v>
      </c>
      <c r="H1652" s="710">
        <v>12</v>
      </c>
      <c r="I1652" s="663">
        <v>32323000</v>
      </c>
      <c r="J1652" s="710">
        <v>12</v>
      </c>
      <c r="K1652" s="663">
        <v>65661806</v>
      </c>
      <c r="L1652" s="710">
        <v>3</v>
      </c>
      <c r="M1652" s="663">
        <v>7559100</v>
      </c>
      <c r="N1652" s="520">
        <v>3</v>
      </c>
      <c r="O1652" s="663">
        <v>9992090</v>
      </c>
      <c r="P1652" s="520">
        <v>3</v>
      </c>
      <c r="Q1652" s="663">
        <v>10692200</v>
      </c>
      <c r="R1652" s="520">
        <v>3</v>
      </c>
      <c r="S1652" s="663">
        <v>26714700</v>
      </c>
      <c r="T1652" s="699">
        <f t="shared" si="422"/>
        <v>12</v>
      </c>
      <c r="U1652" s="699">
        <f t="shared" si="420"/>
        <v>100</v>
      </c>
      <c r="V1652" s="700" t="s">
        <v>58</v>
      </c>
      <c r="W1652" s="701">
        <f t="shared" si="416"/>
        <v>54958090</v>
      </c>
      <c r="X1652" s="702">
        <f t="shared" si="423"/>
        <v>83.698718247256252</v>
      </c>
      <c r="Y1652" s="700" t="s">
        <v>58</v>
      </c>
      <c r="Z1652" s="699">
        <f t="shared" si="417"/>
        <v>24</v>
      </c>
      <c r="AA1652" s="701">
        <f t="shared" si="418"/>
        <v>87281090</v>
      </c>
      <c r="AB1652" s="700"/>
      <c r="AC1652" s="700" t="s">
        <v>58</v>
      </c>
      <c r="AD1652" s="702"/>
      <c r="AE1652" s="703"/>
      <c r="AH1652" s="25"/>
    </row>
    <row r="1653" spans="1:34" ht="75">
      <c r="A1653" s="704"/>
      <c r="B1653" s="17"/>
      <c r="C1653" s="26" t="s">
        <v>287</v>
      </c>
      <c r="D1653" s="26" t="s">
        <v>218</v>
      </c>
      <c r="E1653" s="520">
        <v>12</v>
      </c>
      <c r="F1653" s="695" t="s">
        <v>59</v>
      </c>
      <c r="G1653" s="666">
        <v>76020000</v>
      </c>
      <c r="H1653" s="710">
        <v>12</v>
      </c>
      <c r="I1653" s="666">
        <v>22471500</v>
      </c>
      <c r="J1653" s="710">
        <v>12</v>
      </c>
      <c r="K1653" s="663">
        <v>40750000</v>
      </c>
      <c r="L1653" s="710">
        <v>3</v>
      </c>
      <c r="M1653" s="663">
        <v>0</v>
      </c>
      <c r="N1653" s="520">
        <v>3</v>
      </c>
      <c r="O1653" s="663">
        <v>7310585</v>
      </c>
      <c r="P1653" s="520">
        <v>3</v>
      </c>
      <c r="Q1653" s="663">
        <v>1129415</v>
      </c>
      <c r="R1653" s="520">
        <v>3</v>
      </c>
      <c r="S1653" s="663">
        <v>19790000</v>
      </c>
      <c r="T1653" s="699">
        <f t="shared" si="422"/>
        <v>12</v>
      </c>
      <c r="U1653" s="699">
        <f t="shared" si="420"/>
        <v>100</v>
      </c>
      <c r="V1653" s="700" t="s">
        <v>58</v>
      </c>
      <c r="W1653" s="701">
        <f t="shared" si="416"/>
        <v>28230000</v>
      </c>
      <c r="X1653" s="702">
        <f t="shared" si="423"/>
        <v>69.276073619631902</v>
      </c>
      <c r="Y1653" s="700" t="s">
        <v>58</v>
      </c>
      <c r="Z1653" s="699">
        <f t="shared" si="417"/>
        <v>24</v>
      </c>
      <c r="AA1653" s="701">
        <f t="shared" si="418"/>
        <v>50701500</v>
      </c>
      <c r="AB1653" s="702"/>
      <c r="AC1653" s="700" t="s">
        <v>58</v>
      </c>
      <c r="AD1653" s="702"/>
      <c r="AE1653" s="703"/>
      <c r="AH1653" s="25"/>
    </row>
    <row r="1654" spans="1:34" ht="90">
      <c r="A1654" s="704"/>
      <c r="B1654" s="17"/>
      <c r="C1654" s="26" t="s">
        <v>286</v>
      </c>
      <c r="D1654" s="26" t="s">
        <v>219</v>
      </c>
      <c r="E1654" s="520">
        <v>12</v>
      </c>
      <c r="F1654" s="695" t="s">
        <v>59</v>
      </c>
      <c r="G1654" s="662">
        <v>166565000</v>
      </c>
      <c r="H1654" s="710">
        <v>12</v>
      </c>
      <c r="I1654" s="662">
        <v>132325450</v>
      </c>
      <c r="J1654" s="710">
        <v>12</v>
      </c>
      <c r="K1654" s="663">
        <v>17775000</v>
      </c>
      <c r="L1654" s="710">
        <v>3</v>
      </c>
      <c r="M1654" s="663">
        <v>0</v>
      </c>
      <c r="N1654" s="520">
        <v>3</v>
      </c>
      <c r="O1654" s="663">
        <v>4037900</v>
      </c>
      <c r="P1654" s="520">
        <v>3</v>
      </c>
      <c r="Q1654" s="663">
        <v>5440250</v>
      </c>
      <c r="R1654" s="520">
        <v>3</v>
      </c>
      <c r="S1654" s="663">
        <v>3873000</v>
      </c>
      <c r="T1654" s="699">
        <f t="shared" si="422"/>
        <v>12</v>
      </c>
      <c r="U1654" s="699">
        <f t="shared" si="420"/>
        <v>100</v>
      </c>
      <c r="V1654" s="700" t="s">
        <v>58</v>
      </c>
      <c r="W1654" s="701">
        <f t="shared" si="416"/>
        <v>13351150</v>
      </c>
      <c r="X1654" s="702">
        <f t="shared" si="423"/>
        <v>75.111954992967654</v>
      </c>
      <c r="Y1654" s="700" t="s">
        <v>58</v>
      </c>
      <c r="Z1654" s="699">
        <f t="shared" si="417"/>
        <v>24</v>
      </c>
      <c r="AA1654" s="701">
        <f t="shared" si="418"/>
        <v>145676600</v>
      </c>
      <c r="AB1654" s="702"/>
      <c r="AC1654" s="700" t="s">
        <v>58</v>
      </c>
      <c r="AD1654" s="702"/>
      <c r="AE1654" s="703"/>
      <c r="AH1654" s="25"/>
    </row>
    <row r="1655" spans="1:34" ht="135">
      <c r="A1655" s="704"/>
      <c r="B1655" s="17"/>
      <c r="C1655" s="26" t="s">
        <v>963</v>
      </c>
      <c r="D1655" s="440" t="s">
        <v>1179</v>
      </c>
      <c r="E1655" s="520">
        <v>12</v>
      </c>
      <c r="F1655" s="695" t="s">
        <v>965</v>
      </c>
      <c r="G1655" s="662">
        <v>5780000</v>
      </c>
      <c r="H1655" s="710">
        <v>12</v>
      </c>
      <c r="I1655" s="662">
        <v>2710000</v>
      </c>
      <c r="J1655" s="710">
        <v>12</v>
      </c>
      <c r="K1655" s="663">
        <v>2890000</v>
      </c>
      <c r="L1655" s="710">
        <v>3</v>
      </c>
      <c r="M1655" s="663">
        <v>0</v>
      </c>
      <c r="N1655" s="520">
        <v>3</v>
      </c>
      <c r="O1655" s="663">
        <v>1230000</v>
      </c>
      <c r="P1655" s="520">
        <v>3</v>
      </c>
      <c r="Q1655" s="663">
        <v>460000</v>
      </c>
      <c r="R1655" s="520">
        <v>3</v>
      </c>
      <c r="S1655" s="663">
        <v>920000</v>
      </c>
      <c r="T1655" s="699">
        <f t="shared" si="422"/>
        <v>12</v>
      </c>
      <c r="U1655" s="699">
        <f t="shared" si="420"/>
        <v>100</v>
      </c>
      <c r="V1655" s="700" t="s">
        <v>58</v>
      </c>
      <c r="W1655" s="701">
        <f t="shared" si="416"/>
        <v>2610000</v>
      </c>
      <c r="X1655" s="702">
        <f t="shared" si="423"/>
        <v>90.311418685121097</v>
      </c>
      <c r="Y1655" s="700" t="s">
        <v>58</v>
      </c>
      <c r="Z1655" s="699">
        <f t="shared" si="417"/>
        <v>24</v>
      </c>
      <c r="AA1655" s="701">
        <f t="shared" si="418"/>
        <v>5320000</v>
      </c>
      <c r="AB1655" s="702"/>
      <c r="AC1655" s="700" t="s">
        <v>58</v>
      </c>
      <c r="AD1655" s="702"/>
      <c r="AE1655" s="703"/>
      <c r="AH1655" s="25"/>
    </row>
    <row r="1656" spans="1:34" ht="120">
      <c r="A1656" s="704"/>
      <c r="B1656" s="17"/>
      <c r="C1656" s="26" t="s">
        <v>77</v>
      </c>
      <c r="D1656" s="440" t="s">
        <v>220</v>
      </c>
      <c r="E1656" s="520">
        <v>12</v>
      </c>
      <c r="F1656" s="695" t="s">
        <v>966</v>
      </c>
      <c r="G1656" s="662">
        <v>328285600</v>
      </c>
      <c r="H1656" s="520">
        <v>12</v>
      </c>
      <c r="I1656" s="662">
        <v>182526404</v>
      </c>
      <c r="J1656" s="710">
        <v>12</v>
      </c>
      <c r="K1656" s="663">
        <v>208335000</v>
      </c>
      <c r="L1656" s="710">
        <v>3</v>
      </c>
      <c r="M1656" s="663">
        <v>16570760</v>
      </c>
      <c r="N1656" s="520">
        <v>3</v>
      </c>
      <c r="O1656" s="663">
        <v>60294760</v>
      </c>
      <c r="P1656" s="520">
        <v>3</v>
      </c>
      <c r="Q1656" s="663">
        <v>37912271</v>
      </c>
      <c r="R1656" s="520">
        <v>3</v>
      </c>
      <c r="S1656" s="711">
        <v>53359000</v>
      </c>
      <c r="T1656" s="699">
        <f t="shared" si="422"/>
        <v>12</v>
      </c>
      <c r="U1656" s="699">
        <f t="shared" si="420"/>
        <v>100</v>
      </c>
      <c r="V1656" s="700" t="s">
        <v>58</v>
      </c>
      <c r="W1656" s="701">
        <f t="shared" si="416"/>
        <v>168136791</v>
      </c>
      <c r="X1656" s="702">
        <f t="shared" si="423"/>
        <v>80.705014039887686</v>
      </c>
      <c r="Y1656" s="700" t="s">
        <v>58</v>
      </c>
      <c r="Z1656" s="699">
        <f t="shared" si="417"/>
        <v>24</v>
      </c>
      <c r="AA1656" s="701">
        <f t="shared" si="418"/>
        <v>350663195</v>
      </c>
      <c r="AB1656" s="702"/>
      <c r="AC1656" s="700" t="s">
        <v>58</v>
      </c>
      <c r="AD1656" s="702"/>
      <c r="AE1656" s="703"/>
      <c r="AH1656" s="25"/>
    </row>
    <row r="1657" spans="1:34" ht="141.75">
      <c r="A1657" s="704"/>
      <c r="B1657" s="17"/>
      <c r="C1657" s="18" t="s">
        <v>78</v>
      </c>
      <c r="D1657" s="19" t="s">
        <v>2052</v>
      </c>
      <c r="E1657" s="517">
        <v>100</v>
      </c>
      <c r="F1657" s="685" t="s">
        <v>58</v>
      </c>
      <c r="G1657" s="661">
        <f>G1658</f>
        <v>220430000</v>
      </c>
      <c r="H1657" s="517">
        <v>100</v>
      </c>
      <c r="I1657" s="661">
        <f>I1658</f>
        <v>90503000</v>
      </c>
      <c r="J1657" s="708"/>
      <c r="K1657" s="661"/>
      <c r="L1657" s="708"/>
      <c r="M1657" s="661"/>
      <c r="N1657" s="517"/>
      <c r="O1657" s="661"/>
      <c r="P1657" s="517"/>
      <c r="Q1657" s="661"/>
      <c r="R1657" s="517"/>
      <c r="S1657" s="661"/>
      <c r="T1657" s="678"/>
      <c r="U1657" s="678"/>
      <c r="V1657" s="679"/>
      <c r="W1657" s="689"/>
      <c r="X1657" s="690"/>
      <c r="Y1657" s="679"/>
      <c r="Z1657" s="678">
        <f t="shared" si="417"/>
        <v>100</v>
      </c>
      <c r="AA1657" s="689">
        <f t="shared" si="418"/>
        <v>90503000</v>
      </c>
      <c r="AB1657" s="679"/>
      <c r="AC1657" s="679" t="s">
        <v>58</v>
      </c>
      <c r="AD1657" s="690"/>
      <c r="AE1657" s="703"/>
      <c r="AH1657" s="25"/>
    </row>
    <row r="1658" spans="1:34" ht="75">
      <c r="A1658" s="704"/>
      <c r="B1658" s="17"/>
      <c r="C1658" s="712" t="s">
        <v>1600</v>
      </c>
      <c r="D1658" s="26" t="s">
        <v>2053</v>
      </c>
      <c r="E1658" s="520">
        <v>2</v>
      </c>
      <c r="F1658" s="706" t="s">
        <v>138</v>
      </c>
      <c r="G1658" s="667">
        <v>220430000</v>
      </c>
      <c r="H1658" s="520">
        <v>2</v>
      </c>
      <c r="I1658" s="663">
        <v>90503000</v>
      </c>
      <c r="J1658" s="710"/>
      <c r="K1658" s="663"/>
      <c r="L1658" s="710"/>
      <c r="M1658" s="663"/>
      <c r="N1658" s="520"/>
      <c r="O1658" s="663"/>
      <c r="P1658" s="520"/>
      <c r="Q1658" s="663">
        <f>Q1657-O1657</f>
        <v>0</v>
      </c>
      <c r="R1658" s="520"/>
      <c r="S1658" s="663"/>
      <c r="T1658" s="699"/>
      <c r="U1658" s="699"/>
      <c r="V1658" s="700"/>
      <c r="W1658" s="701"/>
      <c r="X1658" s="702"/>
      <c r="Y1658" s="700"/>
      <c r="Z1658" s="699">
        <f t="shared" si="417"/>
        <v>2</v>
      </c>
      <c r="AA1658" s="701">
        <f t="shared" si="418"/>
        <v>90503000</v>
      </c>
      <c r="AB1658" s="700"/>
      <c r="AC1658" s="700" t="s">
        <v>58</v>
      </c>
      <c r="AD1658" s="702"/>
      <c r="AE1658" s="703"/>
      <c r="AH1658" s="25"/>
    </row>
    <row r="1659" spans="1:34" ht="126">
      <c r="A1659" s="704"/>
      <c r="B1659" s="17"/>
      <c r="C1659" s="713" t="s">
        <v>79</v>
      </c>
      <c r="D1659" s="19" t="s">
        <v>2054</v>
      </c>
      <c r="E1659" s="517">
        <v>100</v>
      </c>
      <c r="F1659" s="685" t="s">
        <v>58</v>
      </c>
      <c r="G1659" s="661">
        <f>SUM(G1660:G1661)</f>
        <v>342560000</v>
      </c>
      <c r="H1659" s="517">
        <v>100</v>
      </c>
      <c r="I1659" s="661">
        <f>SUM(I1660:I1661)</f>
        <v>155433252</v>
      </c>
      <c r="J1659" s="708">
        <v>100</v>
      </c>
      <c r="K1659" s="661">
        <f>SUM(K1660:K1661)</f>
        <v>156576000</v>
      </c>
      <c r="L1659" s="708">
        <v>100</v>
      </c>
      <c r="M1659" s="661">
        <f>SUM(M1660:M1661)</f>
        <v>26713073</v>
      </c>
      <c r="N1659" s="517">
        <v>100</v>
      </c>
      <c r="O1659" s="661">
        <f>SUM(O1660:O1661)</f>
        <v>43277938</v>
      </c>
      <c r="P1659" s="517">
        <v>100</v>
      </c>
      <c r="Q1659" s="661">
        <f>SUM(Q1660:Q1661)</f>
        <v>3820554</v>
      </c>
      <c r="R1659" s="517">
        <v>100</v>
      </c>
      <c r="S1659" s="661">
        <f>SUM(S1660:S1661)</f>
        <v>24062771</v>
      </c>
      <c r="T1659" s="678">
        <f>AVERAGE(L1659,N1659,P1659,R1659)</f>
        <v>100</v>
      </c>
      <c r="U1659" s="678">
        <f t="shared" ref="U1659:U1664" si="424">T1659/J1659*100</f>
        <v>100</v>
      </c>
      <c r="V1659" s="679" t="s">
        <v>58</v>
      </c>
      <c r="W1659" s="689">
        <f t="shared" ref="W1659:W1664" si="425">SUM(M1659,O1659,Q1659,S1659)</f>
        <v>97874336</v>
      </c>
      <c r="X1659" s="690">
        <f t="shared" ref="X1659:X1664" si="426">W1659/K1659*100</f>
        <v>62.509155937052931</v>
      </c>
      <c r="Y1659" s="679" t="s">
        <v>58</v>
      </c>
      <c r="Z1659" s="678">
        <f t="shared" si="417"/>
        <v>200</v>
      </c>
      <c r="AA1659" s="689">
        <f t="shared" si="418"/>
        <v>253307588</v>
      </c>
      <c r="AB1659" s="679"/>
      <c r="AC1659" s="679" t="s">
        <v>58</v>
      </c>
      <c r="AD1659" s="690"/>
      <c r="AE1659" s="703"/>
      <c r="AH1659" s="25"/>
    </row>
    <row r="1660" spans="1:34" ht="135">
      <c r="A1660" s="704"/>
      <c r="B1660" s="17"/>
      <c r="C1660" s="712" t="s">
        <v>357</v>
      </c>
      <c r="D1660" s="29" t="s">
        <v>223</v>
      </c>
      <c r="E1660" s="520">
        <v>12</v>
      </c>
      <c r="F1660" s="695" t="s">
        <v>966</v>
      </c>
      <c r="G1660" s="663">
        <v>238840000</v>
      </c>
      <c r="H1660" s="520">
        <v>12</v>
      </c>
      <c r="I1660" s="663">
        <v>135454876</v>
      </c>
      <c r="J1660" s="710">
        <v>12</v>
      </c>
      <c r="K1660" s="663">
        <v>73000000</v>
      </c>
      <c r="L1660" s="710">
        <v>3</v>
      </c>
      <c r="M1660" s="663">
        <v>6589073</v>
      </c>
      <c r="N1660" s="520">
        <v>3</v>
      </c>
      <c r="O1660" s="663">
        <v>2390725</v>
      </c>
      <c r="P1660" s="520">
        <v>3</v>
      </c>
      <c r="Q1660" s="663">
        <v>3820554</v>
      </c>
      <c r="R1660" s="520">
        <v>3</v>
      </c>
      <c r="S1660" s="663">
        <v>5749860</v>
      </c>
      <c r="T1660" s="699">
        <f t="shared" ref="T1660:T1664" si="427">SUM(L1660,N1660,P1660,R1660)</f>
        <v>12</v>
      </c>
      <c r="U1660" s="699">
        <f t="shared" si="424"/>
        <v>100</v>
      </c>
      <c r="V1660" s="700" t="s">
        <v>58</v>
      </c>
      <c r="W1660" s="701">
        <f t="shared" si="425"/>
        <v>18550212</v>
      </c>
      <c r="X1660" s="702">
        <f t="shared" si="426"/>
        <v>25.411249315068492</v>
      </c>
      <c r="Y1660" s="700" t="s">
        <v>58</v>
      </c>
      <c r="Z1660" s="699">
        <f t="shared" si="417"/>
        <v>24</v>
      </c>
      <c r="AA1660" s="701">
        <f t="shared" si="418"/>
        <v>154005088</v>
      </c>
      <c r="AB1660" s="700"/>
      <c r="AC1660" s="700" t="s">
        <v>58</v>
      </c>
      <c r="AD1660" s="702"/>
      <c r="AE1660" s="703"/>
      <c r="AH1660" s="25"/>
    </row>
    <row r="1661" spans="1:34" ht="120">
      <c r="A1661" s="704"/>
      <c r="B1661" s="17"/>
      <c r="C1661" s="712" t="s">
        <v>80</v>
      </c>
      <c r="D1661" s="29" t="s">
        <v>224</v>
      </c>
      <c r="E1661" s="520">
        <v>12</v>
      </c>
      <c r="F1661" s="695" t="s">
        <v>966</v>
      </c>
      <c r="G1661" s="663">
        <v>103720000</v>
      </c>
      <c r="H1661" s="520">
        <v>12</v>
      </c>
      <c r="I1661" s="663">
        <v>19978376</v>
      </c>
      <c r="J1661" s="710">
        <v>12</v>
      </c>
      <c r="K1661" s="663">
        <v>83576000</v>
      </c>
      <c r="L1661" s="710">
        <v>3</v>
      </c>
      <c r="M1661" s="663">
        <v>20124000</v>
      </c>
      <c r="N1661" s="520">
        <v>3</v>
      </c>
      <c r="O1661" s="663">
        <v>40887213</v>
      </c>
      <c r="P1661" s="520">
        <v>3</v>
      </c>
      <c r="Q1661" s="663">
        <v>0</v>
      </c>
      <c r="R1661" s="520">
        <v>3</v>
      </c>
      <c r="S1661" s="663">
        <v>18312911</v>
      </c>
      <c r="T1661" s="699">
        <f t="shared" si="427"/>
        <v>12</v>
      </c>
      <c r="U1661" s="699">
        <f t="shared" si="424"/>
        <v>100</v>
      </c>
      <c r="V1661" s="700" t="s">
        <v>58</v>
      </c>
      <c r="W1661" s="701">
        <f t="shared" si="425"/>
        <v>79324124</v>
      </c>
      <c r="X1661" s="702">
        <f t="shared" si="426"/>
        <v>94.912563415334546</v>
      </c>
      <c r="Y1661" s="700" t="s">
        <v>58</v>
      </c>
      <c r="Z1661" s="699">
        <f t="shared" si="417"/>
        <v>24</v>
      </c>
      <c r="AA1661" s="701">
        <f t="shared" si="418"/>
        <v>99302500</v>
      </c>
      <c r="AB1661" s="700"/>
      <c r="AC1661" s="700" t="s">
        <v>58</v>
      </c>
      <c r="AD1661" s="702"/>
      <c r="AE1661" s="703"/>
      <c r="AH1661" s="25"/>
    </row>
    <row r="1662" spans="1:34" ht="110.25">
      <c r="A1662" s="704"/>
      <c r="B1662" s="17"/>
      <c r="C1662" s="713" t="s">
        <v>1181</v>
      </c>
      <c r="D1662" s="19" t="s">
        <v>2051</v>
      </c>
      <c r="E1662" s="517">
        <v>100</v>
      </c>
      <c r="F1662" s="685" t="s">
        <v>58</v>
      </c>
      <c r="G1662" s="661">
        <f>SUM(G1663:G1665)</f>
        <v>352062000</v>
      </c>
      <c r="H1662" s="517">
        <v>100</v>
      </c>
      <c r="I1662" s="661">
        <f>SUM(I1663:I1665)</f>
        <v>182633284</v>
      </c>
      <c r="J1662" s="708">
        <v>100</v>
      </c>
      <c r="K1662" s="661">
        <f>SUM(K1663:K1665)</f>
        <v>100370000</v>
      </c>
      <c r="L1662" s="708">
        <v>100</v>
      </c>
      <c r="M1662" s="661">
        <f>SUM(M1663:M1664)</f>
        <v>12713000</v>
      </c>
      <c r="N1662" s="517">
        <v>100</v>
      </c>
      <c r="O1662" s="661">
        <f>SUM(O1663:O1664)</f>
        <v>19287522</v>
      </c>
      <c r="P1662" s="517">
        <v>100</v>
      </c>
      <c r="Q1662" s="661">
        <f>SUM(Q1663:Q1664)</f>
        <v>19003800</v>
      </c>
      <c r="R1662" s="517">
        <v>100</v>
      </c>
      <c r="S1662" s="661">
        <f>SUM(S1663:S1664)</f>
        <v>30698600</v>
      </c>
      <c r="T1662" s="678">
        <f>AVERAGE(L1662,N1662,P1662,R1662)</f>
        <v>100</v>
      </c>
      <c r="U1662" s="678">
        <f t="shared" si="424"/>
        <v>100</v>
      </c>
      <c r="V1662" s="679" t="s">
        <v>58</v>
      </c>
      <c r="W1662" s="689">
        <f t="shared" si="425"/>
        <v>81702922</v>
      </c>
      <c r="X1662" s="690">
        <f t="shared" si="426"/>
        <v>81.401735578360075</v>
      </c>
      <c r="Y1662" s="679" t="s">
        <v>58</v>
      </c>
      <c r="Z1662" s="678">
        <f t="shared" si="417"/>
        <v>200</v>
      </c>
      <c r="AA1662" s="689">
        <f t="shared" si="418"/>
        <v>264336206</v>
      </c>
      <c r="AB1662" s="690"/>
      <c r="AC1662" s="679" t="s">
        <v>58</v>
      </c>
      <c r="AD1662" s="690"/>
      <c r="AE1662" s="703"/>
      <c r="AH1662" s="25"/>
    </row>
    <row r="1663" spans="1:34" ht="180">
      <c r="A1663" s="704"/>
      <c r="B1663" s="17"/>
      <c r="C1663" s="26" t="s">
        <v>2046</v>
      </c>
      <c r="D1663" s="29" t="s">
        <v>226</v>
      </c>
      <c r="E1663" s="520">
        <v>12</v>
      </c>
      <c r="F1663" s="695" t="s">
        <v>138</v>
      </c>
      <c r="G1663" s="662">
        <v>225624000</v>
      </c>
      <c r="H1663" s="520">
        <v>12</v>
      </c>
      <c r="I1663" s="668">
        <v>81133332</v>
      </c>
      <c r="J1663" s="710">
        <v>12</v>
      </c>
      <c r="K1663" s="663">
        <v>90170000</v>
      </c>
      <c r="L1663" s="710">
        <v>2</v>
      </c>
      <c r="M1663" s="663">
        <v>12713000</v>
      </c>
      <c r="N1663" s="520">
        <v>3</v>
      </c>
      <c r="O1663" s="663">
        <v>16992522</v>
      </c>
      <c r="P1663" s="520">
        <v>3</v>
      </c>
      <c r="Q1663" s="663">
        <v>18778800</v>
      </c>
      <c r="R1663" s="520">
        <v>4</v>
      </c>
      <c r="S1663" s="663">
        <v>30548600</v>
      </c>
      <c r="T1663" s="699">
        <f t="shared" si="427"/>
        <v>12</v>
      </c>
      <c r="U1663" s="699">
        <f t="shared" si="424"/>
        <v>100</v>
      </c>
      <c r="V1663" s="700" t="s">
        <v>58</v>
      </c>
      <c r="W1663" s="701">
        <f t="shared" si="425"/>
        <v>79032922</v>
      </c>
      <c r="X1663" s="702">
        <f t="shared" si="426"/>
        <v>87.648798935344345</v>
      </c>
      <c r="Y1663" s="700" t="s">
        <v>58</v>
      </c>
      <c r="Z1663" s="699">
        <f t="shared" si="417"/>
        <v>24</v>
      </c>
      <c r="AA1663" s="701">
        <f t="shared" si="418"/>
        <v>160166254</v>
      </c>
      <c r="AB1663" s="702"/>
      <c r="AC1663" s="700" t="s">
        <v>58</v>
      </c>
      <c r="AD1663" s="702"/>
      <c r="AE1663" s="703"/>
      <c r="AH1663" s="25"/>
    </row>
    <row r="1664" spans="1:34" ht="135">
      <c r="A1664" s="704"/>
      <c r="B1664" s="17"/>
      <c r="C1664" s="26" t="s">
        <v>84</v>
      </c>
      <c r="D1664" s="440" t="s">
        <v>228</v>
      </c>
      <c r="E1664" s="520">
        <v>12</v>
      </c>
      <c r="F1664" s="695" t="s">
        <v>138</v>
      </c>
      <c r="G1664" s="662">
        <v>49394000</v>
      </c>
      <c r="H1664" s="520">
        <v>12</v>
      </c>
      <c r="I1664" s="668">
        <v>25178376</v>
      </c>
      <c r="J1664" s="710">
        <v>12</v>
      </c>
      <c r="K1664" s="663">
        <v>10200000</v>
      </c>
      <c r="L1664" s="710">
        <v>3</v>
      </c>
      <c r="M1664" s="663">
        <v>0</v>
      </c>
      <c r="N1664" s="520">
        <v>3</v>
      </c>
      <c r="O1664" s="663">
        <v>2295000</v>
      </c>
      <c r="P1664" s="520">
        <v>3</v>
      </c>
      <c r="Q1664" s="663">
        <v>225000</v>
      </c>
      <c r="R1664" s="520">
        <v>3</v>
      </c>
      <c r="S1664" s="663">
        <v>150000</v>
      </c>
      <c r="T1664" s="699">
        <f t="shared" si="427"/>
        <v>12</v>
      </c>
      <c r="U1664" s="699">
        <f t="shared" si="424"/>
        <v>100</v>
      </c>
      <c r="V1664" s="700" t="s">
        <v>58</v>
      </c>
      <c r="W1664" s="701">
        <f t="shared" si="425"/>
        <v>2670000</v>
      </c>
      <c r="X1664" s="702">
        <f t="shared" si="426"/>
        <v>26.176470588235297</v>
      </c>
      <c r="Y1664" s="700" t="s">
        <v>58</v>
      </c>
      <c r="Z1664" s="699">
        <f t="shared" si="417"/>
        <v>24</v>
      </c>
      <c r="AA1664" s="701">
        <f t="shared" si="418"/>
        <v>27848376</v>
      </c>
      <c r="AB1664" s="700"/>
      <c r="AC1664" s="700" t="s">
        <v>58</v>
      </c>
      <c r="AD1664" s="702"/>
      <c r="AE1664" s="703"/>
      <c r="AH1664" s="25"/>
    </row>
    <row r="1665" spans="1:34" ht="105">
      <c r="A1665" s="704"/>
      <c r="B1665" s="17"/>
      <c r="C1665" s="26" t="s">
        <v>83</v>
      </c>
      <c r="D1665" s="29" t="s">
        <v>365</v>
      </c>
      <c r="E1665" s="520">
        <v>1</v>
      </c>
      <c r="F1665" s="695" t="s">
        <v>138</v>
      </c>
      <c r="G1665" s="667">
        <v>77044000</v>
      </c>
      <c r="H1665" s="520">
        <v>1</v>
      </c>
      <c r="I1665" s="668">
        <v>76321576</v>
      </c>
      <c r="J1665" s="710"/>
      <c r="K1665" s="663"/>
      <c r="L1665" s="710"/>
      <c r="M1665" s="663"/>
      <c r="N1665" s="520"/>
      <c r="O1665" s="663"/>
      <c r="P1665" s="520"/>
      <c r="Q1665" s="663"/>
      <c r="R1665" s="520"/>
      <c r="S1665" s="663"/>
      <c r="T1665" s="669"/>
      <c r="U1665" s="699"/>
      <c r="V1665" s="700"/>
      <c r="W1665" s="701"/>
      <c r="X1665" s="702"/>
      <c r="Y1665" s="700"/>
      <c r="Z1665" s="662">
        <f t="shared" si="417"/>
        <v>1</v>
      </c>
      <c r="AA1665" s="701">
        <f t="shared" si="418"/>
        <v>76321576</v>
      </c>
      <c r="AB1665" s="702"/>
      <c r="AC1665" s="700" t="s">
        <v>58</v>
      </c>
      <c r="AD1665" s="702"/>
      <c r="AE1665" s="703"/>
      <c r="AH1665" s="25"/>
    </row>
    <row r="1666" spans="1:34" ht="94.5">
      <c r="A1666" s="704"/>
      <c r="B1666" s="17"/>
      <c r="C1666" s="18" t="s">
        <v>2055</v>
      </c>
      <c r="D1666" s="19" t="s">
        <v>2056</v>
      </c>
      <c r="E1666" s="714">
        <v>100</v>
      </c>
      <c r="F1666" s="493" t="s">
        <v>58</v>
      </c>
      <c r="G1666" s="661">
        <f>G1667</f>
        <v>110358120</v>
      </c>
      <c r="H1666" s="715">
        <v>71.42</v>
      </c>
      <c r="I1666" s="661">
        <f>I1667</f>
        <v>40358100</v>
      </c>
      <c r="J1666" s="716">
        <v>85.71</v>
      </c>
      <c r="K1666" s="661">
        <f>K1667</f>
        <v>29791000</v>
      </c>
      <c r="L1666" s="717">
        <v>14.28</v>
      </c>
      <c r="M1666" s="661">
        <f>M1667</f>
        <v>0</v>
      </c>
      <c r="N1666" s="497">
        <v>57.14</v>
      </c>
      <c r="O1666" s="661">
        <f>O1667</f>
        <v>887350</v>
      </c>
      <c r="P1666" s="497">
        <v>71.42</v>
      </c>
      <c r="Q1666" s="661">
        <f>Q1667</f>
        <v>10761250</v>
      </c>
      <c r="R1666" s="497">
        <v>71.42</v>
      </c>
      <c r="S1666" s="661">
        <f>S1667</f>
        <v>9462100</v>
      </c>
      <c r="T1666" s="678">
        <f>R1666</f>
        <v>71.42</v>
      </c>
      <c r="U1666" s="678">
        <f>T1666/J1666*100</f>
        <v>83.327499708318754</v>
      </c>
      <c r="V1666" s="679" t="s">
        <v>58</v>
      </c>
      <c r="W1666" s="689">
        <f t="shared" ref="W1666:W1692" si="428">SUM(M1666,O1666,Q1666,S1666)</f>
        <v>21110700</v>
      </c>
      <c r="X1666" s="690">
        <f t="shared" ref="X1666:X1692" si="429">W1666/K1666*100</f>
        <v>70.862676647309584</v>
      </c>
      <c r="Y1666" s="679" t="s">
        <v>58</v>
      </c>
      <c r="Z1666" s="678">
        <f t="shared" si="417"/>
        <v>142.84</v>
      </c>
      <c r="AA1666" s="689">
        <f t="shared" si="418"/>
        <v>61468800</v>
      </c>
      <c r="AB1666" s="690"/>
      <c r="AC1666" s="679" t="s">
        <v>58</v>
      </c>
      <c r="AD1666" s="690"/>
      <c r="AE1666" s="703"/>
      <c r="AH1666" s="25"/>
    </row>
    <row r="1667" spans="1:34" ht="267.75">
      <c r="A1667" s="703"/>
      <c r="B1667" s="705"/>
      <c r="C1667" s="713" t="s">
        <v>2057</v>
      </c>
      <c r="D1667" s="19" t="s">
        <v>2058</v>
      </c>
      <c r="E1667" s="492">
        <v>12</v>
      </c>
      <c r="F1667" s="676" t="s">
        <v>1016</v>
      </c>
      <c r="G1667" s="661">
        <f>SUM(G1668)</f>
        <v>110358120</v>
      </c>
      <c r="H1667" s="495">
        <v>10</v>
      </c>
      <c r="I1667" s="661">
        <f>SUM(I1668)</f>
        <v>40358100</v>
      </c>
      <c r="J1667" s="718">
        <v>6</v>
      </c>
      <c r="K1667" s="661">
        <f>SUM(K1668)</f>
        <v>29791000</v>
      </c>
      <c r="L1667" s="717">
        <v>0</v>
      </c>
      <c r="M1667" s="661">
        <f>SUM(M1668)</f>
        <v>0</v>
      </c>
      <c r="N1667" s="492">
        <v>3</v>
      </c>
      <c r="O1667" s="661">
        <f>SUM(O1668)</f>
        <v>887350</v>
      </c>
      <c r="P1667" s="492">
        <v>2</v>
      </c>
      <c r="Q1667" s="661">
        <f>SUM(Q1668)</f>
        <v>10761250</v>
      </c>
      <c r="R1667" s="497">
        <v>1</v>
      </c>
      <c r="S1667" s="661">
        <f>SUM(S1668)</f>
        <v>9462100</v>
      </c>
      <c r="T1667" s="678">
        <f t="shared" ref="T1667:T1692" si="430">SUM(L1667,N1667,P1667,R1667)</f>
        <v>6</v>
      </c>
      <c r="U1667" s="678">
        <f t="shared" ref="U1667:U1692" si="431">T1667/J1667*100</f>
        <v>100</v>
      </c>
      <c r="V1667" s="679" t="s">
        <v>58</v>
      </c>
      <c r="W1667" s="689">
        <f t="shared" si="428"/>
        <v>21110700</v>
      </c>
      <c r="X1667" s="690">
        <f t="shared" si="429"/>
        <v>70.862676647309584</v>
      </c>
      <c r="Y1667" s="679" t="s">
        <v>58</v>
      </c>
      <c r="Z1667" s="678">
        <f t="shared" si="417"/>
        <v>16</v>
      </c>
      <c r="AA1667" s="689">
        <f t="shared" si="418"/>
        <v>61468800</v>
      </c>
      <c r="AB1667" s="690"/>
      <c r="AC1667" s="679" t="s">
        <v>58</v>
      </c>
      <c r="AD1667" s="690"/>
      <c r="AE1667" s="703"/>
      <c r="AH1667" s="25"/>
    </row>
    <row r="1668" spans="1:34" ht="177" customHeight="1">
      <c r="A1668" s="704"/>
      <c r="B1668" s="17"/>
      <c r="C1668" s="26" t="s">
        <v>2059</v>
      </c>
      <c r="D1668" s="29" t="s">
        <v>2060</v>
      </c>
      <c r="E1668" s="504">
        <v>7</v>
      </c>
      <c r="F1668" s="505" t="s">
        <v>966</v>
      </c>
      <c r="G1668" s="662">
        <v>110358120</v>
      </c>
      <c r="H1668" s="513"/>
      <c r="I1668" s="668">
        <v>40358100</v>
      </c>
      <c r="J1668" s="719">
        <v>4</v>
      </c>
      <c r="K1668" s="663">
        <v>29791000</v>
      </c>
      <c r="L1668" s="720">
        <v>0</v>
      </c>
      <c r="M1668" s="663">
        <v>0</v>
      </c>
      <c r="N1668" s="504">
        <v>1</v>
      </c>
      <c r="O1668" s="663">
        <v>887350</v>
      </c>
      <c r="P1668" s="504">
        <v>2</v>
      </c>
      <c r="Q1668" s="663">
        <v>10761250</v>
      </c>
      <c r="R1668" s="504">
        <v>1</v>
      </c>
      <c r="S1668" s="663">
        <v>9462100</v>
      </c>
      <c r="T1668" s="699">
        <f t="shared" si="430"/>
        <v>4</v>
      </c>
      <c r="U1668" s="699">
        <f t="shared" si="431"/>
        <v>100</v>
      </c>
      <c r="V1668" s="700" t="s">
        <v>58</v>
      </c>
      <c r="W1668" s="701">
        <f>SUM(M1668,O1668,Q1668,S1668)</f>
        <v>21110700</v>
      </c>
      <c r="X1668" s="702">
        <f t="shared" si="429"/>
        <v>70.862676647309584</v>
      </c>
      <c r="Y1668" s="700" t="s">
        <v>58</v>
      </c>
      <c r="Z1668" s="699">
        <f t="shared" si="417"/>
        <v>4</v>
      </c>
      <c r="AA1668" s="701">
        <f t="shared" si="418"/>
        <v>61468800</v>
      </c>
      <c r="AB1668" s="702"/>
      <c r="AC1668" s="700" t="s">
        <v>58</v>
      </c>
      <c r="AD1668" s="702"/>
      <c r="AE1668" s="703"/>
      <c r="AH1668" s="25"/>
    </row>
    <row r="1669" spans="1:34" ht="94.5">
      <c r="A1669" s="704"/>
      <c r="B1669" s="17"/>
      <c r="C1669" s="49" t="s">
        <v>2061</v>
      </c>
      <c r="D1669" s="19" t="s">
        <v>2062</v>
      </c>
      <c r="E1669" s="714">
        <v>45000000</v>
      </c>
      <c r="F1669" s="676" t="s">
        <v>2063</v>
      </c>
      <c r="G1669" s="670">
        <f>G1670+G1673</f>
        <v>8503630850</v>
      </c>
      <c r="H1669" s="714">
        <v>11793500</v>
      </c>
      <c r="I1669" s="670">
        <f>I1670+I1673</f>
        <v>2173253964</v>
      </c>
      <c r="J1669" s="721">
        <v>4818718400</v>
      </c>
      <c r="K1669" s="674">
        <f>K1670+K1673</f>
        <v>6090894200</v>
      </c>
      <c r="L1669" s="721">
        <v>893202066</v>
      </c>
      <c r="M1669" s="661">
        <f>M1670+M1673</f>
        <v>544062544</v>
      </c>
      <c r="N1669" s="714">
        <v>750261669</v>
      </c>
      <c r="O1669" s="661">
        <f>O1670+O1673</f>
        <v>834429196</v>
      </c>
      <c r="P1669" s="714">
        <v>918076568</v>
      </c>
      <c r="Q1669" s="661">
        <f>Q1670+Q1673</f>
        <v>2246496591</v>
      </c>
      <c r="R1669" s="714">
        <v>801016548</v>
      </c>
      <c r="S1669" s="661">
        <f>S1670+S1673</f>
        <v>2225224215</v>
      </c>
      <c r="T1669" s="722">
        <f>SUM(L1669,N1669,P1669,R1669)</f>
        <v>3362556851</v>
      </c>
      <c r="U1669" s="690">
        <f>T1669/J1669*100</f>
        <v>69.781144525897176</v>
      </c>
      <c r="V1669" s="679" t="s">
        <v>58</v>
      </c>
      <c r="W1669" s="689">
        <f>M1669+O1669+Q1669+S1669</f>
        <v>5850212546</v>
      </c>
      <c r="X1669" s="681">
        <f t="shared" si="429"/>
        <v>96.048500497677338</v>
      </c>
      <c r="Y1669" s="679" t="s">
        <v>58</v>
      </c>
      <c r="Z1669" s="722">
        <f t="shared" si="417"/>
        <v>3374350351</v>
      </c>
      <c r="AA1669" s="680">
        <f t="shared" si="418"/>
        <v>8023466510</v>
      </c>
      <c r="AB1669" s="679"/>
      <c r="AC1669" s="679" t="s">
        <v>58</v>
      </c>
      <c r="AD1669" s="702"/>
      <c r="AE1669" s="703"/>
      <c r="AH1669" s="25"/>
    </row>
    <row r="1670" spans="1:34" ht="90.75" customHeight="1">
      <c r="A1670" s="704"/>
      <c r="B1670" s="17"/>
      <c r="C1670" s="19" t="s">
        <v>2064</v>
      </c>
      <c r="D1670" s="19" t="s">
        <v>2065</v>
      </c>
      <c r="E1670" s="723">
        <v>11</v>
      </c>
      <c r="F1670" s="676" t="s">
        <v>1460</v>
      </c>
      <c r="G1670" s="661">
        <f>SUM(G1671:G1672)</f>
        <v>5365076050</v>
      </c>
      <c r="H1670" s="714">
        <v>11</v>
      </c>
      <c r="I1670" s="661">
        <f>SUM(I1671:I1672)</f>
        <v>936357630</v>
      </c>
      <c r="J1670" s="721">
        <v>11</v>
      </c>
      <c r="K1670" s="661">
        <f>SUM(K1671:K1672)</f>
        <v>4702975450</v>
      </c>
      <c r="L1670" s="724">
        <v>11</v>
      </c>
      <c r="M1670" s="661">
        <f>SUM(M1671:M1672)</f>
        <v>255422996</v>
      </c>
      <c r="N1670" s="671">
        <v>11</v>
      </c>
      <c r="O1670" s="661">
        <f>SUM(O1671:O1672)</f>
        <v>724684939</v>
      </c>
      <c r="P1670" s="671">
        <v>11</v>
      </c>
      <c r="Q1670" s="661">
        <f>SUM(Q1671:Q1672)</f>
        <v>1604330126</v>
      </c>
      <c r="R1670" s="725">
        <v>11</v>
      </c>
      <c r="S1670" s="661">
        <f>SUM(S1671:S1672)</f>
        <v>1944527610</v>
      </c>
      <c r="T1670" s="722">
        <f>AVERAGE(L1670,N1670,P1670,R1670)</f>
        <v>11</v>
      </c>
      <c r="U1670" s="678">
        <f t="shared" si="431"/>
        <v>100</v>
      </c>
      <c r="V1670" s="679" t="s">
        <v>58</v>
      </c>
      <c r="W1670" s="689">
        <f t="shared" si="428"/>
        <v>4528965671</v>
      </c>
      <c r="X1670" s="690">
        <f t="shared" si="429"/>
        <v>96.300006647919034</v>
      </c>
      <c r="Y1670" s="679" t="s">
        <v>58</v>
      </c>
      <c r="Z1670" s="722">
        <f t="shared" si="417"/>
        <v>22</v>
      </c>
      <c r="AA1670" s="689">
        <f t="shared" si="418"/>
        <v>5465323301</v>
      </c>
      <c r="AB1670" s="690"/>
      <c r="AC1670" s="679" t="s">
        <v>58</v>
      </c>
      <c r="AD1670" s="702"/>
      <c r="AE1670" s="703"/>
      <c r="AH1670" s="25"/>
    </row>
    <row r="1671" spans="1:34" ht="75">
      <c r="A1671" s="704"/>
      <c r="B1671" s="17"/>
      <c r="C1671" s="29" t="s">
        <v>2066</v>
      </c>
      <c r="D1671" s="29" t="s">
        <v>2067</v>
      </c>
      <c r="E1671" s="726">
        <v>3</v>
      </c>
      <c r="F1671" s="695" t="s">
        <v>138</v>
      </c>
      <c r="G1671" s="662">
        <v>4008424100</v>
      </c>
      <c r="H1671" s="726">
        <v>3</v>
      </c>
      <c r="I1671" s="663">
        <v>506622600</v>
      </c>
      <c r="J1671" s="720">
        <v>3</v>
      </c>
      <c r="K1671" s="663">
        <v>3882230000</v>
      </c>
      <c r="L1671" s="720">
        <v>3</v>
      </c>
      <c r="M1671" s="663">
        <v>51556757</v>
      </c>
      <c r="N1671" s="727">
        <v>3</v>
      </c>
      <c r="O1671" s="663">
        <v>534134113</v>
      </c>
      <c r="P1671" s="727">
        <v>3</v>
      </c>
      <c r="Q1671" s="663">
        <v>1342699887</v>
      </c>
      <c r="R1671" s="727">
        <v>3</v>
      </c>
      <c r="S1671" s="663">
        <v>1832753958</v>
      </c>
      <c r="T1671" s="669">
        <f>AVERAGE(L1671,N1671,P1671,R1671)</f>
        <v>3</v>
      </c>
      <c r="U1671" s="699">
        <f t="shared" si="431"/>
        <v>100</v>
      </c>
      <c r="V1671" s="700" t="s">
        <v>58</v>
      </c>
      <c r="W1671" s="701">
        <f>SUM(M1671,O1671,Q1671,S1671)</f>
        <v>3761144715</v>
      </c>
      <c r="X1671" s="702">
        <f t="shared" si="429"/>
        <v>96.881037831349502</v>
      </c>
      <c r="Y1671" s="700" t="s">
        <v>58</v>
      </c>
      <c r="Z1671" s="672">
        <f t="shared" si="417"/>
        <v>6</v>
      </c>
      <c r="AA1671" s="701">
        <f t="shared" si="418"/>
        <v>4267767315</v>
      </c>
      <c r="AB1671" s="702"/>
      <c r="AC1671" s="700" t="s">
        <v>58</v>
      </c>
      <c r="AD1671" s="702"/>
      <c r="AE1671" s="703"/>
      <c r="AH1671" s="25"/>
    </row>
    <row r="1672" spans="1:34" ht="90">
      <c r="A1672" s="704"/>
      <c r="B1672" s="17"/>
      <c r="C1672" s="29" t="s">
        <v>2068</v>
      </c>
      <c r="D1672" s="29" t="s">
        <v>2069</v>
      </c>
      <c r="E1672" s="726">
        <v>8</v>
      </c>
      <c r="F1672" s="695" t="s">
        <v>138</v>
      </c>
      <c r="G1672" s="662">
        <v>1356651950</v>
      </c>
      <c r="H1672" s="726">
        <v>3</v>
      </c>
      <c r="I1672" s="668">
        <v>429735030</v>
      </c>
      <c r="J1672" s="720">
        <v>8</v>
      </c>
      <c r="K1672" s="663">
        <v>820745450</v>
      </c>
      <c r="L1672" s="720">
        <v>8</v>
      </c>
      <c r="M1672" s="663">
        <v>203866239</v>
      </c>
      <c r="N1672" s="727">
        <v>8</v>
      </c>
      <c r="O1672" s="663">
        <v>190550826</v>
      </c>
      <c r="P1672" s="727">
        <v>8</v>
      </c>
      <c r="Q1672" s="663">
        <v>261630239</v>
      </c>
      <c r="R1672" s="727">
        <v>8</v>
      </c>
      <c r="S1672" s="663">
        <v>111773652</v>
      </c>
      <c r="T1672" s="669">
        <f>AVERAGE(L1672,N1672,P1672,R1672)</f>
        <v>8</v>
      </c>
      <c r="U1672" s="699">
        <f t="shared" si="431"/>
        <v>100</v>
      </c>
      <c r="V1672" s="700" t="s">
        <v>58</v>
      </c>
      <c r="W1672" s="701">
        <f t="shared" si="428"/>
        <v>767820956</v>
      </c>
      <c r="X1672" s="702">
        <f t="shared" si="429"/>
        <v>93.551655510243776</v>
      </c>
      <c r="Y1672" s="700" t="s">
        <v>58</v>
      </c>
      <c r="Z1672" s="672">
        <f t="shared" si="417"/>
        <v>11</v>
      </c>
      <c r="AA1672" s="701">
        <f t="shared" si="418"/>
        <v>1197555986</v>
      </c>
      <c r="AB1672" s="702"/>
      <c r="AC1672" s="700" t="s">
        <v>58</v>
      </c>
      <c r="AD1672" s="702"/>
      <c r="AE1672" s="703"/>
      <c r="AH1672" s="25"/>
    </row>
    <row r="1673" spans="1:34" ht="157.5">
      <c r="A1673" s="704"/>
      <c r="B1673" s="17"/>
      <c r="C1673" s="19" t="s">
        <v>2070</v>
      </c>
      <c r="D1673" s="19" t="s">
        <v>2071</v>
      </c>
      <c r="E1673" s="723">
        <v>11</v>
      </c>
      <c r="F1673" s="493" t="s">
        <v>2072</v>
      </c>
      <c r="G1673" s="661">
        <f>SUM(G1674:G1675)</f>
        <v>3138554800</v>
      </c>
      <c r="H1673" s="723">
        <v>11</v>
      </c>
      <c r="I1673" s="661">
        <f>SUM(I1674:I1675)</f>
        <v>1236896334</v>
      </c>
      <c r="J1673" s="717">
        <v>11</v>
      </c>
      <c r="K1673" s="661">
        <f>SUM(K1674:K1675)</f>
        <v>1387918750</v>
      </c>
      <c r="L1673" s="717">
        <v>11</v>
      </c>
      <c r="M1673" s="661">
        <f>SUM(M1674:M1675)</f>
        <v>288639548</v>
      </c>
      <c r="N1673" s="714">
        <v>11</v>
      </c>
      <c r="O1673" s="661">
        <f>SUM(O1674:O1675)</f>
        <v>109744257</v>
      </c>
      <c r="P1673" s="714">
        <v>11</v>
      </c>
      <c r="Q1673" s="661">
        <f>SUM(Q1674:Q1675)</f>
        <v>642166465</v>
      </c>
      <c r="R1673" s="727">
        <v>11</v>
      </c>
      <c r="S1673" s="661">
        <f>SUM(S1674:S1675)</f>
        <v>280696605</v>
      </c>
      <c r="T1673" s="673">
        <f>AVERAGE(L1673,N1673,P1673,R1673)</f>
        <v>11</v>
      </c>
      <c r="U1673" s="678">
        <f t="shared" si="431"/>
        <v>100</v>
      </c>
      <c r="V1673" s="679" t="s">
        <v>58</v>
      </c>
      <c r="W1673" s="689">
        <f t="shared" si="428"/>
        <v>1321246875</v>
      </c>
      <c r="X1673" s="690">
        <f t="shared" si="429"/>
        <v>95.196269594311616</v>
      </c>
      <c r="Y1673" s="678" t="s">
        <v>58</v>
      </c>
      <c r="Z1673" s="673">
        <f t="shared" si="417"/>
        <v>22</v>
      </c>
      <c r="AA1673" s="689">
        <f t="shared" si="418"/>
        <v>2558143209</v>
      </c>
      <c r="AB1673" s="690"/>
      <c r="AC1673" s="679" t="s">
        <v>58</v>
      </c>
      <c r="AD1673" s="690"/>
      <c r="AE1673" s="703"/>
      <c r="AH1673" s="25"/>
    </row>
    <row r="1674" spans="1:34" ht="165">
      <c r="A1674" s="704"/>
      <c r="B1674" s="17"/>
      <c r="C1674" s="29" t="s">
        <v>2073</v>
      </c>
      <c r="D1674" s="29" t="s">
        <v>2074</v>
      </c>
      <c r="E1674" s="726">
        <v>5</v>
      </c>
      <c r="F1674" s="695" t="s">
        <v>965</v>
      </c>
      <c r="G1674" s="668">
        <v>1190365000</v>
      </c>
      <c r="H1674" s="726">
        <v>5</v>
      </c>
      <c r="I1674" s="668">
        <v>586215888</v>
      </c>
      <c r="J1674" s="720">
        <v>5</v>
      </c>
      <c r="K1674" s="663">
        <v>532538000</v>
      </c>
      <c r="L1674" s="720">
        <v>1</v>
      </c>
      <c r="M1674" s="663">
        <v>108374647</v>
      </c>
      <c r="N1674" s="504">
        <v>1</v>
      </c>
      <c r="O1674" s="663">
        <v>70161413</v>
      </c>
      <c r="P1674" s="504">
        <v>2</v>
      </c>
      <c r="Q1674" s="663">
        <v>231608832</v>
      </c>
      <c r="R1674" s="727">
        <v>1</v>
      </c>
      <c r="S1674" s="728">
        <v>75283737</v>
      </c>
      <c r="T1674" s="699">
        <f t="shared" si="430"/>
        <v>5</v>
      </c>
      <c r="U1674" s="699">
        <f t="shared" si="431"/>
        <v>100</v>
      </c>
      <c r="V1674" s="700" t="s">
        <v>58</v>
      </c>
      <c r="W1674" s="701">
        <f t="shared" si="428"/>
        <v>485428629</v>
      </c>
      <c r="X1674" s="702">
        <f t="shared" si="429"/>
        <v>91.153801043305833</v>
      </c>
      <c r="Y1674" s="699" t="s">
        <v>58</v>
      </c>
      <c r="Z1674" s="669">
        <f t="shared" si="417"/>
        <v>10</v>
      </c>
      <c r="AA1674" s="701">
        <f t="shared" si="418"/>
        <v>1071644517</v>
      </c>
      <c r="AB1674" s="702"/>
      <c r="AC1674" s="700" t="s">
        <v>58</v>
      </c>
      <c r="AD1674" s="702"/>
      <c r="AE1674" s="703"/>
      <c r="AH1674" s="25"/>
    </row>
    <row r="1675" spans="1:34" ht="165">
      <c r="A1675" s="704"/>
      <c r="B1675" s="17"/>
      <c r="C1675" s="29" t="s">
        <v>2075</v>
      </c>
      <c r="D1675" s="29" t="s">
        <v>2074</v>
      </c>
      <c r="E1675" s="726">
        <v>6</v>
      </c>
      <c r="F1675" s="695" t="s">
        <v>965</v>
      </c>
      <c r="G1675" s="668">
        <v>1948189800</v>
      </c>
      <c r="H1675" s="726">
        <v>6</v>
      </c>
      <c r="I1675" s="668">
        <v>650680446</v>
      </c>
      <c r="J1675" s="720">
        <v>6</v>
      </c>
      <c r="K1675" s="663">
        <v>855380750</v>
      </c>
      <c r="L1675" s="720">
        <v>1</v>
      </c>
      <c r="M1675" s="663">
        <v>180264901</v>
      </c>
      <c r="N1675" s="504">
        <v>2</v>
      </c>
      <c r="O1675" s="663">
        <v>39582844</v>
      </c>
      <c r="P1675" s="504">
        <v>2</v>
      </c>
      <c r="Q1675" s="663">
        <v>410557633</v>
      </c>
      <c r="R1675" s="727">
        <v>1</v>
      </c>
      <c r="S1675" s="663">
        <v>205412868</v>
      </c>
      <c r="T1675" s="699">
        <f t="shared" si="430"/>
        <v>6</v>
      </c>
      <c r="U1675" s="699">
        <f t="shared" si="431"/>
        <v>100</v>
      </c>
      <c r="V1675" s="700" t="s">
        <v>58</v>
      </c>
      <c r="W1675" s="701">
        <f t="shared" si="428"/>
        <v>835818246</v>
      </c>
      <c r="X1675" s="702">
        <f t="shared" si="429"/>
        <v>97.713006284043686</v>
      </c>
      <c r="Y1675" s="699" t="s">
        <v>58</v>
      </c>
      <c r="Z1675" s="669">
        <f t="shared" si="417"/>
        <v>12</v>
      </c>
      <c r="AA1675" s="701">
        <f t="shared" si="418"/>
        <v>1486498692</v>
      </c>
      <c r="AB1675" s="702"/>
      <c r="AC1675" s="700" t="s">
        <v>58</v>
      </c>
      <c r="AD1675" s="702"/>
      <c r="AE1675" s="703"/>
      <c r="AH1675" s="25"/>
    </row>
    <row r="1676" spans="1:34" ht="126">
      <c r="A1676" s="704"/>
      <c r="B1676" s="17"/>
      <c r="C1676" s="49" t="s">
        <v>2076</v>
      </c>
      <c r="D1676" s="19" t="s">
        <v>2077</v>
      </c>
      <c r="E1676" s="714">
        <v>100</v>
      </c>
      <c r="F1676" s="493" t="s">
        <v>58</v>
      </c>
      <c r="G1676" s="670">
        <f>G1677+G1680</f>
        <v>445516200</v>
      </c>
      <c r="H1676" s="714">
        <v>100</v>
      </c>
      <c r="I1676" s="670">
        <f>I1677+I1680</f>
        <v>71365800</v>
      </c>
      <c r="J1676" s="724">
        <v>11</v>
      </c>
      <c r="K1676" s="670">
        <f>K1677+K1680</f>
        <v>546629100</v>
      </c>
      <c r="L1676" s="729">
        <v>0</v>
      </c>
      <c r="M1676" s="670">
        <f>M1677+M1680</f>
        <v>12525000</v>
      </c>
      <c r="N1676" s="730">
        <v>0</v>
      </c>
      <c r="O1676" s="670">
        <f>O1677+O1680</f>
        <v>41637850</v>
      </c>
      <c r="P1676" s="730">
        <v>0</v>
      </c>
      <c r="Q1676" s="670">
        <f>Q1677+Q1680</f>
        <v>128260250</v>
      </c>
      <c r="R1676" s="730">
        <v>11</v>
      </c>
      <c r="S1676" s="670">
        <f>S1677+S1680</f>
        <v>189541232</v>
      </c>
      <c r="T1676" s="731">
        <f t="shared" si="430"/>
        <v>11</v>
      </c>
      <c r="U1676" s="731">
        <f t="shared" si="431"/>
        <v>100</v>
      </c>
      <c r="V1676" s="675" t="s">
        <v>58</v>
      </c>
      <c r="W1676" s="680">
        <f t="shared" si="428"/>
        <v>371964332</v>
      </c>
      <c r="X1676" s="681">
        <f t="shared" si="429"/>
        <v>68.046932005632343</v>
      </c>
      <c r="Y1676" s="731" t="s">
        <v>58</v>
      </c>
      <c r="Z1676" s="731">
        <f t="shared" si="417"/>
        <v>111</v>
      </c>
      <c r="AA1676" s="680">
        <f t="shared" si="418"/>
        <v>443330132</v>
      </c>
      <c r="AB1676" s="681"/>
      <c r="AC1676" s="675" t="s">
        <v>58</v>
      </c>
      <c r="AD1676" s="681"/>
      <c r="AE1676" s="703"/>
      <c r="AH1676" s="25"/>
    </row>
    <row r="1677" spans="1:34" ht="189">
      <c r="A1677" s="704"/>
      <c r="B1677" s="17"/>
      <c r="C1677" s="19" t="s">
        <v>2078</v>
      </c>
      <c r="D1677" s="454" t="s">
        <v>2079</v>
      </c>
      <c r="E1677" s="732">
        <v>25</v>
      </c>
      <c r="F1677" s="518" t="s">
        <v>58</v>
      </c>
      <c r="G1677" s="674">
        <f>SUM(G1678:G1679)</f>
        <v>408991200</v>
      </c>
      <c r="H1677" s="733">
        <v>25</v>
      </c>
      <c r="I1677" s="674">
        <f>SUM(I1678:I1679)</f>
        <v>65083800</v>
      </c>
      <c r="J1677" s="734">
        <v>25</v>
      </c>
      <c r="K1677" s="661">
        <f>SUM(K1678:K1679)</f>
        <v>537379100</v>
      </c>
      <c r="L1677" s="735">
        <v>25</v>
      </c>
      <c r="M1677" s="661">
        <f>SUM(M1678:M1679)</f>
        <v>12525000</v>
      </c>
      <c r="N1677" s="736">
        <v>25</v>
      </c>
      <c r="O1677" s="661">
        <f>SUM(O1678:O1679)</f>
        <v>41637850</v>
      </c>
      <c r="P1677" s="736">
        <v>25</v>
      </c>
      <c r="Q1677" s="661">
        <f>SUM(Q1678:Q1679)</f>
        <v>126835000</v>
      </c>
      <c r="R1677" s="737">
        <v>25</v>
      </c>
      <c r="S1677" s="661">
        <f>SUM(S1678:S1679)</f>
        <v>188671482</v>
      </c>
      <c r="T1677" s="690">
        <f>AVERAGE(L1677,N1677,P1677,R1677)</f>
        <v>25</v>
      </c>
      <c r="U1677" s="690">
        <f t="shared" si="431"/>
        <v>100</v>
      </c>
      <c r="V1677" s="679" t="s">
        <v>58</v>
      </c>
      <c r="W1677" s="689">
        <f t="shared" si="428"/>
        <v>369669332</v>
      </c>
      <c r="X1677" s="690">
        <f t="shared" si="429"/>
        <v>68.79116288668466</v>
      </c>
      <c r="Y1677" s="678" t="s">
        <v>58</v>
      </c>
      <c r="Z1677" s="678">
        <f t="shared" si="417"/>
        <v>50</v>
      </c>
      <c r="AA1677" s="689">
        <f t="shared" si="418"/>
        <v>434753132</v>
      </c>
      <c r="AB1677" s="690"/>
      <c r="AC1677" s="679" t="s">
        <v>58</v>
      </c>
      <c r="AD1677" s="690"/>
      <c r="AE1677" s="703"/>
      <c r="AH1677" s="25"/>
    </row>
    <row r="1678" spans="1:34" ht="240">
      <c r="A1678" s="704"/>
      <c r="B1678" s="17"/>
      <c r="C1678" s="29" t="s">
        <v>2080</v>
      </c>
      <c r="D1678" s="29" t="s">
        <v>2081</v>
      </c>
      <c r="E1678" s="504">
        <v>96</v>
      </c>
      <c r="F1678" s="521" t="s">
        <v>966</v>
      </c>
      <c r="G1678" s="662">
        <v>266741400</v>
      </c>
      <c r="H1678" s="513">
        <v>96</v>
      </c>
      <c r="I1678" s="668">
        <v>7599300</v>
      </c>
      <c r="J1678" s="738">
        <v>96</v>
      </c>
      <c r="K1678" s="663">
        <v>165515000</v>
      </c>
      <c r="L1678" s="738">
        <v>24</v>
      </c>
      <c r="M1678" s="663">
        <v>0</v>
      </c>
      <c r="N1678" s="504">
        <v>24</v>
      </c>
      <c r="O1678" s="663">
        <v>19203400</v>
      </c>
      <c r="P1678" s="504">
        <v>24</v>
      </c>
      <c r="Q1678" s="663">
        <v>108400000</v>
      </c>
      <c r="R1678" s="504">
        <v>24</v>
      </c>
      <c r="S1678" s="663">
        <v>27704000</v>
      </c>
      <c r="T1678" s="699">
        <f t="shared" si="430"/>
        <v>96</v>
      </c>
      <c r="U1678" s="702">
        <f t="shared" si="431"/>
        <v>100</v>
      </c>
      <c r="V1678" s="700" t="s">
        <v>58</v>
      </c>
      <c r="W1678" s="701">
        <f t="shared" si="428"/>
        <v>155307400</v>
      </c>
      <c r="X1678" s="702">
        <f t="shared" si="429"/>
        <v>93.832824819502775</v>
      </c>
      <c r="Y1678" s="700" t="s">
        <v>58</v>
      </c>
      <c r="Z1678" s="699">
        <f t="shared" si="417"/>
        <v>192</v>
      </c>
      <c r="AA1678" s="701">
        <f t="shared" si="418"/>
        <v>162906700</v>
      </c>
      <c r="AB1678" s="700"/>
      <c r="AC1678" s="700" t="s">
        <v>58</v>
      </c>
      <c r="AD1678" s="702"/>
      <c r="AE1678" s="703"/>
      <c r="AH1678" s="25"/>
    </row>
    <row r="1679" spans="1:34" ht="195">
      <c r="A1679" s="704"/>
      <c r="B1679" s="17"/>
      <c r="C1679" s="29" t="s">
        <v>2082</v>
      </c>
      <c r="D1679" s="29" t="s">
        <v>2083</v>
      </c>
      <c r="E1679" s="504">
        <v>33</v>
      </c>
      <c r="F1679" s="521" t="s">
        <v>966</v>
      </c>
      <c r="G1679" s="662">
        <v>142249800</v>
      </c>
      <c r="H1679" s="513">
        <v>33</v>
      </c>
      <c r="I1679" s="668">
        <v>57484500</v>
      </c>
      <c r="J1679" s="738">
        <v>44</v>
      </c>
      <c r="K1679" s="663">
        <v>371864100</v>
      </c>
      <c r="L1679" s="738">
        <v>11</v>
      </c>
      <c r="M1679" s="663">
        <v>12525000</v>
      </c>
      <c r="N1679" s="504">
        <v>11</v>
      </c>
      <c r="O1679" s="663">
        <v>22434450</v>
      </c>
      <c r="P1679" s="504">
        <v>11</v>
      </c>
      <c r="Q1679" s="663">
        <v>18435000</v>
      </c>
      <c r="R1679" s="504">
        <v>44</v>
      </c>
      <c r="S1679" s="663">
        <v>160967482</v>
      </c>
      <c r="T1679" s="699">
        <f t="shared" si="430"/>
        <v>77</v>
      </c>
      <c r="U1679" s="702">
        <f t="shared" si="431"/>
        <v>175</v>
      </c>
      <c r="V1679" s="700" t="s">
        <v>58</v>
      </c>
      <c r="W1679" s="701">
        <f t="shared" si="428"/>
        <v>214361932</v>
      </c>
      <c r="X1679" s="702">
        <f t="shared" si="429"/>
        <v>57.645234374600832</v>
      </c>
      <c r="Y1679" s="700" t="s">
        <v>58</v>
      </c>
      <c r="Z1679" s="699">
        <f t="shared" si="417"/>
        <v>110</v>
      </c>
      <c r="AA1679" s="701">
        <f t="shared" si="418"/>
        <v>271846432</v>
      </c>
      <c r="AB1679" s="702"/>
      <c r="AC1679" s="700" t="s">
        <v>58</v>
      </c>
      <c r="AD1679" s="702"/>
      <c r="AE1679" s="703"/>
      <c r="AH1679" s="25"/>
    </row>
    <row r="1680" spans="1:34" ht="106.5" customHeight="1">
      <c r="A1680" s="704"/>
      <c r="B1680" s="17"/>
      <c r="C1680" s="19" t="s">
        <v>2084</v>
      </c>
      <c r="D1680" s="739" t="s">
        <v>2085</v>
      </c>
      <c r="E1680" s="495">
        <v>15</v>
      </c>
      <c r="F1680" s="493" t="s">
        <v>1016</v>
      </c>
      <c r="G1680" s="661">
        <f>SUM(G1681)</f>
        <v>36525000</v>
      </c>
      <c r="H1680" s="495">
        <v>13</v>
      </c>
      <c r="I1680" s="661">
        <f>SUM(I1681)</f>
        <v>6282000</v>
      </c>
      <c r="J1680" s="724">
        <v>100</v>
      </c>
      <c r="K1680" s="661">
        <f>SUM(K1681)</f>
        <v>9250000</v>
      </c>
      <c r="L1680" s="724">
        <v>0</v>
      </c>
      <c r="M1680" s="661">
        <f>SUM(M1681)</f>
        <v>0</v>
      </c>
      <c r="N1680" s="725">
        <v>0</v>
      </c>
      <c r="O1680" s="661">
        <f>SUM(O1681)</f>
        <v>0</v>
      </c>
      <c r="P1680" s="725">
        <v>0</v>
      </c>
      <c r="Q1680" s="661">
        <f>SUM(Q1681)</f>
        <v>1425250</v>
      </c>
      <c r="R1680" s="725">
        <v>100</v>
      </c>
      <c r="S1680" s="661">
        <f>SUM(S1681)</f>
        <v>869750</v>
      </c>
      <c r="T1680" s="678">
        <f t="shared" si="430"/>
        <v>100</v>
      </c>
      <c r="U1680" s="679">
        <f t="shared" si="431"/>
        <v>100</v>
      </c>
      <c r="V1680" s="679" t="s">
        <v>58</v>
      </c>
      <c r="W1680" s="689">
        <f t="shared" si="428"/>
        <v>2295000</v>
      </c>
      <c r="X1680" s="690">
        <f t="shared" si="429"/>
        <v>24.810810810810811</v>
      </c>
      <c r="Y1680" s="679" t="s">
        <v>58</v>
      </c>
      <c r="Z1680" s="678">
        <f t="shared" si="417"/>
        <v>113</v>
      </c>
      <c r="AA1680" s="689">
        <f t="shared" si="418"/>
        <v>8577000</v>
      </c>
      <c r="AB1680" s="690"/>
      <c r="AC1680" s="679" t="s">
        <v>58</v>
      </c>
      <c r="AD1680" s="690"/>
      <c r="AE1680" s="703"/>
      <c r="AH1680" s="25"/>
    </row>
    <row r="1681" spans="1:34" ht="180">
      <c r="A1681" s="704"/>
      <c r="B1681" s="17"/>
      <c r="C1681" s="29" t="s">
        <v>2086</v>
      </c>
      <c r="D1681" s="29" t="s">
        <v>2087</v>
      </c>
      <c r="E1681" s="740">
        <v>15</v>
      </c>
      <c r="F1681" s="521" t="s">
        <v>966</v>
      </c>
      <c r="G1681" s="662">
        <v>36525000</v>
      </c>
      <c r="H1681" s="740">
        <v>12</v>
      </c>
      <c r="I1681" s="668">
        <v>6282000</v>
      </c>
      <c r="J1681" s="741">
        <v>12</v>
      </c>
      <c r="K1681" s="663">
        <v>9250000</v>
      </c>
      <c r="L1681" s="741">
        <v>3</v>
      </c>
      <c r="M1681" s="663">
        <v>0</v>
      </c>
      <c r="N1681" s="504">
        <v>3</v>
      </c>
      <c r="O1681" s="663">
        <v>0</v>
      </c>
      <c r="P1681" s="504">
        <v>3</v>
      </c>
      <c r="Q1681" s="663">
        <v>1425250</v>
      </c>
      <c r="R1681" s="504">
        <v>3</v>
      </c>
      <c r="S1681" s="663">
        <v>869750</v>
      </c>
      <c r="T1681" s="699">
        <f t="shared" si="430"/>
        <v>12</v>
      </c>
      <c r="U1681" s="700">
        <f t="shared" si="431"/>
        <v>100</v>
      </c>
      <c r="V1681" s="700" t="s">
        <v>58</v>
      </c>
      <c r="W1681" s="701">
        <f t="shared" si="428"/>
        <v>2295000</v>
      </c>
      <c r="X1681" s="702">
        <f t="shared" si="429"/>
        <v>24.810810810810811</v>
      </c>
      <c r="Y1681" s="700" t="s">
        <v>58</v>
      </c>
      <c r="Z1681" s="699">
        <f t="shared" si="417"/>
        <v>24</v>
      </c>
      <c r="AA1681" s="701">
        <f t="shared" si="418"/>
        <v>8577000</v>
      </c>
      <c r="AB1681" s="700"/>
      <c r="AC1681" s="700" t="s">
        <v>58</v>
      </c>
      <c r="AD1681" s="702"/>
      <c r="AE1681" s="703"/>
      <c r="AH1681" s="25"/>
    </row>
    <row r="1682" spans="1:34" ht="74.099999999999994" customHeight="1">
      <c r="A1682" s="704"/>
      <c r="B1682" s="17"/>
      <c r="C1682" s="18" t="s">
        <v>2088</v>
      </c>
      <c r="D1682" s="19" t="s">
        <v>2089</v>
      </c>
      <c r="E1682" s="714">
        <v>100</v>
      </c>
      <c r="F1682" s="493" t="s">
        <v>1044</v>
      </c>
      <c r="G1682" s="661">
        <f>G1683</f>
        <v>1024500000</v>
      </c>
      <c r="H1682" s="737">
        <v>100</v>
      </c>
      <c r="I1682" s="661">
        <f>I1683</f>
        <v>19763800</v>
      </c>
      <c r="J1682" s="742">
        <v>100</v>
      </c>
      <c r="K1682" s="661">
        <f>K1683</f>
        <v>630925000</v>
      </c>
      <c r="L1682" s="724">
        <v>0</v>
      </c>
      <c r="M1682" s="661">
        <f>M1683</f>
        <v>0</v>
      </c>
      <c r="N1682" s="504">
        <v>0</v>
      </c>
      <c r="O1682" s="504">
        <v>0</v>
      </c>
      <c r="P1682" s="504">
        <v>50</v>
      </c>
      <c r="Q1682" s="661">
        <f>Q1683</f>
        <v>59839286</v>
      </c>
      <c r="R1682" s="504">
        <v>50</v>
      </c>
      <c r="S1682" s="661">
        <f>S1683</f>
        <v>479844000</v>
      </c>
      <c r="T1682" s="678">
        <f t="shared" si="430"/>
        <v>100</v>
      </c>
      <c r="U1682" s="679">
        <f t="shared" si="431"/>
        <v>100</v>
      </c>
      <c r="V1682" s="679" t="s">
        <v>58</v>
      </c>
      <c r="W1682" s="689">
        <f t="shared" si="428"/>
        <v>539683286</v>
      </c>
      <c r="X1682" s="690">
        <f t="shared" si="429"/>
        <v>85.53842152395292</v>
      </c>
      <c r="Y1682" s="679" t="s">
        <v>58</v>
      </c>
      <c r="Z1682" s="678">
        <f t="shared" si="417"/>
        <v>200</v>
      </c>
      <c r="AA1682" s="689">
        <f t="shared" si="418"/>
        <v>559447086</v>
      </c>
      <c r="AB1682" s="679"/>
      <c r="AC1682" s="679" t="s">
        <v>58</v>
      </c>
      <c r="AD1682" s="690"/>
      <c r="AE1682" s="703"/>
      <c r="AH1682" s="25"/>
    </row>
    <row r="1683" spans="1:34" ht="283.5">
      <c r="A1683" s="704"/>
      <c r="B1683" s="17"/>
      <c r="C1683" s="19" t="s">
        <v>2090</v>
      </c>
      <c r="D1683" s="19" t="s">
        <v>2091</v>
      </c>
      <c r="E1683" s="743">
        <v>60</v>
      </c>
      <c r="F1683" s="493" t="s">
        <v>1638</v>
      </c>
      <c r="G1683" s="661">
        <f>SUM(G1684:G1685)</f>
        <v>1024500000</v>
      </c>
      <c r="H1683" s="744">
        <v>40</v>
      </c>
      <c r="I1683" s="661">
        <f>SUM(I1684:I1685)</f>
        <v>19763800</v>
      </c>
      <c r="J1683" s="724">
        <v>50</v>
      </c>
      <c r="K1683" s="661">
        <f>SUM(K1684:K1685)</f>
        <v>630925000</v>
      </c>
      <c r="L1683" s="724">
        <v>15</v>
      </c>
      <c r="M1683" s="661">
        <f>SUM(M1684:M1685)</f>
        <v>0</v>
      </c>
      <c r="N1683" s="492">
        <v>15</v>
      </c>
      <c r="O1683" s="661">
        <f>SUM(O1684:O1685)</f>
        <v>0</v>
      </c>
      <c r="P1683" s="492">
        <v>10</v>
      </c>
      <c r="Q1683" s="661">
        <f>SUM(Q1684:Q1685)</f>
        <v>59839286</v>
      </c>
      <c r="R1683" s="492">
        <v>10</v>
      </c>
      <c r="S1683" s="661">
        <f>SUM(S1684:S1685)</f>
        <v>479844000</v>
      </c>
      <c r="T1683" s="678">
        <f t="shared" si="430"/>
        <v>50</v>
      </c>
      <c r="U1683" s="679">
        <f t="shared" si="431"/>
        <v>100</v>
      </c>
      <c r="V1683" s="679" t="s">
        <v>58</v>
      </c>
      <c r="W1683" s="689">
        <f t="shared" si="428"/>
        <v>539683286</v>
      </c>
      <c r="X1683" s="690">
        <f t="shared" si="429"/>
        <v>85.53842152395292</v>
      </c>
      <c r="Y1683" s="679" t="s">
        <v>58</v>
      </c>
      <c r="Z1683" s="678">
        <f t="shared" si="417"/>
        <v>90</v>
      </c>
      <c r="AA1683" s="689">
        <f t="shared" si="418"/>
        <v>559447086</v>
      </c>
      <c r="AB1683" s="679"/>
      <c r="AC1683" s="679" t="s">
        <v>58</v>
      </c>
      <c r="AD1683" s="690"/>
      <c r="AE1683" s="703"/>
      <c r="AH1683" s="25"/>
    </row>
    <row r="1684" spans="1:34" ht="45">
      <c r="A1684" s="704"/>
      <c r="B1684" s="17"/>
      <c r="C1684" s="29" t="s">
        <v>2092</v>
      </c>
      <c r="D1684" s="29" t="s">
        <v>449</v>
      </c>
      <c r="E1684" s="740">
        <v>55</v>
      </c>
      <c r="F1684" s="505" t="s">
        <v>1645</v>
      </c>
      <c r="G1684" s="662">
        <v>94500000</v>
      </c>
      <c r="H1684" s="745">
        <v>0</v>
      </c>
      <c r="I1684" s="668">
        <v>0</v>
      </c>
      <c r="J1684" s="741" t="s">
        <v>449</v>
      </c>
      <c r="K1684" s="663">
        <v>0</v>
      </c>
      <c r="L1684" s="741" t="s">
        <v>449</v>
      </c>
      <c r="M1684" s="663">
        <v>0</v>
      </c>
      <c r="N1684" s="504" t="s">
        <v>449</v>
      </c>
      <c r="O1684" s="663">
        <v>0</v>
      </c>
      <c r="P1684" s="504" t="s">
        <v>449</v>
      </c>
      <c r="Q1684" s="663">
        <v>0</v>
      </c>
      <c r="R1684" s="504" t="s">
        <v>449</v>
      </c>
      <c r="S1684" s="663">
        <v>0</v>
      </c>
      <c r="T1684" s="699" t="s">
        <v>449</v>
      </c>
      <c r="U1684" s="700" t="s">
        <v>449</v>
      </c>
      <c r="V1684" s="700" t="s">
        <v>58</v>
      </c>
      <c r="W1684" s="701">
        <f t="shared" si="428"/>
        <v>0</v>
      </c>
      <c r="X1684" s="702" t="s">
        <v>449</v>
      </c>
      <c r="Y1684" s="700" t="s">
        <v>58</v>
      </c>
      <c r="Z1684" s="699">
        <f t="shared" si="417"/>
        <v>0</v>
      </c>
      <c r="AA1684" s="701">
        <f t="shared" si="418"/>
        <v>0</v>
      </c>
      <c r="AB1684" s="700"/>
      <c r="AC1684" s="700" t="s">
        <v>58</v>
      </c>
      <c r="AD1684" s="702"/>
      <c r="AE1684" s="703"/>
      <c r="AH1684" s="25"/>
    </row>
    <row r="1685" spans="1:34" ht="120">
      <c r="A1685" s="704"/>
      <c r="B1685" s="17"/>
      <c r="C1685" s="29" t="s">
        <v>2093</v>
      </c>
      <c r="D1685" s="29" t="s">
        <v>2094</v>
      </c>
      <c r="E1685" s="740">
        <v>55</v>
      </c>
      <c r="F1685" s="505" t="s">
        <v>1645</v>
      </c>
      <c r="G1685" s="662">
        <v>930000000</v>
      </c>
      <c r="H1685" s="745"/>
      <c r="I1685" s="668">
        <v>19763800</v>
      </c>
      <c r="J1685" s="741">
        <v>50</v>
      </c>
      <c r="K1685" s="663">
        <v>630925000</v>
      </c>
      <c r="L1685" s="741" t="s">
        <v>449</v>
      </c>
      <c r="M1685" s="663">
        <v>0</v>
      </c>
      <c r="N1685" s="504">
        <v>0</v>
      </c>
      <c r="O1685" s="663">
        <v>0</v>
      </c>
      <c r="P1685" s="504">
        <v>15</v>
      </c>
      <c r="Q1685" s="663">
        <v>59839286</v>
      </c>
      <c r="R1685" s="504">
        <v>35</v>
      </c>
      <c r="S1685" s="663">
        <v>479844000</v>
      </c>
      <c r="T1685" s="699">
        <f t="shared" si="430"/>
        <v>50</v>
      </c>
      <c r="U1685" s="700">
        <f t="shared" si="431"/>
        <v>100</v>
      </c>
      <c r="V1685" s="700" t="s">
        <v>58</v>
      </c>
      <c r="W1685" s="701">
        <f t="shared" si="428"/>
        <v>539683286</v>
      </c>
      <c r="X1685" s="702">
        <f t="shared" si="429"/>
        <v>85.53842152395292</v>
      </c>
      <c r="Y1685" s="700" t="s">
        <v>58</v>
      </c>
      <c r="Z1685" s="699">
        <f t="shared" si="417"/>
        <v>50</v>
      </c>
      <c r="AA1685" s="701">
        <f t="shared" si="418"/>
        <v>559447086</v>
      </c>
      <c r="AB1685" s="700"/>
      <c r="AC1685" s="700" t="s">
        <v>58</v>
      </c>
      <c r="AD1685" s="702"/>
      <c r="AE1685" s="703"/>
      <c r="AH1685" s="25"/>
    </row>
    <row r="1686" spans="1:34" ht="94.5">
      <c r="A1686" s="704"/>
      <c r="B1686" s="17"/>
      <c r="C1686" s="18" t="s">
        <v>2095</v>
      </c>
      <c r="D1686" s="19" t="s">
        <v>2096</v>
      </c>
      <c r="E1686" s="746">
        <v>45000000</v>
      </c>
      <c r="F1686" s="676" t="s">
        <v>2063</v>
      </c>
      <c r="G1686" s="661">
        <f>G1687</f>
        <v>104169950</v>
      </c>
      <c r="H1686" s="746">
        <v>11793500</v>
      </c>
      <c r="I1686" s="661">
        <f>I1687</f>
        <v>47352500</v>
      </c>
      <c r="J1686" s="721">
        <v>44000000</v>
      </c>
      <c r="K1686" s="661">
        <f>K1687</f>
        <v>39165950</v>
      </c>
      <c r="L1686" s="721">
        <v>577500</v>
      </c>
      <c r="M1686" s="661">
        <f>M1687</f>
        <v>2274900</v>
      </c>
      <c r="N1686" s="714">
        <v>3097500</v>
      </c>
      <c r="O1686" s="661">
        <f>O1687</f>
        <v>12570000</v>
      </c>
      <c r="P1686" s="714">
        <v>7160000</v>
      </c>
      <c r="Q1686" s="661">
        <f>Q1687</f>
        <v>4670900</v>
      </c>
      <c r="R1686" s="714">
        <v>4645500</v>
      </c>
      <c r="S1686" s="661">
        <f>S1687</f>
        <v>13879700</v>
      </c>
      <c r="T1686" s="725">
        <f t="shared" si="430"/>
        <v>15480500</v>
      </c>
      <c r="U1686" s="690">
        <f t="shared" si="431"/>
        <v>35.18295454545455</v>
      </c>
      <c r="V1686" s="679" t="s">
        <v>58</v>
      </c>
      <c r="W1686" s="689">
        <f t="shared" si="428"/>
        <v>33395500</v>
      </c>
      <c r="X1686" s="690">
        <f t="shared" si="429"/>
        <v>85.266666581558724</v>
      </c>
      <c r="Y1686" s="679" t="s">
        <v>58</v>
      </c>
      <c r="Z1686" s="678">
        <f t="shared" si="417"/>
        <v>27274000</v>
      </c>
      <c r="AA1686" s="689">
        <f t="shared" si="418"/>
        <v>80748000</v>
      </c>
      <c r="AB1686" s="679"/>
      <c r="AC1686" s="679" t="s">
        <v>58</v>
      </c>
      <c r="AD1686" s="690"/>
      <c r="AE1686" s="703"/>
      <c r="AH1686" s="25"/>
    </row>
    <row r="1687" spans="1:34" ht="90.75" customHeight="1">
      <c r="A1687" s="704"/>
      <c r="B1687" s="17"/>
      <c r="C1687" s="19" t="s">
        <v>2097</v>
      </c>
      <c r="D1687" s="19" t="s">
        <v>2098</v>
      </c>
      <c r="E1687" s="714">
        <v>2600</v>
      </c>
      <c r="F1687" s="676" t="s">
        <v>2099</v>
      </c>
      <c r="G1687" s="661">
        <f>SUM(G1688:G1689)</f>
        <v>104169950</v>
      </c>
      <c r="H1687" s="714">
        <v>1515</v>
      </c>
      <c r="I1687" s="661">
        <f>SUM(I1688:I1689)</f>
        <v>47352500</v>
      </c>
      <c r="J1687" s="724">
        <v>2350</v>
      </c>
      <c r="K1687" s="661">
        <f>SUM(K1688:K1689)</f>
        <v>39165950</v>
      </c>
      <c r="L1687" s="721">
        <v>32</v>
      </c>
      <c r="M1687" s="661">
        <f>SUM(M1688:M1689)</f>
        <v>2274900</v>
      </c>
      <c r="N1687" s="714">
        <v>139</v>
      </c>
      <c r="O1687" s="661">
        <f>SUM(O1688:O1689)</f>
        <v>12570000</v>
      </c>
      <c r="P1687" s="714">
        <v>738</v>
      </c>
      <c r="Q1687" s="661">
        <f>SUM(Q1688:Q1689)</f>
        <v>4670900</v>
      </c>
      <c r="R1687" s="714">
        <v>129</v>
      </c>
      <c r="S1687" s="661">
        <f>SUM(S1688:S1689)</f>
        <v>13879700</v>
      </c>
      <c r="T1687" s="722">
        <f>SUM(L1687,N1687,P1687,R1687)</f>
        <v>1038</v>
      </c>
      <c r="U1687" s="690">
        <f t="shared" si="431"/>
        <v>44.170212765957444</v>
      </c>
      <c r="V1687" s="679" t="s">
        <v>58</v>
      </c>
      <c r="W1687" s="689">
        <f t="shared" si="428"/>
        <v>33395500</v>
      </c>
      <c r="X1687" s="690">
        <f t="shared" si="429"/>
        <v>85.266666581558724</v>
      </c>
      <c r="Y1687" s="679" t="s">
        <v>58</v>
      </c>
      <c r="Z1687" s="722">
        <f t="shared" si="417"/>
        <v>2553</v>
      </c>
      <c r="AA1687" s="689">
        <f t="shared" si="418"/>
        <v>80748000</v>
      </c>
      <c r="AB1687" s="679"/>
      <c r="AC1687" s="679" t="s">
        <v>58</v>
      </c>
      <c r="AD1687" s="690"/>
      <c r="AE1687" s="703"/>
      <c r="AH1687" s="25"/>
    </row>
    <row r="1688" spans="1:34" ht="120">
      <c r="A1688" s="704"/>
      <c r="B1688" s="17"/>
      <c r="C1688" s="29" t="s">
        <v>2100</v>
      </c>
      <c r="D1688" s="29" t="s">
        <v>2101</v>
      </c>
      <c r="E1688" s="740">
        <v>11573</v>
      </c>
      <c r="F1688" s="695" t="s">
        <v>138</v>
      </c>
      <c r="G1688" s="662">
        <v>82960950</v>
      </c>
      <c r="H1688" s="727">
        <v>1515</v>
      </c>
      <c r="I1688" s="668">
        <v>41985000</v>
      </c>
      <c r="J1688" s="741">
        <v>11323</v>
      </c>
      <c r="K1688" s="663">
        <v>29365950</v>
      </c>
      <c r="L1688" s="741">
        <v>32</v>
      </c>
      <c r="M1688" s="663">
        <v>2274900</v>
      </c>
      <c r="N1688" s="504">
        <v>139</v>
      </c>
      <c r="O1688" s="663">
        <v>12570000</v>
      </c>
      <c r="P1688" s="504">
        <v>738</v>
      </c>
      <c r="Q1688" s="663">
        <v>3950900</v>
      </c>
      <c r="R1688" s="504">
        <v>129</v>
      </c>
      <c r="S1688" s="663">
        <v>9299700</v>
      </c>
      <c r="T1688" s="747">
        <f t="shared" si="430"/>
        <v>1038</v>
      </c>
      <c r="U1688" s="702">
        <f t="shared" si="431"/>
        <v>9.1671818422679507</v>
      </c>
      <c r="V1688" s="700" t="s">
        <v>58</v>
      </c>
      <c r="W1688" s="701">
        <f t="shared" si="428"/>
        <v>28095500</v>
      </c>
      <c r="X1688" s="702">
        <f t="shared" si="429"/>
        <v>95.673730970733104</v>
      </c>
      <c r="Y1688" s="700" t="s">
        <v>58</v>
      </c>
      <c r="Z1688" s="747">
        <f t="shared" si="417"/>
        <v>2553</v>
      </c>
      <c r="AA1688" s="701">
        <f t="shared" si="418"/>
        <v>70080500</v>
      </c>
      <c r="AB1688" s="700"/>
      <c r="AC1688" s="700" t="s">
        <v>58</v>
      </c>
      <c r="AD1688" s="702"/>
      <c r="AE1688" s="703"/>
      <c r="AH1688" s="25"/>
    </row>
    <row r="1689" spans="1:34" ht="105">
      <c r="A1689" s="704"/>
      <c r="B1689" s="17"/>
      <c r="C1689" s="29" t="s">
        <v>2102</v>
      </c>
      <c r="D1689" s="29" t="s">
        <v>2103</v>
      </c>
      <c r="E1689" s="513">
        <v>375</v>
      </c>
      <c r="F1689" s="695" t="s">
        <v>1771</v>
      </c>
      <c r="G1689" s="662">
        <v>21209000</v>
      </c>
      <c r="H1689" s="745">
        <v>300</v>
      </c>
      <c r="I1689" s="668">
        <v>5367500</v>
      </c>
      <c r="J1689" s="741">
        <v>350</v>
      </c>
      <c r="K1689" s="663">
        <v>9800000</v>
      </c>
      <c r="L1689" s="741">
        <v>87</v>
      </c>
      <c r="M1689" s="663">
        <v>0</v>
      </c>
      <c r="N1689" s="504">
        <v>87</v>
      </c>
      <c r="O1689" s="663">
        <v>0</v>
      </c>
      <c r="P1689" s="504">
        <v>85</v>
      </c>
      <c r="Q1689" s="663">
        <v>720000</v>
      </c>
      <c r="R1689" s="504">
        <v>91</v>
      </c>
      <c r="S1689" s="663">
        <v>4580000</v>
      </c>
      <c r="T1689" s="699">
        <f t="shared" si="430"/>
        <v>350</v>
      </c>
      <c r="U1689" s="700">
        <f t="shared" si="431"/>
        <v>100</v>
      </c>
      <c r="V1689" s="700" t="s">
        <v>58</v>
      </c>
      <c r="W1689" s="701">
        <f t="shared" si="428"/>
        <v>5300000</v>
      </c>
      <c r="X1689" s="702">
        <f t="shared" si="429"/>
        <v>54.081632653061227</v>
      </c>
      <c r="Y1689" s="700" t="s">
        <v>58</v>
      </c>
      <c r="Z1689" s="699">
        <f t="shared" si="417"/>
        <v>650</v>
      </c>
      <c r="AA1689" s="701">
        <f t="shared" si="418"/>
        <v>10667500</v>
      </c>
      <c r="AB1689" s="700"/>
      <c r="AC1689" s="700" t="s">
        <v>58</v>
      </c>
      <c r="AD1689" s="702"/>
      <c r="AE1689" s="703"/>
      <c r="AH1689" s="25"/>
    </row>
    <row r="1690" spans="1:34" ht="110.25">
      <c r="A1690" s="704"/>
      <c r="B1690" s="17"/>
      <c r="C1690" s="18" t="s">
        <v>2104</v>
      </c>
      <c r="D1690" s="19" t="s">
        <v>2105</v>
      </c>
      <c r="E1690" s="714">
        <v>3</v>
      </c>
      <c r="F1690" s="493" t="s">
        <v>58</v>
      </c>
      <c r="G1690" s="661">
        <f>G1691</f>
        <v>25368000</v>
      </c>
      <c r="H1690" s="714">
        <v>1</v>
      </c>
      <c r="I1690" s="661">
        <f>I1691</f>
        <v>5000000</v>
      </c>
      <c r="J1690" s="724">
        <v>2</v>
      </c>
      <c r="K1690" s="661">
        <f>K1691</f>
        <v>15368000</v>
      </c>
      <c r="L1690" s="724">
        <v>0</v>
      </c>
      <c r="M1690" s="661">
        <f>M1691</f>
        <v>0</v>
      </c>
      <c r="N1690" s="492">
        <v>0</v>
      </c>
      <c r="O1690" s="661">
        <f>O1691</f>
        <v>0</v>
      </c>
      <c r="P1690" s="492">
        <v>0</v>
      </c>
      <c r="Q1690" s="661">
        <f>Q1691</f>
        <v>0</v>
      </c>
      <c r="R1690" s="504">
        <v>0</v>
      </c>
      <c r="S1690" s="661">
        <f>S1691</f>
        <v>9700000</v>
      </c>
      <c r="T1690" s="678">
        <f t="shared" si="430"/>
        <v>0</v>
      </c>
      <c r="U1690" s="679">
        <f t="shared" si="431"/>
        <v>0</v>
      </c>
      <c r="V1690" s="679" t="s">
        <v>58</v>
      </c>
      <c r="W1690" s="689">
        <f t="shared" si="428"/>
        <v>9700000</v>
      </c>
      <c r="X1690" s="690">
        <f t="shared" si="429"/>
        <v>63.118167621030722</v>
      </c>
      <c r="Y1690" s="679" t="s">
        <v>58</v>
      </c>
      <c r="Z1690" s="678">
        <f t="shared" si="417"/>
        <v>1</v>
      </c>
      <c r="AA1690" s="689">
        <f t="shared" si="418"/>
        <v>14700000</v>
      </c>
      <c r="AB1690" s="679"/>
      <c r="AC1690" s="679" t="s">
        <v>58</v>
      </c>
      <c r="AD1690" s="690"/>
      <c r="AE1690" s="703"/>
      <c r="AH1690" s="25"/>
    </row>
    <row r="1691" spans="1:34" ht="115.5" customHeight="1">
      <c r="A1691" s="704"/>
      <c r="B1691" s="17"/>
      <c r="C1691" s="19" t="s">
        <v>2106</v>
      </c>
      <c r="D1691" s="19" t="s">
        <v>2107</v>
      </c>
      <c r="E1691" s="725">
        <v>3</v>
      </c>
      <c r="F1691" s="493" t="s">
        <v>2108</v>
      </c>
      <c r="G1691" s="661">
        <f>SUM(G1692)</f>
        <v>25368000</v>
      </c>
      <c r="H1691" s="736">
        <v>3</v>
      </c>
      <c r="I1691" s="661">
        <f>SUM(I1692)</f>
        <v>5000000</v>
      </c>
      <c r="J1691" s="724">
        <v>13</v>
      </c>
      <c r="K1691" s="661">
        <f>SUM(K1692)</f>
        <v>15368000</v>
      </c>
      <c r="L1691" s="724">
        <v>2.11</v>
      </c>
      <c r="M1691" s="661">
        <f>SUM(M1692)</f>
        <v>0</v>
      </c>
      <c r="N1691" s="492">
        <v>6.35</v>
      </c>
      <c r="O1691" s="661">
        <f>SUM(O1692)</f>
        <v>0</v>
      </c>
      <c r="P1691" s="492">
        <v>10.59</v>
      </c>
      <c r="Q1691" s="661">
        <f>SUM(Q1692)</f>
        <v>0</v>
      </c>
      <c r="R1691" s="492">
        <v>13</v>
      </c>
      <c r="S1691" s="661">
        <f>SUM(S1692)</f>
        <v>9700000</v>
      </c>
      <c r="T1691" s="678">
        <f>R1691</f>
        <v>13</v>
      </c>
      <c r="U1691" s="690">
        <f t="shared" si="431"/>
        <v>100</v>
      </c>
      <c r="V1691" s="679" t="s">
        <v>58</v>
      </c>
      <c r="W1691" s="689">
        <f t="shared" si="428"/>
        <v>9700000</v>
      </c>
      <c r="X1691" s="690">
        <f t="shared" si="429"/>
        <v>63.118167621030722</v>
      </c>
      <c r="Y1691" s="679" t="s">
        <v>58</v>
      </c>
      <c r="Z1691" s="678">
        <f t="shared" si="417"/>
        <v>16</v>
      </c>
      <c r="AA1691" s="689">
        <f t="shared" si="418"/>
        <v>14700000</v>
      </c>
      <c r="AB1691" s="679"/>
      <c r="AC1691" s="679" t="s">
        <v>58</v>
      </c>
      <c r="AD1691" s="690"/>
      <c r="AE1691" s="703"/>
      <c r="AH1691" s="25"/>
    </row>
    <row r="1692" spans="1:34" ht="90">
      <c r="A1692" s="688"/>
      <c r="B1692" s="18"/>
      <c r="C1692" s="29" t="s">
        <v>2109</v>
      </c>
      <c r="D1692" s="29" t="s">
        <v>2110</v>
      </c>
      <c r="E1692" s="740">
        <v>3</v>
      </c>
      <c r="F1692" s="505" t="s">
        <v>965</v>
      </c>
      <c r="G1692" s="662">
        <v>25368000</v>
      </c>
      <c r="H1692" s="745">
        <v>3</v>
      </c>
      <c r="I1692" s="668">
        <v>5000000</v>
      </c>
      <c r="J1692" s="741">
        <v>3</v>
      </c>
      <c r="K1692" s="663">
        <v>15368000</v>
      </c>
      <c r="L1692" s="741">
        <v>1</v>
      </c>
      <c r="M1692" s="663">
        <v>0</v>
      </c>
      <c r="N1692" s="504">
        <v>0</v>
      </c>
      <c r="O1692" s="663">
        <v>0</v>
      </c>
      <c r="P1692" s="504">
        <v>1</v>
      </c>
      <c r="Q1692" s="663">
        <v>0</v>
      </c>
      <c r="R1692" s="504">
        <v>0</v>
      </c>
      <c r="S1692" s="663">
        <v>9700000</v>
      </c>
      <c r="T1692" s="699">
        <f t="shared" si="430"/>
        <v>2</v>
      </c>
      <c r="U1692" s="702">
        <f t="shared" si="431"/>
        <v>66.666666666666657</v>
      </c>
      <c r="V1692" s="700" t="s">
        <v>58</v>
      </c>
      <c r="W1692" s="701">
        <f t="shared" si="428"/>
        <v>9700000</v>
      </c>
      <c r="X1692" s="702">
        <f t="shared" si="429"/>
        <v>63.118167621030722</v>
      </c>
      <c r="Y1692" s="700" t="s">
        <v>58</v>
      </c>
      <c r="Z1692" s="699">
        <f t="shared" si="417"/>
        <v>5</v>
      </c>
      <c r="AA1692" s="701">
        <f t="shared" si="418"/>
        <v>14700000</v>
      </c>
      <c r="AB1692" s="700"/>
      <c r="AC1692" s="700" t="s">
        <v>58</v>
      </c>
      <c r="AD1692" s="702"/>
      <c r="AE1692" s="703"/>
      <c r="AH1692" s="25"/>
    </row>
    <row r="1693" spans="1:34" ht="125.25" customHeight="1">
      <c r="A1693" s="58">
        <v>1</v>
      </c>
      <c r="B1693" s="358" t="s">
        <v>2111</v>
      </c>
      <c r="C1693" s="19" t="s">
        <v>68</v>
      </c>
      <c r="D1693" s="358" t="s">
        <v>143</v>
      </c>
      <c r="E1693" s="45">
        <v>100</v>
      </c>
      <c r="F1693" s="46" t="s">
        <v>58</v>
      </c>
      <c r="G1693" s="42">
        <f>SUM(G1694,G1695,G1699,G1704,G1706,G1711,G1715,G1720,G1722)</f>
        <v>27055945142</v>
      </c>
      <c r="H1693" s="45">
        <v>100</v>
      </c>
      <c r="I1693" s="42"/>
      <c r="J1693" s="45">
        <v>100</v>
      </c>
      <c r="K1693" s="748">
        <f>SUM(K1694,K1695,K1699,K1704,K1706,K1711,K1715,K1720,K1722)</f>
        <v>159949939690</v>
      </c>
      <c r="L1693" s="108">
        <v>100</v>
      </c>
      <c r="M1693" s="748">
        <f>SUM(M1694,M1699,M1704,M1706,M1711,M1715,M1720,M1722)</f>
        <v>3497911266</v>
      </c>
      <c r="N1693" s="108">
        <v>100</v>
      </c>
      <c r="O1693" s="748">
        <f>SUM(O1694,O1699,O1704,O1706,O1711,O1715,O1720,O1722)</f>
        <v>8407552871</v>
      </c>
      <c r="P1693" s="108">
        <v>100</v>
      </c>
      <c r="Q1693" s="748">
        <f>SUM(Q1694,Q1699,Q1704,Q1706,Q1711,Q1715,Q1720,Q1722)</f>
        <v>5723049579</v>
      </c>
      <c r="R1693" s="108">
        <v>100</v>
      </c>
      <c r="S1693" s="748">
        <f>S1694+S1695+S1699+S1704+S1706+S1711+S1715+S1720+S1722</f>
        <v>6276807222</v>
      </c>
      <c r="T1693" s="55">
        <f>SUM(L1693,N1693,P1693,R1693)</f>
        <v>400</v>
      </c>
      <c r="U1693" s="55">
        <f>T1693/J1693*100</f>
        <v>400</v>
      </c>
      <c r="V1693" s="58" t="s">
        <v>58</v>
      </c>
      <c r="W1693" s="59">
        <f>SUM(M1693,O1693,Q1693,S1693)</f>
        <v>23905320938</v>
      </c>
      <c r="X1693" s="57">
        <f>W1693/K1693*100</f>
        <v>14.945501689047871</v>
      </c>
      <c r="Y1693" s="58" t="s">
        <v>58</v>
      </c>
      <c r="Z1693" s="55">
        <f>H1693+T1693</f>
        <v>500</v>
      </c>
      <c r="AA1693" s="59">
        <f>I1693+W1693</f>
        <v>23905320938</v>
      </c>
      <c r="AB1693" s="55">
        <f>Z1693/E1693*100</f>
        <v>500</v>
      </c>
      <c r="AC1693" s="58" t="s">
        <v>58</v>
      </c>
      <c r="AD1693" s="765">
        <f>AA1693/G1693*100</f>
        <v>88.355150088217897</v>
      </c>
      <c r="AE1693" s="19" t="s">
        <v>2112</v>
      </c>
      <c r="AH1693" s="25"/>
    </row>
    <row r="1694" spans="1:34" ht="81" customHeight="1">
      <c r="A1694" s="16"/>
      <c r="B1694" s="766"/>
      <c r="C1694" s="767" t="s">
        <v>172</v>
      </c>
      <c r="D1694" s="418" t="s">
        <v>211</v>
      </c>
      <c r="E1694" s="386">
        <f>E1696</f>
        <v>10</v>
      </c>
      <c r="F1694" s="75" t="s">
        <v>55</v>
      </c>
      <c r="G1694" s="42">
        <v>2948500</v>
      </c>
      <c r="H1694" s="386">
        <f>H1696</f>
        <v>10</v>
      </c>
      <c r="I1694" s="42"/>
      <c r="J1694" s="386">
        <f>J1696</f>
        <v>10</v>
      </c>
      <c r="K1694" s="748">
        <f>K1696+K1697</f>
        <v>5043500</v>
      </c>
      <c r="L1694" s="74">
        <v>10</v>
      </c>
      <c r="M1694" s="748">
        <v>1587500</v>
      </c>
      <c r="N1694" s="108">
        <v>10</v>
      </c>
      <c r="O1694" s="748">
        <f>SUM(O1696:O1697)</f>
        <v>0</v>
      </c>
      <c r="P1694" s="108">
        <v>10</v>
      </c>
      <c r="Q1694" s="748">
        <f>SUM(Q1696:Q1697)</f>
        <v>1507500</v>
      </c>
      <c r="R1694" s="108">
        <v>10</v>
      </c>
      <c r="S1694" s="748">
        <v>1504500</v>
      </c>
      <c r="T1694" s="55">
        <f t="shared" ref="T1694:T1728" si="432">SUM(L1694,N1694,P1694,R1694)</f>
        <v>40</v>
      </c>
      <c r="U1694" s="55">
        <f t="shared" ref="U1694:U1733" si="433">T1694/J1694*100</f>
        <v>400</v>
      </c>
      <c r="V1694" s="58" t="s">
        <v>58</v>
      </c>
      <c r="W1694" s="59">
        <f t="shared" ref="W1694:W1705" si="434">SUM(M1694,O1694,Q1694,S1694)</f>
        <v>4599500</v>
      </c>
      <c r="X1694" s="57">
        <f t="shared" ref="X1694:X1728" si="435">W1694/K1694*100</f>
        <v>91.196589669872111</v>
      </c>
      <c r="Y1694" s="58" t="s">
        <v>58</v>
      </c>
      <c r="Z1694" s="55">
        <f t="shared" ref="Z1694:Z1731" si="436">H1694+T1694</f>
        <v>50</v>
      </c>
      <c r="AA1694" s="59">
        <f t="shared" ref="AA1694:AA1728" si="437">I1694+W1694</f>
        <v>4599500</v>
      </c>
      <c r="AB1694" s="55">
        <f t="shared" ref="AB1694:AB1728" si="438">Z1694/E1694*100</f>
        <v>500</v>
      </c>
      <c r="AC1694" s="58" t="s">
        <v>58</v>
      </c>
      <c r="AD1694" s="765">
        <f t="shared" ref="AD1694:AD1728" si="439">AA1694/G1694*100</f>
        <v>155.99457351195522</v>
      </c>
      <c r="AE1694" s="45"/>
      <c r="AH1694" s="25"/>
    </row>
    <row r="1695" spans="1:34" ht="83.25" customHeight="1">
      <c r="A1695" s="16"/>
      <c r="B1695" s="17"/>
      <c r="C1695" s="768"/>
      <c r="D1695" s="491" t="s">
        <v>212</v>
      </c>
      <c r="E1695" s="386">
        <f>E1697</f>
        <v>5</v>
      </c>
      <c r="F1695" s="75" t="s">
        <v>55</v>
      </c>
      <c r="G1695" s="42">
        <v>2095000</v>
      </c>
      <c r="H1695" s="386">
        <f>H1697</f>
        <v>5</v>
      </c>
      <c r="I1695" s="42"/>
      <c r="J1695" s="386">
        <f>J1697</f>
        <v>5</v>
      </c>
      <c r="K1695" s="748">
        <v>2095000</v>
      </c>
      <c r="L1695" s="74">
        <v>5</v>
      </c>
      <c r="M1695" s="749">
        <v>0</v>
      </c>
      <c r="N1695" s="108">
        <v>5</v>
      </c>
      <c r="O1695" s="748">
        <v>0</v>
      </c>
      <c r="P1695" s="108">
        <v>5</v>
      </c>
      <c r="Q1695" s="748">
        <v>2590000</v>
      </c>
      <c r="R1695" s="108">
        <v>5</v>
      </c>
      <c r="S1695" s="748">
        <v>649700</v>
      </c>
      <c r="T1695" s="55">
        <f t="shared" si="432"/>
        <v>20</v>
      </c>
      <c r="U1695" s="55">
        <f t="shared" si="433"/>
        <v>400</v>
      </c>
      <c r="V1695" s="58" t="s">
        <v>58</v>
      </c>
      <c r="W1695" s="59">
        <f t="shared" si="434"/>
        <v>3239700</v>
      </c>
      <c r="X1695" s="57">
        <f t="shared" si="435"/>
        <v>154.63961813842482</v>
      </c>
      <c r="Y1695" s="58" t="s">
        <v>58</v>
      </c>
      <c r="Z1695" s="55">
        <f t="shared" si="436"/>
        <v>25</v>
      </c>
      <c r="AA1695" s="59">
        <f t="shared" si="437"/>
        <v>3239700</v>
      </c>
      <c r="AB1695" s="55">
        <f t="shared" si="438"/>
        <v>500</v>
      </c>
      <c r="AC1695" s="58" t="s">
        <v>58</v>
      </c>
      <c r="AD1695" s="765">
        <f t="shared" si="439"/>
        <v>154.63961813842482</v>
      </c>
      <c r="AE1695" s="45"/>
      <c r="AH1695" s="25"/>
    </row>
    <row r="1696" spans="1:34" ht="63.75" customHeight="1">
      <c r="A1696" s="16"/>
      <c r="B1696" s="17"/>
      <c r="C1696" s="542" t="s">
        <v>69</v>
      </c>
      <c r="D1696" s="542" t="s">
        <v>211</v>
      </c>
      <c r="E1696" s="118">
        <v>10</v>
      </c>
      <c r="F1696" s="27" t="s">
        <v>55</v>
      </c>
      <c r="G1696" s="23">
        <v>2948500</v>
      </c>
      <c r="H1696" s="118">
        <v>10</v>
      </c>
      <c r="I1696" s="42"/>
      <c r="J1696" s="118">
        <v>10</v>
      </c>
      <c r="K1696" s="749">
        <v>2948500</v>
      </c>
      <c r="L1696" s="43">
        <v>10</v>
      </c>
      <c r="M1696" s="749">
        <v>887500</v>
      </c>
      <c r="N1696" s="44">
        <v>10</v>
      </c>
      <c r="O1696" s="748">
        <v>0</v>
      </c>
      <c r="P1696" s="44">
        <v>10</v>
      </c>
      <c r="Q1696" s="748">
        <v>507500</v>
      </c>
      <c r="R1696" s="108">
        <v>10</v>
      </c>
      <c r="S1696" s="748">
        <v>1504500</v>
      </c>
      <c r="T1696" s="55">
        <f t="shared" si="432"/>
        <v>40</v>
      </c>
      <c r="U1696" s="55">
        <f t="shared" si="433"/>
        <v>400</v>
      </c>
      <c r="V1696" s="58" t="s">
        <v>58</v>
      </c>
      <c r="W1696" s="59">
        <f t="shared" si="434"/>
        <v>2899500</v>
      </c>
      <c r="X1696" s="57">
        <f t="shared" si="435"/>
        <v>98.338138036289635</v>
      </c>
      <c r="Y1696" s="58" t="s">
        <v>58</v>
      </c>
      <c r="Z1696" s="55">
        <f t="shared" si="436"/>
        <v>50</v>
      </c>
      <c r="AA1696" s="59">
        <f t="shared" si="437"/>
        <v>2899500</v>
      </c>
      <c r="AB1696" s="55">
        <f t="shared" si="438"/>
        <v>500</v>
      </c>
      <c r="AC1696" s="58" t="s">
        <v>58</v>
      </c>
      <c r="AD1696" s="765">
        <f t="shared" si="439"/>
        <v>98.338138036289635</v>
      </c>
      <c r="AE1696" s="45"/>
      <c r="AH1696" s="25"/>
    </row>
    <row r="1697" spans="1:34" ht="53.25" customHeight="1">
      <c r="A1697" s="16"/>
      <c r="B1697" s="17"/>
      <c r="C1697" s="503" t="s">
        <v>70</v>
      </c>
      <c r="D1697" s="503" t="s">
        <v>212</v>
      </c>
      <c r="E1697" s="118">
        <v>5</v>
      </c>
      <c r="F1697" s="27" t="s">
        <v>55</v>
      </c>
      <c r="G1697" s="23">
        <v>2095000</v>
      </c>
      <c r="H1697" s="118">
        <v>5</v>
      </c>
      <c r="I1697" s="42"/>
      <c r="J1697" s="118">
        <v>5</v>
      </c>
      <c r="K1697" s="749">
        <v>2095000</v>
      </c>
      <c r="L1697" s="43">
        <v>1</v>
      </c>
      <c r="M1697" s="749">
        <v>195000</v>
      </c>
      <c r="N1697" s="44">
        <v>0</v>
      </c>
      <c r="O1697" s="748">
        <v>0</v>
      </c>
      <c r="P1697" s="44">
        <v>2</v>
      </c>
      <c r="Q1697" s="748">
        <v>1000000</v>
      </c>
      <c r="R1697" s="108">
        <v>2</v>
      </c>
      <c r="S1697" s="748">
        <v>649700</v>
      </c>
      <c r="T1697" s="55">
        <f t="shared" si="432"/>
        <v>5</v>
      </c>
      <c r="U1697" s="55">
        <f t="shared" si="433"/>
        <v>100</v>
      </c>
      <c r="V1697" s="58" t="s">
        <v>58</v>
      </c>
      <c r="W1697" s="59">
        <f t="shared" si="434"/>
        <v>1844700</v>
      </c>
      <c r="X1697" s="57">
        <f t="shared" si="435"/>
        <v>88.05250596658712</v>
      </c>
      <c r="Y1697" s="58" t="s">
        <v>58</v>
      </c>
      <c r="Z1697" s="55">
        <f t="shared" si="436"/>
        <v>10</v>
      </c>
      <c r="AA1697" s="59">
        <f t="shared" si="437"/>
        <v>1844700</v>
      </c>
      <c r="AB1697" s="55">
        <f t="shared" si="438"/>
        <v>200</v>
      </c>
      <c r="AC1697" s="58" t="s">
        <v>58</v>
      </c>
      <c r="AD1697" s="765">
        <f t="shared" si="439"/>
        <v>88.05250596658712</v>
      </c>
      <c r="AE1697" s="45"/>
      <c r="AH1697" s="25"/>
    </row>
    <row r="1698" spans="1:34" ht="84.75" customHeight="1">
      <c r="A1698" s="16"/>
      <c r="B1698" s="17"/>
      <c r="C1698" s="503" t="s">
        <v>2113</v>
      </c>
      <c r="D1698" s="503" t="s">
        <v>2114</v>
      </c>
      <c r="E1698" s="20">
        <v>15</v>
      </c>
      <c r="F1698" s="21" t="s">
        <v>55</v>
      </c>
      <c r="G1698" s="23"/>
      <c r="H1698" s="20">
        <v>15</v>
      </c>
      <c r="I1698" s="23">
        <v>2250000</v>
      </c>
      <c r="J1698" s="118"/>
      <c r="K1698" s="749"/>
      <c r="L1698" s="74"/>
      <c r="M1698" s="749"/>
      <c r="N1698" s="108"/>
      <c r="O1698" s="748"/>
      <c r="P1698" s="108"/>
      <c r="Q1698" s="748"/>
      <c r="R1698" s="108"/>
      <c r="S1698" s="748"/>
      <c r="T1698" s="55"/>
      <c r="U1698" s="55"/>
      <c r="V1698" s="58"/>
      <c r="W1698" s="59"/>
      <c r="X1698" s="57"/>
      <c r="Y1698" s="58"/>
      <c r="Z1698" s="55"/>
      <c r="AA1698" s="59"/>
      <c r="AB1698" s="55"/>
      <c r="AC1698" s="58"/>
      <c r="AD1698" s="765"/>
      <c r="AE1698" s="45"/>
      <c r="AH1698" s="25"/>
    </row>
    <row r="1699" spans="1:34" ht="78" customHeight="1">
      <c r="A1699" s="16"/>
      <c r="B1699" s="769"/>
      <c r="C1699" s="491" t="s">
        <v>71</v>
      </c>
      <c r="D1699" s="491" t="s">
        <v>2115</v>
      </c>
      <c r="E1699" s="386">
        <v>14</v>
      </c>
      <c r="F1699" s="75" t="s">
        <v>55</v>
      </c>
      <c r="G1699" s="42">
        <f>SUM(G1700:G1703)</f>
        <v>14047695575</v>
      </c>
      <c r="H1699" s="386">
        <v>14</v>
      </c>
      <c r="I1699" s="42">
        <f>SUM(I1700:I1703)</f>
        <v>11656314000</v>
      </c>
      <c r="J1699" s="386">
        <v>14</v>
      </c>
      <c r="K1699" s="748">
        <f>SUM(K1700:K1703)</f>
        <v>148362543560</v>
      </c>
      <c r="L1699" s="74">
        <v>14</v>
      </c>
      <c r="M1699" s="748">
        <f>SUM(M1700:M1703)</f>
        <v>2229331205</v>
      </c>
      <c r="N1699" s="108">
        <v>14</v>
      </c>
      <c r="O1699" s="748">
        <f>SUM(O1700:O1703)</f>
        <v>6274891252</v>
      </c>
      <c r="P1699" s="108">
        <v>14</v>
      </c>
      <c r="Q1699" s="748">
        <f>SUM(Q1700:Q1703)</f>
        <v>3613989987</v>
      </c>
      <c r="R1699" s="108">
        <v>14</v>
      </c>
      <c r="S1699" s="748">
        <f>S1700+S1701+S1702+S1703</f>
        <v>3072657802</v>
      </c>
      <c r="T1699" s="55">
        <f t="shared" si="432"/>
        <v>56</v>
      </c>
      <c r="U1699" s="55">
        <f t="shared" si="433"/>
        <v>400</v>
      </c>
      <c r="V1699" s="58" t="s">
        <v>58</v>
      </c>
      <c r="W1699" s="59">
        <f t="shared" si="434"/>
        <v>15190870246</v>
      </c>
      <c r="X1699" s="57">
        <f t="shared" si="435"/>
        <v>10.239019823663638</v>
      </c>
      <c r="Y1699" s="58" t="s">
        <v>58</v>
      </c>
      <c r="Z1699" s="55">
        <f t="shared" si="436"/>
        <v>70</v>
      </c>
      <c r="AA1699" s="59">
        <f t="shared" si="437"/>
        <v>26847184246</v>
      </c>
      <c r="AB1699" s="55">
        <f t="shared" si="438"/>
        <v>500</v>
      </c>
      <c r="AC1699" s="58" t="s">
        <v>58</v>
      </c>
      <c r="AD1699" s="765">
        <f t="shared" si="439"/>
        <v>191.11450773305927</v>
      </c>
      <c r="AE1699" s="45"/>
      <c r="AH1699" s="25"/>
    </row>
    <row r="1700" spans="1:34" ht="53.25" customHeight="1">
      <c r="A1700" s="16"/>
      <c r="B1700" s="17"/>
      <c r="C1700" s="503" t="s">
        <v>1173</v>
      </c>
      <c r="D1700" s="503" t="s">
        <v>213</v>
      </c>
      <c r="E1700" s="118">
        <v>112</v>
      </c>
      <c r="F1700" s="27" t="s">
        <v>57</v>
      </c>
      <c r="G1700" s="23">
        <v>14042587875</v>
      </c>
      <c r="H1700" s="118">
        <v>103</v>
      </c>
      <c r="I1700" s="23">
        <v>11648571000</v>
      </c>
      <c r="J1700" s="118">
        <v>112</v>
      </c>
      <c r="K1700" s="749">
        <v>148357435560</v>
      </c>
      <c r="L1700" s="43">
        <v>112</v>
      </c>
      <c r="M1700" s="749">
        <v>2228858205</v>
      </c>
      <c r="N1700" s="44">
        <v>112</v>
      </c>
      <c r="O1700" s="749">
        <v>6274891252</v>
      </c>
      <c r="P1700" s="44">
        <v>112</v>
      </c>
      <c r="Q1700" s="749">
        <v>3613089987</v>
      </c>
      <c r="R1700" s="108">
        <v>112</v>
      </c>
      <c r="S1700" s="748">
        <v>3069196802</v>
      </c>
      <c r="T1700" s="55">
        <f>AVERAGE(L1700,N1700,P1700,R1700)</f>
        <v>112</v>
      </c>
      <c r="U1700" s="55">
        <f t="shared" si="433"/>
        <v>100</v>
      </c>
      <c r="V1700" s="58" t="s">
        <v>58</v>
      </c>
      <c r="W1700" s="59">
        <f t="shared" si="434"/>
        <v>15186036246</v>
      </c>
      <c r="X1700" s="57">
        <f t="shared" si="435"/>
        <v>10.236114009842352</v>
      </c>
      <c r="Y1700" s="58" t="s">
        <v>58</v>
      </c>
      <c r="Z1700" s="55">
        <f t="shared" si="436"/>
        <v>215</v>
      </c>
      <c r="AA1700" s="59">
        <f t="shared" si="437"/>
        <v>26834607246</v>
      </c>
      <c r="AB1700" s="55">
        <f t="shared" si="438"/>
        <v>191.96428571428572</v>
      </c>
      <c r="AC1700" s="58" t="s">
        <v>58</v>
      </c>
      <c r="AD1700" s="765">
        <f t="shared" si="439"/>
        <v>191.09445840658483</v>
      </c>
      <c r="AE1700" s="45"/>
      <c r="AH1700" s="25"/>
    </row>
    <row r="1701" spans="1:34" ht="114" customHeight="1">
      <c r="A1701" s="16"/>
      <c r="B1701" s="17"/>
      <c r="C1701" s="503" t="s">
        <v>73</v>
      </c>
      <c r="D1701" s="503" t="s">
        <v>2116</v>
      </c>
      <c r="E1701" s="118">
        <v>1</v>
      </c>
      <c r="F1701" s="27" t="s">
        <v>55</v>
      </c>
      <c r="G1701" s="23">
        <v>1575000</v>
      </c>
      <c r="H1701" s="118">
        <v>1</v>
      </c>
      <c r="I1701" s="23">
        <v>1950000</v>
      </c>
      <c r="J1701" s="118">
        <v>1</v>
      </c>
      <c r="K1701" s="749">
        <v>1575000</v>
      </c>
      <c r="L1701" s="43">
        <v>1</v>
      </c>
      <c r="M1701" s="749">
        <v>0</v>
      </c>
      <c r="N1701" s="108">
        <v>1</v>
      </c>
      <c r="O1701" s="748">
        <v>0</v>
      </c>
      <c r="P1701" s="108">
        <v>1</v>
      </c>
      <c r="Q1701" s="749">
        <v>375000</v>
      </c>
      <c r="R1701" s="108">
        <v>1</v>
      </c>
      <c r="S1701" s="748">
        <v>1200000</v>
      </c>
      <c r="T1701" s="55">
        <f t="shared" si="432"/>
        <v>4</v>
      </c>
      <c r="U1701" s="55">
        <f t="shared" si="433"/>
        <v>400</v>
      </c>
      <c r="V1701" s="58" t="s">
        <v>58</v>
      </c>
      <c r="W1701" s="59">
        <f t="shared" si="434"/>
        <v>1575000</v>
      </c>
      <c r="X1701" s="57">
        <f t="shared" si="435"/>
        <v>100</v>
      </c>
      <c r="Y1701" s="58" t="s">
        <v>58</v>
      </c>
      <c r="Z1701" s="55">
        <f t="shared" si="436"/>
        <v>5</v>
      </c>
      <c r="AA1701" s="59">
        <f t="shared" si="437"/>
        <v>3525000</v>
      </c>
      <c r="AB1701" s="55">
        <f t="shared" si="438"/>
        <v>500</v>
      </c>
      <c r="AC1701" s="58" t="s">
        <v>58</v>
      </c>
      <c r="AD1701" s="765">
        <f t="shared" si="439"/>
        <v>223.80952380952382</v>
      </c>
      <c r="AE1701" s="45"/>
      <c r="AH1701" s="25"/>
    </row>
    <row r="1702" spans="1:34" ht="112.5" customHeight="1">
      <c r="A1702" s="16"/>
      <c r="B1702" s="17"/>
      <c r="C1702" s="503" t="s">
        <v>2117</v>
      </c>
      <c r="D1702" s="503" t="s">
        <v>215</v>
      </c>
      <c r="E1702" s="118">
        <v>12</v>
      </c>
      <c r="F1702" s="27" t="s">
        <v>173</v>
      </c>
      <c r="G1702" s="23">
        <v>2138950</v>
      </c>
      <c r="H1702" s="118">
        <v>12</v>
      </c>
      <c r="I1702" s="23">
        <v>5793000</v>
      </c>
      <c r="J1702" s="118">
        <v>12</v>
      </c>
      <c r="K1702" s="749">
        <v>2139250</v>
      </c>
      <c r="L1702" s="43">
        <v>3</v>
      </c>
      <c r="M1702" s="749">
        <v>473000</v>
      </c>
      <c r="N1702" s="108">
        <v>0</v>
      </c>
      <c r="O1702" s="748">
        <v>0</v>
      </c>
      <c r="P1702" s="108">
        <v>0</v>
      </c>
      <c r="Q1702" s="749">
        <v>0</v>
      </c>
      <c r="R1702" s="108">
        <v>9</v>
      </c>
      <c r="S1702" s="748">
        <v>1665000</v>
      </c>
      <c r="T1702" s="55">
        <f t="shared" si="432"/>
        <v>12</v>
      </c>
      <c r="U1702" s="55">
        <f t="shared" si="433"/>
        <v>100</v>
      </c>
      <c r="V1702" s="58" t="s">
        <v>58</v>
      </c>
      <c r="W1702" s="59">
        <f t="shared" si="434"/>
        <v>2138000</v>
      </c>
      <c r="X1702" s="57">
        <f t="shared" si="435"/>
        <v>99.941568306649529</v>
      </c>
      <c r="Y1702" s="58" t="s">
        <v>58</v>
      </c>
      <c r="Z1702" s="55">
        <f t="shared" si="436"/>
        <v>24</v>
      </c>
      <c r="AA1702" s="59">
        <f t="shared" si="437"/>
        <v>7931000</v>
      </c>
      <c r="AB1702" s="55">
        <f t="shared" si="438"/>
        <v>200</v>
      </c>
      <c r="AC1702" s="58" t="s">
        <v>58</v>
      </c>
      <c r="AD1702" s="765">
        <f t="shared" si="439"/>
        <v>370.78940601697093</v>
      </c>
      <c r="AE1702" s="45"/>
      <c r="AH1702" s="25"/>
    </row>
    <row r="1703" spans="1:34" ht="73.5" customHeight="1">
      <c r="A1703" s="16"/>
      <c r="B1703" s="17"/>
      <c r="C1703" s="503" t="s">
        <v>75</v>
      </c>
      <c r="D1703" s="503" t="s">
        <v>216</v>
      </c>
      <c r="E1703" s="118">
        <v>3</v>
      </c>
      <c r="F1703" s="27" t="s">
        <v>55</v>
      </c>
      <c r="G1703" s="23">
        <v>1393750</v>
      </c>
      <c r="H1703" s="118">
        <v>1</v>
      </c>
      <c r="I1703" s="42"/>
      <c r="J1703" s="118">
        <v>1</v>
      </c>
      <c r="K1703" s="749">
        <v>1393750</v>
      </c>
      <c r="L1703" s="43">
        <v>0</v>
      </c>
      <c r="M1703" s="749">
        <v>0</v>
      </c>
      <c r="N1703" s="108">
        <v>0</v>
      </c>
      <c r="O1703" s="748">
        <v>0</v>
      </c>
      <c r="P1703" s="108">
        <v>0.5</v>
      </c>
      <c r="Q1703" s="749">
        <v>525000</v>
      </c>
      <c r="R1703" s="108">
        <v>1</v>
      </c>
      <c r="S1703" s="748">
        <v>596000</v>
      </c>
      <c r="T1703" s="55">
        <f t="shared" si="432"/>
        <v>1.5</v>
      </c>
      <c r="U1703" s="55">
        <f t="shared" si="433"/>
        <v>150</v>
      </c>
      <c r="V1703" s="58" t="s">
        <v>58</v>
      </c>
      <c r="W1703" s="59">
        <f t="shared" si="434"/>
        <v>1121000</v>
      </c>
      <c r="X1703" s="57">
        <f t="shared" si="435"/>
        <v>80.430493273542609</v>
      </c>
      <c r="Y1703" s="58" t="s">
        <v>58</v>
      </c>
      <c r="Z1703" s="55">
        <f t="shared" si="436"/>
        <v>2.5</v>
      </c>
      <c r="AA1703" s="59">
        <f t="shared" si="437"/>
        <v>1121000</v>
      </c>
      <c r="AB1703" s="55">
        <f t="shared" si="438"/>
        <v>83.333333333333343</v>
      </c>
      <c r="AC1703" s="58" t="s">
        <v>58</v>
      </c>
      <c r="AD1703" s="765">
        <f t="shared" si="439"/>
        <v>80.430493273542609</v>
      </c>
      <c r="AE1703" s="45"/>
      <c r="AH1703" s="25"/>
    </row>
    <row r="1704" spans="1:34" ht="69" customHeight="1">
      <c r="A1704" s="16"/>
      <c r="B1704" s="17"/>
      <c r="C1704" s="491" t="s">
        <v>1595</v>
      </c>
      <c r="D1704" s="491" t="s">
        <v>2118</v>
      </c>
      <c r="E1704" s="386">
        <v>12</v>
      </c>
      <c r="F1704" s="75" t="s">
        <v>2119</v>
      </c>
      <c r="G1704" s="748">
        <f>SUM(G1705)</f>
        <v>170167380</v>
      </c>
      <c r="H1704" s="386">
        <v>12</v>
      </c>
      <c r="I1704" s="748">
        <f>SUM(I1705)</f>
        <v>224250000</v>
      </c>
      <c r="J1704" s="386">
        <v>12</v>
      </c>
      <c r="K1704" s="748">
        <f>SUM(K1705)</f>
        <v>361737300</v>
      </c>
      <c r="L1704" s="74">
        <v>12</v>
      </c>
      <c r="M1704" s="748">
        <f>SUM(M1705)</f>
        <v>0</v>
      </c>
      <c r="N1704" s="108">
        <v>12</v>
      </c>
      <c r="O1704" s="748">
        <f>SUM(O1705)</f>
        <v>38650000</v>
      </c>
      <c r="P1704" s="108">
        <v>12</v>
      </c>
      <c r="Q1704" s="748">
        <f>SUM(Q1705)</f>
        <v>29090000</v>
      </c>
      <c r="R1704" s="108">
        <v>12</v>
      </c>
      <c r="S1704" s="748">
        <v>181800000</v>
      </c>
      <c r="T1704" s="55">
        <f t="shared" si="432"/>
        <v>48</v>
      </c>
      <c r="U1704" s="55">
        <f t="shared" si="433"/>
        <v>400</v>
      </c>
      <c r="V1704" s="58" t="s">
        <v>58</v>
      </c>
      <c r="W1704" s="59">
        <f t="shared" si="434"/>
        <v>249540000</v>
      </c>
      <c r="X1704" s="57">
        <f t="shared" si="435"/>
        <v>68.983762526009897</v>
      </c>
      <c r="Y1704" s="58" t="s">
        <v>58</v>
      </c>
      <c r="Z1704" s="55">
        <f t="shared" si="436"/>
        <v>60</v>
      </c>
      <c r="AA1704" s="59">
        <f t="shared" si="437"/>
        <v>473790000</v>
      </c>
      <c r="AB1704" s="55">
        <f t="shared" si="438"/>
        <v>500</v>
      </c>
      <c r="AC1704" s="58" t="s">
        <v>58</v>
      </c>
      <c r="AD1704" s="765">
        <f t="shared" si="439"/>
        <v>278.42586516875326</v>
      </c>
      <c r="AE1704" s="45"/>
      <c r="AH1704" s="25"/>
    </row>
    <row r="1705" spans="1:34" ht="78.75" customHeight="1">
      <c r="A1705" s="16"/>
      <c r="B1705" s="17"/>
      <c r="C1705" s="503" t="s">
        <v>1680</v>
      </c>
      <c r="D1705" s="503" t="s">
        <v>1598</v>
      </c>
      <c r="E1705" s="118">
        <v>12</v>
      </c>
      <c r="F1705" s="27" t="s">
        <v>59</v>
      </c>
      <c r="G1705" s="23">
        <v>170167380</v>
      </c>
      <c r="H1705" s="118">
        <v>316</v>
      </c>
      <c r="I1705" s="23">
        <v>224250000</v>
      </c>
      <c r="J1705" s="118">
        <v>12</v>
      </c>
      <c r="K1705" s="749">
        <v>361737300</v>
      </c>
      <c r="L1705" s="43">
        <v>0</v>
      </c>
      <c r="M1705" s="749">
        <v>0</v>
      </c>
      <c r="N1705" s="44">
        <v>2</v>
      </c>
      <c r="O1705" s="749">
        <v>38650000</v>
      </c>
      <c r="P1705" s="44">
        <v>2</v>
      </c>
      <c r="Q1705" s="749">
        <v>29090000</v>
      </c>
      <c r="R1705" s="108"/>
      <c r="S1705" s="749">
        <v>181800000</v>
      </c>
      <c r="T1705" s="55">
        <f t="shared" si="432"/>
        <v>4</v>
      </c>
      <c r="U1705" s="55">
        <f t="shared" si="433"/>
        <v>33.333333333333329</v>
      </c>
      <c r="V1705" s="58" t="s">
        <v>58</v>
      </c>
      <c r="W1705" s="59">
        <f t="shared" si="434"/>
        <v>249540000</v>
      </c>
      <c r="X1705" s="57">
        <f t="shared" si="435"/>
        <v>68.983762526009897</v>
      </c>
      <c r="Y1705" s="58" t="s">
        <v>58</v>
      </c>
      <c r="Z1705" s="55">
        <f t="shared" si="436"/>
        <v>320</v>
      </c>
      <c r="AA1705" s="59">
        <f t="shared" si="437"/>
        <v>473790000</v>
      </c>
      <c r="AB1705" s="55">
        <f t="shared" si="438"/>
        <v>2666.666666666667</v>
      </c>
      <c r="AC1705" s="58" t="s">
        <v>58</v>
      </c>
      <c r="AD1705" s="765">
        <f t="shared" si="439"/>
        <v>278.42586516875326</v>
      </c>
      <c r="AE1705" s="45"/>
      <c r="AH1705" s="25"/>
    </row>
    <row r="1706" spans="1:34" ht="72" customHeight="1">
      <c r="A1706" s="16"/>
      <c r="B1706" s="17"/>
      <c r="C1706" s="491" t="s">
        <v>76</v>
      </c>
      <c r="D1706" s="491" t="s">
        <v>1175</v>
      </c>
      <c r="E1706" s="74">
        <v>12</v>
      </c>
      <c r="F1706" s="75" t="s">
        <v>2119</v>
      </c>
      <c r="G1706" s="42">
        <f>SUM(G1707:G1710)</f>
        <v>4784970515</v>
      </c>
      <c r="H1706" s="74">
        <v>12</v>
      </c>
      <c r="I1706" s="42">
        <f>SUM(I1707:I1710)</f>
        <v>4392555474</v>
      </c>
      <c r="J1706" s="74">
        <v>12</v>
      </c>
      <c r="K1706" s="748">
        <f>SUM(K1707:K1710)</f>
        <v>4909662750</v>
      </c>
      <c r="L1706" s="74">
        <v>12</v>
      </c>
      <c r="M1706" s="748">
        <f>SUM(M1707:M1710)</f>
        <v>571942407</v>
      </c>
      <c r="N1706" s="108">
        <v>12</v>
      </c>
      <c r="O1706" s="748">
        <f>SUM(O1707:O1710)</f>
        <v>835967675</v>
      </c>
      <c r="P1706" s="108">
        <v>12</v>
      </c>
      <c r="Q1706" s="748">
        <f>SUM(Q1707:Q1710)</f>
        <v>963064787</v>
      </c>
      <c r="R1706" s="108">
        <v>12</v>
      </c>
      <c r="S1706" s="748">
        <f>S1707+S1708+S1709+S1710</f>
        <v>1953433091</v>
      </c>
      <c r="T1706" s="55">
        <f t="shared" si="432"/>
        <v>48</v>
      </c>
      <c r="U1706" s="55">
        <f t="shared" si="433"/>
        <v>400</v>
      </c>
      <c r="V1706" s="58" t="s">
        <v>58</v>
      </c>
      <c r="W1706" s="59">
        <f>SUM(M1706,O1706,Q1706,S1706)</f>
        <v>4324407960</v>
      </c>
      <c r="X1706" s="57">
        <f t="shared" si="435"/>
        <v>88.079531735657397</v>
      </c>
      <c r="Y1706" s="58" t="s">
        <v>58</v>
      </c>
      <c r="Z1706" s="55">
        <f t="shared" si="436"/>
        <v>60</v>
      </c>
      <c r="AA1706" s="59">
        <f t="shared" si="437"/>
        <v>8716963434</v>
      </c>
      <c r="AB1706" s="55">
        <f t="shared" si="438"/>
        <v>500</v>
      </c>
      <c r="AC1706" s="58" t="s">
        <v>58</v>
      </c>
      <c r="AD1706" s="765">
        <f t="shared" si="439"/>
        <v>182.17381709404324</v>
      </c>
      <c r="AE1706" s="20"/>
      <c r="AH1706" s="25"/>
    </row>
    <row r="1707" spans="1:34" ht="72.75" customHeight="1">
      <c r="A1707" s="16"/>
      <c r="B1707" s="17"/>
      <c r="C1707" s="503" t="s">
        <v>285</v>
      </c>
      <c r="D1707" s="503" t="s">
        <v>217</v>
      </c>
      <c r="E1707" s="44">
        <v>12</v>
      </c>
      <c r="F1707" s="21" t="s">
        <v>59</v>
      </c>
      <c r="G1707" s="23">
        <v>788641915</v>
      </c>
      <c r="H1707" s="118">
        <v>12</v>
      </c>
      <c r="I1707" s="23">
        <f>1309592014+280313914</f>
        <v>1589905928</v>
      </c>
      <c r="J1707" s="44">
        <v>12</v>
      </c>
      <c r="K1707" s="749">
        <v>1186061150</v>
      </c>
      <c r="L1707" s="104">
        <v>3</v>
      </c>
      <c r="M1707" s="749">
        <v>16879500</v>
      </c>
      <c r="N1707" s="44">
        <v>3</v>
      </c>
      <c r="O1707" s="749">
        <v>177767200</v>
      </c>
      <c r="P1707" s="44">
        <v>3</v>
      </c>
      <c r="Q1707" s="749">
        <v>64920700</v>
      </c>
      <c r="R1707" s="44">
        <v>3</v>
      </c>
      <c r="S1707" s="749">
        <v>816418300</v>
      </c>
      <c r="T1707" s="55">
        <f t="shared" si="432"/>
        <v>12</v>
      </c>
      <c r="U1707" s="55">
        <f t="shared" si="433"/>
        <v>100</v>
      </c>
      <c r="V1707" s="58" t="s">
        <v>58</v>
      </c>
      <c r="W1707" s="59">
        <f t="shared" ref="W1707:W1728" si="440">SUM(M1707,O1707,Q1707,S1707)</f>
        <v>1075985700</v>
      </c>
      <c r="X1707" s="57">
        <f t="shared" si="435"/>
        <v>90.719243270045553</v>
      </c>
      <c r="Y1707" s="58" t="s">
        <v>58</v>
      </c>
      <c r="Z1707" s="55">
        <f t="shared" si="436"/>
        <v>24</v>
      </c>
      <c r="AA1707" s="59">
        <f t="shared" si="437"/>
        <v>2665891628</v>
      </c>
      <c r="AB1707" s="55">
        <f t="shared" si="438"/>
        <v>200</v>
      </c>
      <c r="AC1707" s="58" t="s">
        <v>58</v>
      </c>
      <c r="AD1707" s="765">
        <f t="shared" si="439"/>
        <v>338.03575200539524</v>
      </c>
      <c r="AE1707" s="20"/>
      <c r="AH1707" s="25"/>
    </row>
    <row r="1708" spans="1:34" ht="52.5" customHeight="1">
      <c r="A1708" s="16"/>
      <c r="B1708" s="17"/>
      <c r="C1708" s="503" t="s">
        <v>287</v>
      </c>
      <c r="D1708" s="503" t="s">
        <v>218</v>
      </c>
      <c r="E1708" s="44">
        <v>12</v>
      </c>
      <c r="F1708" s="21" t="s">
        <v>59</v>
      </c>
      <c r="G1708" s="23">
        <v>1120160000</v>
      </c>
      <c r="H1708" s="118">
        <v>12</v>
      </c>
      <c r="I1708" s="23">
        <f>977690000+20000000</f>
        <v>997690000</v>
      </c>
      <c r="J1708" s="20">
        <v>12</v>
      </c>
      <c r="K1708" s="749">
        <v>1082610000</v>
      </c>
      <c r="L1708" s="104">
        <v>2</v>
      </c>
      <c r="M1708" s="749">
        <v>76630000</v>
      </c>
      <c r="N1708" s="44">
        <v>3</v>
      </c>
      <c r="O1708" s="749">
        <v>176657500</v>
      </c>
      <c r="P1708" s="44">
        <v>4</v>
      </c>
      <c r="Q1708" s="749">
        <v>266057500</v>
      </c>
      <c r="R1708" s="44">
        <v>3</v>
      </c>
      <c r="S1708" s="749">
        <v>452645500</v>
      </c>
      <c r="T1708" s="55">
        <f t="shared" si="432"/>
        <v>12</v>
      </c>
      <c r="U1708" s="55">
        <f t="shared" si="433"/>
        <v>100</v>
      </c>
      <c r="V1708" s="58" t="s">
        <v>58</v>
      </c>
      <c r="W1708" s="59">
        <f t="shared" si="440"/>
        <v>971990500</v>
      </c>
      <c r="X1708" s="57">
        <f t="shared" si="435"/>
        <v>89.782146848819053</v>
      </c>
      <c r="Y1708" s="58" t="s">
        <v>58</v>
      </c>
      <c r="Z1708" s="55">
        <f t="shared" si="436"/>
        <v>24</v>
      </c>
      <c r="AA1708" s="59">
        <f t="shared" si="437"/>
        <v>1969680500</v>
      </c>
      <c r="AB1708" s="55">
        <f t="shared" si="438"/>
        <v>200</v>
      </c>
      <c r="AC1708" s="58" t="s">
        <v>58</v>
      </c>
      <c r="AD1708" s="765">
        <f t="shared" si="439"/>
        <v>175.83921046993288</v>
      </c>
      <c r="AE1708" s="770"/>
      <c r="AH1708" s="25"/>
    </row>
    <row r="1709" spans="1:34" ht="67.5" customHeight="1">
      <c r="A1709" s="16"/>
      <c r="B1709" s="17"/>
      <c r="C1709" s="503" t="s">
        <v>286</v>
      </c>
      <c r="D1709" s="503" t="s">
        <v>219</v>
      </c>
      <c r="E1709" s="43">
        <v>12</v>
      </c>
      <c r="F1709" s="21" t="s">
        <v>59</v>
      </c>
      <c r="G1709" s="23">
        <v>26168600</v>
      </c>
      <c r="H1709" s="118">
        <v>12</v>
      </c>
      <c r="I1709" s="23">
        <v>60337500</v>
      </c>
      <c r="J1709" s="43">
        <v>12</v>
      </c>
      <c r="K1709" s="749">
        <v>81991600</v>
      </c>
      <c r="L1709" s="87">
        <v>3</v>
      </c>
      <c r="M1709" s="749">
        <v>3760000</v>
      </c>
      <c r="N1709" s="44">
        <v>0</v>
      </c>
      <c r="O1709" s="749">
        <v>0</v>
      </c>
      <c r="P1709" s="44">
        <v>2</v>
      </c>
      <c r="Q1709" s="749">
        <v>2093000</v>
      </c>
      <c r="R1709" s="44">
        <v>5</v>
      </c>
      <c r="S1709" s="749">
        <v>37237500</v>
      </c>
      <c r="T1709" s="55">
        <f t="shared" si="432"/>
        <v>10</v>
      </c>
      <c r="U1709" s="55">
        <f t="shared" si="433"/>
        <v>83.333333333333343</v>
      </c>
      <c r="V1709" s="58" t="s">
        <v>58</v>
      </c>
      <c r="W1709" s="59">
        <f t="shared" si="440"/>
        <v>43090500</v>
      </c>
      <c r="X1709" s="57">
        <f t="shared" si="435"/>
        <v>52.554773903668185</v>
      </c>
      <c r="Y1709" s="58" t="s">
        <v>58</v>
      </c>
      <c r="Z1709" s="55">
        <f t="shared" si="436"/>
        <v>22</v>
      </c>
      <c r="AA1709" s="59">
        <f t="shared" si="437"/>
        <v>103428000</v>
      </c>
      <c r="AB1709" s="55">
        <f t="shared" si="438"/>
        <v>183.33333333333331</v>
      </c>
      <c r="AC1709" s="58" t="s">
        <v>58</v>
      </c>
      <c r="AD1709" s="765">
        <f t="shared" si="439"/>
        <v>395.23703981107133</v>
      </c>
      <c r="AE1709" s="770"/>
      <c r="AH1709" s="25"/>
    </row>
    <row r="1710" spans="1:34" ht="68.25" customHeight="1">
      <c r="A1710" s="16"/>
      <c r="B1710" s="17"/>
      <c r="C1710" s="503" t="s">
        <v>77</v>
      </c>
      <c r="D1710" s="503" t="s">
        <v>220</v>
      </c>
      <c r="E1710" s="43">
        <v>12</v>
      </c>
      <c r="F1710" s="21" t="s">
        <v>173</v>
      </c>
      <c r="G1710" s="23">
        <v>2850000000</v>
      </c>
      <c r="H1710" s="118">
        <v>12</v>
      </c>
      <c r="I1710" s="23">
        <v>1744622046</v>
      </c>
      <c r="J1710" s="43">
        <v>12</v>
      </c>
      <c r="K1710" s="749">
        <v>2559000000</v>
      </c>
      <c r="L1710" s="87">
        <v>3</v>
      </c>
      <c r="M1710" s="749">
        <v>474672907</v>
      </c>
      <c r="N1710" s="44">
        <v>3</v>
      </c>
      <c r="O1710" s="749">
        <v>481542975</v>
      </c>
      <c r="P1710" s="44">
        <v>3</v>
      </c>
      <c r="Q1710" s="749">
        <v>629993587</v>
      </c>
      <c r="R1710" s="44">
        <v>3</v>
      </c>
      <c r="S1710" s="749">
        <v>647131791</v>
      </c>
      <c r="T1710" s="55">
        <f t="shared" si="432"/>
        <v>12</v>
      </c>
      <c r="U1710" s="55">
        <f t="shared" si="433"/>
        <v>100</v>
      </c>
      <c r="V1710" s="58" t="s">
        <v>58</v>
      </c>
      <c r="W1710" s="59">
        <f t="shared" si="440"/>
        <v>2233341260</v>
      </c>
      <c r="X1710" s="57">
        <f t="shared" si="435"/>
        <v>87.273984368894091</v>
      </c>
      <c r="Y1710" s="58" t="s">
        <v>58</v>
      </c>
      <c r="Z1710" s="55">
        <f t="shared" si="436"/>
        <v>24</v>
      </c>
      <c r="AA1710" s="59">
        <f t="shared" si="437"/>
        <v>3977963306</v>
      </c>
      <c r="AB1710" s="55">
        <f t="shared" si="438"/>
        <v>200</v>
      </c>
      <c r="AC1710" s="58" t="s">
        <v>58</v>
      </c>
      <c r="AD1710" s="765">
        <f t="shared" si="439"/>
        <v>139.57765985964912</v>
      </c>
      <c r="AE1710" s="770"/>
      <c r="AH1710" s="25"/>
    </row>
    <row r="1711" spans="1:34" ht="86.25" customHeight="1">
      <c r="A1711" s="16"/>
      <c r="B1711" s="17"/>
      <c r="C1711" s="491" t="s">
        <v>79</v>
      </c>
      <c r="D1711" s="491" t="s">
        <v>1180</v>
      </c>
      <c r="E1711" s="74">
        <v>12</v>
      </c>
      <c r="F1711" s="75" t="s">
        <v>2119</v>
      </c>
      <c r="G1711" s="42">
        <f>SUM(G1712:G1714)</f>
        <v>1804096000</v>
      </c>
      <c r="H1711" s="386">
        <v>12</v>
      </c>
      <c r="I1711" s="42">
        <f>SUM(I1712:I1714)</f>
        <v>1842931500</v>
      </c>
      <c r="J1711" s="74">
        <v>12</v>
      </c>
      <c r="K1711" s="748">
        <f>SUM(K1712:K1714)</f>
        <v>1518109000</v>
      </c>
      <c r="L1711" s="428">
        <v>12</v>
      </c>
      <c r="M1711" s="748">
        <f>SUM(M1712:M1714)</f>
        <v>283757647</v>
      </c>
      <c r="N1711" s="108">
        <v>12</v>
      </c>
      <c r="O1711" s="748">
        <f>SUM(O1712:O1714)</f>
        <v>303198667</v>
      </c>
      <c r="P1711" s="108">
        <v>12</v>
      </c>
      <c r="Q1711" s="748">
        <f>Q1712+Q1713+Q1714</f>
        <v>327336175</v>
      </c>
      <c r="R1711" s="108">
        <v>12</v>
      </c>
      <c r="S1711" s="748">
        <f>S1712+S1713+S1714</f>
        <v>276388656</v>
      </c>
      <c r="T1711" s="55">
        <f t="shared" si="432"/>
        <v>48</v>
      </c>
      <c r="U1711" s="55">
        <f t="shared" si="433"/>
        <v>400</v>
      </c>
      <c r="V1711" s="58" t="s">
        <v>58</v>
      </c>
      <c r="W1711" s="59">
        <f t="shared" si="440"/>
        <v>1190681145</v>
      </c>
      <c r="X1711" s="57">
        <f t="shared" si="435"/>
        <v>78.431861282687862</v>
      </c>
      <c r="Y1711" s="58" t="s">
        <v>58</v>
      </c>
      <c r="Z1711" s="55">
        <f t="shared" si="436"/>
        <v>60</v>
      </c>
      <c r="AA1711" s="59">
        <f t="shared" si="437"/>
        <v>3033612645</v>
      </c>
      <c r="AB1711" s="55">
        <f t="shared" si="438"/>
        <v>500</v>
      </c>
      <c r="AC1711" s="58" t="s">
        <v>58</v>
      </c>
      <c r="AD1711" s="765">
        <f t="shared" si="439"/>
        <v>168.15139798547304</v>
      </c>
      <c r="AE1711" s="770"/>
      <c r="AH1711" s="25"/>
    </row>
    <row r="1712" spans="1:34" ht="53.25" customHeight="1">
      <c r="A1712" s="16"/>
      <c r="B1712" s="17"/>
      <c r="C1712" s="503" t="s">
        <v>86</v>
      </c>
      <c r="D1712" s="771" t="s">
        <v>222</v>
      </c>
      <c r="E1712" s="43">
        <v>12</v>
      </c>
      <c r="F1712" s="21" t="s">
        <v>173</v>
      </c>
      <c r="G1712" s="23">
        <v>6000000</v>
      </c>
      <c r="H1712" s="118">
        <v>12</v>
      </c>
      <c r="I1712" s="23">
        <v>13087500</v>
      </c>
      <c r="J1712" s="43">
        <v>12</v>
      </c>
      <c r="K1712" s="749">
        <v>12560000</v>
      </c>
      <c r="L1712" s="87">
        <v>0</v>
      </c>
      <c r="M1712" s="749">
        <v>0</v>
      </c>
      <c r="N1712" s="44">
        <v>0</v>
      </c>
      <c r="O1712" s="749">
        <v>0</v>
      </c>
      <c r="P1712" s="44">
        <v>4</v>
      </c>
      <c r="Q1712" s="749">
        <v>3000000</v>
      </c>
      <c r="R1712" s="44">
        <v>0</v>
      </c>
      <c r="S1712" s="749">
        <v>0</v>
      </c>
      <c r="T1712" s="55">
        <f t="shared" si="432"/>
        <v>4</v>
      </c>
      <c r="U1712" s="55">
        <f t="shared" si="433"/>
        <v>33.333333333333329</v>
      </c>
      <c r="V1712" s="58" t="s">
        <v>58</v>
      </c>
      <c r="W1712" s="59">
        <f t="shared" si="440"/>
        <v>3000000</v>
      </c>
      <c r="X1712" s="57">
        <f t="shared" si="435"/>
        <v>23.885350318471339</v>
      </c>
      <c r="Y1712" s="58" t="s">
        <v>58</v>
      </c>
      <c r="Z1712" s="55">
        <f t="shared" si="436"/>
        <v>16</v>
      </c>
      <c r="AA1712" s="59">
        <f t="shared" si="437"/>
        <v>16087500</v>
      </c>
      <c r="AB1712" s="55">
        <f t="shared" si="438"/>
        <v>133.33333333333331</v>
      </c>
      <c r="AC1712" s="58" t="s">
        <v>58</v>
      </c>
      <c r="AD1712" s="765">
        <f t="shared" si="439"/>
        <v>268.125</v>
      </c>
      <c r="AE1712" s="770"/>
      <c r="AH1712" s="25"/>
    </row>
    <row r="1713" spans="1:42" ht="84" customHeight="1">
      <c r="A1713" s="16"/>
      <c r="B1713" s="17"/>
      <c r="C1713" s="503" t="s">
        <v>357</v>
      </c>
      <c r="D1713" s="771" t="s">
        <v>2120</v>
      </c>
      <c r="E1713" s="43">
        <v>12</v>
      </c>
      <c r="F1713" s="21" t="s">
        <v>173</v>
      </c>
      <c r="G1713" s="23">
        <v>1257120000</v>
      </c>
      <c r="H1713" s="118">
        <v>12</v>
      </c>
      <c r="I1713" s="23">
        <v>1335420000</v>
      </c>
      <c r="J1713" s="43">
        <v>12</v>
      </c>
      <c r="K1713" s="749">
        <v>992255000</v>
      </c>
      <c r="L1713" s="87">
        <v>3</v>
      </c>
      <c r="M1713" s="749">
        <v>200347864</v>
      </c>
      <c r="N1713" s="44">
        <v>3</v>
      </c>
      <c r="O1713" s="749">
        <v>213813181</v>
      </c>
      <c r="P1713" s="44">
        <v>3</v>
      </c>
      <c r="Q1713" s="749">
        <v>240650689</v>
      </c>
      <c r="R1713" s="44">
        <v>3</v>
      </c>
      <c r="S1713" s="749">
        <v>185298332</v>
      </c>
      <c r="T1713" s="55">
        <f t="shared" si="432"/>
        <v>12</v>
      </c>
      <c r="U1713" s="55">
        <f t="shared" si="433"/>
        <v>100</v>
      </c>
      <c r="V1713" s="58" t="s">
        <v>58</v>
      </c>
      <c r="W1713" s="59">
        <f t="shared" si="440"/>
        <v>840110066</v>
      </c>
      <c r="X1713" s="57">
        <f t="shared" si="435"/>
        <v>84.666750583267401</v>
      </c>
      <c r="Y1713" s="58" t="s">
        <v>58</v>
      </c>
      <c r="Z1713" s="55">
        <f t="shared" si="436"/>
        <v>24</v>
      </c>
      <c r="AA1713" s="59">
        <f t="shared" si="437"/>
        <v>2175530066</v>
      </c>
      <c r="AB1713" s="55">
        <f t="shared" si="438"/>
        <v>200</v>
      </c>
      <c r="AC1713" s="58" t="s">
        <v>58</v>
      </c>
      <c r="AD1713" s="765">
        <f t="shared" si="439"/>
        <v>173.05667446226295</v>
      </c>
      <c r="AE1713" s="770"/>
      <c r="AH1713" s="25"/>
    </row>
    <row r="1714" spans="1:42" ht="57.75" customHeight="1">
      <c r="A1714" s="16"/>
      <c r="B1714" s="17"/>
      <c r="C1714" s="503" t="s">
        <v>80</v>
      </c>
      <c r="D1714" s="771" t="s">
        <v>2121</v>
      </c>
      <c r="E1714" s="43">
        <v>12</v>
      </c>
      <c r="F1714" s="21" t="s">
        <v>173</v>
      </c>
      <c r="G1714" s="23">
        <v>540976000</v>
      </c>
      <c r="H1714" s="118">
        <v>12</v>
      </c>
      <c r="I1714" s="23">
        <v>494424000</v>
      </c>
      <c r="J1714" s="43">
        <v>12</v>
      </c>
      <c r="K1714" s="749">
        <v>513294000</v>
      </c>
      <c r="L1714" s="87">
        <v>3</v>
      </c>
      <c r="M1714" s="749">
        <v>83409783</v>
      </c>
      <c r="N1714" s="44">
        <v>3</v>
      </c>
      <c r="O1714" s="749">
        <v>89385486</v>
      </c>
      <c r="P1714" s="44">
        <v>3</v>
      </c>
      <c r="Q1714" s="749">
        <v>83685486</v>
      </c>
      <c r="R1714" s="44">
        <v>3</v>
      </c>
      <c r="S1714" s="749">
        <v>91090324</v>
      </c>
      <c r="T1714" s="55">
        <f t="shared" si="432"/>
        <v>12</v>
      </c>
      <c r="U1714" s="55">
        <f t="shared" si="433"/>
        <v>100</v>
      </c>
      <c r="V1714" s="58" t="s">
        <v>58</v>
      </c>
      <c r="W1714" s="59">
        <f t="shared" si="440"/>
        <v>347571079</v>
      </c>
      <c r="X1714" s="57">
        <f t="shared" si="435"/>
        <v>67.713840216328265</v>
      </c>
      <c r="Y1714" s="58" t="s">
        <v>58</v>
      </c>
      <c r="Z1714" s="55">
        <f t="shared" si="436"/>
        <v>24</v>
      </c>
      <c r="AA1714" s="59">
        <f t="shared" si="437"/>
        <v>841995079</v>
      </c>
      <c r="AB1714" s="55">
        <f t="shared" si="438"/>
        <v>200</v>
      </c>
      <c r="AC1714" s="58" t="s">
        <v>58</v>
      </c>
      <c r="AD1714" s="765">
        <f t="shared" si="439"/>
        <v>155.64370304782466</v>
      </c>
      <c r="AE1714" s="770"/>
      <c r="AH1714" s="25"/>
    </row>
    <row r="1715" spans="1:42" ht="80.25" customHeight="1">
      <c r="A1715" s="16"/>
      <c r="B1715" s="17"/>
      <c r="C1715" s="491" t="s">
        <v>1181</v>
      </c>
      <c r="D1715" s="491" t="s">
        <v>2122</v>
      </c>
      <c r="E1715" s="74">
        <v>12</v>
      </c>
      <c r="F1715" s="75" t="s">
        <v>2119</v>
      </c>
      <c r="G1715" s="42">
        <f>SUM(G1716:G1719)</f>
        <v>3706018172</v>
      </c>
      <c r="H1715" s="74">
        <v>100</v>
      </c>
      <c r="I1715" s="748">
        <f>SUM(I1716:I1719)</f>
        <v>2755190250</v>
      </c>
      <c r="J1715" s="74">
        <v>12</v>
      </c>
      <c r="K1715" s="748">
        <f>SUM(K1716:K1719)</f>
        <v>2222794580</v>
      </c>
      <c r="L1715" s="74">
        <v>12</v>
      </c>
      <c r="M1715" s="748">
        <f>SUM(M1716:M1719)</f>
        <v>104465223</v>
      </c>
      <c r="N1715" s="74">
        <v>12</v>
      </c>
      <c r="O1715" s="748">
        <f>SUM(O1716:O1719)</f>
        <v>635270043</v>
      </c>
      <c r="P1715" s="74">
        <v>12</v>
      </c>
      <c r="Q1715" s="748">
        <f>SUM(Q1716:Q1719)</f>
        <v>453842596</v>
      </c>
      <c r="R1715" s="74">
        <v>12</v>
      </c>
      <c r="S1715" s="748">
        <f>S1716+S1717+S1718+S1719</f>
        <v>673805517</v>
      </c>
      <c r="T1715" s="55">
        <f t="shared" si="432"/>
        <v>48</v>
      </c>
      <c r="U1715" s="55">
        <f t="shared" si="433"/>
        <v>400</v>
      </c>
      <c r="V1715" s="58" t="s">
        <v>58</v>
      </c>
      <c r="W1715" s="59">
        <f t="shared" si="440"/>
        <v>1867383379</v>
      </c>
      <c r="X1715" s="57">
        <f t="shared" si="435"/>
        <v>84.010614197196759</v>
      </c>
      <c r="Y1715" s="58" t="s">
        <v>58</v>
      </c>
      <c r="Z1715" s="55">
        <f t="shared" si="436"/>
        <v>148</v>
      </c>
      <c r="AA1715" s="59">
        <f t="shared" si="437"/>
        <v>4622573629</v>
      </c>
      <c r="AB1715" s="55">
        <f t="shared" si="438"/>
        <v>1233.3333333333335</v>
      </c>
      <c r="AC1715" s="58" t="s">
        <v>58</v>
      </c>
      <c r="AD1715" s="765">
        <f t="shared" si="439"/>
        <v>124.73154243885882</v>
      </c>
      <c r="AE1715" s="770"/>
      <c r="AH1715" s="25"/>
    </row>
    <row r="1716" spans="1:42" ht="104.25" customHeight="1">
      <c r="A1716" s="16"/>
      <c r="B1716" s="17"/>
      <c r="C1716" s="503" t="s">
        <v>2123</v>
      </c>
      <c r="D1716" s="771" t="s">
        <v>229</v>
      </c>
      <c r="E1716" s="44">
        <v>8</v>
      </c>
      <c r="F1716" s="21" t="s">
        <v>138</v>
      </c>
      <c r="G1716" s="23">
        <v>469839400</v>
      </c>
      <c r="H1716" s="20">
        <v>8</v>
      </c>
      <c r="I1716" s="23">
        <v>216000000</v>
      </c>
      <c r="J1716" s="20">
        <v>8</v>
      </c>
      <c r="K1716" s="749">
        <v>280365680</v>
      </c>
      <c r="L1716" s="104">
        <v>1</v>
      </c>
      <c r="M1716" s="749">
        <v>15839594</v>
      </c>
      <c r="N1716" s="104">
        <v>3</v>
      </c>
      <c r="O1716" s="749">
        <v>56481058</v>
      </c>
      <c r="P1716" s="104">
        <v>2</v>
      </c>
      <c r="Q1716" s="749">
        <v>49999043</v>
      </c>
      <c r="R1716" s="104">
        <v>2</v>
      </c>
      <c r="S1716" s="749">
        <v>98930217</v>
      </c>
      <c r="T1716" s="55">
        <f t="shared" si="432"/>
        <v>8</v>
      </c>
      <c r="U1716" s="55">
        <f t="shared" si="433"/>
        <v>100</v>
      </c>
      <c r="V1716" s="58" t="s">
        <v>58</v>
      </c>
      <c r="W1716" s="59">
        <f t="shared" si="440"/>
        <v>221249912</v>
      </c>
      <c r="X1716" s="57">
        <f t="shared" si="435"/>
        <v>78.91476303376362</v>
      </c>
      <c r="Y1716" s="58" t="s">
        <v>58</v>
      </c>
      <c r="Z1716" s="55">
        <f t="shared" si="436"/>
        <v>16</v>
      </c>
      <c r="AA1716" s="59">
        <f t="shared" si="437"/>
        <v>437249912</v>
      </c>
      <c r="AB1716" s="55">
        <f t="shared" si="438"/>
        <v>200</v>
      </c>
      <c r="AC1716" s="58" t="s">
        <v>58</v>
      </c>
      <c r="AD1716" s="765">
        <f t="shared" si="439"/>
        <v>93.063696233223524</v>
      </c>
      <c r="AE1716" s="770"/>
      <c r="AH1716" s="25"/>
    </row>
    <row r="1717" spans="1:42" ht="113.25" customHeight="1">
      <c r="A1717" s="16"/>
      <c r="B1717" s="17"/>
      <c r="C1717" s="503" t="s">
        <v>2124</v>
      </c>
      <c r="D1717" s="771" t="s">
        <v>226</v>
      </c>
      <c r="E1717" s="44">
        <v>28</v>
      </c>
      <c r="F1717" s="21" t="s">
        <v>138</v>
      </c>
      <c r="G1717" s="23">
        <v>538050000</v>
      </c>
      <c r="H1717" s="20">
        <v>8</v>
      </c>
      <c r="I1717" s="23">
        <v>770125250</v>
      </c>
      <c r="J1717" s="20">
        <v>28</v>
      </c>
      <c r="K1717" s="749">
        <v>548725500</v>
      </c>
      <c r="L1717" s="104">
        <v>5</v>
      </c>
      <c r="M1717" s="749">
        <v>69964629</v>
      </c>
      <c r="N1717" s="104">
        <v>6</v>
      </c>
      <c r="O1717" s="749">
        <v>115396635</v>
      </c>
      <c r="P1717" s="104">
        <v>7</v>
      </c>
      <c r="Q1717" s="749">
        <v>117654363</v>
      </c>
      <c r="R1717" s="104">
        <v>7</v>
      </c>
      <c r="S1717" s="749">
        <v>112600250</v>
      </c>
      <c r="T1717" s="55">
        <f t="shared" si="432"/>
        <v>25</v>
      </c>
      <c r="U1717" s="55">
        <f t="shared" si="433"/>
        <v>89.285714285714292</v>
      </c>
      <c r="V1717" s="58" t="s">
        <v>58</v>
      </c>
      <c r="W1717" s="59">
        <f t="shared" si="440"/>
        <v>415615877</v>
      </c>
      <c r="X1717" s="57">
        <f t="shared" si="435"/>
        <v>75.742038049990384</v>
      </c>
      <c r="Y1717" s="58" t="s">
        <v>58</v>
      </c>
      <c r="Z1717" s="55">
        <f t="shared" si="436"/>
        <v>33</v>
      </c>
      <c r="AA1717" s="59">
        <f t="shared" si="437"/>
        <v>1185741127</v>
      </c>
      <c r="AB1717" s="55">
        <f t="shared" si="438"/>
        <v>117.85714285714286</v>
      </c>
      <c r="AC1717" s="58" t="s">
        <v>58</v>
      </c>
      <c r="AD1717" s="765">
        <f t="shared" si="439"/>
        <v>220.37749781618808</v>
      </c>
      <c r="AE1717" s="770"/>
      <c r="AH1717" s="25"/>
    </row>
    <row r="1718" spans="1:42" ht="80.25" customHeight="1">
      <c r="A1718" s="16"/>
      <c r="B1718" s="17"/>
      <c r="C1718" s="503" t="s">
        <v>2125</v>
      </c>
      <c r="D1718" s="771" t="s">
        <v>365</v>
      </c>
      <c r="E1718" s="44">
        <v>65</v>
      </c>
      <c r="F1718" s="21" t="s">
        <v>138</v>
      </c>
      <c r="G1718" s="23">
        <v>2515928272</v>
      </c>
      <c r="H1718" s="20">
        <v>65</v>
      </c>
      <c r="I1718" s="23">
        <v>1627565000</v>
      </c>
      <c r="J1718" s="20">
        <v>65</v>
      </c>
      <c r="K1718" s="749">
        <v>1238065000</v>
      </c>
      <c r="L1718" s="104">
        <v>15</v>
      </c>
      <c r="M1718" s="749">
        <v>0</v>
      </c>
      <c r="N1718" s="104">
        <v>16</v>
      </c>
      <c r="O1718" s="749">
        <v>439952350</v>
      </c>
      <c r="P1718" s="104">
        <v>17</v>
      </c>
      <c r="Q1718" s="749">
        <v>258297190</v>
      </c>
      <c r="R1718" s="104">
        <v>17</v>
      </c>
      <c r="S1718" s="749">
        <v>441060050</v>
      </c>
      <c r="T1718" s="55">
        <f t="shared" si="432"/>
        <v>65</v>
      </c>
      <c r="U1718" s="55">
        <f t="shared" si="433"/>
        <v>100</v>
      </c>
      <c r="V1718" s="58" t="s">
        <v>58</v>
      </c>
      <c r="W1718" s="59">
        <f t="shared" si="440"/>
        <v>1139309590</v>
      </c>
      <c r="X1718" s="57">
        <f t="shared" si="435"/>
        <v>92.023406687047938</v>
      </c>
      <c r="Y1718" s="58" t="s">
        <v>58</v>
      </c>
      <c r="Z1718" s="55">
        <f t="shared" si="436"/>
        <v>130</v>
      </c>
      <c r="AA1718" s="59">
        <f t="shared" si="437"/>
        <v>2766874590</v>
      </c>
      <c r="AB1718" s="55">
        <f t="shared" si="438"/>
        <v>200</v>
      </c>
      <c r="AC1718" s="58" t="s">
        <v>58</v>
      </c>
      <c r="AD1718" s="765">
        <f t="shared" si="439"/>
        <v>109.97430335327142</v>
      </c>
      <c r="AE1718" s="770"/>
      <c r="AH1718" s="25"/>
    </row>
    <row r="1719" spans="1:42" ht="91.5" customHeight="1">
      <c r="A1719" s="16"/>
      <c r="B1719" s="17"/>
      <c r="C1719" s="503" t="s">
        <v>2126</v>
      </c>
      <c r="D1719" s="487" t="s">
        <v>228</v>
      </c>
      <c r="E1719" s="44">
        <v>65</v>
      </c>
      <c r="F1719" s="21" t="s">
        <v>138</v>
      </c>
      <c r="G1719" s="23">
        <v>182200500</v>
      </c>
      <c r="H1719" s="20">
        <v>65</v>
      </c>
      <c r="I1719" s="23">
        <v>141500000</v>
      </c>
      <c r="J1719" s="20">
        <v>65</v>
      </c>
      <c r="K1719" s="749">
        <v>155638400</v>
      </c>
      <c r="L1719" s="104">
        <v>15</v>
      </c>
      <c r="M1719" s="749">
        <v>18661000</v>
      </c>
      <c r="N1719" s="104">
        <v>16</v>
      </c>
      <c r="O1719" s="749">
        <v>23440000</v>
      </c>
      <c r="P1719" s="104">
        <v>17</v>
      </c>
      <c r="Q1719" s="749">
        <v>27892000</v>
      </c>
      <c r="R1719" s="104">
        <v>17</v>
      </c>
      <c r="S1719" s="749">
        <v>21215000</v>
      </c>
      <c r="T1719" s="55">
        <f t="shared" si="432"/>
        <v>65</v>
      </c>
      <c r="U1719" s="55">
        <f t="shared" si="433"/>
        <v>100</v>
      </c>
      <c r="V1719" s="58" t="s">
        <v>58</v>
      </c>
      <c r="W1719" s="59">
        <f t="shared" si="440"/>
        <v>91208000</v>
      </c>
      <c r="X1719" s="57">
        <f t="shared" si="435"/>
        <v>58.602504266299313</v>
      </c>
      <c r="Y1719" s="58" t="s">
        <v>58</v>
      </c>
      <c r="Z1719" s="55">
        <f t="shared" si="436"/>
        <v>130</v>
      </c>
      <c r="AA1719" s="59">
        <f t="shared" si="437"/>
        <v>232708000</v>
      </c>
      <c r="AB1719" s="55">
        <f t="shared" si="438"/>
        <v>200</v>
      </c>
      <c r="AC1719" s="58" t="s">
        <v>58</v>
      </c>
      <c r="AD1719" s="765">
        <f t="shared" si="439"/>
        <v>127.72083501417396</v>
      </c>
      <c r="AE1719" s="770"/>
      <c r="AH1719" s="25"/>
    </row>
    <row r="1720" spans="1:42" ht="114" customHeight="1">
      <c r="A1720" s="675"/>
      <c r="B1720" s="772"/>
      <c r="C1720" s="491" t="s">
        <v>2127</v>
      </c>
      <c r="D1720" s="491" t="s">
        <v>2128</v>
      </c>
      <c r="E1720" s="74">
        <v>12</v>
      </c>
      <c r="F1720" s="75" t="s">
        <v>2119</v>
      </c>
      <c r="G1720" s="748">
        <f>SUM(G1721)</f>
        <v>2037954000</v>
      </c>
      <c r="H1720" s="74">
        <v>12</v>
      </c>
      <c r="I1720" s="748">
        <f>SUM(I1721)</f>
        <v>3741917000</v>
      </c>
      <c r="J1720" s="74">
        <v>12</v>
      </c>
      <c r="K1720" s="748">
        <f>SUM(K1721)</f>
        <v>2037954000</v>
      </c>
      <c r="L1720" s="108">
        <v>12</v>
      </c>
      <c r="M1720" s="748">
        <f>SUM(M1721)</f>
        <v>185671584</v>
      </c>
      <c r="N1720" s="45">
        <v>12</v>
      </c>
      <c r="O1720" s="748">
        <f>SUM(O1721)</f>
        <v>197330234</v>
      </c>
      <c r="P1720" s="45">
        <v>12</v>
      </c>
      <c r="Q1720" s="748">
        <f>SUM(Q1721)</f>
        <v>197330234</v>
      </c>
      <c r="R1720" s="45">
        <v>12</v>
      </c>
      <c r="S1720" s="748">
        <f>S1721</f>
        <v>23781056</v>
      </c>
      <c r="T1720" s="55">
        <f t="shared" si="432"/>
        <v>48</v>
      </c>
      <c r="U1720" s="55">
        <f t="shared" si="433"/>
        <v>400</v>
      </c>
      <c r="V1720" s="58" t="s">
        <v>58</v>
      </c>
      <c r="W1720" s="59">
        <f t="shared" si="440"/>
        <v>604113108</v>
      </c>
      <c r="X1720" s="57">
        <f t="shared" si="435"/>
        <v>29.643117950650506</v>
      </c>
      <c r="Y1720" s="58" t="s">
        <v>58</v>
      </c>
      <c r="Z1720" s="55">
        <f t="shared" si="436"/>
        <v>60</v>
      </c>
      <c r="AA1720" s="59">
        <f t="shared" si="437"/>
        <v>4346030108</v>
      </c>
      <c r="AB1720" s="55">
        <f t="shared" si="438"/>
        <v>500</v>
      </c>
      <c r="AC1720" s="58" t="s">
        <v>58</v>
      </c>
      <c r="AD1720" s="765">
        <f t="shared" si="439"/>
        <v>213.2545733613222</v>
      </c>
      <c r="AE1720" s="770"/>
      <c r="AH1720" s="25"/>
    </row>
    <row r="1721" spans="1:42" ht="75" customHeight="1">
      <c r="A1721" s="48"/>
      <c r="B1721" s="49"/>
      <c r="C1721" s="503" t="s">
        <v>2129</v>
      </c>
      <c r="D1721" s="519" t="s">
        <v>2130</v>
      </c>
      <c r="E1721" s="44">
        <v>2</v>
      </c>
      <c r="F1721" s="21" t="s">
        <v>57</v>
      </c>
      <c r="G1721" s="23">
        <v>2037954000</v>
      </c>
      <c r="H1721" s="20">
        <v>2</v>
      </c>
      <c r="I1721" s="23">
        <v>3741917000</v>
      </c>
      <c r="J1721" s="20">
        <v>2</v>
      </c>
      <c r="K1721" s="749">
        <v>2037954000</v>
      </c>
      <c r="L1721" s="20">
        <v>2</v>
      </c>
      <c r="M1721" s="749">
        <v>185671584</v>
      </c>
      <c r="N1721" s="20">
        <v>2</v>
      </c>
      <c r="O1721" s="749">
        <v>197330234</v>
      </c>
      <c r="P1721" s="20">
        <v>2</v>
      </c>
      <c r="Q1721" s="749">
        <v>197330234</v>
      </c>
      <c r="R1721" s="44">
        <v>2</v>
      </c>
      <c r="S1721" s="749">
        <v>23781056</v>
      </c>
      <c r="T1721" s="55">
        <f t="shared" si="432"/>
        <v>8</v>
      </c>
      <c r="U1721" s="55">
        <f t="shared" si="433"/>
        <v>400</v>
      </c>
      <c r="V1721" s="58" t="s">
        <v>58</v>
      </c>
      <c r="W1721" s="59">
        <f t="shared" si="440"/>
        <v>604113108</v>
      </c>
      <c r="X1721" s="57">
        <f t="shared" si="435"/>
        <v>29.643117950650506</v>
      </c>
      <c r="Y1721" s="58" t="s">
        <v>58</v>
      </c>
      <c r="Z1721" s="55">
        <f t="shared" si="436"/>
        <v>10</v>
      </c>
      <c r="AA1721" s="59">
        <f t="shared" si="437"/>
        <v>4346030108</v>
      </c>
      <c r="AB1721" s="55">
        <f t="shared" si="438"/>
        <v>500</v>
      </c>
      <c r="AC1721" s="58" t="s">
        <v>58</v>
      </c>
      <c r="AD1721" s="765">
        <f t="shared" si="439"/>
        <v>213.2545733613222</v>
      </c>
      <c r="AE1721" s="770"/>
      <c r="AH1721" s="25"/>
    </row>
    <row r="1722" spans="1:42" ht="79.5" customHeight="1">
      <c r="A1722" s="16"/>
      <c r="B1722" s="17"/>
      <c r="C1722" s="491" t="s">
        <v>2131</v>
      </c>
      <c r="D1722" s="491" t="s">
        <v>2132</v>
      </c>
      <c r="E1722" s="45">
        <v>12</v>
      </c>
      <c r="F1722" s="46" t="s">
        <v>2119</v>
      </c>
      <c r="G1722" s="748">
        <f>SUM(G1723)</f>
        <v>500000000</v>
      </c>
      <c r="H1722" s="45">
        <v>12</v>
      </c>
      <c r="I1722" s="748">
        <f>SUM(I1723)</f>
        <v>505000000</v>
      </c>
      <c r="J1722" s="45">
        <v>12</v>
      </c>
      <c r="K1722" s="748">
        <f>SUM(K1723)</f>
        <v>530000000</v>
      </c>
      <c r="L1722" s="45">
        <v>12</v>
      </c>
      <c r="M1722" s="748">
        <f>SUM(M1723)</f>
        <v>121155700</v>
      </c>
      <c r="N1722" s="45">
        <v>12</v>
      </c>
      <c r="O1722" s="748">
        <f>SUM(O1723)</f>
        <v>122245000</v>
      </c>
      <c r="P1722" s="45">
        <v>12</v>
      </c>
      <c r="Q1722" s="748">
        <f>SUM(Q1723)</f>
        <v>136888300</v>
      </c>
      <c r="R1722" s="45">
        <v>12</v>
      </c>
      <c r="S1722" s="748">
        <f>S1723</f>
        <v>92786900</v>
      </c>
      <c r="T1722" s="55">
        <f t="shared" si="432"/>
        <v>48</v>
      </c>
      <c r="U1722" s="55">
        <f t="shared" si="433"/>
        <v>400</v>
      </c>
      <c r="V1722" s="58" t="s">
        <v>58</v>
      </c>
      <c r="W1722" s="59">
        <f t="shared" si="440"/>
        <v>473075900</v>
      </c>
      <c r="X1722" s="57">
        <f t="shared" si="435"/>
        <v>89.259603773584899</v>
      </c>
      <c r="Y1722" s="58" t="s">
        <v>58</v>
      </c>
      <c r="Z1722" s="55">
        <f t="shared" si="436"/>
        <v>60</v>
      </c>
      <c r="AA1722" s="59">
        <f t="shared" si="437"/>
        <v>978075900</v>
      </c>
      <c r="AB1722" s="55">
        <f t="shared" si="438"/>
        <v>500</v>
      </c>
      <c r="AC1722" s="58" t="s">
        <v>58</v>
      </c>
      <c r="AD1722" s="765">
        <f t="shared" si="439"/>
        <v>195.61518000000001</v>
      </c>
      <c r="AE1722" s="770"/>
      <c r="AH1722" s="25"/>
    </row>
    <row r="1723" spans="1:42" ht="100.5" customHeight="1">
      <c r="A1723" s="16"/>
      <c r="B1723" s="17"/>
      <c r="C1723" s="503" t="s">
        <v>2133</v>
      </c>
      <c r="D1723" s="519" t="s">
        <v>2134</v>
      </c>
      <c r="E1723" s="44">
        <v>12</v>
      </c>
      <c r="F1723" s="21" t="s">
        <v>59</v>
      </c>
      <c r="G1723" s="23">
        <v>500000000</v>
      </c>
      <c r="H1723" s="20">
        <v>12</v>
      </c>
      <c r="I1723" s="23">
        <v>505000000</v>
      </c>
      <c r="J1723" s="20">
        <v>12</v>
      </c>
      <c r="K1723" s="749">
        <v>530000000</v>
      </c>
      <c r="L1723" s="20">
        <v>3</v>
      </c>
      <c r="M1723" s="749">
        <v>121155700</v>
      </c>
      <c r="N1723" s="20">
        <v>3</v>
      </c>
      <c r="O1723" s="749">
        <v>122245000</v>
      </c>
      <c r="P1723" s="20">
        <v>3</v>
      </c>
      <c r="Q1723" s="749">
        <v>136888300</v>
      </c>
      <c r="R1723" s="20">
        <v>3</v>
      </c>
      <c r="S1723" s="749">
        <v>92786900</v>
      </c>
      <c r="T1723" s="55">
        <f t="shared" si="432"/>
        <v>12</v>
      </c>
      <c r="U1723" s="55">
        <f t="shared" si="433"/>
        <v>100</v>
      </c>
      <c r="V1723" s="58" t="s">
        <v>58</v>
      </c>
      <c r="W1723" s="59">
        <f t="shared" si="440"/>
        <v>473075900</v>
      </c>
      <c r="X1723" s="57">
        <f t="shared" si="435"/>
        <v>89.259603773584899</v>
      </c>
      <c r="Y1723" s="58" t="s">
        <v>58</v>
      </c>
      <c r="Z1723" s="55">
        <f t="shared" si="436"/>
        <v>24</v>
      </c>
      <c r="AA1723" s="59">
        <f t="shared" si="437"/>
        <v>978075900</v>
      </c>
      <c r="AB1723" s="55">
        <f t="shared" si="438"/>
        <v>200</v>
      </c>
      <c r="AC1723" s="58" t="s">
        <v>58</v>
      </c>
      <c r="AD1723" s="765">
        <f t="shared" si="439"/>
        <v>195.61518000000001</v>
      </c>
      <c r="AE1723" s="770"/>
      <c r="AH1723" s="25"/>
    </row>
    <row r="1724" spans="1:42" ht="116.25" customHeight="1">
      <c r="A1724" s="58"/>
      <c r="B1724" s="19" t="s">
        <v>2135</v>
      </c>
      <c r="C1724" s="19" t="s">
        <v>68</v>
      </c>
      <c r="D1724" s="358" t="s">
        <v>143</v>
      </c>
      <c r="E1724" s="108">
        <v>100</v>
      </c>
      <c r="F1724" s="46" t="s">
        <v>58</v>
      </c>
      <c r="G1724" s="42">
        <f>G1725</f>
        <v>232525062</v>
      </c>
      <c r="H1724" s="108">
        <v>100</v>
      </c>
      <c r="I1724" s="376">
        <f>I1725</f>
        <v>0</v>
      </c>
      <c r="J1724" s="750">
        <v>100</v>
      </c>
      <c r="K1724" s="773">
        <f>K1725</f>
        <v>2427242600</v>
      </c>
      <c r="L1724" s="774">
        <f>(11+4)/15*100</f>
        <v>100</v>
      </c>
      <c r="M1724" s="748">
        <v>116262531</v>
      </c>
      <c r="N1724" s="774">
        <v>100</v>
      </c>
      <c r="O1724" s="748">
        <v>435605006</v>
      </c>
      <c r="P1724" s="774">
        <v>100</v>
      </c>
      <c r="Q1724" s="748">
        <v>925979143</v>
      </c>
      <c r="R1724" s="774">
        <v>100</v>
      </c>
      <c r="S1724" s="748">
        <v>2069779635</v>
      </c>
      <c r="T1724" s="55">
        <f>AVERAGE(L1724,N1724,P1724,R1724)</f>
        <v>100</v>
      </c>
      <c r="U1724" s="55">
        <f t="shared" si="433"/>
        <v>100</v>
      </c>
      <c r="V1724" s="58" t="s">
        <v>58</v>
      </c>
      <c r="W1724" s="59">
        <f t="shared" si="440"/>
        <v>3547626315</v>
      </c>
      <c r="X1724" s="57">
        <f t="shared" si="435"/>
        <v>146.15870350166068</v>
      </c>
      <c r="Y1724" s="58" t="s">
        <v>58</v>
      </c>
      <c r="Z1724" s="55">
        <f t="shared" si="436"/>
        <v>200</v>
      </c>
      <c r="AA1724" s="59">
        <f t="shared" si="437"/>
        <v>3547626315</v>
      </c>
      <c r="AB1724" s="55">
        <f t="shared" si="438"/>
        <v>200</v>
      </c>
      <c r="AC1724" s="58" t="s">
        <v>58</v>
      </c>
      <c r="AD1724" s="765">
        <f t="shared" si="439"/>
        <v>1525.6963204250217</v>
      </c>
      <c r="AE1724" s="775" t="s">
        <v>2136</v>
      </c>
      <c r="AF1724" s="776"/>
      <c r="AG1724" s="777"/>
      <c r="AH1724" s="778"/>
      <c r="AI1724" s="779"/>
      <c r="AJ1724" s="777"/>
      <c r="AK1724" s="776"/>
      <c r="AL1724" s="777"/>
      <c r="AM1724" s="395"/>
      <c r="AP1724" s="25"/>
    </row>
    <row r="1725" spans="1:42" ht="141.75">
      <c r="A1725" s="16"/>
      <c r="B1725" s="17"/>
      <c r="C1725" s="19" t="s">
        <v>2137</v>
      </c>
      <c r="D1725" s="19" t="s">
        <v>2138</v>
      </c>
      <c r="E1725" s="108">
        <v>100</v>
      </c>
      <c r="F1725" s="46" t="s">
        <v>58</v>
      </c>
      <c r="G1725" s="42">
        <f>SUM(G1726:G1728)</f>
        <v>232525062</v>
      </c>
      <c r="H1725" s="44">
        <v>100</v>
      </c>
      <c r="I1725" s="21"/>
      <c r="J1725" s="108">
        <v>100</v>
      </c>
      <c r="K1725" s="748">
        <v>2427242600</v>
      </c>
      <c r="L1725" s="774">
        <v>100</v>
      </c>
      <c r="M1725" s="748">
        <v>116262531</v>
      </c>
      <c r="N1725" s="774">
        <v>100</v>
      </c>
      <c r="O1725" s="748">
        <v>435605006</v>
      </c>
      <c r="P1725" s="774">
        <v>100</v>
      </c>
      <c r="Q1725" s="748">
        <v>925979143</v>
      </c>
      <c r="R1725" s="774">
        <v>100</v>
      </c>
      <c r="S1725" s="748">
        <v>2069779635</v>
      </c>
      <c r="T1725" s="55">
        <f>AVERAGE(L1725,N1725,P1725,R1725)</f>
        <v>100</v>
      </c>
      <c r="U1725" s="55">
        <f t="shared" si="433"/>
        <v>100</v>
      </c>
      <c r="V1725" s="58" t="s">
        <v>58</v>
      </c>
      <c r="W1725" s="59">
        <f t="shared" si="440"/>
        <v>3547626315</v>
      </c>
      <c r="X1725" s="57">
        <f t="shared" si="435"/>
        <v>146.15870350166068</v>
      </c>
      <c r="Y1725" s="58" t="s">
        <v>58</v>
      </c>
      <c r="Z1725" s="55">
        <f t="shared" si="436"/>
        <v>200</v>
      </c>
      <c r="AA1725" s="59">
        <f t="shared" si="437"/>
        <v>3547626315</v>
      </c>
      <c r="AB1725" s="55">
        <f t="shared" si="438"/>
        <v>200</v>
      </c>
      <c r="AC1725" s="58" t="s">
        <v>58</v>
      </c>
      <c r="AD1725" s="765">
        <f t="shared" si="439"/>
        <v>1525.6963204250217</v>
      </c>
      <c r="AE1725" s="57"/>
      <c r="AF1725" s="58"/>
      <c r="AG1725" s="57"/>
      <c r="AH1725" s="46"/>
      <c r="AI1725" s="59"/>
      <c r="AJ1725" s="57"/>
      <c r="AK1725" s="58" t="str">
        <f t="shared" ref="AK1725:AK1728" si="441">AC1725</f>
        <v>%</v>
      </c>
      <c r="AL1725" s="57"/>
      <c r="AP1725" s="25"/>
    </row>
    <row r="1726" spans="1:42" ht="75">
      <c r="A1726" s="16"/>
      <c r="B1726" s="17"/>
      <c r="C1726" s="29" t="s">
        <v>2139</v>
      </c>
      <c r="D1726" s="29" t="s">
        <v>2140</v>
      </c>
      <c r="E1726" s="44">
        <v>250</v>
      </c>
      <c r="F1726" s="21" t="s">
        <v>56</v>
      </c>
      <c r="G1726" s="23">
        <f>M1726*2</f>
        <v>113126108</v>
      </c>
      <c r="H1726" s="44">
        <v>250</v>
      </c>
      <c r="I1726" s="21"/>
      <c r="J1726" s="44">
        <v>250</v>
      </c>
      <c r="K1726" s="749">
        <v>526782700</v>
      </c>
      <c r="L1726" s="774">
        <v>153</v>
      </c>
      <c r="M1726" s="749">
        <v>56563054</v>
      </c>
      <c r="N1726" s="774">
        <v>132</v>
      </c>
      <c r="O1726" s="749">
        <v>174062258</v>
      </c>
      <c r="P1726" s="108">
        <v>0</v>
      </c>
      <c r="Q1726" s="749">
        <v>277815412</v>
      </c>
      <c r="R1726" s="42"/>
      <c r="S1726" s="749">
        <v>473531148</v>
      </c>
      <c r="T1726" s="55">
        <f t="shared" si="432"/>
        <v>285</v>
      </c>
      <c r="U1726" s="55">
        <f t="shared" si="433"/>
        <v>113.99999999999999</v>
      </c>
      <c r="V1726" s="58" t="s">
        <v>58</v>
      </c>
      <c r="W1726" s="59">
        <f t="shared" si="440"/>
        <v>981971872</v>
      </c>
      <c r="X1726" s="57">
        <f t="shared" si="435"/>
        <v>186.40928640974732</v>
      </c>
      <c r="Y1726" s="58" t="s">
        <v>58</v>
      </c>
      <c r="Z1726" s="55">
        <f t="shared" si="436"/>
        <v>535</v>
      </c>
      <c r="AA1726" s="59">
        <f t="shared" si="437"/>
        <v>981971872</v>
      </c>
      <c r="AB1726" s="55">
        <f t="shared" si="438"/>
        <v>214</v>
      </c>
      <c r="AC1726" s="58" t="s">
        <v>58</v>
      </c>
      <c r="AD1726" s="765">
        <f t="shared" si="439"/>
        <v>868.03293188518433</v>
      </c>
      <c r="AE1726" s="53"/>
      <c r="AF1726" s="35"/>
      <c r="AG1726" s="54"/>
      <c r="AH1726" s="21"/>
      <c r="AI1726" s="40"/>
      <c r="AJ1726" s="53"/>
      <c r="AK1726" s="35" t="str">
        <f t="shared" si="441"/>
        <v>%</v>
      </c>
      <c r="AL1726" s="53"/>
      <c r="AP1726" s="25"/>
    </row>
    <row r="1727" spans="1:42" ht="85.5" customHeight="1">
      <c r="A1727" s="16"/>
      <c r="B1727" s="17"/>
      <c r="C1727" s="29" t="s">
        <v>2141</v>
      </c>
      <c r="D1727" s="29" t="s">
        <v>2142</v>
      </c>
      <c r="E1727" s="44">
        <v>250</v>
      </c>
      <c r="F1727" s="21" t="s">
        <v>56</v>
      </c>
      <c r="G1727" s="23">
        <f>M1727*2</f>
        <v>71287400</v>
      </c>
      <c r="H1727" s="44">
        <v>250</v>
      </c>
      <c r="I1727" s="21"/>
      <c r="J1727" s="44">
        <v>250</v>
      </c>
      <c r="K1727" s="749">
        <v>851247000</v>
      </c>
      <c r="L1727" s="774">
        <v>153</v>
      </c>
      <c r="M1727" s="749">
        <v>35643700</v>
      </c>
      <c r="N1727" s="774">
        <v>132</v>
      </c>
      <c r="O1727" s="749">
        <v>132106047</v>
      </c>
      <c r="P1727" s="44">
        <v>0</v>
      </c>
      <c r="Q1727" s="749">
        <v>368559700</v>
      </c>
      <c r="R1727" s="44"/>
      <c r="S1727" s="749">
        <v>738484200</v>
      </c>
      <c r="T1727" s="55">
        <f t="shared" si="432"/>
        <v>285</v>
      </c>
      <c r="U1727" s="55">
        <f t="shared" si="433"/>
        <v>113.99999999999999</v>
      </c>
      <c r="V1727" s="58" t="s">
        <v>58</v>
      </c>
      <c r="W1727" s="59">
        <f t="shared" si="440"/>
        <v>1274793647</v>
      </c>
      <c r="X1727" s="57">
        <f t="shared" si="435"/>
        <v>149.75602228260422</v>
      </c>
      <c r="Y1727" s="58" t="s">
        <v>58</v>
      </c>
      <c r="Z1727" s="55">
        <f t="shared" si="436"/>
        <v>535</v>
      </c>
      <c r="AA1727" s="59">
        <f t="shared" si="437"/>
        <v>1274793647</v>
      </c>
      <c r="AB1727" s="55">
        <f t="shared" si="438"/>
        <v>214</v>
      </c>
      <c r="AC1727" s="58" t="s">
        <v>58</v>
      </c>
      <c r="AD1727" s="765">
        <f t="shared" si="439"/>
        <v>1788.2453939966949</v>
      </c>
      <c r="AE1727" s="53"/>
      <c r="AF1727" s="35"/>
      <c r="AG1727" s="54"/>
      <c r="AH1727" s="21"/>
      <c r="AI1727" s="40"/>
      <c r="AJ1727" s="53"/>
      <c r="AK1727" s="35" t="str">
        <f t="shared" si="441"/>
        <v>%</v>
      </c>
      <c r="AL1727" s="53"/>
      <c r="AP1727" s="25"/>
    </row>
    <row r="1728" spans="1:42" ht="105">
      <c r="A1728" s="16"/>
      <c r="B1728" s="17"/>
      <c r="C1728" s="29" t="s">
        <v>2143</v>
      </c>
      <c r="D1728" s="29" t="s">
        <v>2144</v>
      </c>
      <c r="E1728" s="44">
        <v>250</v>
      </c>
      <c r="F1728" s="21" t="s">
        <v>56</v>
      </c>
      <c r="G1728" s="23">
        <f>M1728*2</f>
        <v>48111554</v>
      </c>
      <c r="H1728" s="44">
        <v>250</v>
      </c>
      <c r="I1728" s="21"/>
      <c r="J1728" s="44">
        <v>250</v>
      </c>
      <c r="K1728" s="749">
        <v>1049212900</v>
      </c>
      <c r="L1728" s="774">
        <v>153</v>
      </c>
      <c r="M1728" s="749">
        <v>24055777</v>
      </c>
      <c r="N1728" s="774">
        <v>132</v>
      </c>
      <c r="O1728" s="749">
        <v>129436701</v>
      </c>
      <c r="P1728" s="20">
        <v>0</v>
      </c>
      <c r="Q1728" s="749">
        <v>279604031</v>
      </c>
      <c r="R1728" s="20"/>
      <c r="S1728" s="749">
        <v>857764287</v>
      </c>
      <c r="T1728" s="55">
        <f t="shared" si="432"/>
        <v>285</v>
      </c>
      <c r="U1728" s="55">
        <f t="shared" si="433"/>
        <v>113.99999999999999</v>
      </c>
      <c r="V1728" s="58" t="s">
        <v>58</v>
      </c>
      <c r="W1728" s="59">
        <f t="shared" si="440"/>
        <v>1290860796</v>
      </c>
      <c r="X1728" s="57">
        <f t="shared" si="435"/>
        <v>123.03135007203971</v>
      </c>
      <c r="Y1728" s="58" t="s">
        <v>58</v>
      </c>
      <c r="Z1728" s="55">
        <f t="shared" si="436"/>
        <v>535</v>
      </c>
      <c r="AA1728" s="59">
        <f t="shared" si="437"/>
        <v>1290860796</v>
      </c>
      <c r="AB1728" s="55">
        <f t="shared" si="438"/>
        <v>214</v>
      </c>
      <c r="AC1728" s="58" t="s">
        <v>58</v>
      </c>
      <c r="AD1728" s="765">
        <f t="shared" si="439"/>
        <v>2683.0577869091489</v>
      </c>
      <c r="AE1728" s="53"/>
      <c r="AF1728" s="35"/>
      <c r="AG1728" s="54"/>
      <c r="AH1728" s="21"/>
      <c r="AI1728" s="40"/>
      <c r="AJ1728" s="53"/>
      <c r="AK1728" s="35" t="str">
        <f t="shared" si="441"/>
        <v>%</v>
      </c>
      <c r="AL1728" s="53"/>
      <c r="AP1728" s="25"/>
    </row>
    <row r="1729" spans="1:34" ht="123.75" customHeight="1">
      <c r="A1729" s="48">
        <v>19</v>
      </c>
      <c r="B1729" s="49" t="s">
        <v>30</v>
      </c>
      <c r="C1729" s="49" t="s">
        <v>68</v>
      </c>
      <c r="D1729" s="281" t="s">
        <v>2145</v>
      </c>
      <c r="E1729" s="119">
        <v>100</v>
      </c>
      <c r="F1729" s="452" t="s">
        <v>58</v>
      </c>
      <c r="G1729" s="52">
        <f>SUM(G1731)</f>
        <v>1617405000</v>
      </c>
      <c r="H1729" s="423">
        <v>94.73684210526315</v>
      </c>
      <c r="I1729" s="52">
        <f>SUM(I1731)</f>
        <v>383792000</v>
      </c>
      <c r="J1729" s="119">
        <v>100</v>
      </c>
      <c r="K1729" s="751">
        <f>SUM(K1731)</f>
        <v>672983700</v>
      </c>
      <c r="L1729" s="107">
        <v>100</v>
      </c>
      <c r="M1729" s="752">
        <f>M1731</f>
        <v>68788454</v>
      </c>
      <c r="N1729" s="108">
        <v>100</v>
      </c>
      <c r="O1729" s="752">
        <f>O1731</f>
        <v>113857746</v>
      </c>
      <c r="P1729" s="108">
        <v>100</v>
      </c>
      <c r="Q1729" s="752">
        <f>Q1731</f>
        <v>59750854</v>
      </c>
      <c r="R1729" s="108">
        <v>100</v>
      </c>
      <c r="S1729" s="752">
        <f>S1731</f>
        <v>248227004</v>
      </c>
      <c r="T1729" s="60">
        <f>N1729</f>
        <v>100</v>
      </c>
      <c r="U1729" s="60">
        <f t="shared" si="433"/>
        <v>100</v>
      </c>
      <c r="V1729" s="48" t="s">
        <v>58</v>
      </c>
      <c r="W1729" s="56">
        <f>SUM(M1729,O1729,Q1729,S1729)</f>
        <v>490624058</v>
      </c>
      <c r="X1729" s="60">
        <f>W1729/K1729*100</f>
        <v>72.90281443666467</v>
      </c>
      <c r="Y1729" s="48" t="s">
        <v>58</v>
      </c>
      <c r="Z1729" s="60">
        <f t="shared" si="436"/>
        <v>194.73684210526315</v>
      </c>
      <c r="AA1729" s="56">
        <f>I1729+W1729</f>
        <v>874416058</v>
      </c>
      <c r="AB1729" s="60"/>
      <c r="AC1729" s="48" t="str">
        <f>V1729</f>
        <v>%</v>
      </c>
      <c r="AD1729" s="60"/>
      <c r="AE1729" s="24" t="s">
        <v>2146</v>
      </c>
      <c r="AH1729" s="25"/>
    </row>
    <row r="1730" spans="1:34" ht="84.75" customHeight="1">
      <c r="A1730" s="16"/>
      <c r="B1730" s="17"/>
      <c r="C1730" s="18"/>
      <c r="D1730" s="19" t="s">
        <v>2147</v>
      </c>
      <c r="E1730" s="108">
        <v>100</v>
      </c>
      <c r="F1730" s="46" t="s">
        <v>58</v>
      </c>
      <c r="G1730" s="41"/>
      <c r="H1730" s="108">
        <v>0</v>
      </c>
      <c r="I1730" s="41"/>
      <c r="J1730" s="108">
        <v>100</v>
      </c>
      <c r="K1730" s="752"/>
      <c r="L1730" s="107">
        <v>100</v>
      </c>
      <c r="M1730" s="752"/>
      <c r="N1730" s="108">
        <v>100</v>
      </c>
      <c r="O1730" s="752"/>
      <c r="P1730" s="108">
        <v>100</v>
      </c>
      <c r="Q1730" s="752"/>
      <c r="R1730" s="108">
        <v>100</v>
      </c>
      <c r="S1730" s="752"/>
      <c r="T1730" s="57">
        <f>SUM(L1730,N1730,P1730,R1730)</f>
        <v>400</v>
      </c>
      <c r="U1730" s="57">
        <f>T1730/J1730*100</f>
        <v>400</v>
      </c>
      <c r="V1730" s="58" t="s">
        <v>58</v>
      </c>
      <c r="W1730" s="94"/>
      <c r="X1730" s="57"/>
      <c r="Y1730" s="58"/>
      <c r="Z1730" s="55">
        <f t="shared" si="436"/>
        <v>400</v>
      </c>
      <c r="AA1730" s="94"/>
      <c r="AB1730" s="57"/>
      <c r="AC1730" s="58" t="s">
        <v>58</v>
      </c>
      <c r="AD1730" s="239"/>
      <c r="AE1730" s="11"/>
      <c r="AH1730" s="25"/>
    </row>
    <row r="1731" spans="1:34" ht="56.25" customHeight="1">
      <c r="A1731" s="16"/>
      <c r="B1731" s="17"/>
      <c r="C1731" s="19" t="s">
        <v>2148</v>
      </c>
      <c r="D1731" s="19" t="s">
        <v>2149</v>
      </c>
      <c r="E1731" s="108">
        <v>100</v>
      </c>
      <c r="F1731" s="46" t="s">
        <v>58</v>
      </c>
      <c r="G1731" s="42">
        <f>SUM(G1732:G1736)</f>
        <v>1617405000</v>
      </c>
      <c r="H1731" s="108">
        <v>100</v>
      </c>
      <c r="I1731" s="42">
        <f>SUM(I1732:I1736)</f>
        <v>383792000</v>
      </c>
      <c r="J1731" s="108">
        <v>100</v>
      </c>
      <c r="K1731" s="748">
        <f>SUM(K1732:K1736)</f>
        <v>672983700</v>
      </c>
      <c r="L1731" s="107">
        <v>100</v>
      </c>
      <c r="M1731" s="748">
        <f>SUM(M1732:M1736)</f>
        <v>68788454</v>
      </c>
      <c r="N1731" s="107">
        <v>100</v>
      </c>
      <c r="O1731" s="748">
        <f>SUM(O1732:O1736)</f>
        <v>113857746</v>
      </c>
      <c r="P1731" s="108">
        <v>100</v>
      </c>
      <c r="Q1731" s="748">
        <f>SUM(Q1732:Q1736)</f>
        <v>59750854</v>
      </c>
      <c r="R1731" s="108">
        <v>100</v>
      </c>
      <c r="S1731" s="748">
        <f>SUM(S1732:S1736)</f>
        <v>248227004</v>
      </c>
      <c r="T1731" s="57">
        <f t="shared" ref="T1731" si="442">SUM(L1731,N1731,P1731,R1731)</f>
        <v>400</v>
      </c>
      <c r="U1731" s="57">
        <f t="shared" si="433"/>
        <v>400</v>
      </c>
      <c r="V1731" s="58" t="s">
        <v>58</v>
      </c>
      <c r="W1731" s="59">
        <f>SUM(M1731,O1731,Q1731,S1731)</f>
        <v>490624058</v>
      </c>
      <c r="X1731" s="57">
        <f>W1731/K1731*100</f>
        <v>72.90281443666467</v>
      </c>
      <c r="Y1731" s="58" t="s">
        <v>58</v>
      </c>
      <c r="Z1731" s="55">
        <f t="shared" si="436"/>
        <v>500</v>
      </c>
      <c r="AA1731" s="59">
        <f>I1731+W1731</f>
        <v>874416058</v>
      </c>
      <c r="AB1731" s="57"/>
      <c r="AC1731" s="58" t="s">
        <v>58</v>
      </c>
      <c r="AD1731" s="57"/>
      <c r="AE1731" s="11"/>
      <c r="AH1731" s="25"/>
    </row>
    <row r="1732" spans="1:34" ht="66.75" customHeight="1">
      <c r="A1732" s="16"/>
      <c r="B1732" s="17"/>
      <c r="C1732" s="29" t="s">
        <v>2150</v>
      </c>
      <c r="D1732" s="29" t="s">
        <v>2151</v>
      </c>
      <c r="E1732" s="44">
        <v>38</v>
      </c>
      <c r="F1732" s="21" t="s">
        <v>55</v>
      </c>
      <c r="G1732" s="23">
        <v>200841600</v>
      </c>
      <c r="H1732" s="44">
        <v>38</v>
      </c>
      <c r="I1732" s="23">
        <v>31653800</v>
      </c>
      <c r="J1732" s="44">
        <v>38</v>
      </c>
      <c r="K1732" s="749">
        <v>80578150</v>
      </c>
      <c r="L1732" s="44">
        <v>38</v>
      </c>
      <c r="M1732" s="749">
        <v>0</v>
      </c>
      <c r="N1732" s="44">
        <v>38</v>
      </c>
      <c r="O1732" s="749">
        <v>6939200</v>
      </c>
      <c r="P1732" s="44">
        <v>38</v>
      </c>
      <c r="Q1732" s="749">
        <v>8887200</v>
      </c>
      <c r="R1732" s="44">
        <v>38</v>
      </c>
      <c r="S1732" s="749">
        <v>46112500</v>
      </c>
      <c r="T1732" s="54">
        <v>38</v>
      </c>
      <c r="U1732" s="54">
        <f>T1732/J1732*100</f>
        <v>100</v>
      </c>
      <c r="V1732" s="35" t="s">
        <v>58</v>
      </c>
      <c r="W1732" s="40">
        <f>SUM(M1732,O1732,Q1732,S1732)</f>
        <v>61938900</v>
      </c>
      <c r="X1732" s="53">
        <f>W1732/K1732*100</f>
        <v>76.868108786314906</v>
      </c>
      <c r="Y1732" s="35" t="s">
        <v>58</v>
      </c>
      <c r="Z1732" s="54">
        <v>38</v>
      </c>
      <c r="AA1732" s="40">
        <f>I1732+W1732</f>
        <v>93592700</v>
      </c>
      <c r="AB1732" s="53"/>
      <c r="AC1732" s="35" t="s">
        <v>58</v>
      </c>
      <c r="AD1732" s="53"/>
      <c r="AE1732" s="11"/>
      <c r="AG1732" s="290"/>
      <c r="AH1732" s="25"/>
    </row>
    <row r="1733" spans="1:34" ht="51.75" customHeight="1">
      <c r="A1733" s="16"/>
      <c r="B1733" s="17"/>
      <c r="C1733" s="29" t="s">
        <v>2152</v>
      </c>
      <c r="D1733" s="29" t="s">
        <v>2153</v>
      </c>
      <c r="E1733" s="44">
        <v>38</v>
      </c>
      <c r="F1733" s="21" t="s">
        <v>173</v>
      </c>
      <c r="G1733" s="23">
        <v>738638400</v>
      </c>
      <c r="H1733" s="44">
        <v>38</v>
      </c>
      <c r="I1733" s="23">
        <v>126163200</v>
      </c>
      <c r="J1733" s="44">
        <v>38</v>
      </c>
      <c r="K1733" s="749">
        <v>152626500</v>
      </c>
      <c r="L1733" s="44">
        <v>38</v>
      </c>
      <c r="M1733" s="748">
        <v>22090900</v>
      </c>
      <c r="N1733" s="44">
        <v>38</v>
      </c>
      <c r="O1733" s="749">
        <v>45337500</v>
      </c>
      <c r="P1733" s="44">
        <v>38</v>
      </c>
      <c r="Q1733" s="749">
        <v>6275000</v>
      </c>
      <c r="R1733" s="44">
        <v>38</v>
      </c>
      <c r="S1733" s="749">
        <v>21982000</v>
      </c>
      <c r="T1733" s="54">
        <v>38</v>
      </c>
      <c r="U1733" s="54">
        <f t="shared" si="433"/>
        <v>100</v>
      </c>
      <c r="V1733" s="35" t="s">
        <v>58</v>
      </c>
      <c r="W1733" s="40">
        <f>SUM(M1733,O1733,Q1733,S1733)</f>
        <v>95685400</v>
      </c>
      <c r="X1733" s="53">
        <f>W1733/K1733*100</f>
        <v>62.692520630427872</v>
      </c>
      <c r="Y1733" s="35" t="s">
        <v>58</v>
      </c>
      <c r="Z1733" s="54">
        <v>38</v>
      </c>
      <c r="AA1733" s="40">
        <f>I1733+W1733</f>
        <v>221848600</v>
      </c>
      <c r="AB1733" s="53"/>
      <c r="AC1733" s="35" t="s">
        <v>58</v>
      </c>
      <c r="AD1733" s="53"/>
      <c r="AE1733" s="11"/>
      <c r="AG1733" s="290"/>
      <c r="AH1733" s="25"/>
    </row>
    <row r="1734" spans="1:34" ht="98.45" customHeight="1">
      <c r="A1734" s="16"/>
      <c r="B1734" s="17"/>
      <c r="C1734" s="29" t="s">
        <v>2154</v>
      </c>
      <c r="D1734" s="29" t="s">
        <v>2155</v>
      </c>
      <c r="E1734" s="44">
        <v>39</v>
      </c>
      <c r="F1734" s="21" t="s">
        <v>1307</v>
      </c>
      <c r="G1734" s="23">
        <v>677925000</v>
      </c>
      <c r="H1734" s="44">
        <v>38</v>
      </c>
      <c r="I1734" s="23">
        <v>225975000</v>
      </c>
      <c r="J1734" s="44">
        <v>38</v>
      </c>
      <c r="K1734" s="749">
        <v>280415950</v>
      </c>
      <c r="L1734" s="44">
        <v>38</v>
      </c>
      <c r="M1734" s="748">
        <v>36083654</v>
      </c>
      <c r="N1734" s="44">
        <v>38</v>
      </c>
      <c r="O1734" s="749">
        <v>39943546</v>
      </c>
      <c r="P1734" s="44">
        <v>38</v>
      </c>
      <c r="Q1734" s="749">
        <v>21876154</v>
      </c>
      <c r="R1734" s="44">
        <v>38</v>
      </c>
      <c r="S1734" s="749">
        <v>143446004</v>
      </c>
      <c r="T1734" s="54">
        <v>38</v>
      </c>
      <c r="U1734" s="54">
        <f>T1734/J1734*100</f>
        <v>100</v>
      </c>
      <c r="V1734" s="35" t="s">
        <v>58</v>
      </c>
      <c r="W1734" s="40">
        <f>SUM(M1734,O1734,Q1734,S1734)</f>
        <v>241349358</v>
      </c>
      <c r="X1734" s="53">
        <f>W1734/K1734*100</f>
        <v>86.068341690264049</v>
      </c>
      <c r="Y1734" s="35" t="s">
        <v>58</v>
      </c>
      <c r="Z1734" s="54">
        <v>38</v>
      </c>
      <c r="AA1734" s="40">
        <f>I1734+W1734</f>
        <v>467324358</v>
      </c>
      <c r="AB1734" s="53"/>
      <c r="AC1734" s="35" t="s">
        <v>58</v>
      </c>
      <c r="AD1734" s="53"/>
      <c r="AE1734" s="11"/>
      <c r="AG1734" s="290"/>
      <c r="AH1734" s="25"/>
    </row>
    <row r="1735" spans="1:34" ht="81.75" customHeight="1">
      <c r="A1735" s="16"/>
      <c r="B1735" s="17"/>
      <c r="C1735" s="780" t="s">
        <v>2156</v>
      </c>
      <c r="D1735" s="29" t="s">
        <v>2157</v>
      </c>
      <c r="E1735" s="44">
        <v>38</v>
      </c>
      <c r="F1735" s="21" t="s">
        <v>55</v>
      </c>
      <c r="G1735" s="23"/>
      <c r="H1735" s="44"/>
      <c r="I1735" s="23"/>
      <c r="J1735" s="44">
        <v>38</v>
      </c>
      <c r="K1735" s="749">
        <v>69244100</v>
      </c>
      <c r="L1735" s="44">
        <v>38</v>
      </c>
      <c r="M1735" s="748">
        <v>476400</v>
      </c>
      <c r="N1735" s="44">
        <v>38</v>
      </c>
      <c r="O1735" s="749">
        <v>19525000</v>
      </c>
      <c r="P1735" s="44">
        <v>38</v>
      </c>
      <c r="Q1735" s="749">
        <v>4575000</v>
      </c>
      <c r="R1735" s="44">
        <v>38</v>
      </c>
      <c r="S1735" s="749">
        <v>3909000</v>
      </c>
      <c r="T1735" s="54">
        <v>38</v>
      </c>
      <c r="U1735" s="54">
        <f>T1735/J1735*100</f>
        <v>100</v>
      </c>
      <c r="V1735" s="35" t="s">
        <v>58</v>
      </c>
      <c r="W1735" s="40">
        <f t="shared" ref="W1735:W1736" si="443">SUM(M1735,O1735,Q1735,S1735)</f>
        <v>28485400</v>
      </c>
      <c r="X1735" s="53">
        <f t="shared" ref="X1735:X1736" si="444">W1735/K1735*100</f>
        <v>41.137656493477422</v>
      </c>
      <c r="Y1735" s="35" t="s">
        <v>58</v>
      </c>
      <c r="Z1735" s="54">
        <v>38</v>
      </c>
      <c r="AA1735" s="40">
        <f t="shared" ref="AA1735:AA1736" si="445">I1735+W1735</f>
        <v>28485400</v>
      </c>
      <c r="AB1735" s="53"/>
      <c r="AC1735" s="35" t="s">
        <v>58</v>
      </c>
      <c r="AD1735" s="53"/>
      <c r="AE1735" s="11"/>
      <c r="AG1735" s="290"/>
      <c r="AH1735" s="25"/>
    </row>
    <row r="1736" spans="1:34" ht="78.75" customHeight="1">
      <c r="A1736" s="16"/>
      <c r="B1736" s="17"/>
      <c r="C1736" s="29" t="s">
        <v>2158</v>
      </c>
      <c r="D1736" s="29" t="s">
        <v>2155</v>
      </c>
      <c r="E1736" s="44">
        <v>39</v>
      </c>
      <c r="F1736" s="21" t="s">
        <v>55</v>
      </c>
      <c r="G1736" s="23"/>
      <c r="H1736" s="44"/>
      <c r="I1736" s="23"/>
      <c r="J1736" s="44">
        <v>38</v>
      </c>
      <c r="K1736" s="749">
        <v>90119000</v>
      </c>
      <c r="L1736" s="44">
        <v>38</v>
      </c>
      <c r="M1736" s="748">
        <v>10137500</v>
      </c>
      <c r="N1736" s="44">
        <v>38</v>
      </c>
      <c r="O1736" s="749">
        <v>2112500</v>
      </c>
      <c r="P1736" s="44">
        <v>38</v>
      </c>
      <c r="Q1736" s="749">
        <v>18137500</v>
      </c>
      <c r="R1736" s="44">
        <v>38</v>
      </c>
      <c r="S1736" s="749">
        <v>32777500</v>
      </c>
      <c r="T1736" s="54">
        <v>38</v>
      </c>
      <c r="U1736" s="54">
        <f t="shared" ref="U1736" si="446">T1736/J1736*100</f>
        <v>100</v>
      </c>
      <c r="V1736" s="35" t="s">
        <v>58</v>
      </c>
      <c r="W1736" s="40">
        <f t="shared" si="443"/>
        <v>63165000</v>
      </c>
      <c r="X1736" s="53">
        <f t="shared" si="444"/>
        <v>70.090657907877358</v>
      </c>
      <c r="Y1736" s="35" t="s">
        <v>58</v>
      </c>
      <c r="Z1736" s="54">
        <v>38</v>
      </c>
      <c r="AA1736" s="40">
        <f t="shared" si="445"/>
        <v>63165000</v>
      </c>
      <c r="AB1736" s="53"/>
      <c r="AC1736" s="35" t="s">
        <v>58</v>
      </c>
      <c r="AD1736" s="53"/>
      <c r="AE1736" s="11"/>
      <c r="AG1736" s="290"/>
      <c r="AH1736" s="25"/>
    </row>
    <row r="1737" spans="1:34" ht="198.75" customHeight="1">
      <c r="A1737" s="1077">
        <v>2</v>
      </c>
      <c r="B1737" s="281" t="s">
        <v>2159</v>
      </c>
      <c r="C1737" s="1065" t="s">
        <v>2160</v>
      </c>
      <c r="D1737" s="358" t="s">
        <v>2161</v>
      </c>
      <c r="E1737" s="774">
        <v>100</v>
      </c>
      <c r="F1737" s="46" t="s">
        <v>58</v>
      </c>
      <c r="G1737" s="42">
        <f>G1740</f>
        <v>546107000</v>
      </c>
      <c r="H1737" s="774">
        <v>100</v>
      </c>
      <c r="I1737" s="42">
        <f>I1740</f>
        <v>1463497768</v>
      </c>
      <c r="J1737" s="774">
        <v>100</v>
      </c>
      <c r="K1737" s="748">
        <f>K1740</f>
        <v>1448540200</v>
      </c>
      <c r="L1737" s="774">
        <v>100</v>
      </c>
      <c r="M1737" s="748">
        <f>M1740</f>
        <v>311843000</v>
      </c>
      <c r="N1737" s="774">
        <v>100</v>
      </c>
      <c r="O1737" s="748">
        <f>O1740</f>
        <v>354035300</v>
      </c>
      <c r="P1737" s="774">
        <v>0</v>
      </c>
      <c r="Q1737" s="748">
        <f>Q1740</f>
        <v>251662500</v>
      </c>
      <c r="R1737" s="774"/>
      <c r="S1737" s="748"/>
      <c r="T1737" s="55">
        <f>AVERAGE(L1737,N1737,P1737,R1737)</f>
        <v>66.666666666666671</v>
      </c>
      <c r="U1737" s="55">
        <f>T1737/J1737*100</f>
        <v>66.666666666666671</v>
      </c>
      <c r="V1737" s="58" t="s">
        <v>58</v>
      </c>
      <c r="W1737" s="59">
        <f>SUM(M1737,O1737,Q1737,S1737)</f>
        <v>917540800</v>
      </c>
      <c r="X1737" s="57">
        <f>W1737/K1737*100</f>
        <v>63.342446416053896</v>
      </c>
      <c r="Y1737" s="58" t="s">
        <v>58</v>
      </c>
      <c r="Z1737" s="55">
        <f>H1737+T1737</f>
        <v>166.66666666666669</v>
      </c>
      <c r="AA1737" s="59">
        <f>I1737+W1737</f>
        <v>2381038568</v>
      </c>
      <c r="AB1737" s="57"/>
      <c r="AC1737" s="58"/>
      <c r="AD1737" s="765"/>
      <c r="AE1737" s="1065" t="s">
        <v>2162</v>
      </c>
      <c r="AH1737" s="25"/>
    </row>
    <row r="1738" spans="1:34" ht="63.75" customHeight="1">
      <c r="A1738" s="1075"/>
      <c r="B1738" s="766"/>
      <c r="C1738" s="1066"/>
      <c r="D1738" s="358" t="s">
        <v>2163</v>
      </c>
      <c r="E1738" s="774">
        <v>39</v>
      </c>
      <c r="F1738" s="46" t="s">
        <v>1307</v>
      </c>
      <c r="G1738" s="42">
        <f>G1743</f>
        <v>198892500</v>
      </c>
      <c r="H1738" s="774">
        <v>100</v>
      </c>
      <c r="I1738" s="42">
        <f>I1743</f>
        <v>277676250</v>
      </c>
      <c r="J1738" s="774">
        <v>100</v>
      </c>
      <c r="K1738" s="748">
        <v>1448540200</v>
      </c>
      <c r="L1738" s="774">
        <v>100</v>
      </c>
      <c r="M1738" s="748">
        <f>M1743</f>
        <v>80340000</v>
      </c>
      <c r="N1738" s="774">
        <v>100</v>
      </c>
      <c r="O1738" s="748">
        <f>O1743</f>
        <v>98960000</v>
      </c>
      <c r="P1738" s="774">
        <v>0</v>
      </c>
      <c r="Q1738" s="748">
        <f>Q1743</f>
        <v>6000000</v>
      </c>
      <c r="R1738" s="774"/>
      <c r="S1738" s="748"/>
      <c r="T1738" s="55">
        <f>AVERAGE(L1738,N1738,P1738,R1738)</f>
        <v>66.666666666666671</v>
      </c>
      <c r="U1738" s="55">
        <f t="shared" ref="U1738:U1739" si="447">T1738/J1738*100</f>
        <v>66.666666666666671</v>
      </c>
      <c r="V1738" s="58" t="s">
        <v>58</v>
      </c>
      <c r="W1738" s="59">
        <f t="shared" ref="W1738:W1739" si="448">SUM(M1738,O1738,Q1738,S1738)</f>
        <v>185300000</v>
      </c>
      <c r="X1738" s="57">
        <f t="shared" ref="X1738:X1739" si="449">W1738/K1738*100</f>
        <v>12.792188991372141</v>
      </c>
      <c r="Y1738" s="58" t="s">
        <v>58</v>
      </c>
      <c r="Z1738" s="55">
        <f t="shared" ref="Z1738:Z1739" si="450">H1738+T1738</f>
        <v>166.66666666666669</v>
      </c>
      <c r="AA1738" s="59">
        <f t="shared" ref="AA1738:AA1739" si="451">I1738+W1738</f>
        <v>462976250</v>
      </c>
      <c r="AB1738" s="57"/>
      <c r="AC1738" s="58"/>
      <c r="AD1738" s="765"/>
      <c r="AE1738" s="1066"/>
      <c r="AH1738" s="25"/>
    </row>
    <row r="1739" spans="1:34" ht="57" customHeight="1">
      <c r="A1739" s="1078"/>
      <c r="B1739" s="483"/>
      <c r="C1739" s="1067"/>
      <c r="D1739" s="358" t="s">
        <v>2164</v>
      </c>
      <c r="E1739" s="774">
        <v>39</v>
      </c>
      <c r="F1739" s="46" t="s">
        <v>1307</v>
      </c>
      <c r="G1739" s="42">
        <f>G1743</f>
        <v>198892500</v>
      </c>
      <c r="H1739" s="774">
        <v>100</v>
      </c>
      <c r="I1739" s="42">
        <f>I1743</f>
        <v>277676250</v>
      </c>
      <c r="J1739" s="774">
        <v>100</v>
      </c>
      <c r="K1739" s="748">
        <v>1448540200</v>
      </c>
      <c r="L1739" s="774">
        <v>100</v>
      </c>
      <c r="M1739" s="748">
        <f>M1743</f>
        <v>80340000</v>
      </c>
      <c r="N1739" s="774">
        <v>100</v>
      </c>
      <c r="O1739" s="748">
        <f>O1743</f>
        <v>98960000</v>
      </c>
      <c r="P1739" s="774">
        <v>0</v>
      </c>
      <c r="Q1739" s="748">
        <f>Q1743</f>
        <v>6000000</v>
      </c>
      <c r="R1739" s="774"/>
      <c r="S1739" s="748"/>
      <c r="T1739" s="55">
        <f>AVERAGE(L1739,N1739,P1739,R1739)</f>
        <v>66.666666666666671</v>
      </c>
      <c r="U1739" s="55">
        <f t="shared" si="447"/>
        <v>66.666666666666671</v>
      </c>
      <c r="V1739" s="58" t="s">
        <v>58</v>
      </c>
      <c r="W1739" s="59">
        <f t="shared" si="448"/>
        <v>185300000</v>
      </c>
      <c r="X1739" s="57">
        <f t="shared" si="449"/>
        <v>12.792188991372141</v>
      </c>
      <c r="Y1739" s="58" t="s">
        <v>58</v>
      </c>
      <c r="Z1739" s="55">
        <f t="shared" si="450"/>
        <v>166.66666666666669</v>
      </c>
      <c r="AA1739" s="59">
        <f t="shared" si="451"/>
        <v>462976250</v>
      </c>
      <c r="AB1739" s="57"/>
      <c r="AC1739" s="58"/>
      <c r="AD1739" s="765"/>
      <c r="AE1739" s="1067"/>
      <c r="AH1739" s="25"/>
    </row>
    <row r="1740" spans="1:34" ht="86.25" customHeight="1">
      <c r="A1740" s="16"/>
      <c r="B1740" s="17"/>
      <c r="C1740" s="19" t="s">
        <v>2165</v>
      </c>
      <c r="D1740" s="19" t="s">
        <v>2166</v>
      </c>
      <c r="E1740" s="774">
        <v>100</v>
      </c>
      <c r="F1740" s="46" t="s">
        <v>58</v>
      </c>
      <c r="G1740" s="42">
        <f>SUM(G1741:G1743)</f>
        <v>546107000</v>
      </c>
      <c r="H1740" s="108">
        <v>200</v>
      </c>
      <c r="I1740" s="42">
        <f>SUM(I1741:I1743)</f>
        <v>1463497768</v>
      </c>
      <c r="J1740" s="108">
        <v>100</v>
      </c>
      <c r="K1740" s="748">
        <f>SUM(K1741:K1743)</f>
        <v>1448540200</v>
      </c>
      <c r="L1740" s="108">
        <v>100</v>
      </c>
      <c r="M1740" s="748">
        <f>SUM(M1741:M1743)</f>
        <v>311843000</v>
      </c>
      <c r="N1740" s="108">
        <v>100</v>
      </c>
      <c r="O1740" s="748">
        <f>SUM(O1741:O1743)</f>
        <v>354035300</v>
      </c>
      <c r="P1740" s="108">
        <v>100</v>
      </c>
      <c r="Q1740" s="748">
        <f>SUM(Q1741:Q1743)</f>
        <v>251662500</v>
      </c>
      <c r="R1740" s="42"/>
      <c r="S1740" s="748">
        <f>SUM(S1741:S1743)</f>
        <v>223233900</v>
      </c>
      <c r="T1740" s="55">
        <f>SUM(L1740,N1740,P1740,R1740)</f>
        <v>300</v>
      </c>
      <c r="U1740" s="55">
        <f>T1740/J1740*100</f>
        <v>300</v>
      </c>
      <c r="V1740" s="58" t="s">
        <v>58</v>
      </c>
      <c r="W1740" s="59">
        <f>SUM(M1740,O1740,Q1740,S1740)</f>
        <v>1140774700</v>
      </c>
      <c r="X1740" s="57">
        <f>W1740/K1740*100</f>
        <v>78.75340290866626</v>
      </c>
      <c r="Y1740" s="58" t="s">
        <v>58</v>
      </c>
      <c r="Z1740" s="55">
        <f>H1740+T1740</f>
        <v>500</v>
      </c>
      <c r="AA1740" s="59">
        <f>I1740+W1740</f>
        <v>2604272468</v>
      </c>
      <c r="AB1740" s="57"/>
      <c r="AC1740" s="58"/>
      <c r="AD1740" s="765"/>
      <c r="AE1740" s="45"/>
      <c r="AH1740" s="25"/>
    </row>
    <row r="1741" spans="1:34" ht="111.75" customHeight="1">
      <c r="A1741" s="16"/>
      <c r="B1741" s="17"/>
      <c r="C1741" s="29" t="s">
        <v>2167</v>
      </c>
      <c r="D1741" s="29" t="s">
        <v>2168</v>
      </c>
      <c r="E1741" s="44">
        <f>J1741*3</f>
        <v>36</v>
      </c>
      <c r="F1741" s="21" t="s">
        <v>55</v>
      </c>
      <c r="G1741" s="23">
        <v>271695500</v>
      </c>
      <c r="H1741" s="44">
        <v>24</v>
      </c>
      <c r="I1741" s="23">
        <v>1028614218</v>
      </c>
      <c r="J1741" s="44">
        <v>12</v>
      </c>
      <c r="K1741" s="749">
        <v>1078080200</v>
      </c>
      <c r="L1741" s="44">
        <v>3</v>
      </c>
      <c r="M1741" s="749">
        <v>222458000</v>
      </c>
      <c r="N1741" s="44">
        <v>3</v>
      </c>
      <c r="O1741" s="749">
        <v>249450300</v>
      </c>
      <c r="P1741" s="44">
        <v>3</v>
      </c>
      <c r="Q1741" s="749">
        <v>234825000</v>
      </c>
      <c r="R1741" s="44">
        <v>3</v>
      </c>
      <c r="S1741" s="749">
        <v>214514100</v>
      </c>
      <c r="T1741" s="54">
        <f>SUM(L1741,N1741,P1741,R1741)</f>
        <v>12</v>
      </c>
      <c r="U1741" s="53">
        <f>T1741/J1741*100</f>
        <v>100</v>
      </c>
      <c r="V1741" s="35" t="s">
        <v>58</v>
      </c>
      <c r="W1741" s="40">
        <f>SUM(M1741,O1741,Q1741,S1741)</f>
        <v>921247400</v>
      </c>
      <c r="X1741" s="53">
        <f>W1741/K1741*100</f>
        <v>85.452585067418923</v>
      </c>
      <c r="Y1741" s="35" t="s">
        <v>58</v>
      </c>
      <c r="Z1741" s="55">
        <f>H1741+T1741</f>
        <v>36</v>
      </c>
      <c r="AA1741" s="59">
        <f>I1741+W1741</f>
        <v>1949861618</v>
      </c>
      <c r="AB1741" s="53"/>
      <c r="AC1741" s="35"/>
      <c r="AD1741" s="580"/>
      <c r="AE1741" s="45"/>
      <c r="AH1741" s="25"/>
    </row>
    <row r="1742" spans="1:34" ht="90">
      <c r="A1742" s="16"/>
      <c r="B1742" s="17"/>
      <c r="C1742" s="29" t="s">
        <v>2169</v>
      </c>
      <c r="D1742" s="459" t="s">
        <v>2170</v>
      </c>
      <c r="E1742" s="20">
        <f>J1742*3</f>
        <v>9</v>
      </c>
      <c r="F1742" s="47" t="s">
        <v>55</v>
      </c>
      <c r="G1742" s="23">
        <v>75519000</v>
      </c>
      <c r="H1742" s="20">
        <v>5</v>
      </c>
      <c r="I1742" s="23">
        <v>157207300</v>
      </c>
      <c r="J1742" s="20">
        <v>3</v>
      </c>
      <c r="K1742" s="749">
        <v>132797500</v>
      </c>
      <c r="L1742" s="20">
        <v>1</v>
      </c>
      <c r="M1742" s="749">
        <v>9045000</v>
      </c>
      <c r="N1742" s="20">
        <v>1</v>
      </c>
      <c r="O1742" s="749">
        <v>5625000</v>
      </c>
      <c r="P1742" s="20">
        <v>1</v>
      </c>
      <c r="Q1742" s="749">
        <v>10837500</v>
      </c>
      <c r="R1742" s="20">
        <v>0</v>
      </c>
      <c r="S1742" s="749">
        <v>6657300</v>
      </c>
      <c r="T1742" s="54">
        <f>SUM(L1742,N1742,P1742,R1742)</f>
        <v>3</v>
      </c>
      <c r="U1742" s="53">
        <f>T1742/J1742*100</f>
        <v>100</v>
      </c>
      <c r="V1742" s="35" t="s">
        <v>58</v>
      </c>
      <c r="W1742" s="40">
        <f>SUM(M1742,O1742,Q1742,S1742)</f>
        <v>32164800</v>
      </c>
      <c r="X1742" s="53">
        <f>W1742/K1742*100</f>
        <v>24.220937894162166</v>
      </c>
      <c r="Y1742" s="35" t="s">
        <v>58</v>
      </c>
      <c r="Z1742" s="55">
        <f>H1742+T1742</f>
        <v>8</v>
      </c>
      <c r="AA1742" s="59">
        <f>I1742+W1742</f>
        <v>189372100</v>
      </c>
      <c r="AB1742" s="53"/>
      <c r="AC1742" s="35"/>
      <c r="AD1742" s="580"/>
      <c r="AE1742" s="45"/>
      <c r="AH1742" s="25"/>
    </row>
    <row r="1743" spans="1:34" ht="105">
      <c r="A1743" s="16"/>
      <c r="B1743" s="17"/>
      <c r="C1743" s="61" t="s">
        <v>2171</v>
      </c>
      <c r="D1743" s="61" t="s">
        <v>2172</v>
      </c>
      <c r="E1743" s="126">
        <f>J1743*3</f>
        <v>9</v>
      </c>
      <c r="F1743" s="416" t="s">
        <v>55</v>
      </c>
      <c r="G1743" s="62">
        <v>198892500</v>
      </c>
      <c r="H1743" s="126">
        <v>6</v>
      </c>
      <c r="I1743" s="62">
        <v>277676250</v>
      </c>
      <c r="J1743" s="126">
        <v>3</v>
      </c>
      <c r="K1743" s="782">
        <v>237662500</v>
      </c>
      <c r="L1743" s="126">
        <v>3</v>
      </c>
      <c r="M1743" s="782">
        <v>80340000</v>
      </c>
      <c r="N1743" s="126">
        <v>0</v>
      </c>
      <c r="O1743" s="782">
        <v>98960000</v>
      </c>
      <c r="P1743" s="20">
        <v>0</v>
      </c>
      <c r="Q1743" s="749">
        <v>6000000</v>
      </c>
      <c r="R1743" s="126">
        <v>0</v>
      </c>
      <c r="S1743" s="782">
        <v>2062500</v>
      </c>
      <c r="T1743" s="427">
        <f>SUM(L1743,N1743,P1743,R1743)</f>
        <v>3</v>
      </c>
      <c r="U1743" s="427">
        <f>T1743/J1743*100</f>
        <v>100</v>
      </c>
      <c r="V1743" s="253" t="s">
        <v>58</v>
      </c>
      <c r="W1743" s="80">
        <f>SUM(M1743,O1743,Q1743,S1743)</f>
        <v>187362500</v>
      </c>
      <c r="X1743" s="248">
        <f>W1743/K1743*100</f>
        <v>78.835533582285805</v>
      </c>
      <c r="Y1743" s="253" t="s">
        <v>58</v>
      </c>
      <c r="Z1743" s="449">
        <f>H1743+T1743</f>
        <v>9</v>
      </c>
      <c r="AA1743" s="56">
        <f>I1743+W1743</f>
        <v>465038750</v>
      </c>
      <c r="AB1743" s="248"/>
      <c r="AC1743" s="253"/>
      <c r="AD1743" s="783"/>
      <c r="AE1743" s="45"/>
      <c r="AH1743" s="25"/>
    </row>
    <row r="1744" spans="1:34" s="78" customFormat="1" ht="65.25" customHeight="1">
      <c r="A1744" s="58"/>
      <c r="B1744" s="19" t="s">
        <v>30</v>
      </c>
      <c r="C1744" s="19" t="s">
        <v>2173</v>
      </c>
      <c r="D1744" s="418" t="s">
        <v>2174</v>
      </c>
      <c r="E1744" s="108">
        <v>100</v>
      </c>
      <c r="F1744" s="46" t="s">
        <v>58</v>
      </c>
      <c r="G1744" s="42">
        <f>G1745</f>
        <v>906669000</v>
      </c>
      <c r="H1744" s="108">
        <v>100</v>
      </c>
      <c r="I1744" s="376">
        <f>I1745</f>
        <v>447337200</v>
      </c>
      <c r="J1744" s="108">
        <v>100</v>
      </c>
      <c r="K1744" s="773">
        <f>K1745</f>
        <v>856907100</v>
      </c>
      <c r="L1744" s="689">
        <v>25</v>
      </c>
      <c r="M1744" s="748">
        <f>SUM(M1745)</f>
        <v>75516250</v>
      </c>
      <c r="N1744" s="45">
        <v>25</v>
      </c>
      <c r="O1744" s="748">
        <f>O1745</f>
        <v>230280000</v>
      </c>
      <c r="P1744" s="45">
        <v>50</v>
      </c>
      <c r="Q1744" s="748">
        <f>Q1745</f>
        <v>431818000</v>
      </c>
      <c r="R1744" s="45">
        <v>16</v>
      </c>
      <c r="S1744" s="748">
        <f>S1745</f>
        <v>789814555</v>
      </c>
      <c r="T1744" s="449">
        <f t="shared" ref="T1744:T1748" si="452">SUM(L1744,N1744,P1744,R1744)</f>
        <v>116</v>
      </c>
      <c r="U1744" s="449">
        <f t="shared" ref="U1744:U1748" si="453">T1744/J1744*100</f>
        <v>115.99999999999999</v>
      </c>
      <c r="V1744" s="48" t="s">
        <v>58</v>
      </c>
      <c r="W1744" s="56">
        <f>W1745</f>
        <v>1527428805</v>
      </c>
      <c r="X1744" s="60">
        <f t="shared" ref="X1744:X1748" si="454">W1744/K1744*100</f>
        <v>178.24905465248219</v>
      </c>
      <c r="Y1744" s="48" t="s">
        <v>58</v>
      </c>
      <c r="Z1744" s="449">
        <f t="shared" ref="Z1744:Z1748" si="455">H1744+T1744</f>
        <v>216</v>
      </c>
      <c r="AA1744" s="56">
        <f t="shared" ref="AA1744:AA1748" si="456">I1744+W1744</f>
        <v>1974766005</v>
      </c>
      <c r="AB1744" s="57"/>
      <c r="AC1744" s="58"/>
      <c r="AD1744" s="765"/>
      <c r="AE1744" s="45"/>
      <c r="AH1744" s="79"/>
    </row>
    <row r="1745" spans="1:34" s="78" customFormat="1" ht="65.25" customHeight="1">
      <c r="A1745" s="58"/>
      <c r="B1745" s="19"/>
      <c r="C1745" s="19" t="s">
        <v>2175</v>
      </c>
      <c r="D1745" s="19" t="s">
        <v>2176</v>
      </c>
      <c r="E1745" s="108">
        <v>100</v>
      </c>
      <c r="F1745" s="46" t="s">
        <v>58</v>
      </c>
      <c r="G1745" s="42">
        <f>SUM(G1746:G1748)</f>
        <v>906669000</v>
      </c>
      <c r="H1745" s="108">
        <v>100</v>
      </c>
      <c r="I1745" s="376">
        <f>SUM(I1746:I1748)</f>
        <v>447337200</v>
      </c>
      <c r="J1745" s="108">
        <v>100</v>
      </c>
      <c r="K1745" s="773">
        <f>SUM(K1746:K1748)</f>
        <v>856907100</v>
      </c>
      <c r="L1745" s="108">
        <v>100</v>
      </c>
      <c r="M1745" s="748">
        <f>SUM(M1746:M1748)</f>
        <v>75516250</v>
      </c>
      <c r="N1745" s="108">
        <v>100</v>
      </c>
      <c r="O1745" s="748">
        <f>SUM(O1746:O1748)</f>
        <v>230280000</v>
      </c>
      <c r="P1745" s="108">
        <v>100</v>
      </c>
      <c r="Q1745" s="748">
        <f>SUM(Q1746:Q1748)</f>
        <v>431818000</v>
      </c>
      <c r="R1745" s="45"/>
      <c r="S1745" s="748">
        <v>789814555</v>
      </c>
      <c r="T1745" s="449">
        <f t="shared" si="452"/>
        <v>300</v>
      </c>
      <c r="U1745" s="449">
        <f t="shared" si="453"/>
        <v>300</v>
      </c>
      <c r="V1745" s="48" t="s">
        <v>58</v>
      </c>
      <c r="W1745" s="56">
        <f t="shared" ref="W1745:W1808" si="457">SUM(M1745,O1745,Q1745,S1745)</f>
        <v>1527428805</v>
      </c>
      <c r="X1745" s="60">
        <f t="shared" si="454"/>
        <v>178.24905465248219</v>
      </c>
      <c r="Y1745" s="48" t="s">
        <v>58</v>
      </c>
      <c r="Z1745" s="449">
        <f t="shared" si="455"/>
        <v>400</v>
      </c>
      <c r="AA1745" s="56">
        <f t="shared" si="456"/>
        <v>1974766005</v>
      </c>
      <c r="AB1745" s="57"/>
      <c r="AC1745" s="58"/>
      <c r="AD1745" s="765"/>
      <c r="AE1745" s="45"/>
      <c r="AH1745" s="79"/>
    </row>
    <row r="1746" spans="1:34" ht="65.25" customHeight="1">
      <c r="A1746" s="58"/>
      <c r="B1746" s="19"/>
      <c r="C1746" s="29" t="s">
        <v>2177</v>
      </c>
      <c r="D1746" s="29" t="s">
        <v>2178</v>
      </c>
      <c r="E1746" s="44">
        <v>100</v>
      </c>
      <c r="F1746" s="46" t="s">
        <v>58</v>
      </c>
      <c r="G1746" s="23">
        <v>285650000</v>
      </c>
      <c r="H1746" s="108">
        <v>100</v>
      </c>
      <c r="I1746" s="374">
        <v>119143900</v>
      </c>
      <c r="J1746" s="44">
        <v>60</v>
      </c>
      <c r="K1746" s="749">
        <v>297602000</v>
      </c>
      <c r="L1746" s="44">
        <v>17</v>
      </c>
      <c r="M1746" s="749">
        <v>15764750</v>
      </c>
      <c r="N1746" s="44">
        <v>17</v>
      </c>
      <c r="O1746" s="749">
        <v>69002250</v>
      </c>
      <c r="P1746" s="44">
        <v>50</v>
      </c>
      <c r="Q1746" s="749">
        <v>167864750</v>
      </c>
      <c r="R1746" s="44">
        <v>16</v>
      </c>
      <c r="S1746" s="749">
        <v>257820000</v>
      </c>
      <c r="T1746" s="427">
        <f t="shared" si="452"/>
        <v>100</v>
      </c>
      <c r="U1746" s="427">
        <f t="shared" si="453"/>
        <v>166.66666666666669</v>
      </c>
      <c r="V1746" s="253" t="s">
        <v>58</v>
      </c>
      <c r="W1746" s="80">
        <f t="shared" si="457"/>
        <v>510451750</v>
      </c>
      <c r="X1746" s="248">
        <f t="shared" si="454"/>
        <v>171.52161275797877</v>
      </c>
      <c r="Y1746" s="253" t="s">
        <v>58</v>
      </c>
      <c r="Z1746" s="449">
        <f t="shared" si="455"/>
        <v>200</v>
      </c>
      <c r="AA1746" s="56">
        <f t="shared" si="456"/>
        <v>629595650</v>
      </c>
      <c r="AB1746" s="53"/>
      <c r="AC1746" s="35"/>
      <c r="AD1746" s="580"/>
      <c r="AE1746" s="45"/>
      <c r="AH1746" s="25"/>
    </row>
    <row r="1747" spans="1:34" ht="65.25" customHeight="1">
      <c r="A1747" s="58"/>
      <c r="B1747" s="19"/>
      <c r="C1747" s="29" t="s">
        <v>2179</v>
      </c>
      <c r="D1747" s="29" t="s">
        <v>2180</v>
      </c>
      <c r="E1747" s="44">
        <v>100</v>
      </c>
      <c r="F1747" s="46" t="s">
        <v>58</v>
      </c>
      <c r="G1747" s="23">
        <v>413050000</v>
      </c>
      <c r="H1747" s="108">
        <v>100</v>
      </c>
      <c r="I1747" s="374">
        <v>160625600</v>
      </c>
      <c r="J1747" s="44">
        <v>100</v>
      </c>
      <c r="K1747" s="749">
        <v>394875000</v>
      </c>
      <c r="L1747" s="20">
        <v>20</v>
      </c>
      <c r="M1747" s="749">
        <v>19551500</v>
      </c>
      <c r="N1747" s="20">
        <v>20</v>
      </c>
      <c r="O1747" s="749">
        <v>110627750</v>
      </c>
      <c r="P1747" s="20">
        <v>40</v>
      </c>
      <c r="Q1747" s="749">
        <v>173127750</v>
      </c>
      <c r="R1747" s="20">
        <v>20</v>
      </c>
      <c r="S1747" s="749">
        <v>373003055</v>
      </c>
      <c r="T1747" s="427">
        <f t="shared" si="452"/>
        <v>100</v>
      </c>
      <c r="U1747" s="427">
        <f t="shared" si="453"/>
        <v>100</v>
      </c>
      <c r="V1747" s="253" t="s">
        <v>58</v>
      </c>
      <c r="W1747" s="80">
        <f t="shared" si="457"/>
        <v>676310055</v>
      </c>
      <c r="X1747" s="248">
        <f t="shared" si="454"/>
        <v>171.2719354226021</v>
      </c>
      <c r="Y1747" s="253" t="s">
        <v>58</v>
      </c>
      <c r="Z1747" s="449">
        <f t="shared" si="455"/>
        <v>200</v>
      </c>
      <c r="AA1747" s="56">
        <f t="shared" si="456"/>
        <v>836935655</v>
      </c>
      <c r="AB1747" s="53"/>
      <c r="AC1747" s="35"/>
      <c r="AD1747" s="580"/>
      <c r="AE1747" s="45"/>
      <c r="AH1747" s="25"/>
    </row>
    <row r="1748" spans="1:34" ht="105">
      <c r="A1748" s="58"/>
      <c r="B1748" s="19"/>
      <c r="C1748" s="29" t="s">
        <v>2181</v>
      </c>
      <c r="D1748" s="29" t="s">
        <v>2182</v>
      </c>
      <c r="E1748" s="20">
        <v>100</v>
      </c>
      <c r="F1748" s="46" t="s">
        <v>58</v>
      </c>
      <c r="G1748" s="23">
        <v>207969000</v>
      </c>
      <c r="H1748" s="108">
        <v>100</v>
      </c>
      <c r="I1748" s="374">
        <v>167567700</v>
      </c>
      <c r="J1748" s="20">
        <v>60</v>
      </c>
      <c r="K1748" s="749">
        <v>164430100</v>
      </c>
      <c r="L1748" s="20">
        <v>17</v>
      </c>
      <c r="M1748" s="749">
        <v>40200000</v>
      </c>
      <c r="N1748" s="20">
        <v>17</v>
      </c>
      <c r="O1748" s="749">
        <v>50650000</v>
      </c>
      <c r="P1748" s="20">
        <v>50</v>
      </c>
      <c r="Q1748" s="749">
        <v>90825500</v>
      </c>
      <c r="R1748" s="20">
        <v>16</v>
      </c>
      <c r="S1748" s="749">
        <v>158991500</v>
      </c>
      <c r="T1748" s="54">
        <f t="shared" si="452"/>
        <v>100</v>
      </c>
      <c r="U1748" s="54">
        <f t="shared" si="453"/>
        <v>166.66666666666669</v>
      </c>
      <c r="V1748" s="35" t="s">
        <v>58</v>
      </c>
      <c r="W1748" s="40">
        <f t="shared" si="457"/>
        <v>340667000</v>
      </c>
      <c r="X1748" s="53">
        <f t="shared" si="454"/>
        <v>207.18043715840349</v>
      </c>
      <c r="Y1748" s="35" t="s">
        <v>58</v>
      </c>
      <c r="Z1748" s="55">
        <f t="shared" si="455"/>
        <v>200</v>
      </c>
      <c r="AA1748" s="59">
        <f t="shared" si="456"/>
        <v>508234700</v>
      </c>
      <c r="AB1748" s="53"/>
      <c r="AC1748" s="35"/>
      <c r="AD1748" s="580"/>
      <c r="AE1748" s="45"/>
      <c r="AH1748" s="25"/>
    </row>
    <row r="1749" spans="1:34" s="791" customFormat="1" ht="120" customHeight="1">
      <c r="A1749" s="784"/>
      <c r="B1749" s="769"/>
      <c r="C1749" s="785" t="s">
        <v>2183</v>
      </c>
      <c r="D1749" s="491"/>
      <c r="E1749" s="774">
        <f>SUM(E1750:E1752)</f>
        <v>9</v>
      </c>
      <c r="F1749" s="46" t="s">
        <v>58</v>
      </c>
      <c r="G1749" s="547">
        <f>SUM(G1750:G1752)</f>
        <v>11126537500</v>
      </c>
      <c r="H1749" s="108">
        <v>9</v>
      </c>
      <c r="I1749" s="547">
        <f>SUM(I1750:I1752)</f>
        <v>0</v>
      </c>
      <c r="J1749" s="108">
        <v>9</v>
      </c>
      <c r="K1749" s="753">
        <f>SUM(K1750:K1752)</f>
        <v>10745713500</v>
      </c>
      <c r="L1749" s="108">
        <v>1</v>
      </c>
      <c r="M1749" s="753">
        <f>M1750+M1751+M1752</f>
        <v>1688063200</v>
      </c>
      <c r="N1749" s="108">
        <v>1</v>
      </c>
      <c r="O1749" s="753">
        <f>O1750+O1751+O1752</f>
        <v>2723643812</v>
      </c>
      <c r="P1749" s="108">
        <v>0</v>
      </c>
      <c r="Q1749" s="753">
        <f>Q1750+Q1751+Q1752</f>
        <v>1970999505</v>
      </c>
      <c r="R1749" s="786"/>
      <c r="S1749" s="754">
        <f>S1750+S1751+S1752</f>
        <v>3506157483</v>
      </c>
      <c r="T1749" s="55">
        <f>SUM(L1749,N1749,P1749,R1749)</f>
        <v>2</v>
      </c>
      <c r="U1749" s="55">
        <f>T1749/J1749*100</f>
        <v>22.222222222222221</v>
      </c>
      <c r="V1749" s="787" t="s">
        <v>58</v>
      </c>
      <c r="W1749" s="788">
        <f t="shared" si="457"/>
        <v>9888864000</v>
      </c>
      <c r="X1749" s="789">
        <f>W1749/K1749*100</f>
        <v>92.026127441421181</v>
      </c>
      <c r="Y1749" s="787" t="s">
        <v>58</v>
      </c>
      <c r="Z1749" s="790">
        <f>H1749+T1749</f>
        <v>11</v>
      </c>
      <c r="AA1749" s="788">
        <f>I1749+W1749</f>
        <v>9888864000</v>
      </c>
      <c r="AB1749" s="789"/>
      <c r="AC1749" s="787"/>
      <c r="AD1749" s="789"/>
      <c r="AE1749" s="17" t="s">
        <v>2184</v>
      </c>
      <c r="AH1749" s="755"/>
    </row>
    <row r="1750" spans="1:34" s="2" customFormat="1" ht="105">
      <c r="A1750" s="792"/>
      <c r="B1750" s="707"/>
      <c r="C1750" s="459" t="s">
        <v>2185</v>
      </c>
      <c r="D1750" s="457" t="s">
        <v>2704</v>
      </c>
      <c r="E1750" s="44">
        <v>5</v>
      </c>
      <c r="F1750" s="21" t="s">
        <v>55</v>
      </c>
      <c r="G1750" s="426">
        <v>10184425000</v>
      </c>
      <c r="H1750" s="44"/>
      <c r="I1750" s="426">
        <v>0</v>
      </c>
      <c r="J1750" s="44">
        <v>5</v>
      </c>
      <c r="K1750" s="756">
        <v>9764717000</v>
      </c>
      <c r="L1750" s="793">
        <v>1</v>
      </c>
      <c r="M1750" s="757">
        <v>1687563200</v>
      </c>
      <c r="N1750" s="793">
        <v>1</v>
      </c>
      <c r="O1750" s="756">
        <v>2118568812</v>
      </c>
      <c r="P1750" s="793">
        <v>1</v>
      </c>
      <c r="Q1750" s="756">
        <v>1967624505</v>
      </c>
      <c r="R1750" s="793">
        <v>2</v>
      </c>
      <c r="S1750" s="756">
        <v>3316324983</v>
      </c>
      <c r="T1750" s="55">
        <f>SUM(L1750,N1750,P1750,R1750)</f>
        <v>5</v>
      </c>
      <c r="U1750" s="57">
        <f>T1750/J1750*100</f>
        <v>100</v>
      </c>
      <c r="V1750" s="58" t="s">
        <v>58</v>
      </c>
      <c r="W1750" s="376">
        <f t="shared" si="457"/>
        <v>9090081500</v>
      </c>
      <c r="X1750" s="57">
        <f>W1750/K1750*100</f>
        <v>93.091090095084169</v>
      </c>
      <c r="Y1750" s="58" t="s">
        <v>58</v>
      </c>
      <c r="Z1750" s="55">
        <f>H1750+T1750</f>
        <v>5</v>
      </c>
      <c r="AA1750" s="376">
        <f>I1750+W1750</f>
        <v>9090081500</v>
      </c>
      <c r="AB1750" s="57"/>
      <c r="AC1750" s="58"/>
      <c r="AD1750" s="57"/>
      <c r="AE1750" s="24"/>
      <c r="AH1750" s="758"/>
    </row>
    <row r="1751" spans="1:34" s="2" customFormat="1" ht="409.5">
      <c r="A1751" s="792"/>
      <c r="B1751" s="707"/>
      <c r="C1751" s="459" t="s">
        <v>2712</v>
      </c>
      <c r="D1751" s="457" t="s">
        <v>2705</v>
      </c>
      <c r="E1751" s="20">
        <v>2</v>
      </c>
      <c r="F1751" s="47" t="s">
        <v>55</v>
      </c>
      <c r="G1751" s="426">
        <v>915925000</v>
      </c>
      <c r="H1751" s="20"/>
      <c r="I1751" s="426">
        <v>0</v>
      </c>
      <c r="J1751" s="20">
        <v>2</v>
      </c>
      <c r="K1751" s="756">
        <v>961920000</v>
      </c>
      <c r="L1751" s="794">
        <v>0</v>
      </c>
      <c r="M1751" s="759">
        <v>0</v>
      </c>
      <c r="N1751" s="794">
        <v>1</v>
      </c>
      <c r="O1751" s="756">
        <v>603200000</v>
      </c>
      <c r="P1751" s="794">
        <v>0</v>
      </c>
      <c r="Q1751" s="756">
        <v>0</v>
      </c>
      <c r="R1751" s="793">
        <v>1</v>
      </c>
      <c r="S1751" s="756">
        <v>176525000</v>
      </c>
      <c r="T1751" s="55">
        <f>SUM(L1751,N1751,P1751,R1751)</f>
        <v>2</v>
      </c>
      <c r="U1751" s="57">
        <v>2</v>
      </c>
      <c r="V1751" s="58" t="s">
        <v>58</v>
      </c>
      <c r="W1751" s="376">
        <f t="shared" si="457"/>
        <v>779725000</v>
      </c>
      <c r="X1751" s="57">
        <f>W1751/K1751*100</f>
        <v>81.059235695276115</v>
      </c>
      <c r="Y1751" s="58" t="s">
        <v>58</v>
      </c>
      <c r="Z1751" s="55">
        <f>H1751+T1751</f>
        <v>2</v>
      </c>
      <c r="AA1751" s="376">
        <f>I1751+W1751</f>
        <v>779725000</v>
      </c>
      <c r="AB1751" s="57"/>
      <c r="AC1751" s="58"/>
      <c r="AD1751" s="57"/>
      <c r="AE1751" s="24"/>
      <c r="AH1751" s="758"/>
    </row>
    <row r="1752" spans="1:34" s="2" customFormat="1" ht="330">
      <c r="A1752" s="792"/>
      <c r="B1752" s="707"/>
      <c r="C1752" s="459" t="s">
        <v>2713</v>
      </c>
      <c r="D1752" s="457" t="s">
        <v>2706</v>
      </c>
      <c r="E1752" s="20">
        <v>2</v>
      </c>
      <c r="F1752" s="47" t="s">
        <v>55</v>
      </c>
      <c r="G1752" s="426">
        <v>26187500</v>
      </c>
      <c r="H1752" s="20"/>
      <c r="I1752" s="426">
        <v>0</v>
      </c>
      <c r="J1752" s="20">
        <v>2</v>
      </c>
      <c r="K1752" s="756">
        <v>19076500</v>
      </c>
      <c r="L1752" s="794">
        <v>0</v>
      </c>
      <c r="M1752" s="760">
        <v>500000</v>
      </c>
      <c r="N1752" s="794">
        <v>1</v>
      </c>
      <c r="O1752" s="756">
        <v>1875000</v>
      </c>
      <c r="P1752" s="794">
        <v>0</v>
      </c>
      <c r="Q1752" s="756">
        <v>3375000</v>
      </c>
      <c r="R1752" s="793">
        <v>1</v>
      </c>
      <c r="S1752" s="756">
        <v>13307500</v>
      </c>
      <c r="T1752" s="55">
        <f>SUM(L1752,N1752,P1752,R1752)</f>
        <v>2</v>
      </c>
      <c r="U1752" s="55">
        <f>T1752/J1752*100</f>
        <v>100</v>
      </c>
      <c r="V1752" s="58" t="s">
        <v>58</v>
      </c>
      <c r="W1752" s="376">
        <f t="shared" si="457"/>
        <v>19057500</v>
      </c>
      <c r="X1752" s="57">
        <f>W1752/K1752*100</f>
        <v>99.900401016958043</v>
      </c>
      <c r="Y1752" s="58" t="s">
        <v>58</v>
      </c>
      <c r="Z1752" s="55">
        <f>H1752+T1752</f>
        <v>2</v>
      </c>
      <c r="AA1752" s="376">
        <f>I1752+W1752</f>
        <v>19057500</v>
      </c>
      <c r="AB1752" s="57"/>
      <c r="AC1752" s="58"/>
      <c r="AD1752" s="57"/>
      <c r="AE1752" s="24"/>
      <c r="AH1752" s="758"/>
    </row>
    <row r="1753" spans="1:34" ht="207" customHeight="1">
      <c r="A1753" s="58">
        <v>3</v>
      </c>
      <c r="B1753" s="19" t="s">
        <v>30</v>
      </c>
      <c r="C1753" s="19" t="s">
        <v>2186</v>
      </c>
      <c r="D1753" s="358" t="s">
        <v>2187</v>
      </c>
      <c r="E1753" s="774">
        <v>9</v>
      </c>
      <c r="F1753" s="46" t="s">
        <v>58</v>
      </c>
      <c r="G1753" s="42"/>
      <c r="H1753" s="774">
        <v>9</v>
      </c>
      <c r="I1753" s="42">
        <f>I1754</f>
        <v>121437500</v>
      </c>
      <c r="J1753" s="774">
        <v>9</v>
      </c>
      <c r="K1753" s="748">
        <f>K1754</f>
        <v>190719000</v>
      </c>
      <c r="L1753" s="774">
        <v>3</v>
      </c>
      <c r="M1753" s="748">
        <f>M1754</f>
        <v>0</v>
      </c>
      <c r="N1753" s="774">
        <v>3</v>
      </c>
      <c r="O1753" s="748">
        <f>O1754</f>
        <v>37420000</v>
      </c>
      <c r="P1753" s="774">
        <v>0</v>
      </c>
      <c r="Q1753" s="748">
        <f>Q1754</f>
        <v>0</v>
      </c>
      <c r="R1753" s="774"/>
      <c r="S1753" s="748"/>
      <c r="T1753" s="55">
        <f t="shared" ref="T1753:T1761" si="458">SUM(L1753,N1753,P1753,R1753)</f>
        <v>6</v>
      </c>
      <c r="U1753" s="55">
        <f t="shared" ref="U1753:U1761" si="459">T1753/J1753*100</f>
        <v>66.666666666666657</v>
      </c>
      <c r="V1753" s="58" t="s">
        <v>58</v>
      </c>
      <c r="W1753" s="59">
        <f t="shared" si="457"/>
        <v>37420000</v>
      </c>
      <c r="X1753" s="57">
        <f t="shared" ref="X1753:X1761" si="460">W1753/K1753*100</f>
        <v>19.620488781925243</v>
      </c>
      <c r="Y1753" s="58" t="s">
        <v>58</v>
      </c>
      <c r="Z1753" s="55">
        <f t="shared" ref="Z1753:Z1761" si="461">H1753+T1753</f>
        <v>15</v>
      </c>
      <c r="AA1753" s="59">
        <f t="shared" ref="AA1753:AA1761" si="462">I1753+W1753</f>
        <v>158857500</v>
      </c>
      <c r="AB1753" s="57"/>
      <c r="AC1753" s="58"/>
      <c r="AD1753" s="57"/>
      <c r="AE1753" s="358" t="s">
        <v>2188</v>
      </c>
      <c r="AH1753" s="25"/>
    </row>
    <row r="1754" spans="1:34" ht="136.5" customHeight="1">
      <c r="A1754" s="16"/>
      <c r="B1754" s="17"/>
      <c r="C1754" s="18" t="s">
        <v>2189</v>
      </c>
      <c r="D1754" s="18" t="s">
        <v>2190</v>
      </c>
      <c r="E1754" s="481">
        <v>100</v>
      </c>
      <c r="F1754" s="75" t="s">
        <v>58</v>
      </c>
      <c r="G1754" s="41">
        <f>SUM(G1755:G1757)</f>
        <v>273193100</v>
      </c>
      <c r="H1754" s="74">
        <v>9</v>
      </c>
      <c r="I1754" s="41">
        <f>SUM(I1755:I1757)</f>
        <v>121437500</v>
      </c>
      <c r="J1754" s="74">
        <v>9</v>
      </c>
      <c r="K1754" s="752">
        <f>SUM(K1755:K1757)</f>
        <v>190719000</v>
      </c>
      <c r="L1754" s="74">
        <v>3</v>
      </c>
      <c r="M1754" s="752">
        <f>SUM(M1755:M1757)</f>
        <v>0</v>
      </c>
      <c r="N1754" s="74">
        <v>3</v>
      </c>
      <c r="O1754" s="752">
        <f>SUM(O1755:O1757)</f>
        <v>37420000</v>
      </c>
      <c r="P1754" s="74">
        <v>0</v>
      </c>
      <c r="Q1754" s="752">
        <f>SUM(Q1755:Q1757)</f>
        <v>0</v>
      </c>
      <c r="R1754" s="74"/>
      <c r="S1754" s="752"/>
      <c r="T1754" s="244">
        <f t="shared" si="458"/>
        <v>6</v>
      </c>
      <c r="U1754" s="244">
        <f t="shared" si="459"/>
        <v>66.666666666666657</v>
      </c>
      <c r="V1754" s="240" t="s">
        <v>58</v>
      </c>
      <c r="W1754" s="94">
        <f t="shared" si="457"/>
        <v>37420000</v>
      </c>
      <c r="X1754" s="239">
        <f t="shared" si="460"/>
        <v>19.620488781925243</v>
      </c>
      <c r="Y1754" s="240" t="s">
        <v>58</v>
      </c>
      <c r="Z1754" s="244">
        <f t="shared" si="461"/>
        <v>15</v>
      </c>
      <c r="AA1754" s="94">
        <f t="shared" si="462"/>
        <v>158857500</v>
      </c>
      <c r="AB1754" s="239"/>
      <c r="AC1754" s="240"/>
      <c r="AD1754" s="239"/>
      <c r="AE1754" s="483"/>
      <c r="AH1754" s="25"/>
    </row>
    <row r="1755" spans="1:34" ht="120">
      <c r="A1755" s="16"/>
      <c r="B1755" s="17"/>
      <c r="C1755" s="29" t="s">
        <v>2191</v>
      </c>
      <c r="D1755" s="29" t="s">
        <v>2192</v>
      </c>
      <c r="E1755" s="44">
        <v>4</v>
      </c>
      <c r="F1755" s="21" t="s">
        <v>55</v>
      </c>
      <c r="G1755" s="23">
        <v>185000000</v>
      </c>
      <c r="H1755" s="44">
        <v>4</v>
      </c>
      <c r="I1755" s="23">
        <v>71187500</v>
      </c>
      <c r="J1755" s="44">
        <v>4</v>
      </c>
      <c r="K1755" s="749">
        <v>143600000</v>
      </c>
      <c r="L1755" s="44">
        <v>1</v>
      </c>
      <c r="M1755" s="749">
        <v>0</v>
      </c>
      <c r="N1755" s="44">
        <v>1</v>
      </c>
      <c r="O1755" s="749">
        <v>3000000</v>
      </c>
      <c r="P1755" s="44">
        <v>0</v>
      </c>
      <c r="Q1755" s="749">
        <v>0</v>
      </c>
      <c r="R1755" s="44"/>
      <c r="S1755" s="749"/>
      <c r="T1755" s="54">
        <f t="shared" si="458"/>
        <v>2</v>
      </c>
      <c r="U1755" s="53">
        <f t="shared" si="459"/>
        <v>50</v>
      </c>
      <c r="V1755" s="35" t="s">
        <v>58</v>
      </c>
      <c r="W1755" s="40">
        <f t="shared" si="457"/>
        <v>3000000</v>
      </c>
      <c r="X1755" s="53">
        <f t="shared" si="460"/>
        <v>2.0891364902506964</v>
      </c>
      <c r="Y1755" s="35" t="s">
        <v>58</v>
      </c>
      <c r="Z1755" s="55">
        <f t="shared" si="461"/>
        <v>6</v>
      </c>
      <c r="AA1755" s="59">
        <f t="shared" si="462"/>
        <v>74187500</v>
      </c>
      <c r="AB1755" s="53"/>
      <c r="AC1755" s="35"/>
      <c r="AD1755" s="53"/>
      <c r="AE1755" s="24"/>
      <c r="AH1755" s="25"/>
    </row>
    <row r="1756" spans="1:34" ht="105">
      <c r="A1756" s="16"/>
      <c r="B1756" s="17"/>
      <c r="C1756" s="29" t="s">
        <v>2193</v>
      </c>
      <c r="D1756" s="781" t="s">
        <v>2194</v>
      </c>
      <c r="E1756" s="20">
        <v>4</v>
      </c>
      <c r="F1756" s="47" t="s">
        <v>55</v>
      </c>
      <c r="G1756" s="23">
        <v>66293100</v>
      </c>
      <c r="H1756" s="20">
        <v>4</v>
      </c>
      <c r="I1756" s="23">
        <v>48000000</v>
      </c>
      <c r="J1756" s="20">
        <v>4</v>
      </c>
      <c r="K1756" s="749">
        <v>43839000</v>
      </c>
      <c r="L1756" s="20">
        <v>1</v>
      </c>
      <c r="M1756" s="749">
        <f>-AF1756</f>
        <v>0</v>
      </c>
      <c r="N1756" s="20">
        <v>1</v>
      </c>
      <c r="O1756" s="749">
        <v>30857500</v>
      </c>
      <c r="P1756" s="20">
        <v>0</v>
      </c>
      <c r="Q1756" s="749">
        <v>0</v>
      </c>
      <c r="R1756" s="20"/>
      <c r="S1756" s="749"/>
      <c r="T1756" s="54">
        <f t="shared" si="458"/>
        <v>2</v>
      </c>
      <c r="U1756" s="53">
        <v>2</v>
      </c>
      <c r="V1756" s="35" t="s">
        <v>58</v>
      </c>
      <c r="W1756" s="40">
        <f t="shared" si="457"/>
        <v>30857500</v>
      </c>
      <c r="X1756" s="53">
        <f t="shared" si="460"/>
        <v>70.388238782818945</v>
      </c>
      <c r="Y1756" s="35" t="s">
        <v>58</v>
      </c>
      <c r="Z1756" s="55">
        <f t="shared" si="461"/>
        <v>6</v>
      </c>
      <c r="AA1756" s="59">
        <f t="shared" si="462"/>
        <v>78857500</v>
      </c>
      <c r="AB1756" s="53"/>
      <c r="AC1756" s="35"/>
      <c r="AD1756" s="53"/>
      <c r="AE1756" s="24"/>
      <c r="AH1756" s="25"/>
    </row>
    <row r="1757" spans="1:34" ht="120">
      <c r="A1757" s="16"/>
      <c r="B1757" s="17"/>
      <c r="C1757" s="29" t="s">
        <v>2195</v>
      </c>
      <c r="D1757" s="29" t="s">
        <v>2196</v>
      </c>
      <c r="E1757" s="20">
        <v>1</v>
      </c>
      <c r="F1757" s="47" t="s">
        <v>55</v>
      </c>
      <c r="G1757" s="23">
        <v>21900000</v>
      </c>
      <c r="H1757" s="20">
        <v>1</v>
      </c>
      <c r="I1757" s="23">
        <v>2250000</v>
      </c>
      <c r="J1757" s="20">
        <v>1</v>
      </c>
      <c r="K1757" s="749">
        <v>3280000</v>
      </c>
      <c r="L1757" s="20"/>
      <c r="M1757" s="761">
        <v>0</v>
      </c>
      <c r="N1757" s="20"/>
      <c r="O1757" s="749">
        <v>3562500</v>
      </c>
      <c r="P1757" s="20"/>
      <c r="Q1757" s="749">
        <v>0</v>
      </c>
      <c r="R1757" s="20"/>
      <c r="S1757" s="749"/>
      <c r="T1757" s="54">
        <f t="shared" si="458"/>
        <v>0</v>
      </c>
      <c r="U1757" s="54">
        <f t="shared" si="459"/>
        <v>0</v>
      </c>
      <c r="V1757" s="35" t="s">
        <v>58</v>
      </c>
      <c r="W1757" s="40">
        <f t="shared" si="457"/>
        <v>3562500</v>
      </c>
      <c r="X1757" s="53">
        <f t="shared" si="460"/>
        <v>108.61280487804879</v>
      </c>
      <c r="Y1757" s="35" t="s">
        <v>58</v>
      </c>
      <c r="Z1757" s="55">
        <f t="shared" si="461"/>
        <v>1</v>
      </c>
      <c r="AA1757" s="59">
        <f t="shared" si="462"/>
        <v>5812500</v>
      </c>
      <c r="AB1757" s="53"/>
      <c r="AC1757" s="35"/>
      <c r="AD1757" s="53"/>
      <c r="AE1757" s="24"/>
      <c r="AH1757" s="25"/>
    </row>
    <row r="1758" spans="1:34" s="78" customFormat="1" ht="138" customHeight="1">
      <c r="A1758" s="16"/>
      <c r="B1758" s="17"/>
      <c r="C1758" s="19" t="s">
        <v>2197</v>
      </c>
      <c r="D1758" s="19" t="s">
        <v>2198</v>
      </c>
      <c r="E1758" s="774">
        <v>100</v>
      </c>
      <c r="F1758" s="46" t="s">
        <v>58</v>
      </c>
      <c r="G1758" s="42">
        <f>SUM(G1759:G1761)</f>
        <v>113417400</v>
      </c>
      <c r="H1758" s="108">
        <v>6</v>
      </c>
      <c r="I1758" s="42">
        <f>SUM(I1759:I1761)</f>
        <v>19869800</v>
      </c>
      <c r="J1758" s="108">
        <v>6</v>
      </c>
      <c r="K1758" s="748">
        <f>SUM(K1759:K1761)</f>
        <v>88208650</v>
      </c>
      <c r="L1758" s="108">
        <v>1</v>
      </c>
      <c r="M1758" s="748">
        <f>SUM(M1759:M1761)</f>
        <v>4366500</v>
      </c>
      <c r="N1758" s="108">
        <v>1</v>
      </c>
      <c r="O1758" s="748">
        <f>SUM(O1759:O1761)</f>
        <v>27409100</v>
      </c>
      <c r="P1758" s="108">
        <v>1</v>
      </c>
      <c r="Q1758" s="748">
        <f>SUM(Q1759:Q1761)</f>
        <v>38585000</v>
      </c>
      <c r="R1758" s="108"/>
      <c r="S1758" s="748">
        <f>S1759+S1760+S1761</f>
        <v>187754700</v>
      </c>
      <c r="T1758" s="55">
        <f t="shared" si="458"/>
        <v>3</v>
      </c>
      <c r="U1758" s="55">
        <f t="shared" si="459"/>
        <v>50</v>
      </c>
      <c r="V1758" s="58" t="s">
        <v>58</v>
      </c>
      <c r="W1758" s="59">
        <f t="shared" si="457"/>
        <v>258115300</v>
      </c>
      <c r="X1758" s="57">
        <f t="shared" si="460"/>
        <v>292.61903452779291</v>
      </c>
      <c r="Y1758" s="58" t="s">
        <v>58</v>
      </c>
      <c r="Z1758" s="55">
        <f t="shared" si="461"/>
        <v>9</v>
      </c>
      <c r="AA1758" s="59">
        <f t="shared" si="462"/>
        <v>277985100</v>
      </c>
      <c r="AB1758" s="57"/>
      <c r="AC1758" s="58"/>
      <c r="AD1758" s="57"/>
      <c r="AE1758" s="24"/>
      <c r="AH1758" s="79"/>
    </row>
    <row r="1759" spans="1:34" ht="120">
      <c r="A1759" s="16"/>
      <c r="B1759" s="17"/>
      <c r="C1759" s="29" t="s">
        <v>2199</v>
      </c>
      <c r="D1759" s="29" t="s">
        <v>2200</v>
      </c>
      <c r="E1759" s="44">
        <v>4</v>
      </c>
      <c r="F1759" s="21" t="s">
        <v>55</v>
      </c>
      <c r="G1759" s="23">
        <v>88950000</v>
      </c>
      <c r="H1759" s="44">
        <v>4</v>
      </c>
      <c r="I1759" s="23">
        <v>10875000</v>
      </c>
      <c r="J1759" s="44">
        <v>4</v>
      </c>
      <c r="K1759" s="749">
        <v>69899800</v>
      </c>
      <c r="L1759" s="44">
        <v>1</v>
      </c>
      <c r="M1759" s="749">
        <v>2062500</v>
      </c>
      <c r="N1759" s="44">
        <v>1</v>
      </c>
      <c r="O1759" s="749">
        <v>16287500</v>
      </c>
      <c r="P1759" s="44">
        <v>1</v>
      </c>
      <c r="Q1759" s="749">
        <v>2062500</v>
      </c>
      <c r="R1759" s="44"/>
      <c r="S1759" s="749">
        <v>143600000</v>
      </c>
      <c r="T1759" s="54">
        <f t="shared" si="458"/>
        <v>3</v>
      </c>
      <c r="U1759" s="53">
        <f t="shared" si="459"/>
        <v>75</v>
      </c>
      <c r="V1759" s="35" t="s">
        <v>58</v>
      </c>
      <c r="W1759" s="40">
        <f t="shared" si="457"/>
        <v>164012500</v>
      </c>
      <c r="X1759" s="53">
        <f t="shared" si="460"/>
        <v>234.63944102844357</v>
      </c>
      <c r="Y1759" s="35" t="s">
        <v>58</v>
      </c>
      <c r="Z1759" s="55">
        <f t="shared" si="461"/>
        <v>7</v>
      </c>
      <c r="AA1759" s="59">
        <f t="shared" si="462"/>
        <v>174887500</v>
      </c>
      <c r="AB1759" s="53"/>
      <c r="AC1759" s="35"/>
      <c r="AD1759" s="53"/>
      <c r="AE1759" s="24"/>
      <c r="AH1759" s="25"/>
    </row>
    <row r="1760" spans="1:34" ht="120">
      <c r="A1760" s="16"/>
      <c r="B1760" s="17"/>
      <c r="C1760" s="29" t="s">
        <v>2201</v>
      </c>
      <c r="D1760" s="781" t="s">
        <v>2202</v>
      </c>
      <c r="E1760" s="20">
        <v>1</v>
      </c>
      <c r="F1760" s="47" t="s">
        <v>55</v>
      </c>
      <c r="G1760" s="23">
        <v>11825000</v>
      </c>
      <c r="H1760" s="20">
        <v>1</v>
      </c>
      <c r="I1760" s="23">
        <v>3005000</v>
      </c>
      <c r="J1760" s="20">
        <v>1</v>
      </c>
      <c r="K1760" s="749">
        <v>6689900</v>
      </c>
      <c r="L1760" s="20">
        <v>1</v>
      </c>
      <c r="M1760" s="749">
        <v>0</v>
      </c>
      <c r="N1760" s="20">
        <v>1</v>
      </c>
      <c r="O1760" s="749">
        <v>2250000</v>
      </c>
      <c r="P1760" s="20">
        <v>0</v>
      </c>
      <c r="Q1760" s="749">
        <v>33522500</v>
      </c>
      <c r="R1760" s="20"/>
      <c r="S1760" s="749">
        <v>41154700</v>
      </c>
      <c r="T1760" s="54">
        <f t="shared" si="458"/>
        <v>2</v>
      </c>
      <c r="U1760" s="53">
        <f t="shared" si="459"/>
        <v>200</v>
      </c>
      <c r="V1760" s="35" t="s">
        <v>58</v>
      </c>
      <c r="W1760" s="40">
        <f t="shared" si="457"/>
        <v>76927200</v>
      </c>
      <c r="X1760" s="53">
        <f t="shared" si="460"/>
        <v>1149.9005964214712</v>
      </c>
      <c r="Y1760" s="35" t="s">
        <v>58</v>
      </c>
      <c r="Z1760" s="55">
        <f t="shared" si="461"/>
        <v>3</v>
      </c>
      <c r="AA1760" s="59">
        <f t="shared" si="462"/>
        <v>79932200</v>
      </c>
      <c r="AB1760" s="53"/>
      <c r="AC1760" s="35"/>
      <c r="AD1760" s="53"/>
      <c r="AE1760" s="24"/>
      <c r="AH1760" s="25"/>
    </row>
    <row r="1761" spans="1:34" ht="120">
      <c r="A1761" s="16"/>
      <c r="B1761" s="17"/>
      <c r="C1761" s="29" t="s">
        <v>2203</v>
      </c>
      <c r="D1761" s="781" t="s">
        <v>2204</v>
      </c>
      <c r="E1761" s="20">
        <v>1</v>
      </c>
      <c r="F1761" s="47" t="s">
        <v>55</v>
      </c>
      <c r="G1761" s="23">
        <v>12642400</v>
      </c>
      <c r="H1761" s="20">
        <v>1</v>
      </c>
      <c r="I1761" s="23">
        <v>5989800</v>
      </c>
      <c r="J1761" s="20">
        <v>1</v>
      </c>
      <c r="K1761" s="749">
        <v>11618950</v>
      </c>
      <c r="L1761" s="20">
        <v>1</v>
      </c>
      <c r="M1761" s="749">
        <v>2304000</v>
      </c>
      <c r="N1761" s="20">
        <v>1</v>
      </c>
      <c r="O1761" s="749">
        <v>8871600</v>
      </c>
      <c r="P1761" s="20">
        <v>0</v>
      </c>
      <c r="Q1761" s="749">
        <v>3000000</v>
      </c>
      <c r="R1761" s="20"/>
      <c r="S1761" s="749">
        <v>3000000</v>
      </c>
      <c r="T1761" s="54">
        <f t="shared" si="458"/>
        <v>2</v>
      </c>
      <c r="U1761" s="53">
        <f t="shared" si="459"/>
        <v>200</v>
      </c>
      <c r="V1761" s="35" t="s">
        <v>58</v>
      </c>
      <c r="W1761" s="40">
        <f t="shared" si="457"/>
        <v>17175600</v>
      </c>
      <c r="X1761" s="53">
        <f t="shared" si="460"/>
        <v>147.82402884942272</v>
      </c>
      <c r="Y1761" s="35" t="s">
        <v>58</v>
      </c>
      <c r="Z1761" s="55">
        <f t="shared" si="461"/>
        <v>3</v>
      </c>
      <c r="AA1761" s="59">
        <f t="shared" si="462"/>
        <v>23165400</v>
      </c>
      <c r="AB1761" s="53"/>
      <c r="AC1761" s="35"/>
      <c r="AD1761" s="53"/>
      <c r="AE1761" s="24"/>
      <c r="AH1761" s="25"/>
    </row>
    <row r="1762" spans="1:34" ht="94.5">
      <c r="A1762" s="704"/>
      <c r="B1762" s="772" t="s">
        <v>30</v>
      </c>
      <c r="C1762" s="903" t="s">
        <v>2205</v>
      </c>
      <c r="D1762" s="491"/>
      <c r="E1762" s="774">
        <v>100</v>
      </c>
      <c r="F1762" s="46" t="s">
        <v>58</v>
      </c>
      <c r="G1762" s="42">
        <f>SUM(G1763:G1765)</f>
        <v>1025683700</v>
      </c>
      <c r="H1762" s="108">
        <v>100</v>
      </c>
      <c r="I1762" s="42">
        <f>SUM(I1763:I1765)</f>
        <v>565057653</v>
      </c>
      <c r="J1762" s="108">
        <v>100</v>
      </c>
      <c r="K1762" s="748">
        <f>SUM(K1763:K1765)</f>
        <v>555845550</v>
      </c>
      <c r="L1762" s="108">
        <v>100</v>
      </c>
      <c r="M1762" s="748">
        <f>SUM(M1763:M1765)</f>
        <v>297010399</v>
      </c>
      <c r="N1762" s="108">
        <v>100</v>
      </c>
      <c r="O1762" s="748">
        <f>SUM(O1763:O1765)</f>
        <v>17537680</v>
      </c>
      <c r="P1762" s="108">
        <v>100</v>
      </c>
      <c r="Q1762" s="748">
        <f>SUM(Q1763:Q1765)</f>
        <v>79689309</v>
      </c>
      <c r="R1762" s="108">
        <v>100</v>
      </c>
      <c r="S1762" s="748">
        <f>S1763+S1764+S1765</f>
        <v>118400880</v>
      </c>
      <c r="T1762" s="55">
        <f>AVERAGE(L1762,N1762,P1762,R1762)</f>
        <v>100</v>
      </c>
      <c r="U1762" s="55">
        <f>T1762/J1762*100</f>
        <v>100</v>
      </c>
      <c r="V1762" s="58" t="s">
        <v>58</v>
      </c>
      <c r="W1762" s="59">
        <f t="shared" si="457"/>
        <v>512638268</v>
      </c>
      <c r="X1762" s="57">
        <f>W1762/K1762*100</f>
        <v>92.226746800437638</v>
      </c>
      <c r="Y1762" s="58" t="s">
        <v>58</v>
      </c>
      <c r="Z1762" s="55">
        <f>H1762+T1762</f>
        <v>200</v>
      </c>
      <c r="AA1762" s="59">
        <f>I1762+W1762</f>
        <v>1077695921</v>
      </c>
      <c r="AB1762" s="57"/>
      <c r="AC1762" s="58"/>
      <c r="AD1762" s="57"/>
      <c r="AE1762" s="19" t="s">
        <v>2206</v>
      </c>
      <c r="AH1762" s="25"/>
    </row>
    <row r="1763" spans="1:34" ht="105">
      <c r="A1763" s="792"/>
      <c r="B1763" s="795"/>
      <c r="C1763" s="781" t="s">
        <v>2205</v>
      </c>
      <c r="D1763" s="796" t="s">
        <v>2707</v>
      </c>
      <c r="E1763" s="44">
        <v>12</v>
      </c>
      <c r="F1763" s="21" t="s">
        <v>55</v>
      </c>
      <c r="G1763" s="23">
        <v>273345000</v>
      </c>
      <c r="H1763" s="44">
        <v>12</v>
      </c>
      <c r="I1763" s="23">
        <v>168914553</v>
      </c>
      <c r="J1763" s="797">
        <v>12</v>
      </c>
      <c r="K1763" s="798">
        <v>53682900</v>
      </c>
      <c r="L1763" s="797">
        <v>3</v>
      </c>
      <c r="M1763" s="762">
        <v>2630000</v>
      </c>
      <c r="N1763" s="797">
        <v>3</v>
      </c>
      <c r="O1763" s="763">
        <v>12384200</v>
      </c>
      <c r="P1763" s="797">
        <v>3</v>
      </c>
      <c r="Q1763" s="799">
        <v>18784636</v>
      </c>
      <c r="R1763" s="797">
        <v>3</v>
      </c>
      <c r="S1763" s="799">
        <v>13000000</v>
      </c>
      <c r="T1763" s="54">
        <f>SUM(L1763,N1763,P1763,R1763)</f>
        <v>12</v>
      </c>
      <c r="U1763" s="53">
        <f>T1763/J1763*100</f>
        <v>100</v>
      </c>
      <c r="V1763" s="35" t="s">
        <v>58</v>
      </c>
      <c r="W1763" s="40">
        <f t="shared" si="457"/>
        <v>46798836</v>
      </c>
      <c r="X1763" s="53">
        <f>W1763/K1763*100</f>
        <v>87.176430483450034</v>
      </c>
      <c r="Y1763" s="35" t="s">
        <v>58</v>
      </c>
      <c r="Z1763" s="54">
        <f>H1763+T1763</f>
        <v>24</v>
      </c>
      <c r="AA1763" s="40">
        <f>I1763+W1763</f>
        <v>215713389</v>
      </c>
      <c r="AB1763" s="53"/>
      <c r="AC1763" s="35"/>
      <c r="AD1763" s="53"/>
      <c r="AE1763" s="30"/>
      <c r="AH1763" s="25"/>
    </row>
    <row r="1764" spans="1:34" ht="105">
      <c r="A1764" s="792"/>
      <c r="B1764" s="795"/>
      <c r="C1764" s="781" t="s">
        <v>2710</v>
      </c>
      <c r="D1764" s="796" t="s">
        <v>2708</v>
      </c>
      <c r="E1764" s="20">
        <v>17</v>
      </c>
      <c r="F1764" s="47" t="s">
        <v>55</v>
      </c>
      <c r="G1764" s="23">
        <v>693311200</v>
      </c>
      <c r="H1764" s="20">
        <v>17</v>
      </c>
      <c r="I1764" s="23">
        <v>351175800</v>
      </c>
      <c r="J1764" s="800">
        <v>17</v>
      </c>
      <c r="K1764" s="798">
        <v>442154150</v>
      </c>
      <c r="L1764" s="800">
        <v>10</v>
      </c>
      <c r="M1764" s="762">
        <v>290330399</v>
      </c>
      <c r="N1764" s="800">
        <v>2</v>
      </c>
      <c r="O1764" s="763">
        <v>1103480</v>
      </c>
      <c r="P1764" s="800">
        <v>0</v>
      </c>
      <c r="Q1764" s="799">
        <v>60904673</v>
      </c>
      <c r="R1764" s="800">
        <v>0</v>
      </c>
      <c r="S1764" s="799">
        <v>81543380</v>
      </c>
      <c r="T1764" s="54">
        <f>SUM(L1764,N1764,P1764,R1764)</f>
        <v>12</v>
      </c>
      <c r="U1764" s="53">
        <v>2</v>
      </c>
      <c r="V1764" s="35" t="s">
        <v>58</v>
      </c>
      <c r="W1764" s="40">
        <f t="shared" si="457"/>
        <v>433881932</v>
      </c>
      <c r="X1764" s="53">
        <f>W1764/K1764*100</f>
        <v>98.129109949550397</v>
      </c>
      <c r="Y1764" s="35" t="s">
        <v>58</v>
      </c>
      <c r="Z1764" s="54">
        <f>H1764+T1764</f>
        <v>29</v>
      </c>
      <c r="AA1764" s="40">
        <f>I1764+W1764</f>
        <v>785057732</v>
      </c>
      <c r="AB1764" s="53"/>
      <c r="AC1764" s="35"/>
      <c r="AD1764" s="53"/>
      <c r="AE1764" s="30"/>
      <c r="AH1764" s="25"/>
    </row>
    <row r="1765" spans="1:34" ht="120">
      <c r="A1765" s="792"/>
      <c r="B1765" s="795"/>
      <c r="C1765" s="781" t="s">
        <v>2711</v>
      </c>
      <c r="D1765" s="796" t="s">
        <v>2709</v>
      </c>
      <c r="E1765" s="20">
        <v>60</v>
      </c>
      <c r="F1765" s="47" t="s">
        <v>1771</v>
      </c>
      <c r="G1765" s="23">
        <v>59027500</v>
      </c>
      <c r="H1765" s="20">
        <v>60</v>
      </c>
      <c r="I1765" s="23">
        <v>44967300</v>
      </c>
      <c r="J1765" s="800">
        <v>30</v>
      </c>
      <c r="K1765" s="763">
        <v>60008500</v>
      </c>
      <c r="L1765" s="800">
        <v>0</v>
      </c>
      <c r="M1765" s="764">
        <v>4050000</v>
      </c>
      <c r="N1765" s="800">
        <v>0</v>
      </c>
      <c r="O1765" s="763">
        <v>4050000</v>
      </c>
      <c r="P1765" s="800">
        <v>0</v>
      </c>
      <c r="Q1765" s="763">
        <v>0</v>
      </c>
      <c r="R1765" s="800">
        <v>30</v>
      </c>
      <c r="S1765" s="799">
        <v>23857500</v>
      </c>
      <c r="T1765" s="54">
        <f>SUM(L1765,N1765,P1765,R1765)</f>
        <v>30</v>
      </c>
      <c r="U1765" s="54">
        <f>T1765/J1765*100</f>
        <v>100</v>
      </c>
      <c r="V1765" s="35" t="s">
        <v>58</v>
      </c>
      <c r="W1765" s="40">
        <f t="shared" si="457"/>
        <v>31957500</v>
      </c>
      <c r="X1765" s="53">
        <f>W1765/K1765*100</f>
        <v>53.25495554796403</v>
      </c>
      <c r="Y1765" s="35" t="s">
        <v>58</v>
      </c>
      <c r="Z1765" s="54">
        <f>H1765+T1765</f>
        <v>90</v>
      </c>
      <c r="AA1765" s="40">
        <f>I1765+W1765</f>
        <v>76924800</v>
      </c>
      <c r="AB1765" s="53"/>
      <c r="AC1765" s="35"/>
      <c r="AD1765" s="53"/>
      <c r="AE1765" s="30"/>
      <c r="AH1765" s="25"/>
    </row>
    <row r="1766" spans="1:34" s="78" customFormat="1" ht="196.5" customHeight="1">
      <c r="A1766" s="58">
        <v>1</v>
      </c>
      <c r="B1766" s="19" t="s">
        <v>2587</v>
      </c>
      <c r="C1766" s="19" t="s">
        <v>68</v>
      </c>
      <c r="D1766" s="573" t="s">
        <v>2588</v>
      </c>
      <c r="E1766" s="45">
        <v>100</v>
      </c>
      <c r="F1766" s="46" t="s">
        <v>58</v>
      </c>
      <c r="G1766" s="368">
        <f t="shared" ref="G1766:K1766" si="463">G1768+G1771+G1776+G1781+G1783+G1787+G1791+G1795</f>
        <v>75028616734</v>
      </c>
      <c r="H1766" s="45">
        <v>100</v>
      </c>
      <c r="I1766" s="368">
        <f t="shared" si="463"/>
        <v>22753486006</v>
      </c>
      <c r="J1766" s="45">
        <v>100</v>
      </c>
      <c r="K1766" s="429">
        <f t="shared" si="463"/>
        <v>27375551018</v>
      </c>
      <c r="L1766" s="397">
        <v>25</v>
      </c>
      <c r="M1766" s="429">
        <f t="shared" ref="M1766:Q1766" si="464">M1768+M1771+M1776+M1781+M1783+M1787+M1791+M1795</f>
        <v>4114169165</v>
      </c>
      <c r="N1766" s="119">
        <v>25</v>
      </c>
      <c r="O1766" s="904">
        <f t="shared" si="464"/>
        <v>6729159287</v>
      </c>
      <c r="P1766" s="119">
        <v>25</v>
      </c>
      <c r="Q1766" s="429">
        <f t="shared" si="464"/>
        <v>5823660265</v>
      </c>
      <c r="R1766" s="108"/>
      <c r="S1766" s="368">
        <f>S1768+S1771+S1776+S1781+S1783+S1787+S1791+S1795</f>
        <v>8109682700</v>
      </c>
      <c r="T1766" s="57">
        <f t="shared" ref="T1766:T1771" si="465">SUM(L1766,N1766,P1766,R1766)</f>
        <v>75</v>
      </c>
      <c r="U1766" s="55">
        <f t="shared" ref="U1766:U1829" si="466">T1766/J1766*100</f>
        <v>75</v>
      </c>
      <c r="V1766" s="58" t="s">
        <v>58</v>
      </c>
      <c r="W1766" s="59">
        <f t="shared" si="457"/>
        <v>24776671417</v>
      </c>
      <c r="X1766" s="57">
        <f t="shared" ref="X1766:X1829" si="467">W1766/K1766*100</f>
        <v>90.506566975433003</v>
      </c>
      <c r="Y1766" s="58" t="s">
        <v>58</v>
      </c>
      <c r="Z1766" s="57"/>
      <c r="AA1766" s="59"/>
      <c r="AB1766" s="57"/>
      <c r="AC1766" s="58"/>
      <c r="AD1766" s="57"/>
      <c r="AE1766" s="397" t="s">
        <v>2589</v>
      </c>
      <c r="AH1766" s="79"/>
    </row>
    <row r="1767" spans="1:34" s="78" customFormat="1" ht="57" customHeight="1">
      <c r="A1767" s="388">
        <v>1</v>
      </c>
      <c r="B1767" s="19" t="s">
        <v>2590</v>
      </c>
      <c r="C1767" s="33"/>
      <c r="D1767" s="573" t="s">
        <v>2591</v>
      </c>
      <c r="E1767" s="386">
        <v>100</v>
      </c>
      <c r="F1767" s="75" t="s">
        <v>58</v>
      </c>
      <c r="G1767" s="368">
        <f>G1769+G1772+G1777+G1782+G1784+G1788+G1792+G1796</f>
        <v>62987312934</v>
      </c>
      <c r="H1767" s="386">
        <v>100</v>
      </c>
      <c r="I1767" s="368">
        <f>I1769+I1772+I1777+I1782+I1784+I1788+I1792+I1796</f>
        <v>20295618518</v>
      </c>
      <c r="J1767" s="45">
        <v>89.06</v>
      </c>
      <c r="K1767" s="430">
        <v>0</v>
      </c>
      <c r="L1767" s="386">
        <v>0</v>
      </c>
      <c r="M1767" s="430">
        <v>0</v>
      </c>
      <c r="N1767" s="74">
        <v>0</v>
      </c>
      <c r="O1767" s="905">
        <v>0</v>
      </c>
      <c r="P1767" s="74">
        <v>0</v>
      </c>
      <c r="Q1767" s="430">
        <v>0</v>
      </c>
      <c r="R1767" s="74"/>
      <c r="S1767" s="368"/>
      <c r="T1767" s="57">
        <f t="shared" si="465"/>
        <v>0</v>
      </c>
      <c r="U1767" s="55">
        <f t="shared" si="466"/>
        <v>0</v>
      </c>
      <c r="V1767" s="58" t="s">
        <v>58</v>
      </c>
      <c r="W1767" s="59">
        <f t="shared" si="457"/>
        <v>0</v>
      </c>
      <c r="X1767" s="57" t="e">
        <f t="shared" si="467"/>
        <v>#DIV/0!</v>
      </c>
      <c r="Y1767" s="58" t="s">
        <v>58</v>
      </c>
      <c r="Z1767" s="57"/>
      <c r="AA1767" s="59"/>
      <c r="AB1767" s="57"/>
      <c r="AC1767" s="58"/>
      <c r="AD1767" s="57"/>
      <c r="AE1767" s="24"/>
      <c r="AH1767" s="79"/>
    </row>
    <row r="1768" spans="1:34" s="78" customFormat="1" ht="147.75" customHeight="1">
      <c r="A1768" s="388">
        <v>2</v>
      </c>
      <c r="B1768" s="1169" t="s">
        <v>2592</v>
      </c>
      <c r="C1768" s="90" t="s">
        <v>1276</v>
      </c>
      <c r="D1768" s="360" t="s">
        <v>2593</v>
      </c>
      <c r="E1768" s="366"/>
      <c r="F1768" s="366"/>
      <c r="G1768" s="368">
        <f t="shared" ref="G1768:K1768" si="468">SUM(G1769:G1770)</f>
        <v>59021000</v>
      </c>
      <c r="H1768" s="386">
        <v>100</v>
      </c>
      <c r="I1768" s="368">
        <f t="shared" si="468"/>
        <v>2477500</v>
      </c>
      <c r="J1768" s="386">
        <v>100</v>
      </c>
      <c r="K1768" s="368">
        <f t="shared" si="468"/>
        <v>26304000</v>
      </c>
      <c r="L1768" s="386">
        <v>25</v>
      </c>
      <c r="M1768" s="368">
        <f t="shared" ref="M1768:Q1768" si="469">SUM(M1769:M1770)</f>
        <v>4500000</v>
      </c>
      <c r="N1768" s="386">
        <v>25</v>
      </c>
      <c r="O1768" s="906">
        <f t="shared" si="469"/>
        <v>4750000</v>
      </c>
      <c r="P1768" s="386">
        <v>25</v>
      </c>
      <c r="Q1768" s="907">
        <f t="shared" si="469"/>
        <v>4500000</v>
      </c>
      <c r="R1768" s="386"/>
      <c r="S1768" s="368">
        <f>SUM(S1769:S1770)</f>
        <v>7305000</v>
      </c>
      <c r="T1768" s="55">
        <f t="shared" si="465"/>
        <v>75</v>
      </c>
      <c r="U1768" s="55">
        <f t="shared" si="466"/>
        <v>75</v>
      </c>
      <c r="V1768" s="58" t="s">
        <v>58</v>
      </c>
      <c r="W1768" s="59">
        <f t="shared" si="457"/>
        <v>21055000</v>
      </c>
      <c r="X1768" s="57">
        <f t="shared" si="467"/>
        <v>80.044860097323607</v>
      </c>
      <c r="Y1768" s="58" t="s">
        <v>58</v>
      </c>
      <c r="Z1768" s="57"/>
      <c r="AA1768" s="59"/>
      <c r="AB1768" s="57"/>
      <c r="AC1768" s="58"/>
      <c r="AD1768" s="57"/>
      <c r="AE1768" s="24"/>
      <c r="AH1768" s="79"/>
    </row>
    <row r="1769" spans="1:34" ht="75">
      <c r="A1769" s="302"/>
      <c r="B1769" s="1169"/>
      <c r="C1769" s="908" t="s">
        <v>69</v>
      </c>
      <c r="D1769" s="440" t="s">
        <v>211</v>
      </c>
      <c r="E1769" s="20">
        <v>30</v>
      </c>
      <c r="F1769" s="21" t="s">
        <v>55</v>
      </c>
      <c r="G1769" s="22">
        <v>15233000</v>
      </c>
      <c r="H1769" s="20">
        <v>10</v>
      </c>
      <c r="I1769" s="22">
        <v>1847500</v>
      </c>
      <c r="J1769" s="20">
        <v>10</v>
      </c>
      <c r="K1769" s="22">
        <v>5650000</v>
      </c>
      <c r="L1769" s="20">
        <v>3</v>
      </c>
      <c r="M1769" s="22">
        <v>0</v>
      </c>
      <c r="N1769" s="20">
        <v>5</v>
      </c>
      <c r="O1769" s="909">
        <v>0</v>
      </c>
      <c r="P1769" s="20">
        <v>3</v>
      </c>
      <c r="Q1769" s="910">
        <v>0</v>
      </c>
      <c r="R1769" s="20"/>
      <c r="S1769" s="22">
        <v>2812500</v>
      </c>
      <c r="T1769" s="54">
        <f t="shared" si="465"/>
        <v>11</v>
      </c>
      <c r="U1769" s="54">
        <f t="shared" si="466"/>
        <v>110.00000000000001</v>
      </c>
      <c r="V1769" s="35" t="s">
        <v>58</v>
      </c>
      <c r="W1769" s="40">
        <f t="shared" si="457"/>
        <v>2812500</v>
      </c>
      <c r="X1769" s="53">
        <f t="shared" si="467"/>
        <v>49.778761061946902</v>
      </c>
      <c r="Y1769" s="35" t="s">
        <v>58</v>
      </c>
      <c r="Z1769" s="54"/>
      <c r="AA1769" s="40"/>
      <c r="AB1769" s="53"/>
      <c r="AC1769" s="35"/>
      <c r="AD1769" s="53"/>
      <c r="AE1769" s="12"/>
      <c r="AH1769" s="25"/>
    </row>
    <row r="1770" spans="1:34" ht="90">
      <c r="A1770" s="302"/>
      <c r="B1770" s="1169"/>
      <c r="C1770" s="908" t="s">
        <v>70</v>
      </c>
      <c r="D1770" s="440" t="s">
        <v>212</v>
      </c>
      <c r="E1770" s="20">
        <v>5</v>
      </c>
      <c r="F1770" s="21" t="s">
        <v>173</v>
      </c>
      <c r="G1770" s="22">
        <v>43788000</v>
      </c>
      <c r="H1770" s="20">
        <v>5</v>
      </c>
      <c r="I1770" s="22">
        <v>630000</v>
      </c>
      <c r="J1770" s="20">
        <v>5</v>
      </c>
      <c r="K1770" s="22">
        <v>20654000</v>
      </c>
      <c r="L1770" s="20">
        <v>1</v>
      </c>
      <c r="M1770" s="911">
        <f>1500000+1500000+1500000</f>
        <v>4500000</v>
      </c>
      <c r="N1770" s="20">
        <v>2</v>
      </c>
      <c r="O1770" s="912">
        <v>4750000</v>
      </c>
      <c r="P1770" s="20">
        <v>1</v>
      </c>
      <c r="Q1770" s="910">
        <v>4500000</v>
      </c>
      <c r="R1770" s="20"/>
      <c r="S1770" s="22">
        <f>18242500-Q1770-O1770-M1770</f>
        <v>4492500</v>
      </c>
      <c r="T1770" s="54">
        <f t="shared" si="465"/>
        <v>4</v>
      </c>
      <c r="U1770" s="54">
        <f t="shared" si="466"/>
        <v>80</v>
      </c>
      <c r="V1770" s="35" t="s">
        <v>58</v>
      </c>
      <c r="W1770" s="40">
        <f t="shared" si="457"/>
        <v>18242500</v>
      </c>
      <c r="X1770" s="53">
        <f t="shared" si="467"/>
        <v>88.324295535973661</v>
      </c>
      <c r="Y1770" s="35" t="s">
        <v>58</v>
      </c>
      <c r="Z1770" s="54"/>
      <c r="AA1770" s="40"/>
      <c r="AB1770" s="53"/>
      <c r="AC1770" s="35"/>
      <c r="AD1770" s="53"/>
      <c r="AE1770" s="12"/>
      <c r="AH1770" s="25"/>
    </row>
    <row r="1771" spans="1:34" s="78" customFormat="1" ht="90" customHeight="1">
      <c r="A1771" s="302"/>
      <c r="B1771" s="1150"/>
      <c r="C1771" s="913" t="s">
        <v>71</v>
      </c>
      <c r="D1771" s="468" t="s">
        <v>2594</v>
      </c>
      <c r="E1771" s="358"/>
      <c r="F1771" s="358"/>
      <c r="G1771" s="368">
        <f t="shared" ref="G1771:I1771" si="470">SUM(G1772:G1775)</f>
        <v>8777594000</v>
      </c>
      <c r="H1771" s="74">
        <v>100</v>
      </c>
      <c r="I1771" s="368">
        <f t="shared" si="470"/>
        <v>2800132643</v>
      </c>
      <c r="J1771" s="74">
        <v>100</v>
      </c>
      <c r="K1771" s="368">
        <f>SUM(K1772:K1775)</f>
        <v>2795655492</v>
      </c>
      <c r="L1771" s="74">
        <v>25</v>
      </c>
      <c r="M1771" s="914">
        <f>SUM(M1772:M1775)</f>
        <v>457144754</v>
      </c>
      <c r="N1771" s="74">
        <v>25</v>
      </c>
      <c r="O1771" s="915">
        <f>SUM(O1772:O1775)</f>
        <v>772669930</v>
      </c>
      <c r="P1771" s="74">
        <v>25</v>
      </c>
      <c r="Q1771" s="916">
        <f>SUM(Q1772:Q1775)</f>
        <v>698589330</v>
      </c>
      <c r="R1771" s="74">
        <v>25</v>
      </c>
      <c r="S1771" s="916">
        <f>SUM(S1772:S1775)</f>
        <v>574565177</v>
      </c>
      <c r="T1771" s="55">
        <f t="shared" si="465"/>
        <v>100</v>
      </c>
      <c r="U1771" s="55">
        <f t="shared" si="466"/>
        <v>100</v>
      </c>
      <c r="V1771" s="58" t="s">
        <v>58</v>
      </c>
      <c r="W1771" s="59">
        <f>SUM(W1772:W1775)</f>
        <v>2502969191</v>
      </c>
      <c r="X1771" s="57">
        <f t="shared" si="467"/>
        <v>89.530673509753044</v>
      </c>
      <c r="Y1771" s="58" t="s">
        <v>58</v>
      </c>
      <c r="Z1771" s="55"/>
      <c r="AA1771" s="59"/>
      <c r="AB1771" s="57"/>
      <c r="AC1771" s="58"/>
      <c r="AD1771" s="57"/>
      <c r="AE1771" s="419"/>
      <c r="AH1771" s="79"/>
    </row>
    <row r="1772" spans="1:34" ht="90">
      <c r="A1772" s="16"/>
      <c r="B1772" s="17"/>
      <c r="C1772" s="329" t="s">
        <v>72</v>
      </c>
      <c r="D1772" s="436" t="s">
        <v>213</v>
      </c>
      <c r="E1772" s="44">
        <f t="shared" ref="E1772:E1775" si="471">H1772*3</f>
        <v>78</v>
      </c>
      <c r="F1772" s="27" t="s">
        <v>57</v>
      </c>
      <c r="G1772" s="22">
        <v>8707932000</v>
      </c>
      <c r="H1772" s="44">
        <v>26</v>
      </c>
      <c r="I1772" s="22">
        <v>2779410467</v>
      </c>
      <c r="J1772" s="44">
        <v>23</v>
      </c>
      <c r="K1772" s="22">
        <v>2774080792</v>
      </c>
      <c r="L1772" s="44">
        <v>23</v>
      </c>
      <c r="M1772" s="911">
        <f>103358758+2683716+74577975+3974064+765271+95672933+720613+3653940+88614709+725059+3676780+71695896+2525040</f>
        <v>452644754</v>
      </c>
      <c r="N1772" s="44">
        <v>23</v>
      </c>
      <c r="O1772" s="912">
        <v>768169930</v>
      </c>
      <c r="P1772" s="44">
        <v>23</v>
      </c>
      <c r="Q1772" s="917">
        <v>693067530</v>
      </c>
      <c r="R1772" s="44">
        <v>23</v>
      </c>
      <c r="S1772" s="22">
        <v>570740177</v>
      </c>
      <c r="T1772" s="54">
        <f>AVERAGE(L1772,N1772,P1772,R1772)</f>
        <v>23</v>
      </c>
      <c r="U1772" s="54">
        <f t="shared" si="466"/>
        <v>100</v>
      </c>
      <c r="V1772" s="35" t="s">
        <v>58</v>
      </c>
      <c r="W1772" s="40">
        <f t="shared" si="457"/>
        <v>2484622391</v>
      </c>
      <c r="X1772" s="53">
        <f t="shared" si="467"/>
        <v>89.565610279457204</v>
      </c>
      <c r="Y1772" s="35" t="s">
        <v>58</v>
      </c>
      <c r="Z1772" s="54"/>
      <c r="AA1772" s="40"/>
      <c r="AB1772" s="53"/>
      <c r="AC1772" s="35"/>
      <c r="AD1772" s="53"/>
      <c r="AE1772" s="30"/>
      <c r="AH1772" s="25"/>
    </row>
    <row r="1773" spans="1:34" ht="195">
      <c r="A1773" s="16"/>
      <c r="B1773" s="17"/>
      <c r="C1773" s="329" t="s">
        <v>73</v>
      </c>
      <c r="D1773" s="440" t="s">
        <v>214</v>
      </c>
      <c r="E1773" s="44">
        <f t="shared" si="471"/>
        <v>3</v>
      </c>
      <c r="F1773" s="27" t="s">
        <v>173</v>
      </c>
      <c r="G1773" s="22">
        <v>4490000</v>
      </c>
      <c r="H1773" s="44">
        <v>1</v>
      </c>
      <c r="I1773" s="22">
        <v>1260000</v>
      </c>
      <c r="J1773" s="44">
        <v>1</v>
      </c>
      <c r="K1773" s="22">
        <v>1500750</v>
      </c>
      <c r="L1773" s="44">
        <v>1</v>
      </c>
      <c r="M1773" s="911">
        <v>0</v>
      </c>
      <c r="N1773" s="44">
        <v>0</v>
      </c>
      <c r="O1773" s="912">
        <v>0</v>
      </c>
      <c r="P1773" s="44">
        <v>0</v>
      </c>
      <c r="Q1773" s="917">
        <v>1021800</v>
      </c>
      <c r="R1773" s="44"/>
      <c r="S1773" s="22">
        <v>0</v>
      </c>
      <c r="T1773" s="54">
        <f t="shared" ref="T1773:T1838" si="472">SUM(L1773,N1773,P1773,R1773)</f>
        <v>1</v>
      </c>
      <c r="U1773" s="54">
        <f t="shared" si="466"/>
        <v>100</v>
      </c>
      <c r="V1773" s="35" t="s">
        <v>58</v>
      </c>
      <c r="W1773" s="40">
        <f t="shared" si="457"/>
        <v>1021800</v>
      </c>
      <c r="X1773" s="53">
        <f t="shared" si="467"/>
        <v>68.08595702148925</v>
      </c>
      <c r="Y1773" s="35" t="s">
        <v>58</v>
      </c>
      <c r="Z1773" s="54"/>
      <c r="AA1773" s="40"/>
      <c r="AB1773" s="53"/>
      <c r="AC1773" s="35"/>
      <c r="AD1773" s="53"/>
      <c r="AE1773" s="12"/>
      <c r="AH1773" s="25"/>
    </row>
    <row r="1774" spans="1:34" ht="60" customHeight="1">
      <c r="A1774" s="16"/>
      <c r="B1774" s="17"/>
      <c r="C1774" s="329" t="s">
        <v>74</v>
      </c>
      <c r="D1774" s="440" t="s">
        <v>215</v>
      </c>
      <c r="E1774" s="44">
        <f t="shared" si="471"/>
        <v>36</v>
      </c>
      <c r="F1774" s="27" t="s">
        <v>173</v>
      </c>
      <c r="G1774" s="22">
        <v>61632000</v>
      </c>
      <c r="H1774" s="44">
        <v>12</v>
      </c>
      <c r="I1774" s="22">
        <v>19462176</v>
      </c>
      <c r="J1774" s="44">
        <v>12</v>
      </c>
      <c r="K1774" s="22">
        <v>18894000</v>
      </c>
      <c r="L1774" s="44">
        <v>3</v>
      </c>
      <c r="M1774" s="911">
        <v>4500000</v>
      </c>
      <c r="N1774" s="44">
        <v>3</v>
      </c>
      <c r="O1774" s="909">
        <v>4500000</v>
      </c>
      <c r="P1774" s="44">
        <v>3</v>
      </c>
      <c r="Q1774" s="917">
        <v>4500000</v>
      </c>
      <c r="R1774" s="44"/>
      <c r="S1774" s="22">
        <v>3000000</v>
      </c>
      <c r="T1774" s="54">
        <v>12</v>
      </c>
      <c r="U1774" s="54">
        <f t="shared" si="466"/>
        <v>100</v>
      </c>
      <c r="V1774" s="35" t="s">
        <v>58</v>
      </c>
      <c r="W1774" s="40">
        <f t="shared" si="457"/>
        <v>16500000</v>
      </c>
      <c r="X1774" s="53">
        <f t="shared" si="467"/>
        <v>87.329310892346783</v>
      </c>
      <c r="Y1774" s="35" t="s">
        <v>58</v>
      </c>
      <c r="Z1774" s="54"/>
      <c r="AA1774" s="40"/>
      <c r="AB1774" s="53"/>
      <c r="AC1774" s="35"/>
      <c r="AD1774" s="53"/>
      <c r="AE1774" s="12"/>
      <c r="AH1774" s="25"/>
    </row>
    <row r="1775" spans="1:34" ht="105">
      <c r="A1775" s="16"/>
      <c r="B1775" s="17"/>
      <c r="C1775" s="329" t="s">
        <v>75</v>
      </c>
      <c r="D1775" s="440" t="s">
        <v>216</v>
      </c>
      <c r="E1775" s="44">
        <f t="shared" si="471"/>
        <v>3</v>
      </c>
      <c r="F1775" s="27" t="s">
        <v>55</v>
      </c>
      <c r="G1775" s="22">
        <v>3540000</v>
      </c>
      <c r="H1775" s="44">
        <v>1</v>
      </c>
      <c r="I1775" s="22">
        <v>0</v>
      </c>
      <c r="J1775" s="44">
        <v>1</v>
      </c>
      <c r="K1775" s="22">
        <v>1179950</v>
      </c>
      <c r="L1775" s="44">
        <v>0</v>
      </c>
      <c r="M1775" s="911"/>
      <c r="N1775" s="44">
        <v>0</v>
      </c>
      <c r="O1775" s="909">
        <v>0</v>
      </c>
      <c r="P1775" s="44">
        <v>1</v>
      </c>
      <c r="Q1775" s="917">
        <v>0</v>
      </c>
      <c r="R1775" s="44"/>
      <c r="S1775" s="22">
        <v>825000</v>
      </c>
      <c r="T1775" s="54">
        <f t="shared" si="472"/>
        <v>1</v>
      </c>
      <c r="U1775" s="54">
        <f t="shared" si="466"/>
        <v>100</v>
      </c>
      <c r="V1775" s="35" t="s">
        <v>58</v>
      </c>
      <c r="W1775" s="40">
        <f t="shared" si="457"/>
        <v>825000</v>
      </c>
      <c r="X1775" s="53">
        <f t="shared" si="467"/>
        <v>69.918216873596336</v>
      </c>
      <c r="Y1775" s="35" t="s">
        <v>58</v>
      </c>
      <c r="Z1775" s="54"/>
      <c r="AA1775" s="40"/>
      <c r="AB1775" s="53"/>
      <c r="AC1775" s="35"/>
      <c r="AD1775" s="53"/>
      <c r="AE1775" s="12"/>
      <c r="AH1775" s="25"/>
    </row>
    <row r="1776" spans="1:34" s="78" customFormat="1" ht="96.75" customHeight="1">
      <c r="A1776" s="16"/>
      <c r="B1776" s="17" t="s">
        <v>2595</v>
      </c>
      <c r="C1776" s="312" t="s">
        <v>76</v>
      </c>
      <c r="D1776" s="573" t="s">
        <v>2596</v>
      </c>
      <c r="E1776" s="74">
        <v>100</v>
      </c>
      <c r="F1776" s="75" t="s">
        <v>58</v>
      </c>
      <c r="G1776" s="368">
        <f t="shared" ref="G1776:I1776" si="473">SUM(G1777:G1780)</f>
        <v>2789707334</v>
      </c>
      <c r="H1776" s="74">
        <v>100</v>
      </c>
      <c r="I1776" s="368">
        <f t="shared" si="473"/>
        <v>871793430</v>
      </c>
      <c r="J1776" s="74">
        <v>100</v>
      </c>
      <c r="K1776" s="368">
        <f t="shared" ref="K1776:O1776" si="474">SUM(K1777:K1780)</f>
        <v>1472016700</v>
      </c>
      <c r="L1776" s="74">
        <v>25</v>
      </c>
      <c r="M1776" s="911">
        <f t="shared" si="474"/>
        <v>24109425</v>
      </c>
      <c r="N1776" s="108">
        <v>25</v>
      </c>
      <c r="O1776" s="906">
        <f t="shared" si="474"/>
        <v>121704646</v>
      </c>
      <c r="P1776" s="108">
        <v>25</v>
      </c>
      <c r="Q1776" s="368">
        <f>SUM(Q1777:Q1780)</f>
        <v>187549773</v>
      </c>
      <c r="R1776" s="108"/>
      <c r="S1776" s="368">
        <f>SUM(S1777:S1780)</f>
        <v>813310845</v>
      </c>
      <c r="T1776" s="55">
        <f t="shared" si="472"/>
        <v>75</v>
      </c>
      <c r="U1776" s="55">
        <f t="shared" si="466"/>
        <v>75</v>
      </c>
      <c r="V1776" s="58" t="s">
        <v>58</v>
      </c>
      <c r="W1776" s="918">
        <f>SUM(W1777:W1780)</f>
        <v>1146674689</v>
      </c>
      <c r="X1776" s="57">
        <f t="shared" si="467"/>
        <v>77.898211956426849</v>
      </c>
      <c r="Y1776" s="58" t="s">
        <v>58</v>
      </c>
      <c r="Z1776" s="55"/>
      <c r="AA1776" s="59"/>
      <c r="AB1776" s="57"/>
      <c r="AC1776" s="58"/>
      <c r="AD1776" s="57"/>
      <c r="AE1776" s="12"/>
      <c r="AH1776" s="79"/>
    </row>
    <row r="1777" spans="1:34" s="78" customFormat="1" ht="96.75" customHeight="1">
      <c r="A1777" s="16"/>
      <c r="B1777" s="17"/>
      <c r="C1777" s="459" t="s">
        <v>285</v>
      </c>
      <c r="D1777" s="440" t="s">
        <v>217</v>
      </c>
      <c r="E1777" s="44">
        <f t="shared" ref="E1777:E1780" si="475">H1777*3</f>
        <v>36</v>
      </c>
      <c r="F1777" s="21" t="s">
        <v>59</v>
      </c>
      <c r="G1777" s="22">
        <v>1237282334</v>
      </c>
      <c r="H1777" s="44">
        <v>12</v>
      </c>
      <c r="I1777" s="22">
        <v>529185950</v>
      </c>
      <c r="J1777" s="44">
        <v>12</v>
      </c>
      <c r="K1777" s="22">
        <v>732480900</v>
      </c>
      <c r="L1777" s="44">
        <v>3</v>
      </c>
      <c r="M1777" s="911">
        <v>21749425</v>
      </c>
      <c r="N1777" s="20">
        <v>6</v>
      </c>
      <c r="O1777" s="919">
        <v>43594975</v>
      </c>
      <c r="P1777" s="20">
        <v>1</v>
      </c>
      <c r="Q1777" s="917">
        <v>91588650</v>
      </c>
      <c r="R1777" s="20"/>
      <c r="S1777" s="22">
        <f>656389050-Q1777-M1777-O1777</f>
        <v>499456000</v>
      </c>
      <c r="T1777" s="54">
        <f t="shared" si="472"/>
        <v>10</v>
      </c>
      <c r="U1777" s="54">
        <f t="shared" si="466"/>
        <v>83.333333333333343</v>
      </c>
      <c r="V1777" s="35" t="s">
        <v>58</v>
      </c>
      <c r="W1777" s="40">
        <f t="shared" si="457"/>
        <v>656389050</v>
      </c>
      <c r="X1777" s="53">
        <f t="shared" si="467"/>
        <v>89.611763255533347</v>
      </c>
      <c r="Y1777" s="35" t="s">
        <v>58</v>
      </c>
      <c r="Z1777" s="54"/>
      <c r="AA1777" s="40"/>
      <c r="AB1777" s="53"/>
      <c r="AC1777" s="35"/>
      <c r="AD1777" s="53"/>
      <c r="AE1777" s="12"/>
      <c r="AH1777" s="79"/>
    </row>
    <row r="1778" spans="1:34" s="78" customFormat="1" ht="96.75" customHeight="1">
      <c r="A1778" s="16"/>
      <c r="B1778" s="17"/>
      <c r="C1778" s="459" t="s">
        <v>287</v>
      </c>
      <c r="D1778" s="436" t="s">
        <v>218</v>
      </c>
      <c r="E1778" s="44">
        <f t="shared" si="475"/>
        <v>36</v>
      </c>
      <c r="F1778" s="21" t="s">
        <v>59</v>
      </c>
      <c r="G1778" s="22">
        <v>772325000</v>
      </c>
      <c r="H1778" s="44">
        <v>12</v>
      </c>
      <c r="I1778" s="22">
        <v>162521700</v>
      </c>
      <c r="J1778" s="44">
        <v>12</v>
      </c>
      <c r="K1778" s="22">
        <v>477010000</v>
      </c>
      <c r="L1778" s="44">
        <v>3</v>
      </c>
      <c r="M1778" s="911"/>
      <c r="N1778" s="20">
        <v>3</v>
      </c>
      <c r="O1778" s="919">
        <v>7885000</v>
      </c>
      <c r="P1778" s="20">
        <v>3</v>
      </c>
      <c r="Q1778" s="917">
        <v>55339500</v>
      </c>
      <c r="R1778" s="20"/>
      <c r="S1778" s="22">
        <f>260773000-Q1778-M1778-O1778</f>
        <v>197548500</v>
      </c>
      <c r="T1778" s="54">
        <f t="shared" si="472"/>
        <v>9</v>
      </c>
      <c r="U1778" s="54">
        <f t="shared" si="466"/>
        <v>75</v>
      </c>
      <c r="V1778" s="35" t="s">
        <v>58</v>
      </c>
      <c r="W1778" s="40">
        <f t="shared" si="457"/>
        <v>260773000</v>
      </c>
      <c r="X1778" s="53">
        <f t="shared" si="467"/>
        <v>54.668245948722252</v>
      </c>
      <c r="Y1778" s="35" t="s">
        <v>58</v>
      </c>
      <c r="Z1778" s="54"/>
      <c r="AA1778" s="40"/>
      <c r="AB1778" s="53"/>
      <c r="AC1778" s="35"/>
      <c r="AD1778" s="53"/>
      <c r="AE1778" s="12"/>
      <c r="AH1778" s="79"/>
    </row>
    <row r="1779" spans="1:34" ht="90">
      <c r="A1779" s="16"/>
      <c r="B1779" s="17"/>
      <c r="C1779" s="459" t="s">
        <v>286</v>
      </c>
      <c r="D1779" s="436" t="s">
        <v>219</v>
      </c>
      <c r="E1779" s="44">
        <f t="shared" si="475"/>
        <v>36</v>
      </c>
      <c r="F1779" s="21" t="s">
        <v>59</v>
      </c>
      <c r="G1779" s="22">
        <v>318100000</v>
      </c>
      <c r="H1779" s="44">
        <v>12</v>
      </c>
      <c r="I1779" s="22">
        <v>60663100</v>
      </c>
      <c r="J1779" s="44">
        <v>12</v>
      </c>
      <c r="K1779" s="22">
        <v>80525800</v>
      </c>
      <c r="L1779" s="44">
        <v>3</v>
      </c>
      <c r="M1779" s="911"/>
      <c r="N1779" s="44">
        <v>3</v>
      </c>
      <c r="O1779" s="919">
        <v>51233800</v>
      </c>
      <c r="P1779" s="44">
        <v>3</v>
      </c>
      <c r="Q1779" s="917">
        <v>6093900</v>
      </c>
      <c r="R1779" s="44"/>
      <c r="S1779" s="22">
        <f>73190200-Q1779-M1779-O1779</f>
        <v>15862500</v>
      </c>
      <c r="T1779" s="54">
        <f t="shared" si="472"/>
        <v>9</v>
      </c>
      <c r="U1779" s="54">
        <f t="shared" si="466"/>
        <v>75</v>
      </c>
      <c r="V1779" s="35" t="s">
        <v>58</v>
      </c>
      <c r="W1779" s="40">
        <f t="shared" si="457"/>
        <v>73190200</v>
      </c>
      <c r="X1779" s="53">
        <f t="shared" si="467"/>
        <v>90.890373023304321</v>
      </c>
      <c r="Y1779" s="35" t="s">
        <v>58</v>
      </c>
      <c r="Z1779" s="54"/>
      <c r="AA1779" s="40"/>
      <c r="AB1779" s="53"/>
      <c r="AC1779" s="35"/>
      <c r="AD1779" s="53"/>
      <c r="AE1779" s="12"/>
      <c r="AH1779" s="25"/>
    </row>
    <row r="1780" spans="1:34" ht="120">
      <c r="A1780" s="16"/>
      <c r="B1780" s="17"/>
      <c r="C1780" s="459" t="s">
        <v>77</v>
      </c>
      <c r="D1780" s="440" t="s">
        <v>220</v>
      </c>
      <c r="E1780" s="44">
        <f t="shared" si="475"/>
        <v>36</v>
      </c>
      <c r="F1780" s="21" t="s">
        <v>173</v>
      </c>
      <c r="G1780" s="22">
        <v>462000000</v>
      </c>
      <c r="H1780" s="44">
        <v>12</v>
      </c>
      <c r="I1780" s="22">
        <v>119422680</v>
      </c>
      <c r="J1780" s="44">
        <v>12</v>
      </c>
      <c r="K1780" s="22">
        <v>182000000</v>
      </c>
      <c r="L1780" s="44">
        <v>3</v>
      </c>
      <c r="M1780" s="911">
        <v>2360000</v>
      </c>
      <c r="N1780" s="44">
        <v>3</v>
      </c>
      <c r="O1780" s="919">
        <v>18990871</v>
      </c>
      <c r="P1780" s="44">
        <v>3</v>
      </c>
      <c r="Q1780" s="917">
        <v>34527723</v>
      </c>
      <c r="R1780" s="44"/>
      <c r="S1780" s="22">
        <f>156322439-Q1780-M1780-O1780</f>
        <v>100443845</v>
      </c>
      <c r="T1780" s="54">
        <f t="shared" si="472"/>
        <v>9</v>
      </c>
      <c r="U1780" s="54">
        <f t="shared" si="466"/>
        <v>75</v>
      </c>
      <c r="V1780" s="35" t="s">
        <v>58</v>
      </c>
      <c r="W1780" s="40">
        <f t="shared" si="457"/>
        <v>156322439</v>
      </c>
      <c r="X1780" s="53">
        <f t="shared" si="467"/>
        <v>85.891450000000006</v>
      </c>
      <c r="Y1780" s="35" t="s">
        <v>58</v>
      </c>
      <c r="Z1780" s="54"/>
      <c r="AA1780" s="40"/>
      <c r="AB1780" s="53"/>
      <c r="AC1780" s="35"/>
      <c r="AD1780" s="53"/>
      <c r="AE1780" s="12"/>
      <c r="AH1780" s="25"/>
    </row>
    <row r="1781" spans="1:34" ht="189">
      <c r="A1781" s="16"/>
      <c r="B1781" s="17"/>
      <c r="C1781" s="312" t="s">
        <v>2597</v>
      </c>
      <c r="D1781" s="573" t="s">
        <v>2596</v>
      </c>
      <c r="E1781" s="74">
        <v>100</v>
      </c>
      <c r="F1781" s="75"/>
      <c r="G1781" s="368">
        <f t="shared" ref="G1781:K1781" si="476">SUM(G1782)</f>
        <v>0</v>
      </c>
      <c r="H1781" s="74"/>
      <c r="I1781" s="368">
        <f t="shared" si="476"/>
        <v>0</v>
      </c>
      <c r="J1781" s="74">
        <v>100</v>
      </c>
      <c r="K1781" s="368">
        <f t="shared" si="476"/>
        <v>2271011900</v>
      </c>
      <c r="L1781" s="74">
        <v>25</v>
      </c>
      <c r="M1781" s="911">
        <f>M1782</f>
        <v>0</v>
      </c>
      <c r="N1781" s="108">
        <v>25</v>
      </c>
      <c r="O1781" s="919">
        <v>764620000</v>
      </c>
      <c r="P1781" s="108">
        <v>25</v>
      </c>
      <c r="Q1781" s="920">
        <v>1650000</v>
      </c>
      <c r="R1781" s="108">
        <v>25</v>
      </c>
      <c r="S1781" s="368">
        <f>S1782</f>
        <v>624300000</v>
      </c>
      <c r="T1781" s="54">
        <f t="shared" si="472"/>
        <v>100</v>
      </c>
      <c r="U1781" s="54">
        <f t="shared" si="466"/>
        <v>100</v>
      </c>
      <c r="V1781" s="58" t="s">
        <v>58</v>
      </c>
      <c r="W1781" s="59">
        <f t="shared" si="457"/>
        <v>1390570000</v>
      </c>
      <c r="X1781" s="57">
        <f t="shared" si="467"/>
        <v>61.231295177273182</v>
      </c>
      <c r="Y1781" s="58" t="s">
        <v>58</v>
      </c>
      <c r="Z1781" s="55"/>
      <c r="AA1781" s="59"/>
      <c r="AB1781" s="57"/>
      <c r="AC1781" s="58"/>
      <c r="AD1781" s="57"/>
      <c r="AE1781" s="12"/>
      <c r="AH1781" s="25">
        <f>M1854+O1854+Q1854+S1854</f>
        <v>40822500</v>
      </c>
    </row>
    <row r="1782" spans="1:34" ht="120">
      <c r="A1782" s="16"/>
      <c r="B1782" s="17"/>
      <c r="C1782" s="459" t="s">
        <v>85</v>
      </c>
      <c r="D1782" s="440" t="s">
        <v>221</v>
      </c>
      <c r="E1782" s="44">
        <v>19</v>
      </c>
      <c r="F1782" s="21" t="s">
        <v>138</v>
      </c>
      <c r="G1782" s="22"/>
      <c r="H1782" s="44"/>
      <c r="I1782" s="22"/>
      <c r="J1782" s="44">
        <v>18</v>
      </c>
      <c r="K1782" s="22">
        <v>2271011900</v>
      </c>
      <c r="L1782" s="44">
        <v>0</v>
      </c>
      <c r="M1782" s="22">
        <v>0</v>
      </c>
      <c r="N1782" s="44">
        <v>16</v>
      </c>
      <c r="O1782" s="919">
        <v>764620000</v>
      </c>
      <c r="P1782" s="44">
        <v>0</v>
      </c>
      <c r="Q1782" s="917">
        <v>1650000</v>
      </c>
      <c r="R1782" s="44">
        <v>1</v>
      </c>
      <c r="S1782" s="22">
        <f>1390570000-Q1782-M1782-O1782</f>
        <v>624300000</v>
      </c>
      <c r="T1782" s="54">
        <f t="shared" si="472"/>
        <v>17</v>
      </c>
      <c r="U1782" s="54">
        <f t="shared" si="466"/>
        <v>94.444444444444443</v>
      </c>
      <c r="V1782" s="35" t="s">
        <v>58</v>
      </c>
      <c r="W1782" s="40">
        <f t="shared" si="457"/>
        <v>1390570000</v>
      </c>
      <c r="X1782" s="53">
        <f t="shared" si="467"/>
        <v>61.231295177273182</v>
      </c>
      <c r="Y1782" s="35" t="s">
        <v>58</v>
      </c>
      <c r="Z1782" s="54"/>
      <c r="AA1782" s="40"/>
      <c r="AB1782" s="53"/>
      <c r="AC1782" s="35"/>
      <c r="AD1782" s="53"/>
      <c r="AE1782" s="921"/>
      <c r="AH1782" s="25"/>
    </row>
    <row r="1783" spans="1:34" ht="189">
      <c r="A1783" s="16"/>
      <c r="B1783" s="17"/>
      <c r="C1783" s="312" t="s">
        <v>79</v>
      </c>
      <c r="D1783" s="573" t="s">
        <v>2596</v>
      </c>
      <c r="E1783" s="74">
        <v>100</v>
      </c>
      <c r="F1783" s="75" t="s">
        <v>58</v>
      </c>
      <c r="G1783" s="368">
        <f t="shared" ref="G1783:K1783" si="477">SUM(G1784:G1786)</f>
        <v>1033734400</v>
      </c>
      <c r="H1783" s="74">
        <v>100</v>
      </c>
      <c r="I1783" s="368">
        <f t="shared" si="477"/>
        <v>205647904</v>
      </c>
      <c r="J1783" s="74">
        <v>100</v>
      </c>
      <c r="K1783" s="368">
        <f t="shared" si="477"/>
        <v>454558951</v>
      </c>
      <c r="L1783" s="74">
        <v>25</v>
      </c>
      <c r="M1783" s="368">
        <f t="shared" ref="M1783:Q1783" si="478">SUM(M1784:M1786)</f>
        <v>50789331</v>
      </c>
      <c r="N1783" s="108">
        <v>25</v>
      </c>
      <c r="O1783" s="906">
        <f t="shared" si="478"/>
        <v>110062379</v>
      </c>
      <c r="P1783" s="108">
        <v>25</v>
      </c>
      <c r="Q1783" s="368">
        <f t="shared" si="478"/>
        <v>97057733</v>
      </c>
      <c r="R1783" s="108"/>
      <c r="S1783" s="368">
        <f>SUM(S1784:S1786)</f>
        <v>164017046</v>
      </c>
      <c r="T1783" s="55">
        <f t="shared" si="472"/>
        <v>75</v>
      </c>
      <c r="U1783" s="55">
        <f t="shared" si="466"/>
        <v>75</v>
      </c>
      <c r="V1783" s="58" t="s">
        <v>58</v>
      </c>
      <c r="W1783" s="59">
        <f t="shared" si="457"/>
        <v>421926489</v>
      </c>
      <c r="X1783" s="57">
        <f t="shared" si="467"/>
        <v>92.821071518180261</v>
      </c>
      <c r="Y1783" s="58" t="s">
        <v>58</v>
      </c>
      <c r="Z1783" s="55"/>
      <c r="AA1783" s="59"/>
      <c r="AB1783" s="57"/>
      <c r="AC1783" s="58"/>
      <c r="AD1783" s="57"/>
      <c r="AE1783" s="12"/>
      <c r="AH1783" s="25"/>
    </row>
    <row r="1784" spans="1:34" s="78" customFormat="1" ht="123.75" customHeight="1">
      <c r="A1784" s="16"/>
      <c r="B1784" s="17"/>
      <c r="C1784" s="459" t="s">
        <v>86</v>
      </c>
      <c r="D1784" s="440" t="s">
        <v>222</v>
      </c>
      <c r="E1784" s="44">
        <f>H1784*3</f>
        <v>36</v>
      </c>
      <c r="F1784" s="21" t="s">
        <v>173</v>
      </c>
      <c r="G1784" s="22">
        <v>14900000</v>
      </c>
      <c r="H1784" s="44">
        <v>12</v>
      </c>
      <c r="I1784" s="22">
        <v>2300000</v>
      </c>
      <c r="J1784" s="44">
        <v>12</v>
      </c>
      <c r="K1784" s="22">
        <v>5800000</v>
      </c>
      <c r="L1784" s="44">
        <v>3</v>
      </c>
      <c r="M1784" s="22">
        <v>0</v>
      </c>
      <c r="N1784" s="44">
        <v>3</v>
      </c>
      <c r="O1784" s="919">
        <v>0</v>
      </c>
      <c r="P1784" s="44">
        <v>3</v>
      </c>
      <c r="Q1784" s="917">
        <v>0</v>
      </c>
      <c r="R1784" s="44">
        <v>3</v>
      </c>
      <c r="S1784" s="22">
        <v>1000000</v>
      </c>
      <c r="T1784" s="54">
        <f t="shared" si="472"/>
        <v>12</v>
      </c>
      <c r="U1784" s="54">
        <f t="shared" si="466"/>
        <v>100</v>
      </c>
      <c r="V1784" s="35" t="s">
        <v>58</v>
      </c>
      <c r="W1784" s="40">
        <f t="shared" si="457"/>
        <v>1000000</v>
      </c>
      <c r="X1784" s="53">
        <f t="shared" si="467"/>
        <v>17.241379310344829</v>
      </c>
      <c r="Y1784" s="35" t="s">
        <v>58</v>
      </c>
      <c r="Z1784" s="54"/>
      <c r="AA1784" s="40"/>
      <c r="AB1784" s="53"/>
      <c r="AC1784" s="35"/>
      <c r="AD1784" s="53"/>
      <c r="AE1784" s="12"/>
      <c r="AH1784" s="79"/>
    </row>
    <row r="1785" spans="1:34" ht="135">
      <c r="A1785" s="16"/>
      <c r="B1785" s="17"/>
      <c r="C1785" s="459" t="s">
        <v>357</v>
      </c>
      <c r="D1785" s="440" t="s">
        <v>223</v>
      </c>
      <c r="E1785" s="44">
        <f>12*3</f>
        <v>36</v>
      </c>
      <c r="F1785" s="21" t="s">
        <v>173</v>
      </c>
      <c r="G1785" s="22">
        <v>529664000</v>
      </c>
      <c r="H1785" s="44">
        <v>12</v>
      </c>
      <c r="I1785" s="22">
        <v>166685904</v>
      </c>
      <c r="J1785" s="44">
        <v>12</v>
      </c>
      <c r="K1785" s="22">
        <v>186474951</v>
      </c>
      <c r="L1785" s="44">
        <v>3</v>
      </c>
      <c r="M1785" s="22">
        <v>0</v>
      </c>
      <c r="N1785" s="44">
        <v>3</v>
      </c>
      <c r="O1785" s="919">
        <v>51773048</v>
      </c>
      <c r="P1785" s="44">
        <v>3</v>
      </c>
      <c r="Q1785" s="917">
        <v>33911402</v>
      </c>
      <c r="R1785" s="44">
        <v>3</v>
      </c>
      <c r="S1785" s="22">
        <f>184055165-Q1785-O1785-M1785</f>
        <v>98370715</v>
      </c>
      <c r="T1785" s="54">
        <f t="shared" si="472"/>
        <v>12</v>
      </c>
      <c r="U1785" s="54">
        <f t="shared" si="466"/>
        <v>100</v>
      </c>
      <c r="V1785" s="35" t="s">
        <v>58</v>
      </c>
      <c r="W1785" s="40">
        <f t="shared" si="457"/>
        <v>184055165</v>
      </c>
      <c r="X1785" s="53">
        <f t="shared" si="467"/>
        <v>98.702353325728993</v>
      </c>
      <c r="Y1785" s="35" t="s">
        <v>58</v>
      </c>
      <c r="Z1785" s="54"/>
      <c r="AA1785" s="40"/>
      <c r="AB1785" s="53"/>
      <c r="AC1785" s="35"/>
      <c r="AD1785" s="53"/>
      <c r="AE1785" s="12"/>
      <c r="AH1785" s="25"/>
    </row>
    <row r="1786" spans="1:34" s="78" customFormat="1" ht="123.75" customHeight="1">
      <c r="A1786" s="16"/>
      <c r="B1786" s="17"/>
      <c r="C1786" s="459" t="s">
        <v>80</v>
      </c>
      <c r="D1786" s="440" t="s">
        <v>224</v>
      </c>
      <c r="E1786" s="44">
        <f>12*3</f>
        <v>36</v>
      </c>
      <c r="F1786" s="21" t="s">
        <v>173</v>
      </c>
      <c r="G1786" s="22">
        <v>489170400</v>
      </c>
      <c r="H1786" s="44">
        <v>12</v>
      </c>
      <c r="I1786" s="22">
        <v>36662000</v>
      </c>
      <c r="J1786" s="44">
        <v>12</v>
      </c>
      <c r="K1786" s="22">
        <v>262284000</v>
      </c>
      <c r="L1786" s="44">
        <v>3</v>
      </c>
      <c r="M1786" s="911">
        <f>16500000+16500000+17789331</f>
        <v>50789331</v>
      </c>
      <c r="N1786" s="44">
        <v>3</v>
      </c>
      <c r="O1786" s="922">
        <v>58289331</v>
      </c>
      <c r="P1786" s="44">
        <v>3</v>
      </c>
      <c r="Q1786" s="917">
        <v>63146331</v>
      </c>
      <c r="R1786" s="44">
        <v>3</v>
      </c>
      <c r="S1786" s="22">
        <f>236871324-Q1786-O1786-M1786</f>
        <v>64646331</v>
      </c>
      <c r="T1786" s="54">
        <f t="shared" si="472"/>
        <v>12</v>
      </c>
      <c r="U1786" s="54">
        <f t="shared" si="466"/>
        <v>100</v>
      </c>
      <c r="V1786" s="35" t="s">
        <v>58</v>
      </c>
      <c r="W1786" s="40">
        <f t="shared" si="457"/>
        <v>236871324</v>
      </c>
      <c r="X1786" s="53">
        <f t="shared" si="467"/>
        <v>90.311007915084403</v>
      </c>
      <c r="Y1786" s="35" t="s">
        <v>58</v>
      </c>
      <c r="Z1786" s="54"/>
      <c r="AA1786" s="40"/>
      <c r="AB1786" s="53"/>
      <c r="AC1786" s="35"/>
      <c r="AD1786" s="53"/>
      <c r="AE1786" s="12"/>
      <c r="AH1786" s="79"/>
    </row>
    <row r="1787" spans="1:34" ht="189">
      <c r="A1787" s="16"/>
      <c r="B1787" s="17"/>
      <c r="C1787" s="312" t="s">
        <v>81</v>
      </c>
      <c r="D1787" s="573" t="s">
        <v>2596</v>
      </c>
      <c r="E1787" s="74">
        <v>100</v>
      </c>
      <c r="F1787" s="75" t="s">
        <v>58</v>
      </c>
      <c r="G1787" s="368">
        <f t="shared" ref="G1787:K1787" si="479">SUM(G1788:G1790)</f>
        <v>6043023600</v>
      </c>
      <c r="H1787" s="74">
        <v>100</v>
      </c>
      <c r="I1787" s="368">
        <f t="shared" si="479"/>
        <v>876198517</v>
      </c>
      <c r="J1787" s="74">
        <v>100</v>
      </c>
      <c r="K1787" s="368">
        <f t="shared" si="479"/>
        <v>2743607750</v>
      </c>
      <c r="L1787" s="74">
        <v>25</v>
      </c>
      <c r="M1787" s="911"/>
      <c r="N1787" s="108">
        <v>25</v>
      </c>
      <c r="O1787" s="906">
        <f t="shared" ref="O1787:S1787" si="480">SUM(O1788:O1790)</f>
        <v>538725876</v>
      </c>
      <c r="P1787" s="108">
        <v>25</v>
      </c>
      <c r="Q1787" s="368">
        <f t="shared" si="480"/>
        <v>629950586</v>
      </c>
      <c r="R1787" s="108">
        <v>25</v>
      </c>
      <c r="S1787" s="368">
        <f t="shared" si="480"/>
        <v>1381248794</v>
      </c>
      <c r="T1787" s="55">
        <f t="shared" si="472"/>
        <v>100</v>
      </c>
      <c r="U1787" s="55">
        <f t="shared" si="466"/>
        <v>100</v>
      </c>
      <c r="V1787" s="58" t="s">
        <v>58</v>
      </c>
      <c r="W1787" s="59">
        <f t="shared" si="457"/>
        <v>2549925256</v>
      </c>
      <c r="X1787" s="57">
        <f t="shared" si="467"/>
        <v>92.940590942710372</v>
      </c>
      <c r="Y1787" s="58" t="s">
        <v>58</v>
      </c>
      <c r="Z1787" s="55"/>
      <c r="AA1787" s="59"/>
      <c r="AB1787" s="57"/>
      <c r="AC1787" s="58"/>
      <c r="AD1787" s="57"/>
      <c r="AE1787" s="12"/>
      <c r="AH1787" s="25">
        <f>M1860+O1860+Q1860+S1860</f>
        <v>23526856</v>
      </c>
    </row>
    <row r="1788" spans="1:34" ht="93" customHeight="1">
      <c r="A1788" s="16"/>
      <c r="B1788" s="17"/>
      <c r="C1788" s="329" t="s">
        <v>82</v>
      </c>
      <c r="D1788" s="440" t="s">
        <v>226</v>
      </c>
      <c r="E1788" s="104">
        <v>38</v>
      </c>
      <c r="F1788" s="21" t="s">
        <v>138</v>
      </c>
      <c r="G1788" s="22">
        <v>829532000</v>
      </c>
      <c r="H1788" s="104">
        <v>12</v>
      </c>
      <c r="I1788" s="22">
        <v>160481029</v>
      </c>
      <c r="J1788" s="104">
        <v>19</v>
      </c>
      <c r="K1788" s="22">
        <v>313472700</v>
      </c>
      <c r="L1788" s="104">
        <v>5</v>
      </c>
      <c r="M1788" s="911"/>
      <c r="N1788" s="20">
        <v>10</v>
      </c>
      <c r="O1788" s="912">
        <v>25475876</v>
      </c>
      <c r="P1788" s="20">
        <v>2</v>
      </c>
      <c r="Q1788" s="917">
        <v>51686586</v>
      </c>
      <c r="R1788" s="20">
        <v>2</v>
      </c>
      <c r="S1788" s="22">
        <f>180410506-Q1788-O1788-M1788</f>
        <v>103248044</v>
      </c>
      <c r="T1788" s="54">
        <f t="shared" si="472"/>
        <v>19</v>
      </c>
      <c r="U1788" s="54">
        <f t="shared" si="466"/>
        <v>100</v>
      </c>
      <c r="V1788" s="35" t="s">
        <v>58</v>
      </c>
      <c r="W1788" s="40">
        <f t="shared" si="457"/>
        <v>180410506</v>
      </c>
      <c r="X1788" s="53">
        <f t="shared" si="467"/>
        <v>57.5522225699399</v>
      </c>
      <c r="Y1788" s="35" t="s">
        <v>58</v>
      </c>
      <c r="Z1788" s="54"/>
      <c r="AA1788" s="40"/>
      <c r="AB1788" s="53"/>
      <c r="AC1788" s="35"/>
      <c r="AD1788" s="53"/>
      <c r="AE1788" s="12"/>
      <c r="AH1788" s="25">
        <f>M1861+O1861+Q1861+S1861</f>
        <v>41384616</v>
      </c>
    </row>
    <row r="1789" spans="1:34" s="78" customFormat="1" ht="123.75" customHeight="1">
      <c r="A1789" s="16"/>
      <c r="B1789" s="17"/>
      <c r="C1789" s="329" t="s">
        <v>83</v>
      </c>
      <c r="D1789" s="440" t="s">
        <v>365</v>
      </c>
      <c r="E1789" s="44">
        <f t="shared" ref="E1789:E1794" si="481">H1789*3</f>
        <v>6</v>
      </c>
      <c r="F1789" s="21" t="s">
        <v>138</v>
      </c>
      <c r="G1789" s="22">
        <v>5064377600</v>
      </c>
      <c r="H1789" s="104">
        <v>2</v>
      </c>
      <c r="I1789" s="22">
        <v>704666488</v>
      </c>
      <c r="J1789" s="104">
        <v>2</v>
      </c>
      <c r="K1789" s="22">
        <v>2395786300</v>
      </c>
      <c r="L1789" s="923">
        <v>2</v>
      </c>
      <c r="M1789" s="911"/>
      <c r="N1789" s="20">
        <v>2</v>
      </c>
      <c r="O1789" s="912">
        <v>507000000</v>
      </c>
      <c r="P1789" s="20">
        <v>2</v>
      </c>
      <c r="Q1789" s="917">
        <v>573788000</v>
      </c>
      <c r="R1789" s="20">
        <v>2</v>
      </c>
      <c r="S1789" s="22">
        <f>2341723500-Q1789-O1789-M1789</f>
        <v>1260935500</v>
      </c>
      <c r="T1789" s="54">
        <v>2</v>
      </c>
      <c r="U1789" s="54">
        <f t="shared" si="466"/>
        <v>100</v>
      </c>
      <c r="V1789" s="35" t="s">
        <v>58</v>
      </c>
      <c r="W1789" s="40">
        <f t="shared" si="457"/>
        <v>2341723500</v>
      </c>
      <c r="X1789" s="53">
        <f t="shared" si="467"/>
        <v>97.743421439549934</v>
      </c>
      <c r="Y1789" s="35" t="s">
        <v>58</v>
      </c>
      <c r="Z1789" s="54"/>
      <c r="AA1789" s="40"/>
      <c r="AB1789" s="53"/>
      <c r="AC1789" s="35"/>
      <c r="AD1789" s="53"/>
      <c r="AE1789" s="12"/>
      <c r="AH1789" s="79"/>
    </row>
    <row r="1790" spans="1:34" ht="182.25" customHeight="1">
      <c r="A1790" s="16"/>
      <c r="B1790" s="17"/>
      <c r="C1790" s="329" t="s">
        <v>84</v>
      </c>
      <c r="D1790" s="440" t="s">
        <v>228</v>
      </c>
      <c r="E1790" s="44">
        <f t="shared" si="481"/>
        <v>36</v>
      </c>
      <c r="F1790" s="21" t="s">
        <v>138</v>
      </c>
      <c r="G1790" s="22">
        <v>149114000</v>
      </c>
      <c r="H1790" s="104">
        <v>12</v>
      </c>
      <c r="I1790" s="22">
        <v>11051000</v>
      </c>
      <c r="J1790" s="104">
        <v>12</v>
      </c>
      <c r="K1790" s="22">
        <v>34348750</v>
      </c>
      <c r="L1790" s="104">
        <v>3</v>
      </c>
      <c r="M1790" s="911"/>
      <c r="N1790" s="20">
        <v>3</v>
      </c>
      <c r="O1790" s="912">
        <v>6250000</v>
      </c>
      <c r="P1790" s="20">
        <v>3</v>
      </c>
      <c r="Q1790" s="917">
        <v>4476000</v>
      </c>
      <c r="R1790" s="20">
        <v>3</v>
      </c>
      <c r="S1790" s="22">
        <f>27791250-Q1790-O1790-M1790</f>
        <v>17065250</v>
      </c>
      <c r="T1790" s="54">
        <f>SUM(L1790,N1790,P1790,R1790)</f>
        <v>12</v>
      </c>
      <c r="U1790" s="54">
        <f t="shared" si="466"/>
        <v>100</v>
      </c>
      <c r="V1790" s="35" t="s">
        <v>58</v>
      </c>
      <c r="W1790" s="40">
        <f t="shared" si="457"/>
        <v>27791250</v>
      </c>
      <c r="X1790" s="53">
        <f t="shared" si="467"/>
        <v>80.909057825976205</v>
      </c>
      <c r="Y1790" s="35" t="s">
        <v>58</v>
      </c>
      <c r="Z1790" s="54"/>
      <c r="AA1790" s="40"/>
      <c r="AB1790" s="53"/>
      <c r="AC1790" s="35"/>
      <c r="AD1790" s="53"/>
      <c r="AE1790" s="12"/>
      <c r="AH1790" s="25">
        <f>M1863+O1863+Q1863+S1863</f>
        <v>36175078</v>
      </c>
    </row>
    <row r="1791" spans="1:34" ht="120">
      <c r="A1791" s="48"/>
      <c r="B1791" s="49" t="s">
        <v>2598</v>
      </c>
      <c r="C1791" s="924" t="s">
        <v>2599</v>
      </c>
      <c r="D1791" s="360" t="s">
        <v>2600</v>
      </c>
      <c r="E1791" s="925"/>
      <c r="F1791" s="76" t="s">
        <v>58</v>
      </c>
      <c r="G1791" s="368">
        <f t="shared" ref="G1791:K1791" si="482">SUM(G1792:G1794)</f>
        <v>52850827400</v>
      </c>
      <c r="H1791" s="267">
        <v>100</v>
      </c>
      <c r="I1791" s="368">
        <f t="shared" si="482"/>
        <v>17120946072</v>
      </c>
      <c r="J1791" s="267">
        <v>100</v>
      </c>
      <c r="K1791" s="368">
        <f t="shared" si="482"/>
        <v>16657835750</v>
      </c>
      <c r="L1791" s="267">
        <v>25</v>
      </c>
      <c r="M1791" s="368">
        <f t="shared" ref="M1791:Q1791" si="483">SUM(M1792:M1794)</f>
        <v>3474714216</v>
      </c>
      <c r="N1791" s="108">
        <v>25</v>
      </c>
      <c r="O1791" s="926">
        <f t="shared" si="483"/>
        <v>4206902517</v>
      </c>
      <c r="P1791" s="108">
        <v>25</v>
      </c>
      <c r="Q1791" s="368">
        <f t="shared" si="483"/>
        <v>4007995824</v>
      </c>
      <c r="R1791" s="108"/>
      <c r="S1791" s="368">
        <f>SUM(S1792:S1794)</f>
        <v>4245365499</v>
      </c>
      <c r="T1791" s="55">
        <f t="shared" si="472"/>
        <v>75</v>
      </c>
      <c r="U1791" s="55">
        <f t="shared" si="466"/>
        <v>75</v>
      </c>
      <c r="V1791" s="58" t="s">
        <v>58</v>
      </c>
      <c r="W1791" s="918">
        <f>SUM(W1792:W1794)</f>
        <v>15934978056</v>
      </c>
      <c r="X1791" s="57">
        <f t="shared" si="467"/>
        <v>95.660554559135932</v>
      </c>
      <c r="Y1791" s="58" t="s">
        <v>58</v>
      </c>
      <c r="Z1791" s="55"/>
      <c r="AA1791" s="59"/>
      <c r="AB1791" s="57"/>
      <c r="AC1791" s="58"/>
      <c r="AD1791" s="57"/>
      <c r="AE1791" s="419"/>
      <c r="AH1791" s="25"/>
    </row>
    <row r="1792" spans="1:34" ht="105">
      <c r="A1792" s="16"/>
      <c r="B1792" s="17"/>
      <c r="C1792" s="459" t="s">
        <v>2601</v>
      </c>
      <c r="D1792" s="440" t="s">
        <v>2602</v>
      </c>
      <c r="E1792" s="44">
        <f t="shared" si="481"/>
        <v>90</v>
      </c>
      <c r="F1792" s="47" t="s">
        <v>57</v>
      </c>
      <c r="G1792" s="22">
        <v>51718927400</v>
      </c>
      <c r="H1792" s="44">
        <v>30</v>
      </c>
      <c r="I1792" s="22">
        <v>16728283072</v>
      </c>
      <c r="J1792" s="44">
        <v>30</v>
      </c>
      <c r="K1792" s="22">
        <v>16345165750</v>
      </c>
      <c r="L1792" s="44">
        <v>30</v>
      </c>
      <c r="M1792" s="911">
        <f>4794048+1188851538+1188851528+4794048+33600000+1024022730+4794048+16800000+8206276</f>
        <v>3474714216</v>
      </c>
      <c r="N1792" s="44">
        <v>30</v>
      </c>
      <c r="O1792" s="927">
        <v>4206902517</v>
      </c>
      <c r="P1792" s="44">
        <v>30</v>
      </c>
      <c r="Q1792" s="917">
        <v>4007995824</v>
      </c>
      <c r="R1792" s="44"/>
      <c r="S1792" s="22">
        <f>15692761056-Q1792-O1792-M1792</f>
        <v>4003148499</v>
      </c>
      <c r="T1792" s="54">
        <f t="shared" si="472"/>
        <v>90</v>
      </c>
      <c r="U1792" s="54">
        <f t="shared" si="466"/>
        <v>300</v>
      </c>
      <c r="V1792" s="35" t="s">
        <v>58</v>
      </c>
      <c r="W1792" s="40">
        <f t="shared" si="457"/>
        <v>15692761056</v>
      </c>
      <c r="X1792" s="53">
        <f t="shared" si="467"/>
        <v>96.008577068115684</v>
      </c>
      <c r="Y1792" s="35" t="s">
        <v>58</v>
      </c>
      <c r="Z1792" s="54"/>
      <c r="AA1792" s="40"/>
      <c r="AB1792" s="53"/>
      <c r="AC1792" s="35"/>
      <c r="AD1792" s="53"/>
      <c r="AE1792" s="12"/>
      <c r="AH1792" s="25"/>
    </row>
    <row r="1793" spans="1:34" s="78" customFormat="1" ht="90">
      <c r="A1793" s="16"/>
      <c r="B1793" s="17"/>
      <c r="C1793" s="459" t="s">
        <v>2603</v>
      </c>
      <c r="D1793" s="440" t="s">
        <v>2604</v>
      </c>
      <c r="E1793" s="44">
        <f t="shared" si="481"/>
        <v>15</v>
      </c>
      <c r="F1793" s="47" t="s">
        <v>59</v>
      </c>
      <c r="G1793" s="22">
        <v>956400000</v>
      </c>
      <c r="H1793" s="44">
        <v>5</v>
      </c>
      <c r="I1793" s="22">
        <v>373425500</v>
      </c>
      <c r="J1793" s="44">
        <v>5</v>
      </c>
      <c r="K1793" s="22">
        <v>195670000</v>
      </c>
      <c r="L1793" s="44">
        <v>0</v>
      </c>
      <c r="M1793" s="22">
        <v>0</v>
      </c>
      <c r="N1793" s="44">
        <v>1</v>
      </c>
      <c r="O1793" s="927">
        <v>0</v>
      </c>
      <c r="P1793" s="44">
        <v>0</v>
      </c>
      <c r="Q1793" s="917">
        <v>0</v>
      </c>
      <c r="R1793" s="44"/>
      <c r="S1793" s="22">
        <f>192500000-Q1793-O1793-M1793</f>
        <v>192500000</v>
      </c>
      <c r="T1793" s="54">
        <f t="shared" si="472"/>
        <v>1</v>
      </c>
      <c r="U1793" s="54">
        <f t="shared" si="466"/>
        <v>20</v>
      </c>
      <c r="V1793" s="35" t="s">
        <v>58</v>
      </c>
      <c r="W1793" s="40">
        <f t="shared" si="457"/>
        <v>192500000</v>
      </c>
      <c r="X1793" s="53">
        <f t="shared" si="467"/>
        <v>98.379925384576069</v>
      </c>
      <c r="Y1793" s="35" t="s">
        <v>58</v>
      </c>
      <c r="Z1793" s="54"/>
      <c r="AA1793" s="40"/>
      <c r="AB1793" s="53"/>
      <c r="AC1793" s="35"/>
      <c r="AD1793" s="53"/>
      <c r="AE1793" s="12"/>
      <c r="AH1793" s="79"/>
    </row>
    <row r="1794" spans="1:34" s="78" customFormat="1" ht="161.25" customHeight="1">
      <c r="A1794" s="16"/>
      <c r="B1794" s="17"/>
      <c r="C1794" s="459" t="s">
        <v>2605</v>
      </c>
      <c r="D1794" s="440" t="s">
        <v>2606</v>
      </c>
      <c r="E1794" s="44">
        <f t="shared" si="481"/>
        <v>90</v>
      </c>
      <c r="F1794" s="47" t="s">
        <v>57</v>
      </c>
      <c r="G1794" s="22">
        <v>175500000</v>
      </c>
      <c r="H1794" s="44">
        <v>30</v>
      </c>
      <c r="I1794" s="22">
        <v>19237500</v>
      </c>
      <c r="J1794" s="44">
        <v>30</v>
      </c>
      <c r="K1794" s="22">
        <v>117000000</v>
      </c>
      <c r="L1794" s="44">
        <v>0</v>
      </c>
      <c r="M1794" s="22">
        <v>0</v>
      </c>
      <c r="N1794" s="44">
        <v>10</v>
      </c>
      <c r="O1794" s="927">
        <v>0</v>
      </c>
      <c r="P1794" s="44">
        <v>3</v>
      </c>
      <c r="Q1794" s="917">
        <v>0</v>
      </c>
      <c r="R1794" s="44"/>
      <c r="S1794" s="22">
        <f>49717000-Q1794-O1794-M1794</f>
        <v>49717000</v>
      </c>
      <c r="T1794" s="54">
        <f t="shared" si="472"/>
        <v>13</v>
      </c>
      <c r="U1794" s="54">
        <f t="shared" si="466"/>
        <v>43.333333333333336</v>
      </c>
      <c r="V1794" s="35" t="s">
        <v>58</v>
      </c>
      <c r="W1794" s="40">
        <f t="shared" si="457"/>
        <v>49717000</v>
      </c>
      <c r="X1794" s="53">
        <f t="shared" si="467"/>
        <v>42.493162393162393</v>
      </c>
      <c r="Y1794" s="35" t="s">
        <v>58</v>
      </c>
      <c r="Z1794" s="54"/>
      <c r="AA1794" s="40"/>
      <c r="AB1794" s="53"/>
      <c r="AC1794" s="35"/>
      <c r="AD1794" s="53"/>
      <c r="AE1794" s="12"/>
      <c r="AH1794" s="79"/>
    </row>
    <row r="1795" spans="1:34" s="78" customFormat="1" ht="112.5" customHeight="1">
      <c r="A1795" s="16"/>
      <c r="B1795" s="17" t="s">
        <v>2607</v>
      </c>
      <c r="C1795" s="924" t="s">
        <v>2608</v>
      </c>
      <c r="D1795" s="928" t="s">
        <v>2609</v>
      </c>
      <c r="E1795" s="929"/>
      <c r="F1795" s="76" t="s">
        <v>58</v>
      </c>
      <c r="G1795" s="368">
        <f t="shared" ref="G1795:K1795" si="484">SUM(G1796:G1799)</f>
        <v>3474709000</v>
      </c>
      <c r="H1795" s="108">
        <v>100</v>
      </c>
      <c r="I1795" s="368">
        <f t="shared" si="484"/>
        <v>876289940</v>
      </c>
      <c r="J1795" s="108">
        <v>100</v>
      </c>
      <c r="K1795" s="368">
        <f t="shared" si="484"/>
        <v>954560475</v>
      </c>
      <c r="L1795" s="108">
        <v>25</v>
      </c>
      <c r="M1795" s="368">
        <f>SUM(M1796:M1799)</f>
        <v>102911439</v>
      </c>
      <c r="N1795" s="108">
        <v>25</v>
      </c>
      <c r="O1795" s="926">
        <f>SUM(O1796:O1799)</f>
        <v>209723939</v>
      </c>
      <c r="P1795" s="108">
        <v>25</v>
      </c>
      <c r="Q1795" s="368">
        <f>SUM(Q1796:Q1799)</f>
        <v>196367019</v>
      </c>
      <c r="R1795" s="108"/>
      <c r="S1795" s="368">
        <f>SUM(S1796:S1799)</f>
        <v>299570339</v>
      </c>
      <c r="T1795" s="55">
        <f t="shared" si="472"/>
        <v>75</v>
      </c>
      <c r="U1795" s="55">
        <f t="shared" si="466"/>
        <v>75</v>
      </c>
      <c r="V1795" s="58" t="s">
        <v>58</v>
      </c>
      <c r="W1795" s="59">
        <f>SUM(W1796:W1799)</f>
        <v>808572736</v>
      </c>
      <c r="X1795" s="57">
        <f t="shared" si="467"/>
        <v>84.706287047973575</v>
      </c>
      <c r="Y1795" s="58" t="s">
        <v>58</v>
      </c>
      <c r="Z1795" s="55"/>
      <c r="AA1795" s="59"/>
      <c r="AB1795" s="57"/>
      <c r="AC1795" s="58"/>
      <c r="AD1795" s="57"/>
      <c r="AE1795" s="12"/>
      <c r="AH1795" s="79"/>
    </row>
    <row r="1796" spans="1:34" ht="120">
      <c r="A1796" s="72"/>
      <c r="B1796" s="73"/>
      <c r="C1796" s="459" t="s">
        <v>2610</v>
      </c>
      <c r="D1796" s="440" t="s">
        <v>2611</v>
      </c>
      <c r="E1796" s="44">
        <f t="shared" ref="E1796:E1799" si="485">H1796*3</f>
        <v>6</v>
      </c>
      <c r="F1796" s="47" t="s">
        <v>55</v>
      </c>
      <c r="G1796" s="22">
        <v>463506200</v>
      </c>
      <c r="H1796" s="20">
        <v>2</v>
      </c>
      <c r="I1796" s="22">
        <v>94110500</v>
      </c>
      <c r="J1796" s="20">
        <v>2</v>
      </c>
      <c r="K1796" s="22">
        <v>189408200</v>
      </c>
      <c r="L1796" s="20">
        <v>0</v>
      </c>
      <c r="M1796" s="911">
        <f>3000000+4500000+1500000+3000000+1500000+4500000</f>
        <v>18000000</v>
      </c>
      <c r="N1796" s="20">
        <v>1</v>
      </c>
      <c r="O1796" s="927">
        <v>33754500</v>
      </c>
      <c r="P1796" s="20">
        <v>0</v>
      </c>
      <c r="Q1796" s="917">
        <v>25607580</v>
      </c>
      <c r="R1796" s="20">
        <v>1</v>
      </c>
      <c r="S1796" s="22">
        <f>145185080-Q1796-O1796-M1796</f>
        <v>67823000</v>
      </c>
      <c r="T1796" s="54">
        <f t="shared" si="472"/>
        <v>2</v>
      </c>
      <c r="U1796" s="54">
        <f t="shared" si="466"/>
        <v>100</v>
      </c>
      <c r="V1796" s="35" t="s">
        <v>58</v>
      </c>
      <c r="W1796" s="40">
        <f t="shared" si="457"/>
        <v>145185080</v>
      </c>
      <c r="X1796" s="53">
        <f t="shared" si="467"/>
        <v>76.651950654723493</v>
      </c>
      <c r="Y1796" s="35" t="s">
        <v>58</v>
      </c>
      <c r="Z1796" s="54"/>
      <c r="AA1796" s="40"/>
      <c r="AB1796" s="53"/>
      <c r="AC1796" s="35"/>
      <c r="AD1796" s="53"/>
      <c r="AE1796" s="12"/>
      <c r="AH1796" s="25"/>
    </row>
    <row r="1797" spans="1:34" ht="75">
      <c r="A1797" s="16"/>
      <c r="B1797" s="17"/>
      <c r="C1797" s="459" t="s">
        <v>2612</v>
      </c>
      <c r="D1797" s="440" t="s">
        <v>2613</v>
      </c>
      <c r="E1797" s="44">
        <f t="shared" si="485"/>
        <v>18</v>
      </c>
      <c r="F1797" s="47" t="s">
        <v>173</v>
      </c>
      <c r="G1797" s="22">
        <v>1134252000</v>
      </c>
      <c r="H1797" s="20">
        <v>6</v>
      </c>
      <c r="I1797" s="22">
        <v>321896340</v>
      </c>
      <c r="J1797" s="20">
        <v>6</v>
      </c>
      <c r="K1797" s="22">
        <v>438228000</v>
      </c>
      <c r="L1797" s="20">
        <v>0</v>
      </c>
      <c r="M1797" s="911">
        <f>27000000+27000000+24000000+4500000+2411439</f>
        <v>84911439</v>
      </c>
      <c r="N1797" s="20">
        <v>3</v>
      </c>
      <c r="O1797" s="927">
        <v>92471439</v>
      </c>
      <c r="P1797" s="20">
        <v>0</v>
      </c>
      <c r="Q1797" s="917">
        <v>96941439</v>
      </c>
      <c r="R1797" s="20">
        <v>3</v>
      </c>
      <c r="S1797" s="22">
        <f>411043356-Q1797-O1797-M1797</f>
        <v>136719039</v>
      </c>
      <c r="T1797" s="54">
        <f t="shared" si="472"/>
        <v>6</v>
      </c>
      <c r="U1797" s="54">
        <f t="shared" si="466"/>
        <v>100</v>
      </c>
      <c r="V1797" s="35" t="s">
        <v>58</v>
      </c>
      <c r="W1797" s="40">
        <f t="shared" si="457"/>
        <v>411043356</v>
      </c>
      <c r="X1797" s="53">
        <f t="shared" si="467"/>
        <v>93.796689394561739</v>
      </c>
      <c r="Y1797" s="35" t="s">
        <v>58</v>
      </c>
      <c r="Z1797" s="54"/>
      <c r="AA1797" s="40"/>
      <c r="AB1797" s="53"/>
      <c r="AC1797" s="35"/>
      <c r="AD1797" s="53"/>
      <c r="AE1797" s="12"/>
      <c r="AH1797" s="25"/>
    </row>
    <row r="1798" spans="1:34" ht="120" customHeight="1">
      <c r="A1798" s="16"/>
      <c r="B1798" s="17"/>
      <c r="C1798" s="459" t="s">
        <v>2614</v>
      </c>
      <c r="D1798" s="440" t="s">
        <v>2615</v>
      </c>
      <c r="E1798" s="44">
        <f t="shared" si="485"/>
        <v>6</v>
      </c>
      <c r="F1798" s="47" t="s">
        <v>173</v>
      </c>
      <c r="G1798" s="22">
        <v>268175000</v>
      </c>
      <c r="H1798" s="20">
        <v>2</v>
      </c>
      <c r="I1798" s="22">
        <v>21984000</v>
      </c>
      <c r="J1798" s="20">
        <v>2</v>
      </c>
      <c r="K1798" s="22">
        <v>75100000</v>
      </c>
      <c r="L1798" s="20">
        <v>1</v>
      </c>
      <c r="M1798" s="22">
        <v>0</v>
      </c>
      <c r="N1798" s="20">
        <v>0</v>
      </c>
      <c r="O1798" s="927">
        <v>5637500</v>
      </c>
      <c r="P1798" s="20">
        <v>0.5</v>
      </c>
      <c r="Q1798" s="917">
        <v>15755000</v>
      </c>
      <c r="R1798" s="20">
        <v>1</v>
      </c>
      <c r="S1798" s="22">
        <f>24292500-Q1798-O1798-M1798</f>
        <v>2900000</v>
      </c>
      <c r="T1798" s="127">
        <f t="shared" si="472"/>
        <v>2.5</v>
      </c>
      <c r="U1798" s="54">
        <f t="shared" si="466"/>
        <v>125</v>
      </c>
      <c r="V1798" s="35" t="s">
        <v>58</v>
      </c>
      <c r="W1798" s="40">
        <f t="shared" si="457"/>
        <v>24292500</v>
      </c>
      <c r="X1798" s="53">
        <f t="shared" si="467"/>
        <v>32.346870838881493</v>
      </c>
      <c r="Y1798" s="35" t="s">
        <v>58</v>
      </c>
      <c r="Z1798" s="54"/>
      <c r="AA1798" s="40"/>
      <c r="AB1798" s="53"/>
      <c r="AC1798" s="35"/>
      <c r="AD1798" s="53"/>
      <c r="AE1798" s="12"/>
      <c r="AH1798" s="25"/>
    </row>
    <row r="1799" spans="1:34" ht="90">
      <c r="A1799" s="16"/>
      <c r="B1799" s="17"/>
      <c r="C1799" s="930" t="s">
        <v>2616</v>
      </c>
      <c r="D1799" s="931" t="s">
        <v>2617</v>
      </c>
      <c r="E1799" s="44">
        <f t="shared" si="485"/>
        <v>36</v>
      </c>
      <c r="F1799" s="47" t="s">
        <v>59</v>
      </c>
      <c r="G1799" s="371">
        <v>1608775800</v>
      </c>
      <c r="H1799" s="20">
        <v>12</v>
      </c>
      <c r="I1799" s="22">
        <v>438299100</v>
      </c>
      <c r="J1799" s="20">
        <v>12</v>
      </c>
      <c r="K1799" s="371">
        <v>251824275</v>
      </c>
      <c r="L1799" s="126">
        <v>3</v>
      </c>
      <c r="M1799" s="22">
        <v>0</v>
      </c>
      <c r="N1799" s="126">
        <v>3</v>
      </c>
      <c r="O1799" s="927">
        <v>77860500</v>
      </c>
      <c r="P1799" s="126">
        <v>3</v>
      </c>
      <c r="Q1799" s="932">
        <v>58063000</v>
      </c>
      <c r="R1799" s="126">
        <v>3</v>
      </c>
      <c r="S1799" s="371">
        <f>228051800-Q1799-O1799-M1799</f>
        <v>92128300</v>
      </c>
      <c r="T1799" s="427">
        <f t="shared" si="472"/>
        <v>12</v>
      </c>
      <c r="U1799" s="427">
        <f t="shared" si="466"/>
        <v>100</v>
      </c>
      <c r="V1799" s="253" t="s">
        <v>58</v>
      </c>
      <c r="W1799" s="80">
        <f t="shared" si="457"/>
        <v>228051800</v>
      </c>
      <c r="X1799" s="248">
        <f t="shared" si="467"/>
        <v>90.559895387368826</v>
      </c>
      <c r="Y1799" s="253" t="s">
        <v>58</v>
      </c>
      <c r="Z1799" s="427"/>
      <c r="AA1799" s="80"/>
      <c r="AB1799" s="248"/>
      <c r="AC1799" s="253"/>
      <c r="AD1799" s="248"/>
      <c r="AE1799" s="12"/>
      <c r="AH1799" s="25"/>
    </row>
    <row r="1800" spans="1:34" ht="75" customHeight="1">
      <c r="A1800" s="58"/>
      <c r="B1800" s="19"/>
      <c r="C1800" s="933" t="s">
        <v>2618</v>
      </c>
      <c r="D1800" s="573" t="s">
        <v>2619</v>
      </c>
      <c r="E1800" s="45">
        <v>100</v>
      </c>
      <c r="F1800" s="76" t="s">
        <v>58</v>
      </c>
      <c r="G1800" s="368">
        <f t="shared" ref="G1800:K1800" si="486">G1801+G1806+G1813+G1822+G1828+G1832+G1834</f>
        <v>53043215950</v>
      </c>
      <c r="H1800" s="45">
        <v>100</v>
      </c>
      <c r="I1800" s="368">
        <f t="shared" si="486"/>
        <v>16303328774</v>
      </c>
      <c r="J1800" s="45">
        <v>100</v>
      </c>
      <c r="K1800" s="368">
        <f t="shared" si="486"/>
        <v>22670524650</v>
      </c>
      <c r="L1800" s="45">
        <v>25</v>
      </c>
      <c r="M1800" s="368">
        <f>M1801+M1806+M1813+M1822+M1828+M1832+M1834</f>
        <v>3464784890</v>
      </c>
      <c r="N1800" s="45">
        <v>25</v>
      </c>
      <c r="O1800" s="926">
        <f t="shared" ref="O1800:S1800" si="487">O1801+O1806+O1813+O1822+O1828+O1832+O1834</f>
        <v>5016837067</v>
      </c>
      <c r="P1800" s="45">
        <v>25</v>
      </c>
      <c r="Q1800" s="920">
        <f t="shared" si="487"/>
        <v>5700855869</v>
      </c>
      <c r="R1800" s="45">
        <v>25</v>
      </c>
      <c r="S1800" s="368">
        <f t="shared" si="487"/>
        <v>6219647105</v>
      </c>
      <c r="T1800" s="55">
        <f t="shared" si="472"/>
        <v>100</v>
      </c>
      <c r="U1800" s="55">
        <f t="shared" si="466"/>
        <v>100</v>
      </c>
      <c r="V1800" s="58" t="s">
        <v>58</v>
      </c>
      <c r="W1800" s="918">
        <f>W1801+W1806+W1813+W1822+W1828+W1832+W1834</f>
        <v>20402124931</v>
      </c>
      <c r="X1800" s="57">
        <f t="shared" si="467"/>
        <v>89.994057243840629</v>
      </c>
      <c r="Y1800" s="58" t="s">
        <v>58</v>
      </c>
      <c r="Z1800" s="55"/>
      <c r="AA1800" s="59"/>
      <c r="AB1800" s="57"/>
      <c r="AC1800" s="58"/>
      <c r="AD1800" s="57"/>
      <c r="AE1800" s="12"/>
      <c r="AH1800" s="25"/>
    </row>
    <row r="1801" spans="1:34" ht="173.25">
      <c r="A1801" s="58"/>
      <c r="B1801" s="360" t="s">
        <v>2620</v>
      </c>
      <c r="C1801" s="924" t="s">
        <v>2621</v>
      </c>
      <c r="D1801" s="573" t="s">
        <v>2622</v>
      </c>
      <c r="E1801" s="45">
        <v>100</v>
      </c>
      <c r="F1801" s="76" t="s">
        <v>58</v>
      </c>
      <c r="G1801" s="368">
        <f t="shared" ref="G1801:I1801" si="488">SUM(G1802:G1805)</f>
        <v>835911800</v>
      </c>
      <c r="H1801" s="45">
        <v>100</v>
      </c>
      <c r="I1801" s="368">
        <f t="shared" si="488"/>
        <v>151542400</v>
      </c>
      <c r="J1801" s="45">
        <v>100</v>
      </c>
      <c r="K1801" s="368">
        <f t="shared" ref="K1801:O1801" si="489">SUM(K1802:K1805)</f>
        <v>276733550</v>
      </c>
      <c r="L1801" s="45">
        <v>25</v>
      </c>
      <c r="M1801" s="368">
        <f t="shared" si="489"/>
        <v>0</v>
      </c>
      <c r="N1801" s="45">
        <v>25</v>
      </c>
      <c r="O1801" s="926">
        <f t="shared" si="489"/>
        <v>10795000</v>
      </c>
      <c r="P1801" s="45">
        <v>25</v>
      </c>
      <c r="Q1801" s="368">
        <f>SUM(Q1802:Q1805)</f>
        <v>29907650</v>
      </c>
      <c r="R1801" s="45"/>
      <c r="S1801" s="368">
        <f>SUM(S1802:S1805)</f>
        <v>161263000</v>
      </c>
      <c r="T1801" s="55">
        <f t="shared" si="472"/>
        <v>75</v>
      </c>
      <c r="U1801" s="55">
        <f t="shared" si="466"/>
        <v>75</v>
      </c>
      <c r="V1801" s="58" t="s">
        <v>58</v>
      </c>
      <c r="W1801" s="59">
        <f t="shared" si="457"/>
        <v>201965650</v>
      </c>
      <c r="X1801" s="57">
        <f t="shared" si="467"/>
        <v>72.981989354019419</v>
      </c>
      <c r="Y1801" s="58" t="s">
        <v>58</v>
      </c>
      <c r="Z1801" s="55"/>
      <c r="AA1801" s="59"/>
      <c r="AB1801" s="57"/>
      <c r="AC1801" s="58"/>
      <c r="AD1801" s="57"/>
      <c r="AE1801" s="934"/>
      <c r="AH1801" s="25"/>
    </row>
    <row r="1802" spans="1:34" ht="150">
      <c r="A1802" s="58"/>
      <c r="B1802" s="360"/>
      <c r="C1802" s="459" t="s">
        <v>2623</v>
      </c>
      <c r="D1802" s="440" t="s">
        <v>2624</v>
      </c>
      <c r="E1802" s="44">
        <v>9</v>
      </c>
      <c r="F1802" s="47" t="s">
        <v>55</v>
      </c>
      <c r="G1802" s="22">
        <v>108500000</v>
      </c>
      <c r="H1802" s="20">
        <v>1</v>
      </c>
      <c r="I1802" s="22">
        <v>2625000</v>
      </c>
      <c r="J1802" s="20">
        <v>3</v>
      </c>
      <c r="K1802" s="22">
        <v>30000000</v>
      </c>
      <c r="L1802" s="20">
        <v>1</v>
      </c>
      <c r="M1802" s="22">
        <v>0</v>
      </c>
      <c r="N1802" s="20">
        <v>1</v>
      </c>
      <c r="O1802" s="935">
        <v>1562500</v>
      </c>
      <c r="P1802" s="20">
        <v>0.5</v>
      </c>
      <c r="Q1802" s="917">
        <v>900000</v>
      </c>
      <c r="R1802" s="20">
        <v>0.5</v>
      </c>
      <c r="S1802" s="371">
        <f>5630000-Q1802-O1802-M1802</f>
        <v>3167500</v>
      </c>
      <c r="T1802" s="127">
        <f t="shared" si="472"/>
        <v>3</v>
      </c>
      <c r="U1802" s="54">
        <f t="shared" si="466"/>
        <v>100</v>
      </c>
      <c r="V1802" s="35" t="s">
        <v>58</v>
      </c>
      <c r="W1802" s="40">
        <f t="shared" si="457"/>
        <v>5630000</v>
      </c>
      <c r="X1802" s="53">
        <f t="shared" si="467"/>
        <v>18.766666666666669</v>
      </c>
      <c r="Y1802" s="35" t="s">
        <v>58</v>
      </c>
      <c r="Z1802" s="54"/>
      <c r="AA1802" s="40"/>
      <c r="AB1802" s="53"/>
      <c r="AC1802" s="35"/>
      <c r="AD1802" s="53"/>
      <c r="AE1802" s="12"/>
      <c r="AH1802" s="25"/>
    </row>
    <row r="1803" spans="1:34" s="78" customFormat="1" ht="162.75" customHeight="1">
      <c r="A1803" s="35"/>
      <c r="B1803" s="360"/>
      <c r="C1803" s="459" t="s">
        <v>2625</v>
      </c>
      <c r="D1803" s="440" t="s">
        <v>2626</v>
      </c>
      <c r="E1803" s="44">
        <f t="shared" ref="E1803:E1805" si="490">H1803*3</f>
        <v>45</v>
      </c>
      <c r="F1803" s="47" t="s">
        <v>55</v>
      </c>
      <c r="G1803" s="22">
        <v>287832400</v>
      </c>
      <c r="H1803" s="20">
        <v>15</v>
      </c>
      <c r="I1803" s="22">
        <v>38006400</v>
      </c>
      <c r="J1803" s="20">
        <v>15</v>
      </c>
      <c r="K1803" s="22">
        <v>96776050</v>
      </c>
      <c r="L1803" s="20">
        <v>3</v>
      </c>
      <c r="M1803" s="22">
        <v>0</v>
      </c>
      <c r="N1803" s="20">
        <v>3</v>
      </c>
      <c r="O1803" s="936">
        <v>9232500</v>
      </c>
      <c r="P1803" s="20">
        <v>3</v>
      </c>
      <c r="Q1803" s="917">
        <v>20807650</v>
      </c>
      <c r="R1803" s="20"/>
      <c r="S1803" s="371">
        <f>69785650-Q1803-O1803-M1803</f>
        <v>39745500</v>
      </c>
      <c r="T1803" s="54">
        <f t="shared" si="472"/>
        <v>9</v>
      </c>
      <c r="U1803" s="54">
        <f t="shared" si="466"/>
        <v>60</v>
      </c>
      <c r="V1803" s="35" t="s">
        <v>58</v>
      </c>
      <c r="W1803" s="40">
        <f t="shared" si="457"/>
        <v>69785650</v>
      </c>
      <c r="X1803" s="53">
        <f t="shared" si="467"/>
        <v>72.110455014437974</v>
      </c>
      <c r="Y1803" s="35" t="s">
        <v>58</v>
      </c>
      <c r="Z1803" s="54"/>
      <c r="AA1803" s="40"/>
      <c r="AB1803" s="53"/>
      <c r="AC1803" s="35"/>
      <c r="AD1803" s="53"/>
      <c r="AE1803" s="12"/>
      <c r="AH1803" s="79"/>
    </row>
    <row r="1804" spans="1:34" ht="75">
      <c r="A1804" s="58"/>
      <c r="B1804" s="487"/>
      <c r="C1804" s="459" t="s">
        <v>2627</v>
      </c>
      <c r="D1804" s="440" t="s">
        <v>2628</v>
      </c>
      <c r="E1804" s="44">
        <f t="shared" si="490"/>
        <v>9</v>
      </c>
      <c r="F1804" s="47" t="s">
        <v>55</v>
      </c>
      <c r="G1804" s="22">
        <v>122479400</v>
      </c>
      <c r="H1804" s="20">
        <v>3</v>
      </c>
      <c r="I1804" s="22">
        <v>5911000</v>
      </c>
      <c r="J1804" s="20">
        <v>3</v>
      </c>
      <c r="K1804" s="22">
        <v>43957500</v>
      </c>
      <c r="L1804" s="20">
        <v>0.5</v>
      </c>
      <c r="M1804" s="22">
        <v>0</v>
      </c>
      <c r="N1804" s="20">
        <v>0.5</v>
      </c>
      <c r="O1804" s="935">
        <v>0</v>
      </c>
      <c r="P1804" s="20">
        <v>1</v>
      </c>
      <c r="Q1804" s="917">
        <v>8200000</v>
      </c>
      <c r="R1804" s="20">
        <v>1</v>
      </c>
      <c r="S1804" s="371">
        <f>20550000-Q1804-O1804-M1804</f>
        <v>12350000</v>
      </c>
      <c r="T1804" s="54">
        <f t="shared" si="472"/>
        <v>3</v>
      </c>
      <c r="U1804" s="54">
        <f t="shared" si="466"/>
        <v>100</v>
      </c>
      <c r="V1804" s="35" t="s">
        <v>58</v>
      </c>
      <c r="W1804" s="40">
        <f t="shared" si="457"/>
        <v>20550000</v>
      </c>
      <c r="X1804" s="53">
        <f t="shared" si="467"/>
        <v>46.749701416140589</v>
      </c>
      <c r="Y1804" s="35" t="s">
        <v>58</v>
      </c>
      <c r="Z1804" s="54"/>
      <c r="AA1804" s="40"/>
      <c r="AB1804" s="53"/>
      <c r="AC1804" s="35"/>
      <c r="AD1804" s="53"/>
      <c r="AE1804" s="12"/>
      <c r="AH1804" s="25"/>
    </row>
    <row r="1805" spans="1:34" ht="180">
      <c r="A1805" s="48"/>
      <c r="B1805" s="487"/>
      <c r="C1805" s="937" t="s">
        <v>2629</v>
      </c>
      <c r="D1805" s="440" t="s">
        <v>2630</v>
      </c>
      <c r="E1805" s="44">
        <f t="shared" si="490"/>
        <v>9</v>
      </c>
      <c r="F1805" s="47" t="s">
        <v>55</v>
      </c>
      <c r="G1805" s="22">
        <v>317100000</v>
      </c>
      <c r="H1805" s="20">
        <v>3</v>
      </c>
      <c r="I1805" s="22">
        <v>105000000</v>
      </c>
      <c r="J1805" s="20">
        <v>3</v>
      </c>
      <c r="K1805" s="22">
        <v>106000000</v>
      </c>
      <c r="L1805" s="20">
        <v>0.5</v>
      </c>
      <c r="M1805" s="22">
        <v>0</v>
      </c>
      <c r="N1805" s="20">
        <v>0.5</v>
      </c>
      <c r="O1805" s="935">
        <v>0</v>
      </c>
      <c r="P1805" s="20">
        <v>0</v>
      </c>
      <c r="Q1805" s="917">
        <v>0</v>
      </c>
      <c r="R1805" s="20">
        <v>2</v>
      </c>
      <c r="S1805" s="371">
        <f>106000000-Q1805-O1805-M1805</f>
        <v>106000000</v>
      </c>
      <c r="T1805" s="54">
        <f t="shared" si="472"/>
        <v>3</v>
      </c>
      <c r="U1805" s="54">
        <f t="shared" si="466"/>
        <v>100</v>
      </c>
      <c r="V1805" s="35" t="s">
        <v>58</v>
      </c>
      <c r="W1805" s="40">
        <f t="shared" si="457"/>
        <v>106000000</v>
      </c>
      <c r="X1805" s="53">
        <f t="shared" si="467"/>
        <v>100</v>
      </c>
      <c r="Y1805" s="35" t="s">
        <v>58</v>
      </c>
      <c r="Z1805" s="54"/>
      <c r="AA1805" s="40"/>
      <c r="AB1805" s="53"/>
      <c r="AC1805" s="35"/>
      <c r="AD1805" s="53"/>
      <c r="AE1805" s="12"/>
      <c r="AH1805" s="25"/>
    </row>
    <row r="1806" spans="1:34" s="78" customFormat="1" ht="114" customHeight="1">
      <c r="A1806" s="58"/>
      <c r="B1806" s="360" t="s">
        <v>2631</v>
      </c>
      <c r="C1806" s="924" t="s">
        <v>2632</v>
      </c>
      <c r="D1806" s="573" t="s">
        <v>2633</v>
      </c>
      <c r="E1806" s="45">
        <v>100</v>
      </c>
      <c r="F1806" s="76" t="s">
        <v>58</v>
      </c>
      <c r="G1806" s="368">
        <f t="shared" ref="G1806:K1806" si="491">SUM(G1807:G1812)</f>
        <v>478300000</v>
      </c>
      <c r="H1806" s="45">
        <v>100</v>
      </c>
      <c r="I1806" s="368">
        <f t="shared" si="491"/>
        <v>57195675</v>
      </c>
      <c r="J1806" s="45">
        <v>100</v>
      </c>
      <c r="K1806" s="368">
        <f t="shared" si="491"/>
        <v>147240000</v>
      </c>
      <c r="L1806" s="45">
        <v>25</v>
      </c>
      <c r="M1806" s="368">
        <f>SUM(M1807:M1812)</f>
        <v>0</v>
      </c>
      <c r="N1806" s="45">
        <v>25</v>
      </c>
      <c r="O1806" s="936">
        <v>0</v>
      </c>
      <c r="P1806" s="45">
        <v>25</v>
      </c>
      <c r="Q1806" s="368">
        <f>SUM(Q1807:Q1812)</f>
        <v>39846975</v>
      </c>
      <c r="R1806" s="45">
        <v>25</v>
      </c>
      <c r="S1806" s="368">
        <f>SUM(S1807:S1812)</f>
        <v>26370110</v>
      </c>
      <c r="T1806" s="55">
        <f t="shared" si="472"/>
        <v>100</v>
      </c>
      <c r="U1806" s="55">
        <f t="shared" si="466"/>
        <v>100</v>
      </c>
      <c r="V1806" s="58" t="s">
        <v>58</v>
      </c>
      <c r="W1806" s="918">
        <f>SUM(W1807:W1812)</f>
        <v>66217085</v>
      </c>
      <c r="X1806" s="57">
        <f t="shared" si="467"/>
        <v>44.972212034773158</v>
      </c>
      <c r="Y1806" s="58" t="s">
        <v>58</v>
      </c>
      <c r="Z1806" s="55"/>
      <c r="AA1806" s="59"/>
      <c r="AB1806" s="57"/>
      <c r="AC1806" s="58"/>
      <c r="AD1806" s="57"/>
      <c r="AE1806" s="419"/>
      <c r="AH1806" s="79"/>
    </row>
    <row r="1807" spans="1:34" ht="90">
      <c r="A1807" s="58"/>
      <c r="B1807" s="360"/>
      <c r="C1807" s="459" t="s">
        <v>2634</v>
      </c>
      <c r="D1807" s="459" t="s">
        <v>2635</v>
      </c>
      <c r="E1807" s="44">
        <f t="shared" ref="E1807:E1812" si="492">H1807*3</f>
        <v>3</v>
      </c>
      <c r="F1807" s="47" t="s">
        <v>55</v>
      </c>
      <c r="G1807" s="22">
        <v>86250000</v>
      </c>
      <c r="H1807" s="20">
        <v>1</v>
      </c>
      <c r="I1807" s="22">
        <v>6410000</v>
      </c>
      <c r="J1807" s="20">
        <v>1</v>
      </c>
      <c r="K1807" s="22">
        <v>25025000</v>
      </c>
      <c r="L1807" s="20">
        <v>0</v>
      </c>
      <c r="M1807" s="22">
        <v>0</v>
      </c>
      <c r="N1807" s="20">
        <v>0</v>
      </c>
      <c r="O1807" s="935">
        <v>0</v>
      </c>
      <c r="P1807" s="20">
        <v>1</v>
      </c>
      <c r="Q1807" s="22">
        <v>4352500</v>
      </c>
      <c r="R1807" s="20">
        <v>0</v>
      </c>
      <c r="S1807" s="22">
        <f>4352500-Q1807-O1807-M1807</f>
        <v>0</v>
      </c>
      <c r="T1807" s="54">
        <f t="shared" si="472"/>
        <v>1</v>
      </c>
      <c r="U1807" s="54">
        <f t="shared" si="466"/>
        <v>100</v>
      </c>
      <c r="V1807" s="35" t="s">
        <v>58</v>
      </c>
      <c r="W1807" s="40">
        <f t="shared" si="457"/>
        <v>4352500</v>
      </c>
      <c r="X1807" s="53">
        <f t="shared" si="467"/>
        <v>17.392607392607392</v>
      </c>
      <c r="Y1807" s="35" t="s">
        <v>58</v>
      </c>
      <c r="Z1807" s="54"/>
      <c r="AA1807" s="40"/>
      <c r="AB1807" s="53"/>
      <c r="AC1807" s="35"/>
      <c r="AD1807" s="53"/>
      <c r="AE1807" s="12"/>
      <c r="AH1807" s="25"/>
    </row>
    <row r="1808" spans="1:34" s="78" customFormat="1" ht="159" customHeight="1">
      <c r="A1808" s="58"/>
      <c r="B1808" s="487"/>
      <c r="C1808" s="459" t="s">
        <v>2636</v>
      </c>
      <c r="D1808" s="459" t="s">
        <v>2637</v>
      </c>
      <c r="E1808" s="44">
        <f t="shared" si="492"/>
        <v>3</v>
      </c>
      <c r="F1808" s="47" t="s">
        <v>55</v>
      </c>
      <c r="G1808" s="22">
        <v>86250000</v>
      </c>
      <c r="H1808" s="20">
        <v>1</v>
      </c>
      <c r="I1808" s="22">
        <v>4115000</v>
      </c>
      <c r="J1808" s="20">
        <v>1</v>
      </c>
      <c r="K1808" s="22">
        <v>29375000</v>
      </c>
      <c r="L1808" s="20">
        <v>0</v>
      </c>
      <c r="M1808" s="22">
        <v>0</v>
      </c>
      <c r="N1808" s="20">
        <v>0</v>
      </c>
      <c r="O1808" s="935">
        <v>0</v>
      </c>
      <c r="P1808" s="20">
        <v>1</v>
      </c>
      <c r="Q1808" s="22">
        <v>5650000</v>
      </c>
      <c r="R1808" s="20">
        <v>0</v>
      </c>
      <c r="S1808" s="22">
        <f>5650000-Q1808-O1808-M1808</f>
        <v>0</v>
      </c>
      <c r="T1808" s="54">
        <f t="shared" si="472"/>
        <v>1</v>
      </c>
      <c r="U1808" s="54">
        <f t="shared" si="466"/>
        <v>100</v>
      </c>
      <c r="V1808" s="35" t="s">
        <v>58</v>
      </c>
      <c r="W1808" s="40">
        <f t="shared" si="457"/>
        <v>5650000</v>
      </c>
      <c r="X1808" s="53">
        <f t="shared" si="467"/>
        <v>19.23404255319149</v>
      </c>
      <c r="Y1808" s="35" t="s">
        <v>58</v>
      </c>
      <c r="Z1808" s="54"/>
      <c r="AA1808" s="40"/>
      <c r="AB1808" s="53"/>
      <c r="AC1808" s="35"/>
      <c r="AD1808" s="53"/>
      <c r="AE1808" s="12"/>
      <c r="AH1808" s="79"/>
    </row>
    <row r="1809" spans="1:34" s="78" customFormat="1" ht="75">
      <c r="A1809" s="58"/>
      <c r="B1809" s="19"/>
      <c r="C1809" s="459" t="s">
        <v>2638</v>
      </c>
      <c r="D1809" s="459" t="s">
        <v>2639</v>
      </c>
      <c r="E1809" s="44">
        <f t="shared" si="492"/>
        <v>3</v>
      </c>
      <c r="F1809" s="47" t="s">
        <v>55</v>
      </c>
      <c r="G1809" s="22">
        <v>126050000</v>
      </c>
      <c r="H1809" s="20">
        <v>1</v>
      </c>
      <c r="I1809" s="22">
        <v>25761675</v>
      </c>
      <c r="J1809" s="20">
        <v>1</v>
      </c>
      <c r="K1809" s="22">
        <v>36780000</v>
      </c>
      <c r="L1809" s="20">
        <v>0</v>
      </c>
      <c r="M1809" s="22">
        <v>0</v>
      </c>
      <c r="N1809" s="20">
        <v>0</v>
      </c>
      <c r="O1809" s="935">
        <v>0</v>
      </c>
      <c r="P1809" s="20">
        <v>0</v>
      </c>
      <c r="Q1809" s="22">
        <v>0</v>
      </c>
      <c r="R1809" s="20">
        <v>1</v>
      </c>
      <c r="S1809" s="22">
        <f>24470110-Q1809-O1809-M1809</f>
        <v>24470110</v>
      </c>
      <c r="T1809" s="54">
        <f t="shared" si="472"/>
        <v>1</v>
      </c>
      <c r="U1809" s="54">
        <f t="shared" si="466"/>
        <v>100</v>
      </c>
      <c r="V1809" s="35" t="s">
        <v>58</v>
      </c>
      <c r="W1809" s="40">
        <f t="shared" ref="W1809:W1838" si="493">SUM(M1809,O1809,Q1809,S1809)</f>
        <v>24470110</v>
      </c>
      <c r="X1809" s="53">
        <f t="shared" si="467"/>
        <v>66.531022294725389</v>
      </c>
      <c r="Y1809" s="35" t="s">
        <v>58</v>
      </c>
      <c r="Z1809" s="54"/>
      <c r="AA1809" s="40"/>
      <c r="AB1809" s="53"/>
      <c r="AC1809" s="35"/>
      <c r="AD1809" s="53"/>
      <c r="AE1809" s="12"/>
      <c r="AH1809" s="79"/>
    </row>
    <row r="1810" spans="1:34" ht="90">
      <c r="A1810" s="58"/>
      <c r="B1810" s="19"/>
      <c r="C1810" s="459" t="s">
        <v>2640</v>
      </c>
      <c r="D1810" s="459" t="s">
        <v>2641</v>
      </c>
      <c r="E1810" s="44">
        <f t="shared" si="492"/>
        <v>3</v>
      </c>
      <c r="F1810" s="47" t="s">
        <v>55</v>
      </c>
      <c r="G1810" s="22">
        <v>86250000</v>
      </c>
      <c r="H1810" s="20">
        <v>1</v>
      </c>
      <c r="I1810" s="22">
        <v>12396500</v>
      </c>
      <c r="J1810" s="20">
        <v>1</v>
      </c>
      <c r="K1810" s="22">
        <v>29375000</v>
      </c>
      <c r="L1810" s="20">
        <v>0</v>
      </c>
      <c r="M1810" s="22">
        <v>0</v>
      </c>
      <c r="N1810" s="20">
        <v>0</v>
      </c>
      <c r="O1810" s="935">
        <v>0</v>
      </c>
      <c r="P1810" s="20">
        <v>1</v>
      </c>
      <c r="Q1810" s="22">
        <v>16999475</v>
      </c>
      <c r="R1810" s="20"/>
      <c r="S1810" s="22">
        <f>18899475-Q1810-O1810-M1810</f>
        <v>1900000</v>
      </c>
      <c r="T1810" s="54">
        <f t="shared" si="472"/>
        <v>1</v>
      </c>
      <c r="U1810" s="54">
        <f t="shared" si="466"/>
        <v>100</v>
      </c>
      <c r="V1810" s="35" t="s">
        <v>58</v>
      </c>
      <c r="W1810" s="40">
        <f t="shared" si="493"/>
        <v>18899475</v>
      </c>
      <c r="X1810" s="53">
        <f t="shared" si="467"/>
        <v>64.338638297872336</v>
      </c>
      <c r="Y1810" s="35" t="s">
        <v>58</v>
      </c>
      <c r="Z1810" s="54"/>
      <c r="AA1810" s="40"/>
      <c r="AB1810" s="53"/>
      <c r="AC1810" s="35"/>
      <c r="AD1810" s="53"/>
      <c r="AE1810" s="12"/>
      <c r="AH1810" s="25"/>
    </row>
    <row r="1811" spans="1:34" ht="186.75" customHeight="1">
      <c r="A1811" s="58"/>
      <c r="B1811" s="19"/>
      <c r="C1811" s="459" t="s">
        <v>2642</v>
      </c>
      <c r="D1811" s="440" t="s">
        <v>2643</v>
      </c>
      <c r="E1811" s="44">
        <f t="shared" si="492"/>
        <v>3</v>
      </c>
      <c r="F1811" s="47" t="s">
        <v>55</v>
      </c>
      <c r="G1811" s="22">
        <v>46850000</v>
      </c>
      <c r="H1811" s="20">
        <v>1</v>
      </c>
      <c r="I1811" s="22">
        <v>0</v>
      </c>
      <c r="J1811" s="20">
        <v>1</v>
      </c>
      <c r="K1811" s="22">
        <v>8960000</v>
      </c>
      <c r="L1811" s="20">
        <v>0</v>
      </c>
      <c r="M1811" s="22">
        <v>0</v>
      </c>
      <c r="N1811" s="20">
        <v>0</v>
      </c>
      <c r="O1811" s="935">
        <v>0</v>
      </c>
      <c r="P1811" s="20">
        <v>1</v>
      </c>
      <c r="Q1811" s="22">
        <v>0</v>
      </c>
      <c r="R1811" s="20">
        <v>0</v>
      </c>
      <c r="S1811" s="22">
        <v>0</v>
      </c>
      <c r="T1811" s="54">
        <f t="shared" si="472"/>
        <v>1</v>
      </c>
      <c r="U1811" s="54">
        <f t="shared" si="466"/>
        <v>100</v>
      </c>
      <c r="V1811" s="35" t="s">
        <v>58</v>
      </c>
      <c r="W1811" s="40">
        <f t="shared" si="493"/>
        <v>0</v>
      </c>
      <c r="X1811" s="53">
        <f t="shared" si="467"/>
        <v>0</v>
      </c>
      <c r="Y1811" s="35" t="s">
        <v>58</v>
      </c>
      <c r="Z1811" s="54"/>
      <c r="AA1811" s="40"/>
      <c r="AB1811" s="53"/>
      <c r="AC1811" s="35"/>
      <c r="AD1811" s="53"/>
      <c r="AE1811" s="12"/>
      <c r="AH1811" s="25"/>
    </row>
    <row r="1812" spans="1:34" ht="105">
      <c r="A1812" s="58"/>
      <c r="B1812" s="19"/>
      <c r="C1812" s="459" t="s">
        <v>2644</v>
      </c>
      <c r="D1812" s="459" t="s">
        <v>2645</v>
      </c>
      <c r="E1812" s="44">
        <f t="shared" si="492"/>
        <v>3</v>
      </c>
      <c r="F1812" s="47" t="s">
        <v>55</v>
      </c>
      <c r="G1812" s="22">
        <v>46650000</v>
      </c>
      <c r="H1812" s="20">
        <v>1</v>
      </c>
      <c r="I1812" s="22">
        <v>8512500</v>
      </c>
      <c r="J1812" s="20">
        <v>1</v>
      </c>
      <c r="K1812" s="22">
        <v>17725000</v>
      </c>
      <c r="L1812" s="20">
        <v>0</v>
      </c>
      <c r="M1812" s="22">
        <v>0</v>
      </c>
      <c r="N1812" s="20">
        <v>0</v>
      </c>
      <c r="O1812" s="935">
        <v>0</v>
      </c>
      <c r="P1812" s="20">
        <v>1</v>
      </c>
      <c r="Q1812" s="22">
        <v>12845000</v>
      </c>
      <c r="R1812" s="20">
        <v>0</v>
      </c>
      <c r="S1812" s="22">
        <f>12845000-Q1812-O1812-M1812</f>
        <v>0</v>
      </c>
      <c r="T1812" s="54">
        <f t="shared" si="472"/>
        <v>1</v>
      </c>
      <c r="U1812" s="54">
        <f t="shared" si="466"/>
        <v>100</v>
      </c>
      <c r="V1812" s="35" t="s">
        <v>58</v>
      </c>
      <c r="W1812" s="40">
        <f t="shared" si="493"/>
        <v>12845000</v>
      </c>
      <c r="X1812" s="53">
        <f t="shared" si="467"/>
        <v>72.468265162200282</v>
      </c>
      <c r="Y1812" s="35" t="s">
        <v>58</v>
      </c>
      <c r="Z1812" s="54"/>
      <c r="AA1812" s="40"/>
      <c r="AB1812" s="53"/>
      <c r="AC1812" s="35"/>
      <c r="AD1812" s="53"/>
      <c r="AE1812" s="12"/>
      <c r="AH1812" s="25"/>
    </row>
    <row r="1813" spans="1:34" ht="126">
      <c r="A1813" s="58"/>
      <c r="B1813" s="928" t="s">
        <v>2646</v>
      </c>
      <c r="C1813" s="573" t="s">
        <v>2647</v>
      </c>
      <c r="D1813" s="573" t="s">
        <v>2648</v>
      </c>
      <c r="E1813" s="45">
        <v>100</v>
      </c>
      <c r="F1813" s="76" t="s">
        <v>58</v>
      </c>
      <c r="G1813" s="368">
        <f t="shared" ref="G1813:K1813" si="494">SUM(G1814:G1821)</f>
        <v>151150000</v>
      </c>
      <c r="H1813" s="45">
        <v>100</v>
      </c>
      <c r="I1813" s="368">
        <f t="shared" si="494"/>
        <v>16491000</v>
      </c>
      <c r="J1813" s="45">
        <v>100</v>
      </c>
      <c r="K1813" s="368">
        <f t="shared" si="494"/>
        <v>50825000</v>
      </c>
      <c r="L1813" s="45">
        <v>25</v>
      </c>
      <c r="M1813" s="368">
        <f t="shared" ref="M1813:Q1813" si="495">SUM(M1814:M1821)</f>
        <v>0</v>
      </c>
      <c r="N1813" s="45">
        <v>25</v>
      </c>
      <c r="O1813" s="938">
        <f t="shared" si="495"/>
        <v>12323500</v>
      </c>
      <c r="P1813" s="45">
        <v>25</v>
      </c>
      <c r="Q1813" s="368">
        <f t="shared" si="495"/>
        <v>12949860</v>
      </c>
      <c r="R1813" s="45">
        <v>25</v>
      </c>
      <c r="S1813" s="368">
        <f>SUM(S1814:S1821)</f>
        <v>9667500</v>
      </c>
      <c r="T1813" s="55">
        <f t="shared" si="472"/>
        <v>100</v>
      </c>
      <c r="U1813" s="55">
        <f t="shared" si="466"/>
        <v>100</v>
      </c>
      <c r="V1813" s="58" t="s">
        <v>58</v>
      </c>
      <c r="W1813" s="918">
        <f>SUM(W1814:W1821)</f>
        <v>34940860</v>
      </c>
      <c r="X1813" s="57">
        <f t="shared" si="467"/>
        <v>68.747388096409239</v>
      </c>
      <c r="Y1813" s="58" t="s">
        <v>58</v>
      </c>
      <c r="Z1813" s="55"/>
      <c r="AA1813" s="59"/>
      <c r="AB1813" s="57"/>
      <c r="AC1813" s="58"/>
      <c r="AD1813" s="57"/>
      <c r="AE1813" s="12"/>
      <c r="AH1813" s="25"/>
    </row>
    <row r="1814" spans="1:34" ht="135">
      <c r="A1814" s="58"/>
      <c r="B1814" s="928"/>
      <c r="C1814" s="459" t="s">
        <v>2649</v>
      </c>
      <c r="D1814" s="459" t="s">
        <v>2650</v>
      </c>
      <c r="E1814" s="44">
        <f t="shared" ref="E1814:E1818" si="496">H1814*3</f>
        <v>6</v>
      </c>
      <c r="F1814" s="47" t="s">
        <v>173</v>
      </c>
      <c r="G1814" s="22">
        <v>26150000</v>
      </c>
      <c r="H1814" s="20">
        <v>2</v>
      </c>
      <c r="I1814" s="22">
        <v>4412500</v>
      </c>
      <c r="J1814" s="20">
        <v>2</v>
      </c>
      <c r="K1814" s="22">
        <v>7900000</v>
      </c>
      <c r="L1814" s="20">
        <v>0.25</v>
      </c>
      <c r="M1814" s="22">
        <v>0</v>
      </c>
      <c r="N1814" s="20">
        <v>0.75</v>
      </c>
      <c r="O1814" s="927">
        <v>4452500</v>
      </c>
      <c r="P1814" s="20">
        <v>0.5</v>
      </c>
      <c r="Q1814" s="917">
        <v>0</v>
      </c>
      <c r="R1814" s="20">
        <v>0.5</v>
      </c>
      <c r="S1814" s="22">
        <f>5502500-Q1814-O1814-M1814</f>
        <v>1050000</v>
      </c>
      <c r="T1814" s="127">
        <f t="shared" si="472"/>
        <v>2</v>
      </c>
      <c r="U1814" s="54">
        <f t="shared" si="466"/>
        <v>100</v>
      </c>
      <c r="V1814" s="35" t="s">
        <v>58</v>
      </c>
      <c r="W1814" s="40">
        <f t="shared" si="493"/>
        <v>5502500</v>
      </c>
      <c r="X1814" s="53">
        <f t="shared" si="467"/>
        <v>69.651898734177223</v>
      </c>
      <c r="Y1814" s="35" t="s">
        <v>58</v>
      </c>
      <c r="Z1814" s="54"/>
      <c r="AA1814" s="40"/>
      <c r="AB1814" s="53"/>
      <c r="AC1814" s="35"/>
      <c r="AD1814" s="53"/>
      <c r="AE1814" s="12"/>
      <c r="AH1814" s="25"/>
    </row>
    <row r="1815" spans="1:34" s="78" customFormat="1" ht="120">
      <c r="A1815" s="58"/>
      <c r="B1815" s="366"/>
      <c r="C1815" s="459" t="s">
        <v>2651</v>
      </c>
      <c r="D1815" s="459" t="s">
        <v>2652</v>
      </c>
      <c r="E1815" s="44">
        <f t="shared" si="496"/>
        <v>6</v>
      </c>
      <c r="F1815" s="47" t="s">
        <v>173</v>
      </c>
      <c r="G1815" s="22">
        <v>25150000</v>
      </c>
      <c r="H1815" s="20">
        <v>2</v>
      </c>
      <c r="I1815" s="22">
        <v>3337500</v>
      </c>
      <c r="J1815" s="20">
        <v>2</v>
      </c>
      <c r="K1815" s="22">
        <v>7350000</v>
      </c>
      <c r="L1815" s="20">
        <v>0.25</v>
      </c>
      <c r="M1815" s="22">
        <v>0</v>
      </c>
      <c r="N1815" s="20">
        <v>0.75</v>
      </c>
      <c r="O1815" s="939">
        <v>2769500</v>
      </c>
      <c r="P1815" s="20">
        <v>0.5</v>
      </c>
      <c r="Q1815" s="917">
        <v>469860</v>
      </c>
      <c r="R1815" s="20">
        <v>0.5</v>
      </c>
      <c r="S1815" s="22">
        <f>5239360-Q1815-O1815-M1815</f>
        <v>2000000</v>
      </c>
      <c r="T1815" s="127">
        <f t="shared" si="472"/>
        <v>2</v>
      </c>
      <c r="U1815" s="54">
        <f t="shared" si="466"/>
        <v>100</v>
      </c>
      <c r="V1815" s="35" t="s">
        <v>58</v>
      </c>
      <c r="W1815" s="40">
        <f t="shared" si="493"/>
        <v>5239360</v>
      </c>
      <c r="X1815" s="53">
        <f t="shared" si="467"/>
        <v>71.283809523809524</v>
      </c>
      <c r="Y1815" s="35" t="s">
        <v>58</v>
      </c>
      <c r="Z1815" s="54"/>
      <c r="AA1815" s="40"/>
      <c r="AB1815" s="53"/>
      <c r="AC1815" s="35"/>
      <c r="AD1815" s="53"/>
      <c r="AE1815" s="12"/>
      <c r="AH1815" s="79"/>
    </row>
    <row r="1816" spans="1:34" ht="135">
      <c r="A1816" s="58"/>
      <c r="B1816" s="19"/>
      <c r="C1816" s="459" t="s">
        <v>2653</v>
      </c>
      <c r="D1816" s="459" t="s">
        <v>2654</v>
      </c>
      <c r="E1816" s="44">
        <f t="shared" si="496"/>
        <v>6</v>
      </c>
      <c r="F1816" s="47" t="s">
        <v>173</v>
      </c>
      <c r="G1816" s="22">
        <v>19875000</v>
      </c>
      <c r="H1816" s="20">
        <v>2</v>
      </c>
      <c r="I1816" s="22">
        <v>125000</v>
      </c>
      <c r="J1816" s="20">
        <v>2</v>
      </c>
      <c r="K1816" s="22">
        <v>5600000</v>
      </c>
      <c r="L1816" s="20">
        <v>0</v>
      </c>
      <c r="M1816" s="22">
        <v>0</v>
      </c>
      <c r="N1816" s="20">
        <v>1</v>
      </c>
      <c r="O1816" s="927">
        <v>819000</v>
      </c>
      <c r="P1816" s="20">
        <v>0.5</v>
      </c>
      <c r="Q1816" s="917">
        <v>1425000</v>
      </c>
      <c r="R1816" s="20">
        <v>0.5</v>
      </c>
      <c r="S1816" s="22">
        <f>2244000-Q1816-O1816-M1816</f>
        <v>0</v>
      </c>
      <c r="T1816" s="127">
        <f t="shared" si="472"/>
        <v>2</v>
      </c>
      <c r="U1816" s="54">
        <f t="shared" si="466"/>
        <v>100</v>
      </c>
      <c r="V1816" s="35" t="s">
        <v>58</v>
      </c>
      <c r="W1816" s="40">
        <f t="shared" si="493"/>
        <v>2244000</v>
      </c>
      <c r="X1816" s="53">
        <f t="shared" si="467"/>
        <v>40.071428571428569</v>
      </c>
      <c r="Y1816" s="35" t="s">
        <v>58</v>
      </c>
      <c r="Z1816" s="54"/>
      <c r="AA1816" s="40"/>
      <c r="AB1816" s="53"/>
      <c r="AC1816" s="35"/>
      <c r="AD1816" s="53"/>
      <c r="AE1816" s="12"/>
      <c r="AH1816" s="25"/>
    </row>
    <row r="1817" spans="1:34" ht="135">
      <c r="A1817" s="58"/>
      <c r="B1817" s="19"/>
      <c r="C1817" s="459" t="s">
        <v>2655</v>
      </c>
      <c r="D1817" s="459" t="s">
        <v>2656</v>
      </c>
      <c r="E1817" s="44">
        <f t="shared" si="496"/>
        <v>6</v>
      </c>
      <c r="F1817" s="47" t="s">
        <v>173</v>
      </c>
      <c r="G1817" s="22">
        <v>19875000</v>
      </c>
      <c r="H1817" s="20">
        <v>2</v>
      </c>
      <c r="I1817" s="22">
        <v>0</v>
      </c>
      <c r="J1817" s="20">
        <v>2</v>
      </c>
      <c r="K1817" s="22">
        <v>5600000</v>
      </c>
      <c r="L1817" s="20">
        <v>0.25</v>
      </c>
      <c r="M1817" s="22">
        <v>0</v>
      </c>
      <c r="N1817" s="20">
        <v>0.75</v>
      </c>
      <c r="O1817" s="939">
        <v>0</v>
      </c>
      <c r="P1817" s="20">
        <v>0.5</v>
      </c>
      <c r="Q1817" s="917">
        <v>2777500</v>
      </c>
      <c r="R1817" s="20">
        <v>0.5</v>
      </c>
      <c r="S1817" s="22">
        <f>3777500-Q1817-O1817-M1817</f>
        <v>1000000</v>
      </c>
      <c r="T1817" s="127">
        <f t="shared" si="472"/>
        <v>2</v>
      </c>
      <c r="U1817" s="54">
        <f t="shared" si="466"/>
        <v>100</v>
      </c>
      <c r="V1817" s="35" t="s">
        <v>58</v>
      </c>
      <c r="W1817" s="40">
        <f t="shared" si="493"/>
        <v>3777500</v>
      </c>
      <c r="X1817" s="53">
        <f t="shared" si="467"/>
        <v>67.455357142857139</v>
      </c>
      <c r="Y1817" s="35" t="s">
        <v>58</v>
      </c>
      <c r="Z1817" s="54"/>
      <c r="AA1817" s="40"/>
      <c r="AB1817" s="53"/>
      <c r="AC1817" s="35"/>
      <c r="AD1817" s="53"/>
      <c r="AE1817" s="12"/>
      <c r="AH1817" s="25"/>
    </row>
    <row r="1818" spans="1:34" ht="135">
      <c r="A1818" s="58"/>
      <c r="B1818" s="19"/>
      <c r="C1818" s="459" t="s">
        <v>2657</v>
      </c>
      <c r="D1818" s="459" t="s">
        <v>2658</v>
      </c>
      <c r="E1818" s="44">
        <f t="shared" si="496"/>
        <v>6</v>
      </c>
      <c r="F1818" s="47" t="s">
        <v>173</v>
      </c>
      <c r="G1818" s="22">
        <v>19500000</v>
      </c>
      <c r="H1818" s="20">
        <v>2</v>
      </c>
      <c r="I1818" s="22">
        <v>0</v>
      </c>
      <c r="J1818" s="20">
        <v>2</v>
      </c>
      <c r="K1818" s="22">
        <v>7600000</v>
      </c>
      <c r="L1818" s="20">
        <v>0.25</v>
      </c>
      <c r="M1818" s="22">
        <v>0</v>
      </c>
      <c r="N1818" s="20">
        <v>0.75</v>
      </c>
      <c r="O1818" s="927">
        <v>707500</v>
      </c>
      <c r="P1818" s="20">
        <v>0.5</v>
      </c>
      <c r="Q1818" s="917">
        <v>1575000</v>
      </c>
      <c r="R1818" s="20">
        <v>0.5</v>
      </c>
      <c r="S1818" s="22">
        <f>6325000-Q1818-O1818-M1818</f>
        <v>4042500</v>
      </c>
      <c r="T1818" s="127">
        <f t="shared" si="472"/>
        <v>2</v>
      </c>
      <c r="U1818" s="54">
        <f t="shared" si="466"/>
        <v>100</v>
      </c>
      <c r="V1818" s="35" t="s">
        <v>58</v>
      </c>
      <c r="W1818" s="40">
        <f t="shared" si="493"/>
        <v>6325000</v>
      </c>
      <c r="X1818" s="53">
        <f t="shared" si="467"/>
        <v>83.223684210526315</v>
      </c>
      <c r="Y1818" s="35" t="s">
        <v>58</v>
      </c>
      <c r="Z1818" s="54"/>
      <c r="AA1818" s="40"/>
      <c r="AB1818" s="53"/>
      <c r="AC1818" s="35"/>
      <c r="AD1818" s="53"/>
      <c r="AE1818" s="12"/>
      <c r="AH1818" s="25"/>
    </row>
    <row r="1819" spans="1:34" s="78" customFormat="1" ht="180">
      <c r="A1819" s="58"/>
      <c r="B1819" s="19"/>
      <c r="C1819" s="459" t="s">
        <v>2659</v>
      </c>
      <c r="D1819" s="459" t="s">
        <v>2660</v>
      </c>
      <c r="E1819" s="44">
        <v>3</v>
      </c>
      <c r="F1819" s="47" t="s">
        <v>55</v>
      </c>
      <c r="G1819" s="22">
        <v>11600000</v>
      </c>
      <c r="H1819" s="20">
        <v>1</v>
      </c>
      <c r="I1819" s="22">
        <v>0</v>
      </c>
      <c r="J1819" s="20">
        <v>1</v>
      </c>
      <c r="K1819" s="22">
        <v>0</v>
      </c>
      <c r="L1819" s="20">
        <v>0</v>
      </c>
      <c r="M1819" s="22">
        <v>0</v>
      </c>
      <c r="N1819" s="20">
        <v>0.5</v>
      </c>
      <c r="O1819" s="939">
        <v>0</v>
      </c>
      <c r="P1819" s="20">
        <v>0.5</v>
      </c>
      <c r="Q1819" s="917">
        <v>0</v>
      </c>
      <c r="R1819" s="20">
        <v>0</v>
      </c>
      <c r="S1819" s="22">
        <v>0</v>
      </c>
      <c r="T1819" s="127">
        <f t="shared" si="472"/>
        <v>1</v>
      </c>
      <c r="U1819" s="54">
        <f t="shared" si="466"/>
        <v>100</v>
      </c>
      <c r="V1819" s="35" t="s">
        <v>58</v>
      </c>
      <c r="W1819" s="40">
        <f t="shared" si="493"/>
        <v>0</v>
      </c>
      <c r="X1819" s="53">
        <v>0</v>
      </c>
      <c r="Y1819" s="35" t="s">
        <v>58</v>
      </c>
      <c r="Z1819" s="54"/>
      <c r="AA1819" s="40"/>
      <c r="AB1819" s="53"/>
      <c r="AC1819" s="35"/>
      <c r="AD1819" s="53"/>
      <c r="AE1819" s="12"/>
      <c r="AH1819" s="79"/>
    </row>
    <row r="1820" spans="1:34" ht="90">
      <c r="A1820" s="48"/>
      <c r="B1820" s="49"/>
      <c r="C1820" s="937" t="s">
        <v>2661</v>
      </c>
      <c r="D1820" s="937" t="s">
        <v>2662</v>
      </c>
      <c r="E1820" s="44">
        <v>6</v>
      </c>
      <c r="F1820" s="47" t="s">
        <v>55</v>
      </c>
      <c r="G1820" s="22">
        <v>29000000</v>
      </c>
      <c r="H1820" s="20">
        <v>1</v>
      </c>
      <c r="I1820" s="22">
        <v>8616000</v>
      </c>
      <c r="J1820" s="20">
        <v>1</v>
      </c>
      <c r="K1820" s="22">
        <v>7900000</v>
      </c>
      <c r="L1820" s="20">
        <v>0.5</v>
      </c>
      <c r="M1820" s="22">
        <v>0</v>
      </c>
      <c r="N1820" s="20">
        <v>0.5</v>
      </c>
      <c r="O1820" s="939">
        <v>0</v>
      </c>
      <c r="P1820" s="20">
        <v>0</v>
      </c>
      <c r="Q1820" s="917">
        <v>5502500</v>
      </c>
      <c r="R1820" s="20">
        <v>0</v>
      </c>
      <c r="S1820" s="22">
        <f>7077500-Q1820-O1820-M1820</f>
        <v>1575000</v>
      </c>
      <c r="T1820" s="127">
        <f t="shared" si="472"/>
        <v>1</v>
      </c>
      <c r="U1820" s="54">
        <f t="shared" si="466"/>
        <v>100</v>
      </c>
      <c r="V1820" s="35" t="s">
        <v>58</v>
      </c>
      <c r="W1820" s="40">
        <f t="shared" si="493"/>
        <v>7077500</v>
      </c>
      <c r="X1820" s="53">
        <f t="shared" si="467"/>
        <v>89.588607594936704</v>
      </c>
      <c r="Y1820" s="35" t="s">
        <v>58</v>
      </c>
      <c r="Z1820" s="54"/>
      <c r="AA1820" s="40"/>
      <c r="AB1820" s="53"/>
      <c r="AC1820" s="35"/>
      <c r="AD1820" s="53"/>
      <c r="AE1820" s="12"/>
      <c r="AH1820" s="25"/>
    </row>
    <row r="1821" spans="1:34" ht="150">
      <c r="A1821" s="48"/>
      <c r="B1821" s="49"/>
      <c r="C1821" s="937" t="s">
        <v>2663</v>
      </c>
      <c r="D1821" s="937" t="s">
        <v>2664</v>
      </c>
      <c r="E1821" s="44">
        <f t="shared" ref="E1821:E1827" si="497">H1821*3</f>
        <v>3</v>
      </c>
      <c r="F1821" s="47" t="s">
        <v>55</v>
      </c>
      <c r="G1821" s="22"/>
      <c r="H1821" s="20">
        <v>1</v>
      </c>
      <c r="I1821" s="22"/>
      <c r="J1821" s="20">
        <v>1</v>
      </c>
      <c r="K1821" s="22">
        <v>8875000</v>
      </c>
      <c r="L1821" s="20">
        <v>0</v>
      </c>
      <c r="M1821" s="22">
        <v>0</v>
      </c>
      <c r="N1821" s="20">
        <v>1</v>
      </c>
      <c r="O1821" s="927">
        <v>3575000</v>
      </c>
      <c r="P1821" s="20">
        <v>0</v>
      </c>
      <c r="Q1821" s="917">
        <v>1200000</v>
      </c>
      <c r="R1821" s="20">
        <v>0</v>
      </c>
      <c r="S1821" s="22">
        <f>4775000-Q1821-O1821-M1821</f>
        <v>0</v>
      </c>
      <c r="T1821" s="127">
        <f t="shared" si="472"/>
        <v>1</v>
      </c>
      <c r="U1821" s="54">
        <f t="shared" si="466"/>
        <v>100</v>
      </c>
      <c r="V1821" s="35" t="s">
        <v>58</v>
      </c>
      <c r="W1821" s="40">
        <f t="shared" si="493"/>
        <v>4775000</v>
      </c>
      <c r="X1821" s="53">
        <f t="shared" si="467"/>
        <v>53.802816901408448</v>
      </c>
      <c r="Y1821" s="35" t="s">
        <v>58</v>
      </c>
      <c r="Z1821" s="54"/>
      <c r="AA1821" s="40"/>
      <c r="AB1821" s="53"/>
      <c r="AC1821" s="35"/>
      <c r="AD1821" s="53"/>
      <c r="AE1821" s="12"/>
      <c r="AH1821" s="25"/>
    </row>
    <row r="1822" spans="1:34" ht="283.5">
      <c r="A1822" s="58"/>
      <c r="B1822" s="487" t="s">
        <v>2665</v>
      </c>
      <c r="C1822" s="924" t="s">
        <v>2666</v>
      </c>
      <c r="D1822" s="573" t="s">
        <v>2667</v>
      </c>
      <c r="E1822" s="45">
        <v>100</v>
      </c>
      <c r="F1822" s="76" t="s">
        <v>58</v>
      </c>
      <c r="G1822" s="368">
        <f t="shared" ref="G1822:K1822" si="498">SUM(G1823:G1827)</f>
        <v>6749400000</v>
      </c>
      <c r="H1822" s="45">
        <v>100</v>
      </c>
      <c r="I1822" s="368">
        <f t="shared" si="498"/>
        <v>836320762</v>
      </c>
      <c r="J1822" s="45">
        <v>100</v>
      </c>
      <c r="K1822" s="368">
        <f t="shared" si="498"/>
        <v>2046799500</v>
      </c>
      <c r="L1822" s="45">
        <v>25</v>
      </c>
      <c r="M1822" s="368">
        <f t="shared" ref="M1822:Q1822" si="499">SUM(M1823:M1827)</f>
        <v>73928810</v>
      </c>
      <c r="N1822" s="45">
        <v>25</v>
      </c>
      <c r="O1822" s="926">
        <f t="shared" si="499"/>
        <v>167527604</v>
      </c>
      <c r="P1822" s="45">
        <v>25</v>
      </c>
      <c r="Q1822" s="368">
        <f t="shared" si="499"/>
        <v>68168259</v>
      </c>
      <c r="R1822" s="45"/>
      <c r="S1822" s="368">
        <f>SUM(S1823:S1827)</f>
        <v>442521796</v>
      </c>
      <c r="T1822" s="55">
        <f t="shared" si="472"/>
        <v>75</v>
      </c>
      <c r="U1822" s="55">
        <f t="shared" si="466"/>
        <v>75</v>
      </c>
      <c r="V1822" s="58" t="s">
        <v>58</v>
      </c>
      <c r="W1822" s="59">
        <f t="shared" si="493"/>
        <v>752146469</v>
      </c>
      <c r="X1822" s="57">
        <f t="shared" si="467"/>
        <v>36.747442482763944</v>
      </c>
      <c r="Y1822" s="58" t="s">
        <v>58</v>
      </c>
      <c r="Z1822" s="55"/>
      <c r="AA1822" s="59"/>
      <c r="AB1822" s="57"/>
      <c r="AC1822" s="58"/>
      <c r="AD1822" s="57"/>
      <c r="AE1822" s="921"/>
      <c r="AH1822" s="25"/>
    </row>
    <row r="1823" spans="1:34" ht="75">
      <c r="A1823" s="58"/>
      <c r="B1823" s="19"/>
      <c r="C1823" s="459" t="s">
        <v>2668</v>
      </c>
      <c r="D1823" s="459" t="s">
        <v>2669</v>
      </c>
      <c r="E1823" s="44">
        <f t="shared" si="497"/>
        <v>9</v>
      </c>
      <c r="F1823" s="47" t="s">
        <v>55</v>
      </c>
      <c r="G1823" s="22">
        <v>4440000000</v>
      </c>
      <c r="H1823" s="20">
        <v>3</v>
      </c>
      <c r="I1823" s="22">
        <v>513903336</v>
      </c>
      <c r="J1823" s="20">
        <v>3</v>
      </c>
      <c r="K1823" s="22">
        <v>1400000000</v>
      </c>
      <c r="L1823" s="20">
        <v>1</v>
      </c>
      <c r="M1823" s="911">
        <f>18078810+15000000+10000000+10000000</f>
        <v>53078810</v>
      </c>
      <c r="N1823" s="20">
        <v>1</v>
      </c>
      <c r="O1823" s="927">
        <v>150312604</v>
      </c>
      <c r="P1823" s="20">
        <v>0</v>
      </c>
      <c r="Q1823" s="917">
        <v>22158959</v>
      </c>
      <c r="R1823" s="20">
        <v>1</v>
      </c>
      <c r="S1823" s="22">
        <f>470243869-Q1823-O1823-M1823</f>
        <v>244693496</v>
      </c>
      <c r="T1823" s="54">
        <f t="shared" si="472"/>
        <v>3</v>
      </c>
      <c r="U1823" s="54">
        <f t="shared" si="466"/>
        <v>100</v>
      </c>
      <c r="V1823" s="35" t="s">
        <v>58</v>
      </c>
      <c r="W1823" s="40">
        <f t="shared" si="493"/>
        <v>470243869</v>
      </c>
      <c r="X1823" s="53">
        <f t="shared" si="467"/>
        <v>33.588847785714286</v>
      </c>
      <c r="Y1823" s="35" t="s">
        <v>58</v>
      </c>
      <c r="Z1823" s="54"/>
      <c r="AA1823" s="40"/>
      <c r="AB1823" s="53"/>
      <c r="AC1823" s="35"/>
      <c r="AD1823" s="53"/>
      <c r="AE1823" s="12"/>
      <c r="AH1823" s="25"/>
    </row>
    <row r="1824" spans="1:34" s="78" customFormat="1" ht="115.5" customHeight="1">
      <c r="A1824" s="58"/>
      <c r="B1824" s="19"/>
      <c r="C1824" s="459" t="s">
        <v>2670</v>
      </c>
      <c r="D1824" s="440" t="s">
        <v>2671</v>
      </c>
      <c r="E1824" s="44">
        <f t="shared" si="497"/>
        <v>9</v>
      </c>
      <c r="F1824" s="47" t="s">
        <v>55</v>
      </c>
      <c r="G1824" s="22">
        <v>268340000</v>
      </c>
      <c r="H1824" s="20">
        <v>3</v>
      </c>
      <c r="I1824" s="22">
        <v>114575600</v>
      </c>
      <c r="J1824" s="20">
        <v>3</v>
      </c>
      <c r="K1824" s="22">
        <v>186730000</v>
      </c>
      <c r="L1824" s="20">
        <v>1</v>
      </c>
      <c r="M1824" s="911">
        <f>1500000+1500000+1500000</f>
        <v>4500000</v>
      </c>
      <c r="N1824" s="20">
        <v>1</v>
      </c>
      <c r="O1824" s="927">
        <v>15102500</v>
      </c>
      <c r="P1824" s="20">
        <v>0</v>
      </c>
      <c r="Q1824" s="917">
        <v>28234300</v>
      </c>
      <c r="R1824" s="20">
        <v>1</v>
      </c>
      <c r="S1824" s="22">
        <f>72977600-Q1824-O1824-M1824</f>
        <v>25140800</v>
      </c>
      <c r="T1824" s="54">
        <f t="shared" si="472"/>
        <v>3</v>
      </c>
      <c r="U1824" s="54">
        <f t="shared" si="466"/>
        <v>100</v>
      </c>
      <c r="V1824" s="35" t="s">
        <v>58</v>
      </c>
      <c r="W1824" s="40">
        <f t="shared" si="493"/>
        <v>72977600</v>
      </c>
      <c r="X1824" s="53">
        <f t="shared" si="467"/>
        <v>39.081882932576448</v>
      </c>
      <c r="Y1824" s="35" t="s">
        <v>58</v>
      </c>
      <c r="Z1824" s="54"/>
      <c r="AA1824" s="40"/>
      <c r="AB1824" s="53"/>
      <c r="AC1824" s="35"/>
      <c r="AD1824" s="53"/>
      <c r="AE1824" s="12"/>
      <c r="AH1824" s="79"/>
    </row>
    <row r="1825" spans="1:34" s="78" customFormat="1" ht="165" customHeight="1">
      <c r="A1825" s="58"/>
      <c r="B1825" s="19"/>
      <c r="C1825" s="459" t="s">
        <v>2672</v>
      </c>
      <c r="D1825" s="440" t="s">
        <v>2673</v>
      </c>
      <c r="E1825" s="44">
        <f t="shared" si="497"/>
        <v>18</v>
      </c>
      <c r="F1825" s="47" t="s">
        <v>57</v>
      </c>
      <c r="G1825" s="22">
        <v>1288900000</v>
      </c>
      <c r="H1825" s="20">
        <v>6</v>
      </c>
      <c r="I1825" s="22">
        <v>99214326</v>
      </c>
      <c r="J1825" s="20">
        <v>6</v>
      </c>
      <c r="K1825" s="22">
        <v>69900000</v>
      </c>
      <c r="L1825" s="20">
        <v>2</v>
      </c>
      <c r="M1825" s="911">
        <v>16350000</v>
      </c>
      <c r="N1825" s="20">
        <v>0</v>
      </c>
      <c r="O1825" s="927">
        <v>-400000</v>
      </c>
      <c r="P1825" s="20">
        <v>2</v>
      </c>
      <c r="Q1825" s="917">
        <v>16200000</v>
      </c>
      <c r="R1825" s="20">
        <v>2</v>
      </c>
      <c r="S1825" s="22">
        <f>47350000-Q1825-O1825-M1825</f>
        <v>15200000</v>
      </c>
      <c r="T1825" s="54">
        <f t="shared" si="472"/>
        <v>6</v>
      </c>
      <c r="U1825" s="54">
        <f t="shared" si="466"/>
        <v>100</v>
      </c>
      <c r="V1825" s="35" t="s">
        <v>58</v>
      </c>
      <c r="W1825" s="40">
        <f t="shared" si="493"/>
        <v>47350000</v>
      </c>
      <c r="X1825" s="53">
        <f t="shared" si="467"/>
        <v>67.739628040057227</v>
      </c>
      <c r="Y1825" s="35" t="s">
        <v>58</v>
      </c>
      <c r="Z1825" s="54"/>
      <c r="AA1825" s="40"/>
      <c r="AB1825" s="53"/>
      <c r="AC1825" s="35"/>
      <c r="AD1825" s="53"/>
      <c r="AE1825" s="12"/>
      <c r="AH1825" s="79"/>
    </row>
    <row r="1826" spans="1:34" ht="105">
      <c r="A1826" s="58"/>
      <c r="B1826" s="19"/>
      <c r="C1826" s="459" t="s">
        <v>2674</v>
      </c>
      <c r="D1826" s="459" t="s">
        <v>2675</v>
      </c>
      <c r="E1826" s="44">
        <f t="shared" si="497"/>
        <v>6</v>
      </c>
      <c r="F1826" s="47" t="s">
        <v>55</v>
      </c>
      <c r="G1826" s="22">
        <v>711110000</v>
      </c>
      <c r="H1826" s="20">
        <v>2</v>
      </c>
      <c r="I1826" s="22">
        <v>101160000</v>
      </c>
      <c r="J1826" s="20">
        <v>2</v>
      </c>
      <c r="K1826" s="22">
        <v>375794500</v>
      </c>
      <c r="L1826" s="20">
        <v>1</v>
      </c>
      <c r="M1826" s="22">
        <v>0</v>
      </c>
      <c r="N1826" s="20">
        <v>1</v>
      </c>
      <c r="O1826" s="927">
        <v>0</v>
      </c>
      <c r="P1826" s="20">
        <v>0</v>
      </c>
      <c r="Q1826" s="917">
        <v>0</v>
      </c>
      <c r="R1826" s="20">
        <v>0</v>
      </c>
      <c r="S1826" s="22">
        <f>154660000-Q1826-O1826-M1826</f>
        <v>154660000</v>
      </c>
      <c r="T1826" s="54">
        <f t="shared" si="472"/>
        <v>2</v>
      </c>
      <c r="U1826" s="54">
        <f t="shared" si="466"/>
        <v>100</v>
      </c>
      <c r="V1826" s="35" t="s">
        <v>58</v>
      </c>
      <c r="W1826" s="40">
        <f t="shared" si="493"/>
        <v>154660000</v>
      </c>
      <c r="X1826" s="53">
        <f t="shared" si="467"/>
        <v>41.155471940116207</v>
      </c>
      <c r="Y1826" s="35" t="s">
        <v>58</v>
      </c>
      <c r="Z1826" s="54"/>
      <c r="AA1826" s="40"/>
      <c r="AB1826" s="53"/>
      <c r="AC1826" s="35"/>
      <c r="AD1826" s="53"/>
      <c r="AE1826" s="12"/>
      <c r="AH1826" s="25"/>
    </row>
    <row r="1827" spans="1:34" s="78" customFormat="1" ht="60">
      <c r="A1827" s="58"/>
      <c r="B1827" s="19"/>
      <c r="C1827" s="459" t="s">
        <v>2676</v>
      </c>
      <c r="D1827" s="440" t="s">
        <v>2677</v>
      </c>
      <c r="E1827" s="44">
        <f t="shared" si="497"/>
        <v>3</v>
      </c>
      <c r="F1827" s="47" t="s">
        <v>55</v>
      </c>
      <c r="G1827" s="22">
        <v>41050000</v>
      </c>
      <c r="H1827" s="20">
        <v>1</v>
      </c>
      <c r="I1827" s="22">
        <v>7467500</v>
      </c>
      <c r="J1827" s="20">
        <v>1</v>
      </c>
      <c r="K1827" s="22">
        <v>14375000</v>
      </c>
      <c r="L1827" s="20">
        <v>1</v>
      </c>
      <c r="M1827" s="22">
        <v>0</v>
      </c>
      <c r="N1827" s="20">
        <v>0</v>
      </c>
      <c r="O1827" s="927">
        <v>2512500</v>
      </c>
      <c r="P1827" s="20">
        <v>0</v>
      </c>
      <c r="Q1827" s="917">
        <v>1575000</v>
      </c>
      <c r="R1827" s="20">
        <v>0</v>
      </c>
      <c r="S1827" s="22">
        <f>6915000-Q1827-O1827-M1827</f>
        <v>2827500</v>
      </c>
      <c r="T1827" s="54">
        <f t="shared" si="472"/>
        <v>1</v>
      </c>
      <c r="U1827" s="54">
        <f t="shared" si="466"/>
        <v>100</v>
      </c>
      <c r="V1827" s="35" t="s">
        <v>58</v>
      </c>
      <c r="W1827" s="40">
        <f t="shared" si="493"/>
        <v>6915000</v>
      </c>
      <c r="X1827" s="53">
        <f t="shared" si="467"/>
        <v>48.104347826086958</v>
      </c>
      <c r="Y1827" s="35" t="s">
        <v>58</v>
      </c>
      <c r="Z1827" s="54"/>
      <c r="AA1827" s="40"/>
      <c r="AB1827" s="53"/>
      <c r="AC1827" s="35"/>
      <c r="AD1827" s="53"/>
      <c r="AE1827" s="12"/>
      <c r="AH1827" s="79"/>
    </row>
    <row r="1828" spans="1:34" ht="135">
      <c r="A1828" s="58"/>
      <c r="B1828" s="366" t="s">
        <v>2678</v>
      </c>
      <c r="C1828" s="573" t="s">
        <v>2679</v>
      </c>
      <c r="D1828" s="573" t="s">
        <v>2680</v>
      </c>
      <c r="E1828" s="45">
        <v>100</v>
      </c>
      <c r="F1828" s="76" t="s">
        <v>58</v>
      </c>
      <c r="G1828" s="368">
        <f t="shared" ref="G1828:K1828" si="500">SUM(G1829:G1831)</f>
        <v>3588364150</v>
      </c>
      <c r="H1828" s="45">
        <v>100</v>
      </c>
      <c r="I1828" s="368">
        <f t="shared" si="500"/>
        <v>912540000</v>
      </c>
      <c r="J1828" s="45">
        <v>100</v>
      </c>
      <c r="K1828" s="368">
        <f t="shared" si="500"/>
        <v>1280196000</v>
      </c>
      <c r="L1828" s="45">
        <v>25</v>
      </c>
      <c r="M1828" s="368">
        <f t="shared" ref="M1828:Q1828" si="501">SUM(M1829:M1831)</f>
        <v>0</v>
      </c>
      <c r="N1828" s="45">
        <v>25</v>
      </c>
      <c r="O1828" s="926">
        <f t="shared" si="501"/>
        <v>324372000</v>
      </c>
      <c r="P1828" s="45">
        <v>25</v>
      </c>
      <c r="Q1828" s="368">
        <f t="shared" si="501"/>
        <v>289020500</v>
      </c>
      <c r="R1828" s="45">
        <v>25</v>
      </c>
      <c r="S1828" s="368">
        <f>SUM(S1829:S1831)</f>
        <v>370984000</v>
      </c>
      <c r="T1828" s="55">
        <f t="shared" si="472"/>
        <v>100</v>
      </c>
      <c r="U1828" s="55">
        <f t="shared" si="466"/>
        <v>100</v>
      </c>
      <c r="V1828" s="58" t="s">
        <v>58</v>
      </c>
      <c r="W1828" s="59">
        <f t="shared" si="493"/>
        <v>984376500</v>
      </c>
      <c r="X1828" s="57">
        <f t="shared" si="467"/>
        <v>76.892639877018837</v>
      </c>
      <c r="Y1828" s="58" t="s">
        <v>58</v>
      </c>
      <c r="Z1828" s="55"/>
      <c r="AA1828" s="59"/>
      <c r="AB1828" s="57"/>
      <c r="AC1828" s="58"/>
      <c r="AD1828" s="57"/>
      <c r="AE1828" s="419"/>
      <c r="AH1828" s="25"/>
    </row>
    <row r="1829" spans="1:34" ht="75">
      <c r="A1829" s="35"/>
      <c r="B1829" s="29"/>
      <c r="C1829" s="459" t="s">
        <v>2681</v>
      </c>
      <c r="D1829" s="440" t="s">
        <v>2682</v>
      </c>
      <c r="E1829" s="44">
        <f t="shared" ref="E1829:E1831" si="502">H1829*3</f>
        <v>9</v>
      </c>
      <c r="F1829" s="47" t="s">
        <v>173</v>
      </c>
      <c r="G1829" s="22">
        <v>304500000</v>
      </c>
      <c r="H1829" s="20">
        <v>3</v>
      </c>
      <c r="I1829" s="22">
        <v>1380000</v>
      </c>
      <c r="J1829" s="20">
        <v>1</v>
      </c>
      <c r="K1829" s="22">
        <v>117750000</v>
      </c>
      <c r="L1829" s="20">
        <v>0</v>
      </c>
      <c r="M1829" s="22">
        <v>0</v>
      </c>
      <c r="N1829" s="20">
        <v>0</v>
      </c>
      <c r="O1829" s="927">
        <v>0</v>
      </c>
      <c r="P1829" s="20">
        <v>0</v>
      </c>
      <c r="Q1829" s="917">
        <v>0</v>
      </c>
      <c r="R1829" s="20">
        <v>1</v>
      </c>
      <c r="S1829" s="22">
        <v>0</v>
      </c>
      <c r="T1829" s="54">
        <f t="shared" si="472"/>
        <v>1</v>
      </c>
      <c r="U1829" s="54">
        <f t="shared" si="466"/>
        <v>100</v>
      </c>
      <c r="V1829" s="35" t="s">
        <v>58</v>
      </c>
      <c r="W1829" s="40">
        <f t="shared" si="493"/>
        <v>0</v>
      </c>
      <c r="X1829" s="53">
        <f t="shared" si="467"/>
        <v>0</v>
      </c>
      <c r="Y1829" s="35" t="s">
        <v>58</v>
      </c>
      <c r="Z1829" s="54"/>
      <c r="AA1829" s="40"/>
      <c r="AB1829" s="53"/>
      <c r="AC1829" s="35"/>
      <c r="AD1829" s="53"/>
      <c r="AE1829" s="12"/>
      <c r="AH1829" s="25"/>
    </row>
    <row r="1830" spans="1:34" ht="90">
      <c r="A1830" s="35"/>
      <c r="B1830" s="29"/>
      <c r="C1830" s="459" t="s">
        <v>2683</v>
      </c>
      <c r="D1830" s="440" t="s">
        <v>2684</v>
      </c>
      <c r="E1830" s="44">
        <f t="shared" si="502"/>
        <v>3</v>
      </c>
      <c r="F1830" s="47" t="s">
        <v>55</v>
      </c>
      <c r="G1830" s="22"/>
      <c r="H1830" s="20">
        <v>1</v>
      </c>
      <c r="I1830" s="22"/>
      <c r="J1830" s="20">
        <v>1</v>
      </c>
      <c r="K1830" s="22">
        <v>12750000</v>
      </c>
      <c r="L1830" s="20" t="s">
        <v>2685</v>
      </c>
      <c r="M1830" s="22">
        <v>0</v>
      </c>
      <c r="N1830" s="20">
        <v>1</v>
      </c>
      <c r="O1830" s="927">
        <v>0</v>
      </c>
      <c r="P1830" s="20">
        <v>0</v>
      </c>
      <c r="Q1830" s="917">
        <v>2772500</v>
      </c>
      <c r="R1830" s="20">
        <v>0</v>
      </c>
      <c r="S1830" s="22">
        <f>2772500-Q1830-O1830-M1830</f>
        <v>0</v>
      </c>
      <c r="T1830" s="54">
        <f t="shared" si="472"/>
        <v>1</v>
      </c>
      <c r="U1830" s="54">
        <f t="shared" ref="U1830:U1838" si="503">T1830/J1830*100</f>
        <v>100</v>
      </c>
      <c r="V1830" s="35" t="s">
        <v>58</v>
      </c>
      <c r="W1830" s="40">
        <f t="shared" si="493"/>
        <v>2772500</v>
      </c>
      <c r="X1830" s="53">
        <f t="shared" ref="X1830:X1838" si="504">W1830/K1830*100</f>
        <v>21.745098039215684</v>
      </c>
      <c r="Y1830" s="35" t="s">
        <v>58</v>
      </c>
      <c r="Z1830" s="54"/>
      <c r="AA1830" s="40"/>
      <c r="AB1830" s="53"/>
      <c r="AC1830" s="35"/>
      <c r="AD1830" s="53"/>
      <c r="AE1830" s="12"/>
      <c r="AH1830" s="25">
        <f>M1903+O1903+Q1903+S1903</f>
        <v>8348500462</v>
      </c>
    </row>
    <row r="1831" spans="1:34" s="78" customFormat="1" ht="75">
      <c r="A1831" s="35"/>
      <c r="B1831" s="29"/>
      <c r="C1831" s="459" t="s">
        <v>2686</v>
      </c>
      <c r="D1831" s="459" t="s">
        <v>2687</v>
      </c>
      <c r="E1831" s="44">
        <f t="shared" si="502"/>
        <v>3</v>
      </c>
      <c r="F1831" s="47" t="s">
        <v>55</v>
      </c>
      <c r="G1831" s="22">
        <v>3283864150</v>
      </c>
      <c r="H1831" s="20">
        <v>1</v>
      </c>
      <c r="I1831" s="22">
        <v>911160000</v>
      </c>
      <c r="J1831" s="20">
        <v>3</v>
      </c>
      <c r="K1831" s="22">
        <v>1149696000</v>
      </c>
      <c r="L1831" s="20">
        <v>0</v>
      </c>
      <c r="M1831" s="22">
        <v>0</v>
      </c>
      <c r="N1831" s="20">
        <v>1</v>
      </c>
      <c r="O1831" s="927">
        <v>324372000</v>
      </c>
      <c r="P1831" s="20">
        <v>1</v>
      </c>
      <c r="Q1831" s="920">
        <v>286248000</v>
      </c>
      <c r="R1831" s="20">
        <v>1</v>
      </c>
      <c r="S1831" s="22">
        <f>981604000-Q1831-O1831-M1831</f>
        <v>370984000</v>
      </c>
      <c r="T1831" s="54">
        <f t="shared" si="472"/>
        <v>3</v>
      </c>
      <c r="U1831" s="54">
        <f t="shared" si="503"/>
        <v>100</v>
      </c>
      <c r="V1831" s="35" t="s">
        <v>58</v>
      </c>
      <c r="W1831" s="40">
        <f t="shared" si="493"/>
        <v>981604000</v>
      </c>
      <c r="X1831" s="53">
        <f t="shared" si="504"/>
        <v>85.379439434424413</v>
      </c>
      <c r="Y1831" s="35" t="s">
        <v>58</v>
      </c>
      <c r="Z1831" s="54"/>
      <c r="AA1831" s="40"/>
      <c r="AB1831" s="53"/>
      <c r="AC1831" s="35"/>
      <c r="AD1831" s="53"/>
      <c r="AE1831" s="12"/>
      <c r="AH1831" s="79"/>
    </row>
    <row r="1832" spans="1:34" ht="57" customHeight="1">
      <c r="A1832" s="58"/>
      <c r="B1832" s="360" t="s">
        <v>2688</v>
      </c>
      <c r="C1832" s="924" t="s">
        <v>2689</v>
      </c>
      <c r="D1832" s="573" t="s">
        <v>2690</v>
      </c>
      <c r="E1832" s="45">
        <v>100</v>
      </c>
      <c r="F1832" s="76" t="s">
        <v>58</v>
      </c>
      <c r="G1832" s="368">
        <f t="shared" ref="G1832:K1832" si="505">SUM(G1833)</f>
        <v>41250000</v>
      </c>
      <c r="H1832" s="45">
        <v>100</v>
      </c>
      <c r="I1832" s="368">
        <f t="shared" si="505"/>
        <v>0</v>
      </c>
      <c r="J1832" s="45">
        <v>100</v>
      </c>
      <c r="K1832" s="368">
        <f t="shared" si="505"/>
        <v>7187500</v>
      </c>
      <c r="L1832" s="45">
        <v>0</v>
      </c>
      <c r="M1832" s="368">
        <f>SUM(M1833)</f>
        <v>0</v>
      </c>
      <c r="N1832" s="45">
        <v>50</v>
      </c>
      <c r="O1832" s="935">
        <v>0</v>
      </c>
      <c r="P1832" s="45">
        <v>25</v>
      </c>
      <c r="Q1832" s="920">
        <v>0</v>
      </c>
      <c r="R1832" s="45">
        <v>25</v>
      </c>
      <c r="S1832" s="368">
        <f>S1833</f>
        <v>0</v>
      </c>
      <c r="T1832" s="55">
        <f t="shared" si="472"/>
        <v>100</v>
      </c>
      <c r="U1832" s="55">
        <f t="shared" si="503"/>
        <v>100</v>
      </c>
      <c r="V1832" s="58" t="s">
        <v>58</v>
      </c>
      <c r="W1832" s="40">
        <f t="shared" si="493"/>
        <v>0</v>
      </c>
      <c r="X1832" s="57">
        <f t="shared" si="504"/>
        <v>0</v>
      </c>
      <c r="Y1832" s="58" t="s">
        <v>58</v>
      </c>
      <c r="Z1832" s="55"/>
      <c r="AA1832" s="59"/>
      <c r="AB1832" s="57"/>
      <c r="AC1832" s="58"/>
      <c r="AD1832" s="57"/>
      <c r="AE1832" s="12"/>
      <c r="AH1832" s="25"/>
    </row>
    <row r="1833" spans="1:34" ht="165">
      <c r="A1833" s="58"/>
      <c r="B1833" s="19"/>
      <c r="C1833" s="440" t="s">
        <v>2691</v>
      </c>
      <c r="D1833" s="440" t="s">
        <v>2692</v>
      </c>
      <c r="E1833" s="44">
        <f t="shared" ref="E1833:E1838" si="506">H1833*3</f>
        <v>3</v>
      </c>
      <c r="F1833" s="47" t="s">
        <v>55</v>
      </c>
      <c r="G1833" s="22">
        <v>41250000</v>
      </c>
      <c r="H1833" s="20">
        <v>1</v>
      </c>
      <c r="I1833" s="22">
        <v>0</v>
      </c>
      <c r="J1833" s="20">
        <v>1</v>
      </c>
      <c r="K1833" s="22">
        <v>7187500</v>
      </c>
      <c r="L1833" s="20">
        <v>0</v>
      </c>
      <c r="M1833" s="22">
        <v>0</v>
      </c>
      <c r="N1833" s="20">
        <v>0</v>
      </c>
      <c r="O1833" s="927">
        <v>0</v>
      </c>
      <c r="P1833" s="20">
        <v>0</v>
      </c>
      <c r="Q1833" s="917">
        <v>0</v>
      </c>
      <c r="R1833" s="20">
        <v>1</v>
      </c>
      <c r="S1833" s="22">
        <v>0</v>
      </c>
      <c r="T1833" s="54">
        <f t="shared" si="472"/>
        <v>1</v>
      </c>
      <c r="U1833" s="54">
        <f t="shared" si="503"/>
        <v>100</v>
      </c>
      <c r="V1833" s="35" t="s">
        <v>58</v>
      </c>
      <c r="W1833" s="40">
        <f t="shared" si="493"/>
        <v>0</v>
      </c>
      <c r="X1833" s="53">
        <f t="shared" si="504"/>
        <v>0</v>
      </c>
      <c r="Y1833" s="35" t="s">
        <v>58</v>
      </c>
      <c r="Z1833" s="54"/>
      <c r="AA1833" s="40"/>
      <c r="AB1833" s="53"/>
      <c r="AC1833" s="35"/>
      <c r="AD1833" s="53"/>
      <c r="AE1833" s="12"/>
      <c r="AH1833" s="25"/>
    </row>
    <row r="1834" spans="1:34" s="827" customFormat="1" ht="110.25">
      <c r="A1834" s="58"/>
      <c r="B1834" s="928" t="s">
        <v>2693</v>
      </c>
      <c r="C1834" s="924" t="s">
        <v>2694</v>
      </c>
      <c r="D1834" s="573" t="s">
        <v>2695</v>
      </c>
      <c r="E1834" s="45">
        <v>100</v>
      </c>
      <c r="F1834" s="76" t="s">
        <v>58</v>
      </c>
      <c r="G1834" s="368">
        <f t="shared" ref="G1834:K1834" si="507">SUM(G1835:G1838)</f>
        <v>41198840000</v>
      </c>
      <c r="H1834" s="45">
        <v>100</v>
      </c>
      <c r="I1834" s="368">
        <f t="shared" si="507"/>
        <v>14329238937</v>
      </c>
      <c r="J1834" s="45">
        <v>100</v>
      </c>
      <c r="K1834" s="368">
        <f t="shared" si="507"/>
        <v>18861543100</v>
      </c>
      <c r="L1834" s="45">
        <v>25</v>
      </c>
      <c r="M1834" s="368">
        <f>SUM(M1835:M1838)</f>
        <v>3390856080</v>
      </c>
      <c r="N1834" s="45">
        <v>25</v>
      </c>
      <c r="O1834" s="926">
        <f t="shared" ref="O1834:S1834" si="508">SUM(O1835:O1838)</f>
        <v>4501818963</v>
      </c>
      <c r="P1834" s="45">
        <v>25</v>
      </c>
      <c r="Q1834" s="368">
        <f t="shared" si="508"/>
        <v>5260962625</v>
      </c>
      <c r="R1834" s="45">
        <v>25</v>
      </c>
      <c r="S1834" s="368">
        <f t="shared" si="508"/>
        <v>5208840699</v>
      </c>
      <c r="T1834" s="55">
        <f t="shared" si="472"/>
        <v>100</v>
      </c>
      <c r="U1834" s="55">
        <f t="shared" si="503"/>
        <v>100</v>
      </c>
      <c r="V1834" s="58" t="s">
        <v>58</v>
      </c>
      <c r="W1834" s="59">
        <f t="shared" si="493"/>
        <v>18362478367</v>
      </c>
      <c r="X1834" s="57">
        <f t="shared" si="504"/>
        <v>97.354062017333035</v>
      </c>
      <c r="Y1834" s="58" t="s">
        <v>58</v>
      </c>
      <c r="Z1834" s="55"/>
      <c r="AA1834" s="59"/>
      <c r="AB1834" s="57"/>
      <c r="AC1834" s="58"/>
      <c r="AD1834" s="57"/>
      <c r="AE1834" s="12"/>
      <c r="AH1834" s="801">
        <f>M1907+O1907+Q1907+S1907</f>
        <v>7114311502</v>
      </c>
    </row>
    <row r="1835" spans="1:34" ht="58.5" customHeight="1">
      <c r="A1835" s="58"/>
      <c r="B1835" s="366"/>
      <c r="C1835" s="459" t="s">
        <v>2696</v>
      </c>
      <c r="D1835" s="459" t="s">
        <v>2697</v>
      </c>
      <c r="E1835" s="44">
        <f t="shared" si="506"/>
        <v>36</v>
      </c>
      <c r="F1835" s="47" t="s">
        <v>55</v>
      </c>
      <c r="G1835" s="22">
        <v>41076840000</v>
      </c>
      <c r="H1835" s="20">
        <v>12</v>
      </c>
      <c r="I1835" s="22">
        <v>14299629937</v>
      </c>
      <c r="J1835" s="20">
        <v>12</v>
      </c>
      <c r="K1835" s="22">
        <v>17000000000</v>
      </c>
      <c r="L1835" s="20">
        <v>3</v>
      </c>
      <c r="M1835" s="911">
        <f>697021810+357230952+647479941+487678931+578346869+250801160+256176417</f>
        <v>3274736080</v>
      </c>
      <c r="N1835" s="20">
        <v>3</v>
      </c>
      <c r="O1835" s="927">
        <v>4192091213</v>
      </c>
      <c r="P1835" s="20">
        <v>3</v>
      </c>
      <c r="Q1835" s="917">
        <v>5050470125</v>
      </c>
      <c r="R1835" s="20">
        <v>3</v>
      </c>
      <c r="S1835" s="22">
        <f>16735993117-Q1835-O1835-M1835</f>
        <v>4218695699</v>
      </c>
      <c r="T1835" s="54">
        <f t="shared" si="472"/>
        <v>12</v>
      </c>
      <c r="U1835" s="54">
        <f t="shared" si="503"/>
        <v>100</v>
      </c>
      <c r="V1835" s="35" t="s">
        <v>58</v>
      </c>
      <c r="W1835" s="40">
        <f t="shared" si="493"/>
        <v>16735993117</v>
      </c>
      <c r="X1835" s="53">
        <f t="shared" si="504"/>
        <v>98.447018335294118</v>
      </c>
      <c r="Y1835" s="35" t="s">
        <v>58</v>
      </c>
      <c r="Z1835" s="54"/>
      <c r="AA1835" s="40"/>
      <c r="AB1835" s="53"/>
      <c r="AC1835" s="35"/>
      <c r="AD1835" s="53"/>
      <c r="AE1835" s="12"/>
      <c r="AH1835" s="25">
        <f>M1908+O1908+Q1908+S1908</f>
        <v>7111030602</v>
      </c>
    </row>
    <row r="1836" spans="1:34" ht="105">
      <c r="A1836" s="58"/>
      <c r="B1836" s="19"/>
      <c r="C1836" s="459" t="s">
        <v>2698</v>
      </c>
      <c r="D1836" s="440" t="s">
        <v>2699</v>
      </c>
      <c r="E1836" s="44">
        <f t="shared" si="506"/>
        <v>18</v>
      </c>
      <c r="F1836" s="47" t="s">
        <v>173</v>
      </c>
      <c r="G1836" s="22"/>
      <c r="H1836" s="20">
        <v>6</v>
      </c>
      <c r="I1836" s="22"/>
      <c r="J1836" s="20">
        <v>6</v>
      </c>
      <c r="K1836" s="22">
        <v>4035500</v>
      </c>
      <c r="L1836" s="20">
        <v>0</v>
      </c>
      <c r="M1836" s="911">
        <v>0</v>
      </c>
      <c r="N1836" s="20">
        <v>3</v>
      </c>
      <c r="O1836" s="927">
        <v>0</v>
      </c>
      <c r="P1836" s="20">
        <v>0</v>
      </c>
      <c r="Q1836" s="917">
        <v>0</v>
      </c>
      <c r="R1836" s="20">
        <v>3</v>
      </c>
      <c r="S1836" s="22">
        <f>3016000-Q1836-O1836-M1836</f>
        <v>3016000</v>
      </c>
      <c r="T1836" s="54">
        <f t="shared" si="472"/>
        <v>6</v>
      </c>
      <c r="U1836" s="54">
        <f t="shared" si="503"/>
        <v>100</v>
      </c>
      <c r="V1836" s="35" t="s">
        <v>58</v>
      </c>
      <c r="W1836" s="40">
        <f t="shared" si="493"/>
        <v>3016000</v>
      </c>
      <c r="X1836" s="53">
        <f t="shared" si="504"/>
        <v>74.73671168380622</v>
      </c>
      <c r="Y1836" s="35" t="s">
        <v>58</v>
      </c>
      <c r="Z1836" s="54"/>
      <c r="AA1836" s="40"/>
      <c r="AB1836" s="53"/>
      <c r="AC1836" s="35"/>
      <c r="AD1836" s="53"/>
      <c r="AE1836" s="12"/>
      <c r="AH1836" s="25">
        <f>M1909+O1909+Q1909+S1909</f>
        <v>1324500</v>
      </c>
    </row>
    <row r="1837" spans="1:34" ht="120">
      <c r="A1837" s="58"/>
      <c r="B1837" s="19"/>
      <c r="C1837" s="459" t="s">
        <v>2700</v>
      </c>
      <c r="D1837" s="459" t="s">
        <v>2701</v>
      </c>
      <c r="E1837" s="44">
        <f t="shared" si="506"/>
        <v>36</v>
      </c>
      <c r="F1837" s="47" t="s">
        <v>55</v>
      </c>
      <c r="G1837" s="22"/>
      <c r="H1837" s="20">
        <v>12</v>
      </c>
      <c r="I1837" s="22"/>
      <c r="J1837" s="20">
        <v>12</v>
      </c>
      <c r="K1837" s="22">
        <v>27000000</v>
      </c>
      <c r="L1837" s="20">
        <v>3</v>
      </c>
      <c r="M1837" s="911">
        <v>0</v>
      </c>
      <c r="N1837" s="20">
        <v>3</v>
      </c>
      <c r="O1837" s="927">
        <v>6707750</v>
      </c>
      <c r="P1837" s="20">
        <v>3</v>
      </c>
      <c r="Q1837" s="917">
        <v>1312500</v>
      </c>
      <c r="R1837" s="20">
        <v>3</v>
      </c>
      <c r="S1837" s="22">
        <f>14045250-Q1837-O1837-M1837</f>
        <v>6025000</v>
      </c>
      <c r="T1837" s="54">
        <f t="shared" si="472"/>
        <v>12</v>
      </c>
      <c r="U1837" s="54">
        <f t="shared" si="503"/>
        <v>100</v>
      </c>
      <c r="V1837" s="35" t="s">
        <v>58</v>
      </c>
      <c r="W1837" s="40">
        <f t="shared" si="493"/>
        <v>14045250</v>
      </c>
      <c r="X1837" s="53">
        <f t="shared" si="504"/>
        <v>52.019444444444439</v>
      </c>
      <c r="Y1837" s="35" t="s">
        <v>58</v>
      </c>
      <c r="Z1837" s="54"/>
      <c r="AA1837" s="40"/>
      <c r="AB1837" s="53"/>
      <c r="AC1837" s="35"/>
      <c r="AD1837" s="53"/>
      <c r="AE1837" s="12"/>
      <c r="AH1837" s="25">
        <f>M1910+O1910+Q1910+S1910</f>
        <v>821250</v>
      </c>
    </row>
    <row r="1838" spans="1:34" ht="69.75" customHeight="1">
      <c r="A1838" s="58"/>
      <c r="B1838" s="19"/>
      <c r="C1838" s="459" t="s">
        <v>2702</v>
      </c>
      <c r="D1838" s="459" t="s">
        <v>2703</v>
      </c>
      <c r="E1838" s="44">
        <f t="shared" si="506"/>
        <v>9</v>
      </c>
      <c r="F1838" s="47" t="s">
        <v>55</v>
      </c>
      <c r="G1838" s="22">
        <v>122000000</v>
      </c>
      <c r="H1838" s="20">
        <v>3</v>
      </c>
      <c r="I1838" s="22">
        <v>29609000</v>
      </c>
      <c r="J1838" s="20">
        <v>3</v>
      </c>
      <c r="K1838" s="22">
        <v>1830507600</v>
      </c>
      <c r="L1838" s="20">
        <v>0</v>
      </c>
      <c r="M1838" s="911">
        <f>16500000+99620000</f>
        <v>116120000</v>
      </c>
      <c r="N1838" s="20">
        <v>3</v>
      </c>
      <c r="O1838" s="940">
        <v>303020000</v>
      </c>
      <c r="P1838" s="20">
        <v>0</v>
      </c>
      <c r="Q1838" s="917">
        <v>209180000</v>
      </c>
      <c r="R1838" s="20"/>
      <c r="S1838" s="22">
        <f>1609424000-Q1838-O1838-M1838</f>
        <v>981104000</v>
      </c>
      <c r="T1838" s="54">
        <f t="shared" si="472"/>
        <v>3</v>
      </c>
      <c r="U1838" s="54">
        <f t="shared" si="503"/>
        <v>100</v>
      </c>
      <c r="V1838" s="35" t="s">
        <v>58</v>
      </c>
      <c r="W1838" s="40">
        <f t="shared" si="493"/>
        <v>1609424000</v>
      </c>
      <c r="X1838" s="53">
        <f t="shared" si="504"/>
        <v>87.922279044348144</v>
      </c>
      <c r="Y1838" s="35" t="s">
        <v>58</v>
      </c>
      <c r="Z1838" s="54"/>
      <c r="AA1838" s="40"/>
      <c r="AB1838" s="53"/>
      <c r="AC1838" s="35"/>
      <c r="AD1838" s="53"/>
      <c r="AE1838" s="12"/>
      <c r="AH1838" s="25">
        <f>M1911+O1911+Q1911+S1911</f>
        <v>1135150</v>
      </c>
    </row>
    <row r="1839" spans="1:34" s="827" customFormat="1" ht="81" customHeight="1">
      <c r="A1839" s="48">
        <v>1</v>
      </c>
      <c r="B1839" s="17" t="s">
        <v>2460</v>
      </c>
      <c r="C1839" s="1065" t="s">
        <v>68</v>
      </c>
      <c r="D1839" s="19" t="s">
        <v>1168</v>
      </c>
      <c r="E1839" s="45">
        <v>100</v>
      </c>
      <c r="F1839" s="46" t="s">
        <v>58</v>
      </c>
      <c r="G1839" s="52">
        <f>G1841+G1844+G1849+G1857+G1859+G1862</f>
        <v>0</v>
      </c>
      <c r="H1839" s="45">
        <v>100</v>
      </c>
      <c r="I1839" s="52">
        <f>I1841+I1844+I1849+I1857+I1859+I1862</f>
        <v>3474811258</v>
      </c>
      <c r="J1839" s="45">
        <v>100</v>
      </c>
      <c r="K1839" s="52">
        <f>K1841+K1844+K1849+K1857+K1859+K1862</f>
        <v>3579939541</v>
      </c>
      <c r="L1839" s="45">
        <v>25</v>
      </c>
      <c r="M1839" s="52">
        <f>M1841+M1844+M1849+M1857+M1859+M1862</f>
        <v>619609894</v>
      </c>
      <c r="N1839" s="45">
        <v>25</v>
      </c>
      <c r="O1839" s="52">
        <f>O1841+O1844+O1849+O1857+O1859+O1862</f>
        <v>1437022423</v>
      </c>
      <c r="P1839" s="45">
        <v>25</v>
      </c>
      <c r="Q1839" s="52">
        <f>Q1841+Q1844+Q1849+Q1857+Q1859+Q1862</f>
        <v>423693578</v>
      </c>
      <c r="R1839" s="45">
        <v>25</v>
      </c>
      <c r="S1839" s="52">
        <f>S1841+S1844+S1849+S1857+S1859+S1862</f>
        <v>1003952835</v>
      </c>
      <c r="T1839" s="55">
        <f>SUM(L1839,N1839,P1839,R1839)</f>
        <v>100</v>
      </c>
      <c r="U1839" s="55">
        <f>T1839/J1839*100</f>
        <v>100</v>
      </c>
      <c r="V1839" s="58" t="s">
        <v>58</v>
      </c>
      <c r="W1839" s="56">
        <f>SUM(M1839,O1839,Q1839,S1839)</f>
        <v>3484278730</v>
      </c>
      <c r="X1839" s="60">
        <f>W1839/K1839*100</f>
        <v>97.327865180279588</v>
      </c>
      <c r="Y1839" s="48" t="s">
        <v>58</v>
      </c>
      <c r="Z1839" s="57">
        <f>SUM(H1839,T1839)</f>
        <v>200</v>
      </c>
      <c r="AA1839" s="56">
        <f>SUM(I1839,W1839)</f>
        <v>6959089988</v>
      </c>
      <c r="AB1839" s="57"/>
      <c r="AC1839" s="58" t="s">
        <v>58</v>
      </c>
      <c r="AD1839" s="60"/>
      <c r="AE1839" s="1151" t="s">
        <v>2461</v>
      </c>
      <c r="AH1839" s="801"/>
    </row>
    <row r="1840" spans="1:34" ht="127.5" customHeight="1">
      <c r="A1840" s="48"/>
      <c r="B1840" s="17"/>
      <c r="C1840" s="1067"/>
      <c r="D1840" s="19" t="s">
        <v>1170</v>
      </c>
      <c r="E1840" s="107">
        <v>86</v>
      </c>
      <c r="F1840" s="46" t="s">
        <v>58</v>
      </c>
      <c r="G1840" s="41"/>
      <c r="H1840" s="107">
        <v>85.5</v>
      </c>
      <c r="I1840" s="41"/>
      <c r="J1840" s="107">
        <v>85.5</v>
      </c>
      <c r="K1840" s="41"/>
      <c r="L1840" s="45">
        <v>0</v>
      </c>
      <c r="M1840" s="41"/>
      <c r="N1840" s="45">
        <v>0</v>
      </c>
      <c r="O1840" s="41"/>
      <c r="P1840" s="45">
        <v>0</v>
      </c>
      <c r="Q1840" s="41"/>
      <c r="R1840" s="45">
        <v>0</v>
      </c>
      <c r="S1840" s="41"/>
      <c r="T1840" s="55"/>
      <c r="U1840" s="55"/>
      <c r="V1840" s="58"/>
      <c r="W1840" s="94"/>
      <c r="X1840" s="239"/>
      <c r="Y1840" s="240"/>
      <c r="Z1840" s="57"/>
      <c r="AA1840" s="94"/>
      <c r="AB1840" s="57"/>
      <c r="AC1840" s="58"/>
      <c r="AD1840" s="239"/>
      <c r="AE1840" s="1076"/>
      <c r="AH1840" s="25"/>
    </row>
    <row r="1841" spans="1:34" s="827" customFormat="1" ht="141.75">
      <c r="A1841" s="48">
        <v>2</v>
      </c>
      <c r="B1841" s="49" t="s">
        <v>2462</v>
      </c>
      <c r="C1841" s="19" t="s">
        <v>309</v>
      </c>
      <c r="D1841" s="19" t="s">
        <v>2463</v>
      </c>
      <c r="E1841" s="45">
        <v>100</v>
      </c>
      <c r="F1841" s="46" t="s">
        <v>58</v>
      </c>
      <c r="G1841" s="42">
        <f>SUM(G1842:G1843)</f>
        <v>0</v>
      </c>
      <c r="H1841" s="45">
        <v>100</v>
      </c>
      <c r="I1841" s="42">
        <f>SUM(I1842:I1843)</f>
        <v>9172500</v>
      </c>
      <c r="J1841" s="45">
        <f>(J1842+J1843)/(J1842+J1843)*100</f>
        <v>100</v>
      </c>
      <c r="K1841" s="42">
        <f>SUM(K1842:K1843)</f>
        <v>8357650</v>
      </c>
      <c r="L1841" s="107">
        <f>(L1842+L1843)/(J1842+J1843)*100</f>
        <v>6.666666666666667</v>
      </c>
      <c r="M1841" s="42">
        <f>SUM(M1842:M1843)</f>
        <v>2497500</v>
      </c>
      <c r="N1841" s="107">
        <f>(N1842+N1843)/(J1842+J1843)*100</f>
        <v>26.666666666666668</v>
      </c>
      <c r="O1841" s="42">
        <f>SUM(O1842:O1843)</f>
        <v>0</v>
      </c>
      <c r="P1841" s="107">
        <f>(P1842+P1843)/(J1842+J1843)*100</f>
        <v>33.333333333333329</v>
      </c>
      <c r="Q1841" s="42">
        <f>SUM(Q1842:Q1843)</f>
        <v>0</v>
      </c>
      <c r="R1841" s="107">
        <f>(R1842+R1843)/(J1842+J1843)*100</f>
        <v>33.333333333333329</v>
      </c>
      <c r="S1841" s="42">
        <f>SUM(S1842:S1843)</f>
        <v>5853400</v>
      </c>
      <c r="T1841" s="57">
        <f>SUM(L1841,N1841,P1841,R1841)</f>
        <v>99.999999999999986</v>
      </c>
      <c r="U1841" s="57">
        <f t="shared" ref="U1841:U1877" si="509">T1841/J1841*100</f>
        <v>99.999999999999986</v>
      </c>
      <c r="V1841" s="58" t="s">
        <v>58</v>
      </c>
      <c r="W1841" s="59">
        <f t="shared" ref="W1841:W1849" si="510">SUM(M1841,O1841,Q1841,S1841)</f>
        <v>8350900</v>
      </c>
      <c r="X1841" s="55">
        <f t="shared" ref="X1841:X1849" si="511">W1841/K1841*100</f>
        <v>99.919235670314023</v>
      </c>
      <c r="Y1841" s="58" t="s">
        <v>58</v>
      </c>
      <c r="Z1841" s="55">
        <f t="shared" ref="Z1841:Z1893" si="512">SUM(H1841,T1841)</f>
        <v>200</v>
      </c>
      <c r="AA1841" s="59">
        <f t="shared" ref="AA1841:AA1849" si="513">SUM(I1841,W1841)</f>
        <v>17523400</v>
      </c>
      <c r="AB1841" s="57"/>
      <c r="AC1841" s="58" t="s">
        <v>58</v>
      </c>
      <c r="AD1841" s="57"/>
      <c r="AE1841" s="419"/>
      <c r="AH1841" s="801"/>
    </row>
    <row r="1842" spans="1:34" ht="75">
      <c r="A1842" s="16"/>
      <c r="B1842" s="33"/>
      <c r="C1842" s="26" t="s">
        <v>69</v>
      </c>
      <c r="D1842" s="29" t="s">
        <v>211</v>
      </c>
      <c r="E1842" s="20">
        <f>5*3</f>
        <v>15</v>
      </c>
      <c r="F1842" s="21" t="s">
        <v>55</v>
      </c>
      <c r="G1842" s="23"/>
      <c r="H1842" s="20">
        <v>5</v>
      </c>
      <c r="I1842" s="23">
        <v>6795000</v>
      </c>
      <c r="J1842" s="20">
        <v>5</v>
      </c>
      <c r="K1842" s="23">
        <v>6100150</v>
      </c>
      <c r="L1842" s="20">
        <v>0</v>
      </c>
      <c r="M1842" s="23">
        <v>1500000</v>
      </c>
      <c r="N1842" s="20">
        <v>3</v>
      </c>
      <c r="O1842" s="23">
        <v>0</v>
      </c>
      <c r="P1842" s="20">
        <v>1</v>
      </c>
      <c r="Q1842" s="23">
        <v>0</v>
      </c>
      <c r="R1842" s="20">
        <v>1</v>
      </c>
      <c r="S1842" s="23">
        <v>4593400</v>
      </c>
      <c r="T1842" s="54">
        <f>SUM(L1842,N1842,P1842,R1842)</f>
        <v>5</v>
      </c>
      <c r="U1842" s="54">
        <f t="shared" si="509"/>
        <v>100</v>
      </c>
      <c r="V1842" s="35" t="s">
        <v>58</v>
      </c>
      <c r="W1842" s="40">
        <f t="shared" si="510"/>
        <v>6093400</v>
      </c>
      <c r="X1842" s="54">
        <f t="shared" si="511"/>
        <v>99.889346983270897</v>
      </c>
      <c r="Y1842" s="35" t="s">
        <v>58</v>
      </c>
      <c r="Z1842" s="54">
        <f t="shared" si="512"/>
        <v>10</v>
      </c>
      <c r="AA1842" s="40">
        <f t="shared" si="513"/>
        <v>12888400</v>
      </c>
      <c r="AB1842" s="53"/>
      <c r="AC1842" s="35" t="s">
        <v>58</v>
      </c>
      <c r="AD1842" s="53"/>
      <c r="AE1842" s="12"/>
      <c r="AH1842" s="25"/>
    </row>
    <row r="1843" spans="1:34" ht="90">
      <c r="A1843" s="16"/>
      <c r="B1843" s="33"/>
      <c r="C1843" s="26" t="s">
        <v>70</v>
      </c>
      <c r="D1843" s="29" t="s">
        <v>212</v>
      </c>
      <c r="E1843" s="20">
        <f>10*3</f>
        <v>30</v>
      </c>
      <c r="F1843" s="21" t="s">
        <v>173</v>
      </c>
      <c r="G1843" s="23"/>
      <c r="H1843" s="20">
        <v>10</v>
      </c>
      <c r="I1843" s="23">
        <v>2377500</v>
      </c>
      <c r="J1843" s="20">
        <v>10</v>
      </c>
      <c r="K1843" s="23">
        <v>2257500</v>
      </c>
      <c r="L1843" s="20">
        <v>1</v>
      </c>
      <c r="M1843" s="23">
        <v>997500</v>
      </c>
      <c r="N1843" s="20">
        <v>1</v>
      </c>
      <c r="O1843" s="23">
        <v>0</v>
      </c>
      <c r="P1843" s="20">
        <v>4</v>
      </c>
      <c r="Q1843" s="23">
        <v>0</v>
      </c>
      <c r="R1843" s="20">
        <v>4</v>
      </c>
      <c r="S1843" s="23">
        <v>1260000</v>
      </c>
      <c r="T1843" s="54">
        <f>SUM(L1843,N1843,P1843,R1843)</f>
        <v>10</v>
      </c>
      <c r="U1843" s="54">
        <f t="shared" si="509"/>
        <v>100</v>
      </c>
      <c r="V1843" s="35" t="s">
        <v>58</v>
      </c>
      <c r="W1843" s="40">
        <f t="shared" si="510"/>
        <v>2257500</v>
      </c>
      <c r="X1843" s="54">
        <f t="shared" si="511"/>
        <v>100</v>
      </c>
      <c r="Y1843" s="35" t="s">
        <v>58</v>
      </c>
      <c r="Z1843" s="54">
        <f t="shared" si="512"/>
        <v>20</v>
      </c>
      <c r="AA1843" s="40">
        <f t="shared" si="513"/>
        <v>4635000</v>
      </c>
      <c r="AB1843" s="53"/>
      <c r="AC1843" s="35" t="s">
        <v>58</v>
      </c>
      <c r="AD1843" s="53"/>
      <c r="AE1843" s="12"/>
      <c r="AH1843" s="25"/>
    </row>
    <row r="1844" spans="1:34" ht="94.5">
      <c r="A1844" s="16"/>
      <c r="B1844" s="17" t="s">
        <v>2464</v>
      </c>
      <c r="C1844" s="18" t="s">
        <v>71</v>
      </c>
      <c r="D1844" s="19" t="s">
        <v>2465</v>
      </c>
      <c r="E1844" s="45">
        <v>100</v>
      </c>
      <c r="F1844" s="46" t="s">
        <v>58</v>
      </c>
      <c r="G1844" s="42">
        <f>SUM(G1845:G1848)</f>
        <v>0</v>
      </c>
      <c r="H1844" s="45">
        <v>100</v>
      </c>
      <c r="I1844" s="42">
        <f>SUM(I1845:I1848)</f>
        <v>2611018019</v>
      </c>
      <c r="J1844" s="45">
        <f>(J1846+J1847+J1848)/(J1846+J1847+J1848)*100</f>
        <v>100</v>
      </c>
      <c r="K1844" s="42">
        <f>SUM(K1845:K1848)</f>
        <v>2878868341</v>
      </c>
      <c r="L1844" s="45">
        <f>(L1846+L1847+L1848)/(J1846+J1847+J1848)*100</f>
        <v>21.428571428571427</v>
      </c>
      <c r="M1844" s="42">
        <f>SUM(M1845:M1848)</f>
        <v>519021708</v>
      </c>
      <c r="N1844" s="45">
        <f>(N1846+N1847+N1848)/(J1846+J1847+J1848)*100</f>
        <v>28.571428571428569</v>
      </c>
      <c r="O1844" s="42">
        <f>SUM(O1845:O1848)</f>
        <v>1284563800</v>
      </c>
      <c r="P1844" s="45">
        <f>(P1846+P1847+P1848)/(J1846+J1847+J1848)*100</f>
        <v>21.428571428571427</v>
      </c>
      <c r="Q1844" s="42">
        <f>SUM(Q1845:Q1848)</f>
        <v>384675788</v>
      </c>
      <c r="R1844" s="107">
        <f>(R1846+R1847+R1848)/(J1846+J1847+J1848)*100</f>
        <v>28.571428571428569</v>
      </c>
      <c r="S1844" s="42">
        <f>SUM(S1845:S1848)</f>
        <v>666461041</v>
      </c>
      <c r="T1844" s="57">
        <f>SUM(L1844,N1844,P1844,R1844)</f>
        <v>100</v>
      </c>
      <c r="U1844" s="57">
        <f t="shared" si="509"/>
        <v>100</v>
      </c>
      <c r="V1844" s="58" t="s">
        <v>58</v>
      </c>
      <c r="W1844" s="59">
        <f t="shared" si="510"/>
        <v>2854722337</v>
      </c>
      <c r="X1844" s="57">
        <f t="shared" si="511"/>
        <v>99.161267514178405</v>
      </c>
      <c r="Y1844" s="58" t="s">
        <v>58</v>
      </c>
      <c r="Z1844" s="55">
        <f t="shared" si="512"/>
        <v>200</v>
      </c>
      <c r="AA1844" s="59">
        <f t="shared" si="513"/>
        <v>5465740356</v>
      </c>
      <c r="AB1844" s="57"/>
      <c r="AC1844" s="58" t="s">
        <v>58</v>
      </c>
      <c r="AD1844" s="57"/>
      <c r="AE1844" s="419"/>
      <c r="AH1844" s="25"/>
    </row>
    <row r="1845" spans="1:34" ht="90">
      <c r="A1845" s="16"/>
      <c r="B1845" s="17"/>
      <c r="C1845" s="26" t="s">
        <v>72</v>
      </c>
      <c r="D1845" s="26" t="s">
        <v>213</v>
      </c>
      <c r="E1845" s="20">
        <v>27</v>
      </c>
      <c r="F1845" s="47" t="s">
        <v>57</v>
      </c>
      <c r="G1845" s="23"/>
      <c r="H1845" s="20">
        <v>27</v>
      </c>
      <c r="I1845" s="23">
        <v>2606624819</v>
      </c>
      <c r="J1845" s="20">
        <v>27</v>
      </c>
      <c r="K1845" s="23">
        <v>2874860491</v>
      </c>
      <c r="L1845" s="20">
        <v>27</v>
      </c>
      <c r="M1845" s="23">
        <v>517421858</v>
      </c>
      <c r="N1845" s="20">
        <v>27</v>
      </c>
      <c r="O1845" s="23">
        <v>1284563800</v>
      </c>
      <c r="P1845" s="20">
        <v>27</v>
      </c>
      <c r="Q1845" s="23">
        <v>382869788</v>
      </c>
      <c r="R1845" s="20">
        <v>27</v>
      </c>
      <c r="S1845" s="23">
        <v>665859041</v>
      </c>
      <c r="T1845" s="54">
        <f>AVERAGE(L1845,N1845,P1845,R1845)</f>
        <v>27</v>
      </c>
      <c r="U1845" s="54">
        <f t="shared" si="509"/>
        <v>100</v>
      </c>
      <c r="V1845" s="35" t="s">
        <v>58</v>
      </c>
      <c r="W1845" s="40">
        <f t="shared" si="510"/>
        <v>2850714487</v>
      </c>
      <c r="X1845" s="53">
        <f t="shared" si="511"/>
        <v>99.160098235180755</v>
      </c>
      <c r="Y1845" s="35" t="s">
        <v>58</v>
      </c>
      <c r="Z1845" s="54">
        <f t="shared" si="512"/>
        <v>54</v>
      </c>
      <c r="AA1845" s="40">
        <f t="shared" si="513"/>
        <v>5457339306</v>
      </c>
      <c r="AB1845" s="53"/>
      <c r="AC1845" s="35" t="s">
        <v>58</v>
      </c>
      <c r="AD1845" s="53"/>
      <c r="AE1845" s="12"/>
      <c r="AH1845" s="25"/>
    </row>
    <row r="1846" spans="1:34" ht="93" customHeight="1">
      <c r="A1846" s="16"/>
      <c r="B1846" s="17"/>
      <c r="C1846" s="26" t="s">
        <v>73</v>
      </c>
      <c r="D1846" s="29" t="s">
        <v>214</v>
      </c>
      <c r="E1846" s="20">
        <f>1*3</f>
        <v>3</v>
      </c>
      <c r="F1846" s="21" t="s">
        <v>173</v>
      </c>
      <c r="G1846" s="23"/>
      <c r="H1846" s="20">
        <v>1</v>
      </c>
      <c r="I1846" s="23">
        <v>1897500</v>
      </c>
      <c r="J1846" s="20">
        <v>1</v>
      </c>
      <c r="K1846" s="23">
        <v>1599850</v>
      </c>
      <c r="L1846" s="20">
        <v>0</v>
      </c>
      <c r="M1846" s="23">
        <v>1599850</v>
      </c>
      <c r="N1846" s="20">
        <v>0</v>
      </c>
      <c r="O1846" s="23">
        <v>0</v>
      </c>
      <c r="P1846" s="20">
        <v>0</v>
      </c>
      <c r="Q1846" s="23">
        <v>0</v>
      </c>
      <c r="R1846" s="20">
        <v>1</v>
      </c>
      <c r="S1846" s="23">
        <v>0</v>
      </c>
      <c r="T1846" s="54">
        <f>SUM(L1846,N1846,P1846,R1846)</f>
        <v>1</v>
      </c>
      <c r="U1846" s="54">
        <f t="shared" si="509"/>
        <v>100</v>
      </c>
      <c r="V1846" s="35" t="s">
        <v>58</v>
      </c>
      <c r="W1846" s="40">
        <f t="shared" si="510"/>
        <v>1599850</v>
      </c>
      <c r="X1846" s="54">
        <f t="shared" si="511"/>
        <v>100</v>
      </c>
      <c r="Y1846" s="35" t="s">
        <v>58</v>
      </c>
      <c r="Z1846" s="54">
        <f t="shared" si="512"/>
        <v>2</v>
      </c>
      <c r="AA1846" s="40">
        <f t="shared" si="513"/>
        <v>3497350</v>
      </c>
      <c r="AB1846" s="53"/>
      <c r="AC1846" s="35" t="s">
        <v>58</v>
      </c>
      <c r="AD1846" s="53"/>
      <c r="AE1846" s="12"/>
      <c r="AH1846" s="25"/>
    </row>
    <row r="1847" spans="1:34" ht="210">
      <c r="A1847" s="16"/>
      <c r="B1847" s="17"/>
      <c r="C1847" s="26" t="s">
        <v>74</v>
      </c>
      <c r="D1847" s="29" t="s">
        <v>215</v>
      </c>
      <c r="E1847" s="20">
        <f>12*3</f>
        <v>36</v>
      </c>
      <c r="F1847" s="21" t="s">
        <v>173</v>
      </c>
      <c r="G1847" s="23"/>
      <c r="H1847" s="20">
        <v>12</v>
      </c>
      <c r="I1847" s="23">
        <v>1500000</v>
      </c>
      <c r="J1847" s="20">
        <v>12</v>
      </c>
      <c r="K1847" s="23">
        <v>1204000</v>
      </c>
      <c r="L1847" s="20">
        <v>3</v>
      </c>
      <c r="M1847" s="23">
        <v>0</v>
      </c>
      <c r="N1847" s="20">
        <v>3</v>
      </c>
      <c r="O1847" s="23">
        <v>0</v>
      </c>
      <c r="P1847" s="20">
        <v>3</v>
      </c>
      <c r="Q1847" s="23">
        <v>602000</v>
      </c>
      <c r="R1847" s="20">
        <v>3</v>
      </c>
      <c r="S1847" s="23">
        <v>602000</v>
      </c>
      <c r="T1847" s="54">
        <f>SUM(L1847,N1847,P1847,R1847)</f>
        <v>12</v>
      </c>
      <c r="U1847" s="54">
        <f t="shared" si="509"/>
        <v>100</v>
      </c>
      <c r="V1847" s="35" t="s">
        <v>58</v>
      </c>
      <c r="W1847" s="40">
        <f t="shared" si="510"/>
        <v>1204000</v>
      </c>
      <c r="X1847" s="54">
        <f t="shared" si="511"/>
        <v>100</v>
      </c>
      <c r="Y1847" s="35" t="s">
        <v>58</v>
      </c>
      <c r="Z1847" s="54">
        <f t="shared" si="512"/>
        <v>24</v>
      </c>
      <c r="AA1847" s="40">
        <f t="shared" si="513"/>
        <v>2704000</v>
      </c>
      <c r="AB1847" s="53"/>
      <c r="AC1847" s="35" t="s">
        <v>58</v>
      </c>
      <c r="AD1847" s="53"/>
      <c r="AE1847" s="12"/>
      <c r="AH1847" s="25"/>
    </row>
    <row r="1848" spans="1:34" s="834" customFormat="1" ht="105">
      <c r="A1848" s="16"/>
      <c r="B1848" s="17"/>
      <c r="C1848" s="26" t="s">
        <v>75</v>
      </c>
      <c r="D1848" s="29" t="s">
        <v>216</v>
      </c>
      <c r="E1848" s="20">
        <f>1*3</f>
        <v>3</v>
      </c>
      <c r="F1848" s="21" t="s">
        <v>55</v>
      </c>
      <c r="G1848" s="23"/>
      <c r="H1848" s="20">
        <v>1</v>
      </c>
      <c r="I1848" s="23">
        <v>995700</v>
      </c>
      <c r="J1848" s="20">
        <v>1</v>
      </c>
      <c r="K1848" s="23">
        <v>1204000</v>
      </c>
      <c r="L1848" s="20">
        <v>0</v>
      </c>
      <c r="M1848" s="23">
        <v>0</v>
      </c>
      <c r="N1848" s="20">
        <v>1</v>
      </c>
      <c r="O1848" s="23">
        <v>0</v>
      </c>
      <c r="P1848" s="20">
        <v>0</v>
      </c>
      <c r="Q1848" s="23">
        <v>1204000</v>
      </c>
      <c r="R1848" s="20">
        <v>0</v>
      </c>
      <c r="S1848" s="23">
        <v>0</v>
      </c>
      <c r="T1848" s="54">
        <f>SUM(L1848,N1848,P1848,R1848)</f>
        <v>1</v>
      </c>
      <c r="U1848" s="54">
        <f t="shared" si="509"/>
        <v>100</v>
      </c>
      <c r="V1848" s="35" t="s">
        <v>58</v>
      </c>
      <c r="W1848" s="40">
        <f t="shared" si="510"/>
        <v>1204000</v>
      </c>
      <c r="X1848" s="54">
        <f t="shared" si="511"/>
        <v>100</v>
      </c>
      <c r="Y1848" s="35" t="s">
        <v>58</v>
      </c>
      <c r="Z1848" s="54">
        <f t="shared" si="512"/>
        <v>2</v>
      </c>
      <c r="AA1848" s="40">
        <f t="shared" si="513"/>
        <v>2199700</v>
      </c>
      <c r="AB1848" s="53"/>
      <c r="AC1848" s="35" t="s">
        <v>58</v>
      </c>
      <c r="AD1848" s="53"/>
      <c r="AE1848" s="12"/>
      <c r="AH1848" s="582"/>
    </row>
    <row r="1849" spans="1:34" s="827" customFormat="1" ht="101.25" customHeight="1">
      <c r="A1849" s="16"/>
      <c r="B1849" s="17" t="s">
        <v>2466</v>
      </c>
      <c r="C1849" s="17" t="s">
        <v>76</v>
      </c>
      <c r="D1849" s="19" t="s">
        <v>2467</v>
      </c>
      <c r="E1849" s="74">
        <f>1*3</f>
        <v>3</v>
      </c>
      <c r="F1849" s="75" t="s">
        <v>55</v>
      </c>
      <c r="G1849" s="52">
        <f>SUM(G1852:G1856)</f>
        <v>0</v>
      </c>
      <c r="H1849" s="74">
        <v>1</v>
      </c>
      <c r="I1849" s="52">
        <f>SUM(I1852:I1856)</f>
        <v>629325134</v>
      </c>
      <c r="J1849" s="74">
        <v>1</v>
      </c>
      <c r="K1849" s="52">
        <f>SUM(K1852:K1856)</f>
        <v>505578050</v>
      </c>
      <c r="L1849" s="74">
        <v>0</v>
      </c>
      <c r="M1849" s="52">
        <f>SUM(M1852:M1856)</f>
        <v>84185350</v>
      </c>
      <c r="N1849" s="74">
        <v>0</v>
      </c>
      <c r="O1849" s="52">
        <f>SUM(O1852:O1856)</f>
        <v>91804240</v>
      </c>
      <c r="P1849" s="74">
        <v>0</v>
      </c>
      <c r="Q1849" s="52">
        <f>SUM(Q1852:Q1856)</f>
        <v>15981950</v>
      </c>
      <c r="R1849" s="74">
        <v>1</v>
      </c>
      <c r="S1849" s="52">
        <f>SUM(S1852:S1856)</f>
        <v>291097403</v>
      </c>
      <c r="T1849" s="55">
        <f>SUM(L1849,N1849,P1849,R1849)</f>
        <v>1</v>
      </c>
      <c r="U1849" s="55">
        <f t="shared" si="509"/>
        <v>100</v>
      </c>
      <c r="V1849" s="58" t="s">
        <v>58</v>
      </c>
      <c r="W1849" s="56">
        <f t="shared" si="510"/>
        <v>483068943</v>
      </c>
      <c r="X1849" s="60">
        <f t="shared" si="511"/>
        <v>95.547847261169665</v>
      </c>
      <c r="Y1849" s="48" t="s">
        <v>58</v>
      </c>
      <c r="Z1849" s="55">
        <f t="shared" si="512"/>
        <v>2</v>
      </c>
      <c r="AA1849" s="56">
        <f t="shared" si="513"/>
        <v>1112394077</v>
      </c>
      <c r="AB1849" s="57"/>
      <c r="AC1849" s="58" t="s">
        <v>58</v>
      </c>
      <c r="AD1849" s="60"/>
      <c r="AE1849" s="419"/>
      <c r="AH1849" s="801"/>
    </row>
    <row r="1850" spans="1:34" ht="94.5">
      <c r="A1850" s="16"/>
      <c r="B1850" s="17"/>
      <c r="C1850" s="17"/>
      <c r="D1850" s="19" t="s">
        <v>2468</v>
      </c>
      <c r="E1850" s="45">
        <v>100</v>
      </c>
      <c r="F1850" s="46" t="s">
        <v>58</v>
      </c>
      <c r="G1850" s="97"/>
      <c r="H1850" s="45">
        <v>100</v>
      </c>
      <c r="I1850" s="97"/>
      <c r="J1850" s="45">
        <v>100</v>
      </c>
      <c r="K1850" s="97"/>
      <c r="L1850" s="45">
        <v>100</v>
      </c>
      <c r="M1850" s="97"/>
      <c r="N1850" s="45">
        <v>100</v>
      </c>
      <c r="O1850" s="97"/>
      <c r="P1850" s="45">
        <v>100</v>
      </c>
      <c r="Q1850" s="97"/>
      <c r="R1850" s="45">
        <v>100</v>
      </c>
      <c r="S1850" s="97"/>
      <c r="T1850" s="55">
        <f>AVERAGE(L1850,N1850,P1850,R1850)</f>
        <v>100</v>
      </c>
      <c r="U1850" s="55">
        <f t="shared" si="509"/>
        <v>100</v>
      </c>
      <c r="V1850" s="58" t="s">
        <v>58</v>
      </c>
      <c r="W1850" s="276"/>
      <c r="X1850" s="241"/>
      <c r="Y1850" s="16"/>
      <c r="Z1850" s="55">
        <f t="shared" si="512"/>
        <v>200</v>
      </c>
      <c r="AA1850" s="276"/>
      <c r="AB1850" s="57"/>
      <c r="AC1850" s="58"/>
      <c r="AD1850" s="241"/>
      <c r="AE1850" s="419"/>
      <c r="AH1850" s="25"/>
    </row>
    <row r="1851" spans="1:34" ht="78.75">
      <c r="A1851" s="16"/>
      <c r="B1851" s="17"/>
      <c r="C1851" s="17"/>
      <c r="D1851" s="19" t="s">
        <v>2469</v>
      </c>
      <c r="E1851" s="45">
        <f>1*3</f>
        <v>3</v>
      </c>
      <c r="F1851" s="46" t="s">
        <v>55</v>
      </c>
      <c r="G1851" s="41"/>
      <c r="H1851" s="45">
        <v>1</v>
      </c>
      <c r="I1851" s="41"/>
      <c r="J1851" s="45">
        <v>1</v>
      </c>
      <c r="K1851" s="41"/>
      <c r="L1851" s="45">
        <v>0</v>
      </c>
      <c r="M1851" s="41"/>
      <c r="N1851" s="45">
        <v>0</v>
      </c>
      <c r="O1851" s="41"/>
      <c r="P1851" s="45">
        <v>0</v>
      </c>
      <c r="Q1851" s="41"/>
      <c r="R1851" s="45">
        <v>1</v>
      </c>
      <c r="S1851" s="41"/>
      <c r="T1851" s="55">
        <f t="shared" ref="T1851:T1877" si="514">SUM(L1851,N1851,P1851,R1851)</f>
        <v>1</v>
      </c>
      <c r="U1851" s="55">
        <f t="shared" si="509"/>
        <v>100</v>
      </c>
      <c r="V1851" s="58" t="s">
        <v>58</v>
      </c>
      <c r="W1851" s="94"/>
      <c r="X1851" s="239"/>
      <c r="Y1851" s="240"/>
      <c r="Z1851" s="55">
        <f t="shared" si="512"/>
        <v>2</v>
      </c>
      <c r="AA1851" s="94"/>
      <c r="AB1851" s="57"/>
      <c r="AC1851" s="58"/>
      <c r="AD1851" s="239"/>
      <c r="AE1851" s="419"/>
      <c r="AH1851" s="25"/>
    </row>
    <row r="1852" spans="1:34" ht="120">
      <c r="A1852" s="16"/>
      <c r="B1852" s="17"/>
      <c r="C1852" s="29" t="s">
        <v>342</v>
      </c>
      <c r="D1852" s="29" t="s">
        <v>343</v>
      </c>
      <c r="E1852" s="20">
        <f t="shared" ref="E1852:E1856" si="515">12*3</f>
        <v>36</v>
      </c>
      <c r="F1852" s="21" t="s">
        <v>59</v>
      </c>
      <c r="G1852" s="23"/>
      <c r="H1852" s="20">
        <v>12</v>
      </c>
      <c r="I1852" s="23">
        <v>4622000</v>
      </c>
      <c r="J1852" s="20">
        <v>12</v>
      </c>
      <c r="K1852" s="23">
        <v>4132300</v>
      </c>
      <c r="L1852" s="20">
        <v>3</v>
      </c>
      <c r="M1852" s="23">
        <v>1835000</v>
      </c>
      <c r="N1852" s="20">
        <v>3</v>
      </c>
      <c r="O1852" s="23">
        <v>1278000</v>
      </c>
      <c r="P1852" s="20">
        <v>3</v>
      </c>
      <c r="Q1852" s="23">
        <v>0</v>
      </c>
      <c r="R1852" s="20">
        <v>3</v>
      </c>
      <c r="S1852" s="23">
        <v>0</v>
      </c>
      <c r="T1852" s="54">
        <f t="shared" si="514"/>
        <v>12</v>
      </c>
      <c r="U1852" s="54">
        <f t="shared" si="509"/>
        <v>100</v>
      </c>
      <c r="V1852" s="35" t="s">
        <v>58</v>
      </c>
      <c r="W1852" s="40">
        <f t="shared" ref="W1852:W1866" si="516">SUM(M1852,O1852,Q1852,S1852)</f>
        <v>3113000</v>
      </c>
      <c r="X1852" s="54">
        <f t="shared" ref="X1852:X1866" si="517">W1852/K1852*100</f>
        <v>75.333349466398857</v>
      </c>
      <c r="Y1852" s="35" t="s">
        <v>58</v>
      </c>
      <c r="Z1852" s="54">
        <f t="shared" si="512"/>
        <v>24</v>
      </c>
      <c r="AA1852" s="40">
        <f t="shared" ref="AA1852:AA1866" si="518">SUM(I1852,W1852)</f>
        <v>7735000</v>
      </c>
      <c r="AB1852" s="53"/>
      <c r="AC1852" s="35" t="s">
        <v>58</v>
      </c>
      <c r="AD1852" s="53"/>
      <c r="AE1852" s="12"/>
      <c r="AH1852" s="25"/>
    </row>
    <row r="1853" spans="1:34" s="827" customFormat="1" ht="132.75" customHeight="1">
      <c r="A1853" s="16"/>
      <c r="B1853" s="17"/>
      <c r="C1853" s="29" t="s">
        <v>345</v>
      </c>
      <c r="D1853" s="29" t="s">
        <v>217</v>
      </c>
      <c r="E1853" s="20">
        <f t="shared" si="515"/>
        <v>36</v>
      </c>
      <c r="F1853" s="21" t="s">
        <v>59</v>
      </c>
      <c r="G1853" s="23"/>
      <c r="H1853" s="20">
        <v>12</v>
      </c>
      <c r="I1853" s="23">
        <v>369790789</v>
      </c>
      <c r="J1853" s="20">
        <v>12</v>
      </c>
      <c r="K1853" s="23">
        <v>191131300</v>
      </c>
      <c r="L1853" s="20">
        <v>3</v>
      </c>
      <c r="M1853" s="23">
        <v>12670750</v>
      </c>
      <c r="N1853" s="20">
        <v>3</v>
      </c>
      <c r="O1853" s="23">
        <v>11836200</v>
      </c>
      <c r="P1853" s="20">
        <v>3</v>
      </c>
      <c r="Q1853" s="23">
        <v>11349450</v>
      </c>
      <c r="R1853" s="20">
        <v>3</v>
      </c>
      <c r="S1853" s="23">
        <v>148144000</v>
      </c>
      <c r="T1853" s="54">
        <f t="shared" si="514"/>
        <v>12</v>
      </c>
      <c r="U1853" s="54">
        <f t="shared" si="509"/>
        <v>100</v>
      </c>
      <c r="V1853" s="35" t="s">
        <v>58</v>
      </c>
      <c r="W1853" s="40">
        <f t="shared" si="516"/>
        <v>184000400</v>
      </c>
      <c r="X1853" s="53">
        <f t="shared" si="517"/>
        <v>96.26910924584304</v>
      </c>
      <c r="Y1853" s="35" t="s">
        <v>58</v>
      </c>
      <c r="Z1853" s="54">
        <f t="shared" si="512"/>
        <v>24</v>
      </c>
      <c r="AA1853" s="40">
        <f t="shared" si="518"/>
        <v>553791189</v>
      </c>
      <c r="AB1853" s="53"/>
      <c r="AC1853" s="35" t="s">
        <v>58</v>
      </c>
      <c r="AD1853" s="53"/>
      <c r="AE1853" s="12"/>
      <c r="AH1853" s="801"/>
    </row>
    <row r="1854" spans="1:34" ht="114" customHeight="1">
      <c r="A1854" s="16"/>
      <c r="B1854" s="17"/>
      <c r="C1854" s="29" t="s">
        <v>347</v>
      </c>
      <c r="D1854" s="26" t="s">
        <v>218</v>
      </c>
      <c r="E1854" s="20">
        <f t="shared" si="515"/>
        <v>36</v>
      </c>
      <c r="F1854" s="21" t="s">
        <v>59</v>
      </c>
      <c r="G1854" s="28"/>
      <c r="H1854" s="20">
        <v>12</v>
      </c>
      <c r="I1854" s="28">
        <v>10500000</v>
      </c>
      <c r="J1854" s="20">
        <v>12</v>
      </c>
      <c r="K1854" s="23">
        <v>49732250</v>
      </c>
      <c r="L1854" s="20">
        <v>3</v>
      </c>
      <c r="M1854" s="23">
        <v>0</v>
      </c>
      <c r="N1854" s="20">
        <v>3</v>
      </c>
      <c r="O1854" s="23">
        <v>2735000</v>
      </c>
      <c r="P1854" s="20">
        <v>3</v>
      </c>
      <c r="Q1854" s="23">
        <v>1412500</v>
      </c>
      <c r="R1854" s="20">
        <v>3</v>
      </c>
      <c r="S1854" s="23">
        <v>36675000</v>
      </c>
      <c r="T1854" s="54">
        <f t="shared" si="514"/>
        <v>12</v>
      </c>
      <c r="U1854" s="54">
        <f t="shared" si="509"/>
        <v>100</v>
      </c>
      <c r="V1854" s="35" t="s">
        <v>58</v>
      </c>
      <c r="W1854" s="40">
        <f t="shared" si="516"/>
        <v>40822500</v>
      </c>
      <c r="X1854" s="53">
        <f t="shared" si="517"/>
        <v>82.084562833975937</v>
      </c>
      <c r="Y1854" s="35" t="s">
        <v>58</v>
      </c>
      <c r="Z1854" s="54">
        <f t="shared" si="512"/>
        <v>24</v>
      </c>
      <c r="AA1854" s="40">
        <f t="shared" si="518"/>
        <v>51322500</v>
      </c>
      <c r="AB1854" s="53"/>
      <c r="AC1854" s="35" t="s">
        <v>58</v>
      </c>
      <c r="AD1854" s="53"/>
      <c r="AE1854" s="30"/>
      <c r="AH1854" s="25"/>
    </row>
    <row r="1855" spans="1:34" ht="90">
      <c r="A1855" s="16"/>
      <c r="B1855" s="17"/>
      <c r="C1855" s="29" t="s">
        <v>349</v>
      </c>
      <c r="D1855" s="26" t="s">
        <v>219</v>
      </c>
      <c r="E1855" s="20">
        <f t="shared" si="515"/>
        <v>36</v>
      </c>
      <c r="F1855" s="21" t="s">
        <v>59</v>
      </c>
      <c r="G1855" s="23"/>
      <c r="H1855" s="20">
        <v>12</v>
      </c>
      <c r="I1855" s="23">
        <v>31946350</v>
      </c>
      <c r="J1855" s="20">
        <v>12</v>
      </c>
      <c r="K1855" s="23">
        <v>20582200</v>
      </c>
      <c r="L1855" s="20">
        <v>3</v>
      </c>
      <c r="M1855" s="23">
        <v>2911800</v>
      </c>
      <c r="N1855" s="20">
        <v>3</v>
      </c>
      <c r="O1855" s="23">
        <v>6003500</v>
      </c>
      <c r="P1855" s="20">
        <v>3</v>
      </c>
      <c r="Q1855" s="23">
        <v>2770000</v>
      </c>
      <c r="R1855" s="20">
        <v>3</v>
      </c>
      <c r="S1855" s="23">
        <v>6415600</v>
      </c>
      <c r="T1855" s="54">
        <f t="shared" si="514"/>
        <v>12</v>
      </c>
      <c r="U1855" s="54">
        <f t="shared" si="509"/>
        <v>100</v>
      </c>
      <c r="V1855" s="35" t="s">
        <v>58</v>
      </c>
      <c r="W1855" s="40">
        <f t="shared" si="516"/>
        <v>18100900</v>
      </c>
      <c r="X1855" s="53">
        <f t="shared" si="517"/>
        <v>87.94443742651417</v>
      </c>
      <c r="Y1855" s="35" t="s">
        <v>58</v>
      </c>
      <c r="Z1855" s="54">
        <f t="shared" si="512"/>
        <v>24</v>
      </c>
      <c r="AA1855" s="40">
        <f t="shared" si="518"/>
        <v>50047250</v>
      </c>
      <c r="AB1855" s="53"/>
      <c r="AC1855" s="35" t="s">
        <v>58</v>
      </c>
      <c r="AD1855" s="53"/>
      <c r="AE1855" s="11"/>
      <c r="AH1855" s="25"/>
    </row>
    <row r="1856" spans="1:34" ht="120">
      <c r="A1856" s="16"/>
      <c r="B1856" s="17"/>
      <c r="C1856" s="29" t="s">
        <v>77</v>
      </c>
      <c r="D1856" s="26" t="s">
        <v>220</v>
      </c>
      <c r="E1856" s="20">
        <f t="shared" si="515"/>
        <v>36</v>
      </c>
      <c r="F1856" s="21" t="s">
        <v>173</v>
      </c>
      <c r="G1856" s="23"/>
      <c r="H1856" s="20">
        <v>12</v>
      </c>
      <c r="I1856" s="23">
        <v>212465995</v>
      </c>
      <c r="J1856" s="20">
        <v>12</v>
      </c>
      <c r="K1856" s="23">
        <v>240000000</v>
      </c>
      <c r="L1856" s="20">
        <v>3</v>
      </c>
      <c r="M1856" s="23">
        <v>66767800</v>
      </c>
      <c r="N1856" s="20">
        <v>3</v>
      </c>
      <c r="O1856" s="23">
        <v>69951540</v>
      </c>
      <c r="P1856" s="20">
        <v>3</v>
      </c>
      <c r="Q1856" s="23">
        <v>450000</v>
      </c>
      <c r="R1856" s="20">
        <v>3</v>
      </c>
      <c r="S1856" s="23">
        <v>99862803</v>
      </c>
      <c r="T1856" s="54">
        <f t="shared" si="514"/>
        <v>12</v>
      </c>
      <c r="U1856" s="54">
        <f t="shared" si="509"/>
        <v>100</v>
      </c>
      <c r="V1856" s="35" t="s">
        <v>58</v>
      </c>
      <c r="W1856" s="40">
        <f t="shared" si="516"/>
        <v>237032143</v>
      </c>
      <c r="X1856" s="53">
        <f t="shared" si="517"/>
        <v>98.763392916666675</v>
      </c>
      <c r="Y1856" s="35" t="s">
        <v>58</v>
      </c>
      <c r="Z1856" s="54">
        <f t="shared" si="512"/>
        <v>24</v>
      </c>
      <c r="AA1856" s="40">
        <f t="shared" si="518"/>
        <v>449498138</v>
      </c>
      <c r="AB1856" s="53"/>
      <c r="AC1856" s="35" t="s">
        <v>58</v>
      </c>
      <c r="AD1856" s="53"/>
      <c r="AE1856" s="11"/>
      <c r="AH1856" s="25"/>
    </row>
    <row r="1857" spans="1:34" s="834" customFormat="1" ht="72.75" customHeight="1">
      <c r="A1857" s="16"/>
      <c r="B1857" s="17" t="s">
        <v>2466</v>
      </c>
      <c r="C1857" s="19" t="s">
        <v>78</v>
      </c>
      <c r="D1857" s="19" t="s">
        <v>2470</v>
      </c>
      <c r="E1857" s="45">
        <v>100</v>
      </c>
      <c r="F1857" s="46" t="s">
        <v>58</v>
      </c>
      <c r="G1857" s="42">
        <f>SUM(G1858)</f>
        <v>0</v>
      </c>
      <c r="H1857" s="45">
        <v>100</v>
      </c>
      <c r="I1857" s="42">
        <f>SUM(I1858)</f>
        <v>7463500</v>
      </c>
      <c r="J1857" s="45">
        <v>100</v>
      </c>
      <c r="K1857" s="42">
        <f>SUM(K1858)</f>
        <v>10117000</v>
      </c>
      <c r="L1857" s="45">
        <v>0</v>
      </c>
      <c r="M1857" s="42">
        <f>SUM(M1858)</f>
        <v>0</v>
      </c>
      <c r="N1857" s="45">
        <v>100</v>
      </c>
      <c r="O1857" s="42">
        <f>SUM(O1858)</f>
        <v>6495000</v>
      </c>
      <c r="P1857" s="45">
        <v>0</v>
      </c>
      <c r="Q1857" s="42">
        <f>SUM(Q1858)</f>
        <v>0</v>
      </c>
      <c r="R1857" s="45">
        <v>0</v>
      </c>
      <c r="S1857" s="42">
        <f>SUM(S1858)</f>
        <v>2994000</v>
      </c>
      <c r="T1857" s="55">
        <f t="shared" si="514"/>
        <v>100</v>
      </c>
      <c r="U1857" s="55">
        <f t="shared" si="509"/>
        <v>100</v>
      </c>
      <c r="V1857" s="58" t="s">
        <v>58</v>
      </c>
      <c r="W1857" s="59">
        <f t="shared" si="516"/>
        <v>9489000</v>
      </c>
      <c r="X1857" s="55">
        <f t="shared" si="517"/>
        <v>93.792626272610462</v>
      </c>
      <c r="Y1857" s="58" t="s">
        <v>58</v>
      </c>
      <c r="Z1857" s="55">
        <f t="shared" si="512"/>
        <v>200</v>
      </c>
      <c r="AA1857" s="59">
        <f t="shared" si="518"/>
        <v>16952500</v>
      </c>
      <c r="AB1857" s="57"/>
      <c r="AC1857" s="58" t="s">
        <v>58</v>
      </c>
      <c r="AD1857" s="57"/>
      <c r="AE1857" s="77"/>
      <c r="AH1857" s="582"/>
    </row>
    <row r="1858" spans="1:34" s="78" customFormat="1" ht="87.75" customHeight="1">
      <c r="A1858" s="16"/>
      <c r="B1858" s="17"/>
      <c r="C1858" s="29" t="s">
        <v>1682</v>
      </c>
      <c r="D1858" s="29" t="s">
        <v>2471</v>
      </c>
      <c r="E1858" s="20">
        <v>4</v>
      </c>
      <c r="F1858" s="21" t="s">
        <v>138</v>
      </c>
      <c r="G1858" s="23"/>
      <c r="H1858" s="20">
        <v>4</v>
      </c>
      <c r="I1858" s="23">
        <v>7463500</v>
      </c>
      <c r="J1858" s="20">
        <v>4</v>
      </c>
      <c r="K1858" s="23">
        <v>10117000</v>
      </c>
      <c r="L1858" s="20">
        <v>0</v>
      </c>
      <c r="M1858" s="23">
        <v>0</v>
      </c>
      <c r="N1858" s="20">
        <v>2</v>
      </c>
      <c r="O1858" s="23">
        <v>6495000</v>
      </c>
      <c r="P1858" s="20">
        <v>0</v>
      </c>
      <c r="Q1858" s="23">
        <v>0</v>
      </c>
      <c r="R1858" s="20">
        <v>2</v>
      </c>
      <c r="S1858" s="23">
        <v>2994000</v>
      </c>
      <c r="T1858" s="54">
        <f t="shared" si="514"/>
        <v>4</v>
      </c>
      <c r="U1858" s="54">
        <f t="shared" si="509"/>
        <v>100</v>
      </c>
      <c r="V1858" s="35" t="s">
        <v>58</v>
      </c>
      <c r="W1858" s="40">
        <f t="shared" si="516"/>
        <v>9489000</v>
      </c>
      <c r="X1858" s="54">
        <f t="shared" si="517"/>
        <v>93.792626272610462</v>
      </c>
      <c r="Y1858" s="35" t="s">
        <v>58</v>
      </c>
      <c r="Z1858" s="54">
        <f t="shared" si="512"/>
        <v>8</v>
      </c>
      <c r="AA1858" s="40">
        <f t="shared" si="518"/>
        <v>16952500</v>
      </c>
      <c r="AB1858" s="53"/>
      <c r="AC1858" s="35" t="s">
        <v>58</v>
      </c>
      <c r="AD1858" s="53"/>
      <c r="AE1858" s="11"/>
      <c r="AH1858" s="79"/>
    </row>
    <row r="1859" spans="1:34" s="78" customFormat="1" ht="117" customHeight="1">
      <c r="A1859" s="16"/>
      <c r="B1859" s="17" t="s">
        <v>2466</v>
      </c>
      <c r="C1859" s="19" t="s">
        <v>79</v>
      </c>
      <c r="D1859" s="19" t="s">
        <v>142</v>
      </c>
      <c r="E1859" s="45">
        <v>100</v>
      </c>
      <c r="F1859" s="46" t="s">
        <v>58</v>
      </c>
      <c r="G1859" s="42">
        <f>SUM(G1860:G1861)</f>
        <v>0</v>
      </c>
      <c r="H1859" s="45">
        <v>100</v>
      </c>
      <c r="I1859" s="42">
        <f>SUM(I1860:I1861)</f>
        <v>100397805</v>
      </c>
      <c r="J1859" s="45">
        <v>100</v>
      </c>
      <c r="K1859" s="42">
        <f>SUM(K1860:K1861)</f>
        <v>94213700</v>
      </c>
      <c r="L1859" s="45">
        <v>100</v>
      </c>
      <c r="M1859" s="42">
        <f>SUM(M1860:M1861)</f>
        <v>5282836</v>
      </c>
      <c r="N1859" s="45">
        <v>100</v>
      </c>
      <c r="O1859" s="42">
        <f>SUM(O1860:O1861)</f>
        <v>25130383</v>
      </c>
      <c r="P1859" s="45">
        <v>100</v>
      </c>
      <c r="Q1859" s="42">
        <f>SUM(Q1860:Q1861)</f>
        <v>16925840</v>
      </c>
      <c r="R1859" s="45">
        <v>100</v>
      </c>
      <c r="S1859" s="42">
        <f>SUM(S1860:S1861)</f>
        <v>17572413</v>
      </c>
      <c r="T1859" s="55">
        <f>AVERAGE(L1859,N1859,P1859,R1859)</f>
        <v>100</v>
      </c>
      <c r="U1859" s="55">
        <f t="shared" si="509"/>
        <v>100</v>
      </c>
      <c r="V1859" s="58" t="s">
        <v>58</v>
      </c>
      <c r="W1859" s="59">
        <f t="shared" si="516"/>
        <v>64911472</v>
      </c>
      <c r="X1859" s="57">
        <f t="shared" si="517"/>
        <v>68.898124158163824</v>
      </c>
      <c r="Y1859" s="58" t="s">
        <v>58</v>
      </c>
      <c r="Z1859" s="55">
        <f t="shared" si="512"/>
        <v>200</v>
      </c>
      <c r="AA1859" s="59">
        <f t="shared" si="518"/>
        <v>165309277</v>
      </c>
      <c r="AB1859" s="57"/>
      <c r="AC1859" s="58" t="s">
        <v>58</v>
      </c>
      <c r="AD1859" s="57"/>
      <c r="AE1859" s="77"/>
      <c r="AH1859" s="79"/>
    </row>
    <row r="1860" spans="1:34" s="78" customFormat="1" ht="63.75" customHeight="1">
      <c r="A1860" s="16"/>
      <c r="B1860" s="17"/>
      <c r="C1860" s="29" t="s">
        <v>357</v>
      </c>
      <c r="D1860" s="29" t="s">
        <v>223</v>
      </c>
      <c r="E1860" s="20">
        <f t="shared" ref="E1860:E1861" si="519">12*3</f>
        <v>36</v>
      </c>
      <c r="F1860" s="21" t="s">
        <v>173</v>
      </c>
      <c r="G1860" s="23"/>
      <c r="H1860" s="20">
        <v>12</v>
      </c>
      <c r="I1860" s="23">
        <v>59807205</v>
      </c>
      <c r="J1860" s="20">
        <v>12</v>
      </c>
      <c r="K1860" s="23">
        <v>51025700</v>
      </c>
      <c r="L1860" s="20">
        <v>3</v>
      </c>
      <c r="M1860" s="23">
        <v>4536682</v>
      </c>
      <c r="N1860" s="20">
        <v>3</v>
      </c>
      <c r="O1860" s="23">
        <v>5484229</v>
      </c>
      <c r="P1860" s="20">
        <v>3</v>
      </c>
      <c r="Q1860" s="23">
        <v>6579686</v>
      </c>
      <c r="R1860" s="20">
        <v>3</v>
      </c>
      <c r="S1860" s="23">
        <v>6926259</v>
      </c>
      <c r="T1860" s="54">
        <f t="shared" si="514"/>
        <v>12</v>
      </c>
      <c r="U1860" s="54">
        <f t="shared" si="509"/>
        <v>100</v>
      </c>
      <c r="V1860" s="35" t="s">
        <v>58</v>
      </c>
      <c r="W1860" s="40">
        <f t="shared" si="516"/>
        <v>23526856</v>
      </c>
      <c r="X1860" s="53">
        <f t="shared" si="517"/>
        <v>46.107855453232389</v>
      </c>
      <c r="Y1860" s="35" t="s">
        <v>58</v>
      </c>
      <c r="Z1860" s="54">
        <f t="shared" si="512"/>
        <v>24</v>
      </c>
      <c r="AA1860" s="40">
        <f t="shared" si="518"/>
        <v>83334061</v>
      </c>
      <c r="AB1860" s="53"/>
      <c r="AC1860" s="35" t="s">
        <v>58</v>
      </c>
      <c r="AD1860" s="53"/>
      <c r="AE1860" s="11"/>
      <c r="AH1860" s="79"/>
    </row>
    <row r="1861" spans="1:34" s="78" customFormat="1" ht="120">
      <c r="A1861" s="16"/>
      <c r="B1861" s="17"/>
      <c r="C1861" s="29" t="s">
        <v>80</v>
      </c>
      <c r="D1861" s="29" t="s">
        <v>224</v>
      </c>
      <c r="E1861" s="20">
        <f t="shared" si="519"/>
        <v>36</v>
      </c>
      <c r="F1861" s="21" t="s">
        <v>173</v>
      </c>
      <c r="G1861" s="23"/>
      <c r="H1861" s="20">
        <v>12</v>
      </c>
      <c r="I1861" s="23">
        <v>40590600</v>
      </c>
      <c r="J1861" s="20">
        <v>12</v>
      </c>
      <c r="K1861" s="23">
        <v>43188000</v>
      </c>
      <c r="L1861" s="20">
        <v>3</v>
      </c>
      <c r="M1861" s="23">
        <v>746154</v>
      </c>
      <c r="N1861" s="20">
        <v>3</v>
      </c>
      <c r="O1861" s="23">
        <v>19646154</v>
      </c>
      <c r="P1861" s="20">
        <v>3</v>
      </c>
      <c r="Q1861" s="23">
        <v>10346154</v>
      </c>
      <c r="R1861" s="20">
        <v>3</v>
      </c>
      <c r="S1861" s="23">
        <v>10646154</v>
      </c>
      <c r="T1861" s="54">
        <f t="shared" si="514"/>
        <v>12</v>
      </c>
      <c r="U1861" s="54">
        <f t="shared" si="509"/>
        <v>100</v>
      </c>
      <c r="V1861" s="35" t="s">
        <v>58</v>
      </c>
      <c r="W1861" s="40">
        <f t="shared" si="516"/>
        <v>41384616</v>
      </c>
      <c r="X1861" s="53">
        <f t="shared" si="517"/>
        <v>95.824340094470685</v>
      </c>
      <c r="Y1861" s="35" t="s">
        <v>58</v>
      </c>
      <c r="Z1861" s="54">
        <f t="shared" si="512"/>
        <v>24</v>
      </c>
      <c r="AA1861" s="40">
        <f t="shared" si="518"/>
        <v>81975216</v>
      </c>
      <c r="AB1861" s="53"/>
      <c r="AC1861" s="35" t="s">
        <v>58</v>
      </c>
      <c r="AD1861" s="53"/>
      <c r="AE1861" s="11"/>
      <c r="AH1861" s="79"/>
    </row>
    <row r="1862" spans="1:34" s="78" customFormat="1" ht="95.25" customHeight="1">
      <c r="A1862" s="16"/>
      <c r="B1862" s="17"/>
      <c r="C1862" s="19" t="s">
        <v>81</v>
      </c>
      <c r="D1862" s="19" t="s">
        <v>142</v>
      </c>
      <c r="E1862" s="45">
        <v>100</v>
      </c>
      <c r="F1862" s="46" t="s">
        <v>58</v>
      </c>
      <c r="G1862" s="42">
        <f>SUM(G1863:G1865)</f>
        <v>0</v>
      </c>
      <c r="H1862" s="45">
        <v>100</v>
      </c>
      <c r="I1862" s="42">
        <f>SUM(I1863:I1865)</f>
        <v>117434300</v>
      </c>
      <c r="J1862" s="45">
        <v>100</v>
      </c>
      <c r="K1862" s="42">
        <f>SUM(K1863:K1865)</f>
        <v>82804800</v>
      </c>
      <c r="L1862" s="45">
        <v>100</v>
      </c>
      <c r="M1862" s="42">
        <f>SUM(M1863:M1865)</f>
        <v>8622500</v>
      </c>
      <c r="N1862" s="45">
        <v>100</v>
      </c>
      <c r="O1862" s="42">
        <f>SUM(O1863:O1865)</f>
        <v>29029000</v>
      </c>
      <c r="P1862" s="45">
        <v>100</v>
      </c>
      <c r="Q1862" s="42">
        <f>SUM(Q1863:Q1865)</f>
        <v>6110000</v>
      </c>
      <c r="R1862" s="45">
        <v>100</v>
      </c>
      <c r="S1862" s="42">
        <f>SUM(S1863:S1865)</f>
        <v>19974578</v>
      </c>
      <c r="T1862" s="55">
        <f>AVERAGE(L1862,N1862,P1862,R1862)</f>
        <v>100</v>
      </c>
      <c r="U1862" s="55">
        <f t="shared" si="509"/>
        <v>100</v>
      </c>
      <c r="V1862" s="58" t="s">
        <v>58</v>
      </c>
      <c r="W1862" s="59">
        <f t="shared" si="516"/>
        <v>63736078</v>
      </c>
      <c r="X1862" s="57">
        <f t="shared" si="517"/>
        <v>76.971477498888959</v>
      </c>
      <c r="Y1862" s="58" t="s">
        <v>58</v>
      </c>
      <c r="Z1862" s="55">
        <f t="shared" si="512"/>
        <v>200</v>
      </c>
      <c r="AA1862" s="59">
        <f t="shared" si="518"/>
        <v>181170378</v>
      </c>
      <c r="AB1862" s="57"/>
      <c r="AC1862" s="58" t="s">
        <v>58</v>
      </c>
      <c r="AD1862" s="57"/>
      <c r="AE1862" s="77"/>
      <c r="AH1862" s="79"/>
    </row>
    <row r="1863" spans="1:34" s="78" customFormat="1" ht="96.75" customHeight="1">
      <c r="A1863" s="16"/>
      <c r="B1863" s="17"/>
      <c r="C1863" s="29" t="s">
        <v>82</v>
      </c>
      <c r="D1863" s="29" t="s">
        <v>226</v>
      </c>
      <c r="E1863" s="20">
        <f t="shared" ref="E1863:E1865" si="520">12*3</f>
        <v>36</v>
      </c>
      <c r="F1863" s="21" t="s">
        <v>138</v>
      </c>
      <c r="G1863" s="23"/>
      <c r="H1863" s="20">
        <v>12</v>
      </c>
      <c r="I1863" s="23">
        <v>22808300</v>
      </c>
      <c r="J1863" s="20">
        <v>12</v>
      </c>
      <c r="K1863" s="23">
        <v>43304800</v>
      </c>
      <c r="L1863" s="20">
        <v>3</v>
      </c>
      <c r="M1863" s="23">
        <v>5972500</v>
      </c>
      <c r="N1863" s="20">
        <v>3</v>
      </c>
      <c r="O1863" s="23">
        <v>17750000</v>
      </c>
      <c r="P1863" s="20">
        <v>3</v>
      </c>
      <c r="Q1863" s="23">
        <v>0</v>
      </c>
      <c r="R1863" s="20">
        <v>3</v>
      </c>
      <c r="S1863" s="23">
        <v>12452578</v>
      </c>
      <c r="T1863" s="54">
        <f t="shared" si="514"/>
        <v>12</v>
      </c>
      <c r="U1863" s="54">
        <f t="shared" si="509"/>
        <v>100</v>
      </c>
      <c r="V1863" s="35" t="s">
        <v>58</v>
      </c>
      <c r="W1863" s="40">
        <f t="shared" si="516"/>
        <v>36175078</v>
      </c>
      <c r="X1863" s="53">
        <f t="shared" si="517"/>
        <v>83.535954443849178</v>
      </c>
      <c r="Y1863" s="35" t="s">
        <v>58</v>
      </c>
      <c r="Z1863" s="54">
        <f t="shared" si="512"/>
        <v>24</v>
      </c>
      <c r="AA1863" s="40">
        <f t="shared" si="518"/>
        <v>58983378</v>
      </c>
      <c r="AB1863" s="53"/>
      <c r="AC1863" s="35" t="s">
        <v>58</v>
      </c>
      <c r="AD1863" s="53"/>
      <c r="AE1863" s="11"/>
      <c r="AH1863" s="79"/>
    </row>
    <row r="1864" spans="1:34" ht="60" customHeight="1">
      <c r="A1864" s="16"/>
      <c r="B1864" s="17"/>
      <c r="C1864" s="26" t="s">
        <v>83</v>
      </c>
      <c r="D1864" s="29" t="s">
        <v>227</v>
      </c>
      <c r="E1864" s="20">
        <f t="shared" si="520"/>
        <v>36</v>
      </c>
      <c r="F1864" s="21" t="s">
        <v>138</v>
      </c>
      <c r="G1864" s="23"/>
      <c r="H1864" s="20">
        <v>12</v>
      </c>
      <c r="I1864" s="23">
        <v>81075000</v>
      </c>
      <c r="J1864" s="20">
        <v>12</v>
      </c>
      <c r="K1864" s="23">
        <v>20000000</v>
      </c>
      <c r="L1864" s="20">
        <v>3</v>
      </c>
      <c r="M1864" s="23">
        <v>1750000</v>
      </c>
      <c r="N1864" s="20">
        <v>3</v>
      </c>
      <c r="O1864" s="23">
        <v>9644000</v>
      </c>
      <c r="P1864" s="20">
        <v>3</v>
      </c>
      <c r="Q1864" s="23">
        <v>1815000</v>
      </c>
      <c r="R1864" s="20">
        <v>3</v>
      </c>
      <c r="S1864" s="23">
        <v>2595000</v>
      </c>
      <c r="T1864" s="54">
        <f t="shared" si="514"/>
        <v>12</v>
      </c>
      <c r="U1864" s="54">
        <f t="shared" si="509"/>
        <v>100</v>
      </c>
      <c r="V1864" s="35" t="s">
        <v>58</v>
      </c>
      <c r="W1864" s="40">
        <f t="shared" si="516"/>
        <v>15804000</v>
      </c>
      <c r="X1864" s="53">
        <f t="shared" si="517"/>
        <v>79.02</v>
      </c>
      <c r="Y1864" s="35" t="s">
        <v>58</v>
      </c>
      <c r="Z1864" s="54">
        <f t="shared" si="512"/>
        <v>24</v>
      </c>
      <c r="AA1864" s="40">
        <f t="shared" si="518"/>
        <v>96879000</v>
      </c>
      <c r="AB1864" s="53"/>
      <c r="AC1864" s="35" t="s">
        <v>58</v>
      </c>
      <c r="AD1864" s="53"/>
      <c r="AE1864" s="11"/>
      <c r="AH1864" s="25"/>
    </row>
    <row r="1865" spans="1:34" ht="135">
      <c r="A1865" s="16"/>
      <c r="B1865" s="17"/>
      <c r="C1865" s="26" t="s">
        <v>84</v>
      </c>
      <c r="D1865" s="360" t="s">
        <v>228</v>
      </c>
      <c r="E1865" s="20">
        <f t="shared" si="520"/>
        <v>36</v>
      </c>
      <c r="F1865" s="21" t="s">
        <v>138</v>
      </c>
      <c r="G1865" s="23"/>
      <c r="H1865" s="20">
        <v>12</v>
      </c>
      <c r="I1865" s="23">
        <v>13551000</v>
      </c>
      <c r="J1865" s="20">
        <v>12</v>
      </c>
      <c r="K1865" s="23">
        <v>19500000</v>
      </c>
      <c r="L1865" s="20">
        <v>3</v>
      </c>
      <c r="M1865" s="23">
        <v>900000</v>
      </c>
      <c r="N1865" s="20">
        <v>3</v>
      </c>
      <c r="O1865" s="23">
        <v>1635000</v>
      </c>
      <c r="P1865" s="20">
        <v>3</v>
      </c>
      <c r="Q1865" s="23">
        <v>4295000</v>
      </c>
      <c r="R1865" s="20">
        <v>3</v>
      </c>
      <c r="S1865" s="23">
        <v>4927000</v>
      </c>
      <c r="T1865" s="54">
        <f t="shared" si="514"/>
        <v>12</v>
      </c>
      <c r="U1865" s="54">
        <f t="shared" si="509"/>
        <v>100</v>
      </c>
      <c r="V1865" s="35" t="s">
        <v>58</v>
      </c>
      <c r="W1865" s="40">
        <f t="shared" si="516"/>
        <v>11757000</v>
      </c>
      <c r="X1865" s="53">
        <f t="shared" si="517"/>
        <v>60.292307692307688</v>
      </c>
      <c r="Y1865" s="35" t="s">
        <v>58</v>
      </c>
      <c r="Z1865" s="54">
        <f t="shared" si="512"/>
        <v>24</v>
      </c>
      <c r="AA1865" s="40">
        <f t="shared" si="518"/>
        <v>25308000</v>
      </c>
      <c r="AB1865" s="53"/>
      <c r="AC1865" s="35" t="s">
        <v>58</v>
      </c>
      <c r="AD1865" s="53"/>
      <c r="AE1865" s="11"/>
      <c r="AH1865" s="25"/>
    </row>
    <row r="1866" spans="1:34" ht="126">
      <c r="A1866" s="48">
        <v>8</v>
      </c>
      <c r="B1866" s="49" t="s">
        <v>2472</v>
      </c>
      <c r="C1866" s="49" t="s">
        <v>2473</v>
      </c>
      <c r="D1866" s="19" t="s">
        <v>2474</v>
      </c>
      <c r="E1866" s="108">
        <v>96</v>
      </c>
      <c r="F1866" s="46" t="s">
        <v>58</v>
      </c>
      <c r="G1866" s="52">
        <f>G1868+G1876+G1879</f>
        <v>0</v>
      </c>
      <c r="H1866" s="108"/>
      <c r="I1866" s="52">
        <f>I1868+I1876+I1879</f>
        <v>440272800</v>
      </c>
      <c r="J1866" s="108">
        <v>84</v>
      </c>
      <c r="K1866" s="52">
        <f>K1868+K1876+K1879</f>
        <v>1113603150</v>
      </c>
      <c r="L1866" s="108">
        <v>0</v>
      </c>
      <c r="M1866" s="52">
        <f>M1868+M1876+M1879</f>
        <v>87564300</v>
      </c>
      <c r="N1866" s="108">
        <v>0</v>
      </c>
      <c r="O1866" s="52">
        <f>O1868+O1876+O1879</f>
        <v>94340900</v>
      </c>
      <c r="P1866" s="108">
        <v>0</v>
      </c>
      <c r="Q1866" s="52">
        <f>Q1868+Q1876+Q1879</f>
        <v>76971100</v>
      </c>
      <c r="R1866" s="108">
        <v>100</v>
      </c>
      <c r="S1866" s="52">
        <f>S1868+S1876+S1879</f>
        <v>493221307</v>
      </c>
      <c r="T1866" s="55">
        <f t="shared" si="514"/>
        <v>100</v>
      </c>
      <c r="U1866" s="55">
        <f t="shared" si="509"/>
        <v>119.04761904761905</v>
      </c>
      <c r="V1866" s="58" t="s">
        <v>58</v>
      </c>
      <c r="W1866" s="56">
        <f t="shared" si="516"/>
        <v>752097607</v>
      </c>
      <c r="X1866" s="60">
        <f t="shared" si="517"/>
        <v>67.537309588249641</v>
      </c>
      <c r="Y1866" s="48" t="s">
        <v>58</v>
      </c>
      <c r="Z1866" s="55">
        <f t="shared" si="512"/>
        <v>100</v>
      </c>
      <c r="AA1866" s="56">
        <f t="shared" si="518"/>
        <v>1192370407</v>
      </c>
      <c r="AB1866" s="57"/>
      <c r="AC1866" s="58" t="s">
        <v>58</v>
      </c>
      <c r="AD1866" s="60"/>
      <c r="AE1866" s="77"/>
      <c r="AH1866" s="25"/>
    </row>
    <row r="1867" spans="1:34" ht="157.5">
      <c r="A1867" s="16"/>
      <c r="B1867" s="49"/>
      <c r="C1867" s="49"/>
      <c r="D1867" s="19" t="s">
        <v>2475</v>
      </c>
      <c r="E1867" s="108">
        <v>100</v>
      </c>
      <c r="F1867" s="46" t="s">
        <v>58</v>
      </c>
      <c r="G1867" s="41"/>
      <c r="H1867" s="108"/>
      <c r="I1867" s="41"/>
      <c r="J1867" s="108">
        <v>100</v>
      </c>
      <c r="K1867" s="41"/>
      <c r="L1867" s="108">
        <v>100</v>
      </c>
      <c r="M1867" s="41"/>
      <c r="N1867" s="108">
        <v>0</v>
      </c>
      <c r="O1867" s="41"/>
      <c r="P1867" s="108">
        <v>0</v>
      </c>
      <c r="Q1867" s="41"/>
      <c r="R1867" s="108"/>
      <c r="S1867" s="41"/>
      <c r="T1867" s="55">
        <f t="shared" si="514"/>
        <v>100</v>
      </c>
      <c r="U1867" s="55">
        <f t="shared" si="509"/>
        <v>100</v>
      </c>
      <c r="V1867" s="58" t="s">
        <v>58</v>
      </c>
      <c r="W1867" s="94"/>
      <c r="X1867" s="239"/>
      <c r="Y1867" s="240"/>
      <c r="Z1867" s="55">
        <f t="shared" si="512"/>
        <v>100</v>
      </c>
      <c r="AA1867" s="94"/>
      <c r="AB1867" s="57"/>
      <c r="AC1867" s="58"/>
      <c r="AD1867" s="239"/>
      <c r="AE1867" s="77"/>
      <c r="AH1867" s="25"/>
    </row>
    <row r="1868" spans="1:34" ht="78.75">
      <c r="A1868" s="16"/>
      <c r="B1868" s="17" t="s">
        <v>2476</v>
      </c>
      <c r="C1868" s="18" t="s">
        <v>2477</v>
      </c>
      <c r="D1868" s="19" t="s">
        <v>2478</v>
      </c>
      <c r="E1868" s="45">
        <v>100</v>
      </c>
      <c r="F1868" s="46" t="s">
        <v>58</v>
      </c>
      <c r="G1868" s="42">
        <f>SUM(G1870:G1875)</f>
        <v>0</v>
      </c>
      <c r="H1868" s="45"/>
      <c r="I1868" s="42">
        <f>SUM(I1869:I1875)</f>
        <v>159272900</v>
      </c>
      <c r="J1868" s="45">
        <v>100</v>
      </c>
      <c r="K1868" s="42">
        <f>SUM(K1869:K1875)</f>
        <v>824890650</v>
      </c>
      <c r="L1868" s="45">
        <v>100</v>
      </c>
      <c r="M1868" s="42">
        <f>SUM(M1870:M1875)</f>
        <v>79797500</v>
      </c>
      <c r="N1868" s="45">
        <v>0</v>
      </c>
      <c r="O1868" s="42">
        <f>SUM(O1870:O1875)</f>
        <v>67535000</v>
      </c>
      <c r="P1868" s="45">
        <v>0</v>
      </c>
      <c r="Q1868" s="42">
        <f>SUM(Q1870:Q1875)</f>
        <v>25265000</v>
      </c>
      <c r="R1868" s="45">
        <v>0</v>
      </c>
      <c r="S1868" s="42">
        <f>SUM(S1870:S1875)</f>
        <v>294351888</v>
      </c>
      <c r="T1868" s="55">
        <f t="shared" si="514"/>
        <v>100</v>
      </c>
      <c r="U1868" s="55">
        <f t="shared" si="509"/>
        <v>100</v>
      </c>
      <c r="V1868" s="58" t="s">
        <v>58</v>
      </c>
      <c r="W1868" s="59">
        <f t="shared" ref="W1868:W1877" si="521">SUM(M1868,O1868,Q1868,S1868)</f>
        <v>466949388</v>
      </c>
      <c r="X1868" s="57">
        <f t="shared" ref="X1868:X1877" si="522">W1868/K1868*100</f>
        <v>56.607428875572786</v>
      </c>
      <c r="Y1868" s="58" t="s">
        <v>58</v>
      </c>
      <c r="Z1868" s="55">
        <f t="shared" si="512"/>
        <v>100</v>
      </c>
      <c r="AA1868" s="59">
        <f t="shared" ref="AA1868:AA1902" si="523">SUM(I1868,W1868)</f>
        <v>626222288</v>
      </c>
      <c r="AB1868" s="57"/>
      <c r="AC1868" s="58" t="s">
        <v>58</v>
      </c>
      <c r="AD1868" s="57"/>
      <c r="AE1868" s="77"/>
      <c r="AH1868" s="25"/>
    </row>
    <row r="1869" spans="1:34" ht="165">
      <c r="A1869" s="16"/>
      <c r="B1869" s="17"/>
      <c r="C1869" s="26" t="s">
        <v>2479</v>
      </c>
      <c r="D1869" s="29" t="s">
        <v>2480</v>
      </c>
      <c r="E1869" s="20"/>
      <c r="F1869" s="21" t="s">
        <v>55</v>
      </c>
      <c r="G1869" s="23"/>
      <c r="H1869" s="20"/>
      <c r="I1869" s="23"/>
      <c r="J1869" s="20">
        <v>2</v>
      </c>
      <c r="K1869" s="23">
        <v>258476000</v>
      </c>
      <c r="L1869" s="20">
        <v>0</v>
      </c>
      <c r="M1869" s="23">
        <v>6937500</v>
      </c>
      <c r="N1869" s="20">
        <v>1</v>
      </c>
      <c r="O1869" s="23">
        <v>3937500</v>
      </c>
      <c r="P1869" s="20">
        <v>0</v>
      </c>
      <c r="Q1869" s="23">
        <v>18242500</v>
      </c>
      <c r="R1869" s="20">
        <v>1</v>
      </c>
      <c r="S1869" s="23">
        <v>183120609</v>
      </c>
      <c r="T1869" s="54">
        <f t="shared" si="514"/>
        <v>2</v>
      </c>
      <c r="U1869" s="54">
        <f t="shared" si="509"/>
        <v>100</v>
      </c>
      <c r="V1869" s="35" t="s">
        <v>58</v>
      </c>
      <c r="W1869" s="40">
        <f t="shared" si="521"/>
        <v>212238109</v>
      </c>
      <c r="X1869" s="54">
        <f t="shared" si="522"/>
        <v>82.111340704746283</v>
      </c>
      <c r="Y1869" s="35" t="s">
        <v>58</v>
      </c>
      <c r="Z1869" s="54">
        <f t="shared" si="512"/>
        <v>2</v>
      </c>
      <c r="AA1869" s="40">
        <f t="shared" si="523"/>
        <v>212238109</v>
      </c>
      <c r="AB1869" s="53"/>
      <c r="AC1869" s="35" t="s">
        <v>58</v>
      </c>
      <c r="AD1869" s="53"/>
      <c r="AE1869" s="11"/>
      <c r="AH1869" s="25"/>
    </row>
    <row r="1870" spans="1:34" ht="150">
      <c r="A1870" s="16"/>
      <c r="B1870" s="17"/>
      <c r="C1870" s="26" t="s">
        <v>2481</v>
      </c>
      <c r="D1870" s="29" t="s">
        <v>2482</v>
      </c>
      <c r="E1870" s="20"/>
      <c r="F1870" s="21" t="s">
        <v>55</v>
      </c>
      <c r="G1870" s="23"/>
      <c r="H1870" s="20"/>
      <c r="I1870" s="23">
        <v>18343900</v>
      </c>
      <c r="J1870" s="20">
        <v>2</v>
      </c>
      <c r="K1870" s="23">
        <v>66807500</v>
      </c>
      <c r="L1870" s="20">
        <v>0</v>
      </c>
      <c r="M1870" s="23">
        <v>3000000</v>
      </c>
      <c r="N1870" s="20">
        <v>1</v>
      </c>
      <c r="O1870" s="23">
        <v>16500000</v>
      </c>
      <c r="P1870" s="20">
        <v>0</v>
      </c>
      <c r="Q1870" s="23">
        <v>3000000</v>
      </c>
      <c r="R1870" s="20">
        <v>1</v>
      </c>
      <c r="S1870" s="23">
        <v>22252500</v>
      </c>
      <c r="T1870" s="54">
        <f t="shared" si="514"/>
        <v>2</v>
      </c>
      <c r="U1870" s="54">
        <f t="shared" si="509"/>
        <v>100</v>
      </c>
      <c r="V1870" s="35" t="s">
        <v>58</v>
      </c>
      <c r="W1870" s="40">
        <f t="shared" si="521"/>
        <v>44752500</v>
      </c>
      <c r="X1870" s="54">
        <f t="shared" si="522"/>
        <v>66.987239456647828</v>
      </c>
      <c r="Y1870" s="35" t="s">
        <v>58</v>
      </c>
      <c r="Z1870" s="54">
        <f t="shared" si="512"/>
        <v>2</v>
      </c>
      <c r="AA1870" s="40">
        <f t="shared" si="523"/>
        <v>63096400</v>
      </c>
      <c r="AB1870" s="53"/>
      <c r="AC1870" s="35" t="s">
        <v>58</v>
      </c>
      <c r="AD1870" s="53"/>
      <c r="AE1870" s="11"/>
      <c r="AH1870" s="25"/>
    </row>
    <row r="1871" spans="1:34" ht="60">
      <c r="A1871" s="16"/>
      <c r="B1871" s="17"/>
      <c r="C1871" s="26" t="s">
        <v>2483</v>
      </c>
      <c r="D1871" s="29" t="s">
        <v>2484</v>
      </c>
      <c r="E1871" s="20"/>
      <c r="F1871" s="47" t="s">
        <v>1026</v>
      </c>
      <c r="G1871" s="23"/>
      <c r="H1871" s="20"/>
      <c r="I1871" s="23"/>
      <c r="J1871" s="20">
        <v>1</v>
      </c>
      <c r="K1871" s="23">
        <v>11987500</v>
      </c>
      <c r="L1871" s="20">
        <v>1</v>
      </c>
      <c r="M1871" s="23">
        <v>10450000</v>
      </c>
      <c r="N1871" s="20">
        <v>0</v>
      </c>
      <c r="O1871" s="23">
        <v>737500</v>
      </c>
      <c r="P1871" s="20">
        <v>0</v>
      </c>
      <c r="Q1871" s="23">
        <v>0</v>
      </c>
      <c r="R1871" s="20">
        <v>0</v>
      </c>
      <c r="S1871" s="23">
        <v>0</v>
      </c>
      <c r="T1871" s="54">
        <f t="shared" si="514"/>
        <v>1</v>
      </c>
      <c r="U1871" s="54">
        <f t="shared" si="509"/>
        <v>100</v>
      </c>
      <c r="V1871" s="35" t="s">
        <v>58</v>
      </c>
      <c r="W1871" s="40">
        <f t="shared" si="521"/>
        <v>11187500</v>
      </c>
      <c r="X1871" s="53">
        <f t="shared" si="522"/>
        <v>93.326381647549525</v>
      </c>
      <c r="Y1871" s="35" t="s">
        <v>58</v>
      </c>
      <c r="Z1871" s="54">
        <f t="shared" si="512"/>
        <v>1</v>
      </c>
      <c r="AA1871" s="40">
        <f t="shared" si="523"/>
        <v>11187500</v>
      </c>
      <c r="AB1871" s="53"/>
      <c r="AC1871" s="35" t="s">
        <v>58</v>
      </c>
      <c r="AD1871" s="53"/>
      <c r="AE1871" s="11"/>
      <c r="AH1871" s="25"/>
    </row>
    <row r="1872" spans="1:34" s="78" customFormat="1" ht="90">
      <c r="A1872" s="16"/>
      <c r="B1872" s="17"/>
      <c r="C1872" s="26" t="s">
        <v>2485</v>
      </c>
      <c r="D1872" s="29" t="s">
        <v>2486</v>
      </c>
      <c r="E1872" s="20"/>
      <c r="F1872" s="47" t="s">
        <v>1026</v>
      </c>
      <c r="G1872" s="23"/>
      <c r="H1872" s="20"/>
      <c r="I1872" s="23">
        <v>15332700</v>
      </c>
      <c r="J1872" s="20">
        <v>1</v>
      </c>
      <c r="K1872" s="23">
        <v>14327500</v>
      </c>
      <c r="L1872" s="20">
        <v>1</v>
      </c>
      <c r="M1872" s="23">
        <v>10600000</v>
      </c>
      <c r="N1872" s="20">
        <v>0</v>
      </c>
      <c r="O1872" s="23">
        <v>3010000</v>
      </c>
      <c r="P1872" s="20">
        <v>0</v>
      </c>
      <c r="Q1872" s="23">
        <v>0</v>
      </c>
      <c r="R1872" s="20">
        <v>0</v>
      </c>
      <c r="S1872" s="23">
        <v>0</v>
      </c>
      <c r="T1872" s="54">
        <f t="shared" si="514"/>
        <v>1</v>
      </c>
      <c r="U1872" s="54">
        <f t="shared" si="509"/>
        <v>100</v>
      </c>
      <c r="V1872" s="35" t="s">
        <v>58</v>
      </c>
      <c r="W1872" s="40">
        <f t="shared" si="521"/>
        <v>13610000</v>
      </c>
      <c r="X1872" s="53">
        <f t="shared" si="522"/>
        <v>94.992147967195947</v>
      </c>
      <c r="Y1872" s="35" t="s">
        <v>58</v>
      </c>
      <c r="Z1872" s="54">
        <f t="shared" si="512"/>
        <v>1</v>
      </c>
      <c r="AA1872" s="40">
        <f t="shared" si="523"/>
        <v>28942700</v>
      </c>
      <c r="AB1872" s="53"/>
      <c r="AC1872" s="35" t="s">
        <v>58</v>
      </c>
      <c r="AD1872" s="53"/>
      <c r="AE1872" s="11"/>
      <c r="AH1872" s="79"/>
    </row>
    <row r="1873" spans="1:34" s="78" customFormat="1" ht="75">
      <c r="A1873" s="16"/>
      <c r="B1873" s="17"/>
      <c r="C1873" s="26" t="s">
        <v>2487</v>
      </c>
      <c r="D1873" s="29" t="s">
        <v>2488</v>
      </c>
      <c r="E1873" s="20"/>
      <c r="F1873" s="47" t="s">
        <v>1026</v>
      </c>
      <c r="G1873" s="23"/>
      <c r="H1873" s="20"/>
      <c r="I1873" s="23">
        <v>42656500</v>
      </c>
      <c r="J1873" s="20">
        <v>1</v>
      </c>
      <c r="K1873" s="23">
        <v>43991250</v>
      </c>
      <c r="L1873" s="20">
        <v>1</v>
      </c>
      <c r="M1873" s="23">
        <v>22410000</v>
      </c>
      <c r="N1873" s="20">
        <v>0</v>
      </c>
      <c r="O1873" s="23">
        <v>21187500</v>
      </c>
      <c r="P1873" s="20">
        <v>0</v>
      </c>
      <c r="Q1873" s="23">
        <v>0</v>
      </c>
      <c r="R1873" s="20">
        <v>0</v>
      </c>
      <c r="S1873" s="23">
        <v>0</v>
      </c>
      <c r="T1873" s="54">
        <f t="shared" si="514"/>
        <v>1</v>
      </c>
      <c r="U1873" s="54">
        <f t="shared" si="509"/>
        <v>100</v>
      </c>
      <c r="V1873" s="35" t="s">
        <v>58</v>
      </c>
      <c r="W1873" s="40">
        <f t="shared" si="521"/>
        <v>43597500</v>
      </c>
      <c r="X1873" s="53">
        <f t="shared" si="522"/>
        <v>99.10493564061035</v>
      </c>
      <c r="Y1873" s="35" t="s">
        <v>58</v>
      </c>
      <c r="Z1873" s="54">
        <f t="shared" si="512"/>
        <v>1</v>
      </c>
      <c r="AA1873" s="40">
        <f t="shared" si="523"/>
        <v>86254000</v>
      </c>
      <c r="AB1873" s="53"/>
      <c r="AC1873" s="35" t="s">
        <v>58</v>
      </c>
      <c r="AD1873" s="53"/>
      <c r="AE1873" s="11"/>
      <c r="AH1873" s="79"/>
    </row>
    <row r="1874" spans="1:34" s="78" customFormat="1" ht="75">
      <c r="A1874" s="16"/>
      <c r="B1874" s="17"/>
      <c r="C1874" s="26" t="s">
        <v>2489</v>
      </c>
      <c r="D1874" s="29" t="s">
        <v>2490</v>
      </c>
      <c r="E1874" s="20"/>
      <c r="F1874" s="21" t="s">
        <v>2491</v>
      </c>
      <c r="G1874" s="23"/>
      <c r="H1874" s="20"/>
      <c r="I1874" s="23"/>
      <c r="J1874" s="20">
        <v>2</v>
      </c>
      <c r="K1874" s="23">
        <v>47610000</v>
      </c>
      <c r="L1874" s="20">
        <v>2</v>
      </c>
      <c r="M1874" s="23">
        <v>30337500</v>
      </c>
      <c r="N1874" s="20">
        <v>0</v>
      </c>
      <c r="O1874" s="23">
        <v>5500000</v>
      </c>
      <c r="P1874" s="20">
        <v>0</v>
      </c>
      <c r="Q1874" s="23">
        <v>0</v>
      </c>
      <c r="R1874" s="20">
        <v>0</v>
      </c>
      <c r="S1874" s="23">
        <v>0</v>
      </c>
      <c r="T1874" s="54">
        <f t="shared" si="514"/>
        <v>2</v>
      </c>
      <c r="U1874" s="54">
        <f t="shared" si="509"/>
        <v>100</v>
      </c>
      <c r="V1874" s="35" t="s">
        <v>58</v>
      </c>
      <c r="W1874" s="40">
        <f t="shared" si="521"/>
        <v>35837500</v>
      </c>
      <c r="X1874" s="53">
        <f t="shared" si="522"/>
        <v>75.273051879857178</v>
      </c>
      <c r="Y1874" s="35" t="s">
        <v>58</v>
      </c>
      <c r="Z1874" s="54">
        <f t="shared" si="512"/>
        <v>2</v>
      </c>
      <c r="AA1874" s="40">
        <f t="shared" si="523"/>
        <v>35837500</v>
      </c>
      <c r="AB1874" s="53"/>
      <c r="AC1874" s="35" t="s">
        <v>58</v>
      </c>
      <c r="AD1874" s="53"/>
      <c r="AE1874" s="11"/>
      <c r="AH1874" s="79"/>
    </row>
    <row r="1875" spans="1:34" ht="150">
      <c r="A1875" s="16"/>
      <c r="B1875" s="17"/>
      <c r="C1875" s="26" t="s">
        <v>2492</v>
      </c>
      <c r="D1875" s="29" t="s">
        <v>2493</v>
      </c>
      <c r="E1875" s="20"/>
      <c r="F1875" s="21" t="s">
        <v>55</v>
      </c>
      <c r="G1875" s="23"/>
      <c r="H1875" s="20"/>
      <c r="I1875" s="23">
        <v>82939800</v>
      </c>
      <c r="J1875" s="20">
        <v>2</v>
      </c>
      <c r="K1875" s="23">
        <v>381690900</v>
      </c>
      <c r="L1875" s="20">
        <v>0</v>
      </c>
      <c r="M1875" s="23">
        <v>3000000</v>
      </c>
      <c r="N1875" s="20">
        <v>1</v>
      </c>
      <c r="O1875" s="23">
        <v>20600000</v>
      </c>
      <c r="P1875" s="20">
        <v>0</v>
      </c>
      <c r="Q1875" s="23">
        <v>22265000</v>
      </c>
      <c r="R1875" s="20">
        <v>1</v>
      </c>
      <c r="S1875" s="23">
        <v>272099388</v>
      </c>
      <c r="T1875" s="54">
        <f t="shared" si="514"/>
        <v>2</v>
      </c>
      <c r="U1875" s="54">
        <f t="shared" si="509"/>
        <v>100</v>
      </c>
      <c r="V1875" s="35" t="s">
        <v>58</v>
      </c>
      <c r="W1875" s="40">
        <f t="shared" si="521"/>
        <v>317964388</v>
      </c>
      <c r="X1875" s="53">
        <f t="shared" si="522"/>
        <v>83.304157369222054</v>
      </c>
      <c r="Y1875" s="35" t="s">
        <v>58</v>
      </c>
      <c r="Z1875" s="54">
        <f t="shared" si="512"/>
        <v>2</v>
      </c>
      <c r="AA1875" s="40">
        <f t="shared" si="523"/>
        <v>400904188</v>
      </c>
      <c r="AB1875" s="53"/>
      <c r="AC1875" s="35" t="s">
        <v>58</v>
      </c>
      <c r="AD1875" s="53"/>
      <c r="AE1875" s="11"/>
      <c r="AH1875" s="25"/>
    </row>
    <row r="1876" spans="1:34" ht="157.5">
      <c r="A1876" s="16"/>
      <c r="B1876" s="17"/>
      <c r="C1876" s="18" t="s">
        <v>2494</v>
      </c>
      <c r="D1876" s="19" t="s">
        <v>2495</v>
      </c>
      <c r="E1876" s="45"/>
      <c r="F1876" s="46"/>
      <c r="G1876" s="42">
        <f>SUM(G1877:G1878)</f>
        <v>0</v>
      </c>
      <c r="H1876" s="45"/>
      <c r="I1876" s="42">
        <f>SUM(I1877:I1878)</f>
        <v>200690700</v>
      </c>
      <c r="J1876" s="45">
        <f>J1877</f>
        <v>4</v>
      </c>
      <c r="K1876" s="42">
        <f>SUM(K1877:K1878)</f>
        <v>171505000</v>
      </c>
      <c r="L1876" s="45">
        <f>L1877</f>
        <v>0</v>
      </c>
      <c r="M1876" s="42">
        <f>SUM(M1877:M1878)</f>
        <v>0</v>
      </c>
      <c r="N1876" s="45">
        <f>N1877</f>
        <v>0</v>
      </c>
      <c r="O1876" s="42">
        <f>SUM(O1877:O1878)</f>
        <v>2250000</v>
      </c>
      <c r="P1876" s="45">
        <f>P1877</f>
        <v>0</v>
      </c>
      <c r="Q1876" s="42">
        <f>SUM(Q1877:Q1878)</f>
        <v>26867500</v>
      </c>
      <c r="R1876" s="45">
        <f>R1877</f>
        <v>4</v>
      </c>
      <c r="S1876" s="42">
        <f>SUM(S1877:S1878)</f>
        <v>142042119</v>
      </c>
      <c r="T1876" s="55">
        <f t="shared" si="514"/>
        <v>4</v>
      </c>
      <c r="U1876" s="55">
        <f t="shared" si="509"/>
        <v>100</v>
      </c>
      <c r="V1876" s="58" t="s">
        <v>58</v>
      </c>
      <c r="W1876" s="59">
        <f t="shared" si="521"/>
        <v>171159619</v>
      </c>
      <c r="X1876" s="57">
        <f t="shared" si="522"/>
        <v>99.798617533016525</v>
      </c>
      <c r="Y1876" s="58" t="s">
        <v>58</v>
      </c>
      <c r="Z1876" s="55">
        <f t="shared" si="512"/>
        <v>4</v>
      </c>
      <c r="AA1876" s="59">
        <f t="shared" si="523"/>
        <v>371850319</v>
      </c>
      <c r="AB1876" s="57"/>
      <c r="AC1876" s="58" t="s">
        <v>58</v>
      </c>
      <c r="AD1876" s="57"/>
      <c r="AE1876" s="77"/>
      <c r="AH1876" s="25"/>
    </row>
    <row r="1877" spans="1:34" ht="195">
      <c r="A1877" s="16"/>
      <c r="B1877" s="17"/>
      <c r="C1877" s="26" t="s">
        <v>2496</v>
      </c>
      <c r="D1877" s="29" t="s">
        <v>2497</v>
      </c>
      <c r="E1877" s="20"/>
      <c r="F1877" s="47" t="s">
        <v>2498</v>
      </c>
      <c r="G1877" s="23"/>
      <c r="H1877" s="20"/>
      <c r="I1877" s="23">
        <v>122050000</v>
      </c>
      <c r="J1877" s="20">
        <v>4</v>
      </c>
      <c r="K1877" s="23">
        <v>171505000</v>
      </c>
      <c r="L1877" s="20">
        <v>0</v>
      </c>
      <c r="M1877" s="23">
        <v>0</v>
      </c>
      <c r="N1877" s="20">
        <v>0</v>
      </c>
      <c r="O1877" s="23">
        <v>2250000</v>
      </c>
      <c r="P1877" s="20">
        <v>0</v>
      </c>
      <c r="Q1877" s="23">
        <v>26867500</v>
      </c>
      <c r="R1877" s="20">
        <v>4</v>
      </c>
      <c r="S1877" s="23">
        <v>142042119</v>
      </c>
      <c r="T1877" s="54">
        <f t="shared" si="514"/>
        <v>4</v>
      </c>
      <c r="U1877" s="54">
        <f t="shared" si="509"/>
        <v>100</v>
      </c>
      <c r="V1877" s="35" t="s">
        <v>58</v>
      </c>
      <c r="W1877" s="40">
        <f t="shared" si="521"/>
        <v>171159619</v>
      </c>
      <c r="X1877" s="54">
        <f t="shared" si="522"/>
        <v>99.798617533016525</v>
      </c>
      <c r="Y1877" s="35" t="s">
        <v>58</v>
      </c>
      <c r="Z1877" s="54">
        <f t="shared" si="512"/>
        <v>4</v>
      </c>
      <c r="AA1877" s="40">
        <f t="shared" si="523"/>
        <v>293209619</v>
      </c>
      <c r="AB1877" s="53"/>
      <c r="AC1877" s="35" t="s">
        <v>58</v>
      </c>
      <c r="AD1877" s="53"/>
      <c r="AE1877" s="11"/>
      <c r="AH1877" s="25"/>
    </row>
    <row r="1878" spans="1:34" ht="120">
      <c r="A1878" s="16"/>
      <c r="B1878" s="17"/>
      <c r="C1878" s="114" t="s">
        <v>2499</v>
      </c>
      <c r="D1878" s="113" t="s">
        <v>2500</v>
      </c>
      <c r="E1878" s="20">
        <v>38</v>
      </c>
      <c r="F1878" s="21" t="s">
        <v>57</v>
      </c>
      <c r="G1878" s="23"/>
      <c r="H1878" s="20">
        <v>38</v>
      </c>
      <c r="I1878" s="23">
        <v>78640700</v>
      </c>
      <c r="J1878" s="20"/>
      <c r="K1878" s="23"/>
      <c r="L1878" s="20"/>
      <c r="M1878" s="23"/>
      <c r="N1878" s="20"/>
      <c r="O1878" s="23"/>
      <c r="P1878" s="20"/>
      <c r="Q1878" s="23"/>
      <c r="R1878" s="20"/>
      <c r="S1878" s="23"/>
      <c r="T1878" s="54"/>
      <c r="U1878" s="54"/>
      <c r="V1878" s="35"/>
      <c r="W1878" s="40"/>
      <c r="X1878" s="53"/>
      <c r="Y1878" s="35"/>
      <c r="Z1878" s="54">
        <f t="shared" si="512"/>
        <v>38</v>
      </c>
      <c r="AA1878" s="40">
        <f t="shared" si="523"/>
        <v>78640700</v>
      </c>
      <c r="AB1878" s="53"/>
      <c r="AC1878" s="35" t="s">
        <v>58</v>
      </c>
      <c r="AD1878" s="53"/>
      <c r="AE1878" s="11"/>
      <c r="AH1878" s="25"/>
    </row>
    <row r="1879" spans="1:34" s="827" customFormat="1" ht="141.75">
      <c r="A1879" s="16"/>
      <c r="B1879" s="17"/>
      <c r="C1879" s="18" t="s">
        <v>2501</v>
      </c>
      <c r="D1879" s="19" t="s">
        <v>2495</v>
      </c>
      <c r="E1879" s="45">
        <v>100</v>
      </c>
      <c r="F1879" s="46" t="s">
        <v>58</v>
      </c>
      <c r="G1879" s="42">
        <f>SUM(G1880)</f>
        <v>0</v>
      </c>
      <c r="H1879" s="45"/>
      <c r="I1879" s="42">
        <f>SUM(I1880)</f>
        <v>80309200</v>
      </c>
      <c r="J1879" s="45">
        <v>100</v>
      </c>
      <c r="K1879" s="42">
        <f>SUM(K1880)</f>
        <v>117207500</v>
      </c>
      <c r="L1879" s="45">
        <v>0</v>
      </c>
      <c r="M1879" s="42">
        <f>SUM(M1880)</f>
        <v>7766800</v>
      </c>
      <c r="N1879" s="45">
        <v>0</v>
      </c>
      <c r="O1879" s="42">
        <f>SUM(O1880)</f>
        <v>24555900</v>
      </c>
      <c r="P1879" s="45">
        <v>0</v>
      </c>
      <c r="Q1879" s="42">
        <f>SUM(Q1880)</f>
        <v>24838600</v>
      </c>
      <c r="R1879" s="45">
        <v>100</v>
      </c>
      <c r="S1879" s="42">
        <f>SUM(S1880)</f>
        <v>56827300</v>
      </c>
      <c r="T1879" s="55">
        <f t="shared" ref="T1879:T1884" si="524">SUM(L1879,N1879,P1879,R1879)</f>
        <v>100</v>
      </c>
      <c r="U1879" s="55">
        <f t="shared" ref="U1879:U1884" si="525">T1879/J1879*100</f>
        <v>100</v>
      </c>
      <c r="V1879" s="58" t="s">
        <v>58</v>
      </c>
      <c r="W1879" s="59">
        <f t="shared" ref="W1879:W1884" si="526">SUM(M1879,O1879,Q1879,S1879)</f>
        <v>113988600</v>
      </c>
      <c r="X1879" s="57">
        <f t="shared" ref="X1879:X1884" si="527">W1879/K1879*100</f>
        <v>97.253674039630567</v>
      </c>
      <c r="Y1879" s="58" t="s">
        <v>58</v>
      </c>
      <c r="Z1879" s="55">
        <f t="shared" si="512"/>
        <v>100</v>
      </c>
      <c r="AA1879" s="59">
        <f t="shared" si="523"/>
        <v>194297800</v>
      </c>
      <c r="AB1879" s="57"/>
      <c r="AC1879" s="58" t="s">
        <v>58</v>
      </c>
      <c r="AD1879" s="57"/>
      <c r="AE1879" s="77"/>
      <c r="AH1879" s="801"/>
    </row>
    <row r="1880" spans="1:34" s="827" customFormat="1" ht="150">
      <c r="A1880" s="16"/>
      <c r="B1880" s="17"/>
      <c r="C1880" s="26" t="s">
        <v>2502</v>
      </c>
      <c r="D1880" s="26" t="s">
        <v>2503</v>
      </c>
      <c r="E1880" s="20"/>
      <c r="F1880" s="21" t="s">
        <v>173</v>
      </c>
      <c r="G1880" s="23"/>
      <c r="H1880" s="20"/>
      <c r="I1880" s="23">
        <v>80309200</v>
      </c>
      <c r="J1880" s="20">
        <v>49</v>
      </c>
      <c r="K1880" s="23">
        <v>117207500</v>
      </c>
      <c r="L1880" s="20">
        <v>49</v>
      </c>
      <c r="M1880" s="23">
        <v>7766800</v>
      </c>
      <c r="N1880" s="20">
        <v>49</v>
      </c>
      <c r="O1880" s="23">
        <v>24555900</v>
      </c>
      <c r="P1880" s="20">
        <v>49</v>
      </c>
      <c r="Q1880" s="23">
        <v>24838600</v>
      </c>
      <c r="R1880" s="20">
        <v>49</v>
      </c>
      <c r="S1880" s="23">
        <v>56827300</v>
      </c>
      <c r="T1880" s="54">
        <f>AVERAGE(L1880,N1880,P1880,R1880)</f>
        <v>49</v>
      </c>
      <c r="U1880" s="54">
        <f t="shared" si="525"/>
        <v>100</v>
      </c>
      <c r="V1880" s="35" t="s">
        <v>58</v>
      </c>
      <c r="W1880" s="40">
        <v>113988600</v>
      </c>
      <c r="X1880" s="53">
        <f t="shared" si="527"/>
        <v>97.253674039630567</v>
      </c>
      <c r="Y1880" s="35" t="s">
        <v>58</v>
      </c>
      <c r="Z1880" s="54">
        <f t="shared" si="512"/>
        <v>49</v>
      </c>
      <c r="AA1880" s="40">
        <f t="shared" si="523"/>
        <v>194297800</v>
      </c>
      <c r="AB1880" s="53"/>
      <c r="AC1880" s="35" t="s">
        <v>58</v>
      </c>
      <c r="AD1880" s="53"/>
      <c r="AE1880" s="11"/>
      <c r="AH1880" s="801"/>
    </row>
    <row r="1881" spans="1:34" s="827" customFormat="1" ht="144" customHeight="1">
      <c r="A1881" s="16"/>
      <c r="B1881" s="17" t="s">
        <v>2472</v>
      </c>
      <c r="C1881" s="18" t="s">
        <v>2504</v>
      </c>
      <c r="D1881" s="19" t="s">
        <v>2475</v>
      </c>
      <c r="E1881" s="45">
        <v>100</v>
      </c>
      <c r="F1881" s="46" t="s">
        <v>58</v>
      </c>
      <c r="G1881" s="42">
        <f>G1882+G1888+G1892</f>
        <v>0</v>
      </c>
      <c r="H1881" s="45"/>
      <c r="I1881" s="42">
        <f>I1882+I1888+I1892</f>
        <v>96548802</v>
      </c>
      <c r="J1881" s="45">
        <v>100</v>
      </c>
      <c r="K1881" s="42">
        <f>K1882+K1888+K1892</f>
        <v>75232500</v>
      </c>
      <c r="L1881" s="45">
        <v>100</v>
      </c>
      <c r="M1881" s="42">
        <f>M1882+M1888+M1892</f>
        <v>19694200</v>
      </c>
      <c r="N1881" s="45">
        <v>0</v>
      </c>
      <c r="O1881" s="42">
        <f>O1882+O1888+O1892</f>
        <v>7789500</v>
      </c>
      <c r="P1881" s="45">
        <v>0</v>
      </c>
      <c r="Q1881" s="42">
        <f>Q1882+Q1888+Q1892</f>
        <v>5038800</v>
      </c>
      <c r="R1881" s="45">
        <v>0</v>
      </c>
      <c r="S1881" s="42">
        <f>S1882+S1888+S1892</f>
        <v>13600000</v>
      </c>
      <c r="T1881" s="55">
        <f t="shared" si="524"/>
        <v>100</v>
      </c>
      <c r="U1881" s="55">
        <f t="shared" si="525"/>
        <v>100</v>
      </c>
      <c r="V1881" s="58" t="s">
        <v>58</v>
      </c>
      <c r="W1881" s="59">
        <f t="shared" si="526"/>
        <v>46122500</v>
      </c>
      <c r="X1881" s="57">
        <f t="shared" si="527"/>
        <v>61.306616156581264</v>
      </c>
      <c r="Y1881" s="58" t="s">
        <v>58</v>
      </c>
      <c r="Z1881" s="55">
        <f t="shared" si="512"/>
        <v>100</v>
      </c>
      <c r="AA1881" s="59">
        <f t="shared" si="523"/>
        <v>142671302</v>
      </c>
      <c r="AB1881" s="57"/>
      <c r="AC1881" s="58" t="s">
        <v>58</v>
      </c>
      <c r="AD1881" s="57"/>
      <c r="AE1881" s="77"/>
      <c r="AH1881" s="801"/>
    </row>
    <row r="1882" spans="1:34" ht="162.75" customHeight="1">
      <c r="A1882" s="16"/>
      <c r="B1882" s="17"/>
      <c r="C1882" s="18" t="s">
        <v>2505</v>
      </c>
      <c r="D1882" s="19" t="s">
        <v>2506</v>
      </c>
      <c r="E1882" s="45">
        <v>6</v>
      </c>
      <c r="F1882" s="76" t="s">
        <v>2507</v>
      </c>
      <c r="G1882" s="42">
        <f>SUM(G1885:G1887)</f>
        <v>0</v>
      </c>
      <c r="H1882" s="45"/>
      <c r="I1882" s="42">
        <f>SUM(I1885:I1887)</f>
        <v>53210400</v>
      </c>
      <c r="J1882" s="45">
        <v>2</v>
      </c>
      <c r="K1882" s="42">
        <f>SUM(K1883:K1884)</f>
        <v>46332500</v>
      </c>
      <c r="L1882" s="45">
        <f>L1886</f>
        <v>0</v>
      </c>
      <c r="M1882" s="42">
        <f>SUM(M1883:M1884)</f>
        <v>19694200</v>
      </c>
      <c r="N1882" s="45">
        <f>N1886</f>
        <v>0</v>
      </c>
      <c r="O1882" s="42">
        <f>SUM(O1883:O1884)</f>
        <v>7789500</v>
      </c>
      <c r="P1882" s="45">
        <f>P1886</f>
        <v>0</v>
      </c>
      <c r="Q1882" s="42">
        <f>SUM(Q1883:Q1884)</f>
        <v>5038800</v>
      </c>
      <c r="R1882" s="45">
        <v>2</v>
      </c>
      <c r="S1882" s="42">
        <f>SUM(S1883:S1884)</f>
        <v>13600000</v>
      </c>
      <c r="T1882" s="55">
        <f t="shared" si="524"/>
        <v>2</v>
      </c>
      <c r="U1882" s="55">
        <f t="shared" si="525"/>
        <v>100</v>
      </c>
      <c r="V1882" s="58" t="s">
        <v>58</v>
      </c>
      <c r="W1882" s="59">
        <f t="shared" si="526"/>
        <v>46122500</v>
      </c>
      <c r="X1882" s="57">
        <f t="shared" si="527"/>
        <v>99.546754438029467</v>
      </c>
      <c r="Y1882" s="58" t="s">
        <v>58</v>
      </c>
      <c r="Z1882" s="55">
        <f t="shared" si="512"/>
        <v>2</v>
      </c>
      <c r="AA1882" s="59">
        <f t="shared" si="523"/>
        <v>99332900</v>
      </c>
      <c r="AB1882" s="57"/>
      <c r="AC1882" s="58" t="s">
        <v>58</v>
      </c>
      <c r="AD1882" s="57"/>
      <c r="AE1882" s="77"/>
      <c r="AH1882" s="25"/>
    </row>
    <row r="1883" spans="1:34" ht="165">
      <c r="A1883" s="16"/>
      <c r="B1883" s="17"/>
      <c r="C1883" s="436" t="s">
        <v>2508</v>
      </c>
      <c r="D1883" s="29" t="s">
        <v>2509</v>
      </c>
      <c r="E1883" s="20">
        <v>3</v>
      </c>
      <c r="F1883" s="21" t="s">
        <v>173</v>
      </c>
      <c r="G1883" s="23"/>
      <c r="H1883" s="20"/>
      <c r="I1883" s="23"/>
      <c r="J1883" s="20">
        <v>1</v>
      </c>
      <c r="K1883" s="23">
        <v>20825000</v>
      </c>
      <c r="L1883" s="20">
        <v>0</v>
      </c>
      <c r="M1883" s="23">
        <v>7203100</v>
      </c>
      <c r="N1883" s="20">
        <v>0</v>
      </c>
      <c r="O1883" s="23">
        <v>7789500</v>
      </c>
      <c r="P1883" s="20">
        <v>0</v>
      </c>
      <c r="Q1883" s="23">
        <v>2082400</v>
      </c>
      <c r="R1883" s="20">
        <v>1</v>
      </c>
      <c r="S1883" s="23">
        <v>3600000</v>
      </c>
      <c r="T1883" s="54">
        <f t="shared" si="524"/>
        <v>1</v>
      </c>
      <c r="U1883" s="54">
        <f t="shared" si="525"/>
        <v>100</v>
      </c>
      <c r="V1883" s="35" t="s">
        <v>58</v>
      </c>
      <c r="W1883" s="40">
        <f t="shared" si="526"/>
        <v>20675000</v>
      </c>
      <c r="X1883" s="54">
        <f t="shared" si="527"/>
        <v>99.279711884753894</v>
      </c>
      <c r="Y1883" s="35" t="s">
        <v>58</v>
      </c>
      <c r="Z1883" s="54">
        <f t="shared" si="512"/>
        <v>1</v>
      </c>
      <c r="AA1883" s="40">
        <f t="shared" si="523"/>
        <v>20675000</v>
      </c>
      <c r="AB1883" s="53"/>
      <c r="AC1883" s="35" t="s">
        <v>58</v>
      </c>
      <c r="AD1883" s="53"/>
      <c r="AE1883" s="11"/>
      <c r="AH1883" s="25"/>
    </row>
    <row r="1884" spans="1:34" ht="165">
      <c r="A1884" s="16"/>
      <c r="B1884" s="17"/>
      <c r="C1884" s="436" t="s">
        <v>2510</v>
      </c>
      <c r="D1884" s="29" t="s">
        <v>2511</v>
      </c>
      <c r="E1884" s="20">
        <v>3</v>
      </c>
      <c r="F1884" s="21" t="s">
        <v>173</v>
      </c>
      <c r="G1884" s="23"/>
      <c r="H1884" s="20"/>
      <c r="I1884" s="23"/>
      <c r="J1884" s="20">
        <v>1</v>
      </c>
      <c r="K1884" s="23">
        <v>25507500</v>
      </c>
      <c r="L1884" s="20">
        <v>0</v>
      </c>
      <c r="M1884" s="23">
        <v>12491100</v>
      </c>
      <c r="N1884" s="20">
        <v>0</v>
      </c>
      <c r="O1884" s="23">
        <v>0</v>
      </c>
      <c r="P1884" s="20">
        <v>0</v>
      </c>
      <c r="Q1884" s="23">
        <v>2956400</v>
      </c>
      <c r="R1884" s="20">
        <v>1</v>
      </c>
      <c r="S1884" s="23">
        <v>10000000</v>
      </c>
      <c r="T1884" s="54">
        <f t="shared" si="524"/>
        <v>1</v>
      </c>
      <c r="U1884" s="54">
        <f t="shared" si="525"/>
        <v>100</v>
      </c>
      <c r="V1884" s="35" t="s">
        <v>58</v>
      </c>
      <c r="W1884" s="40">
        <f t="shared" si="526"/>
        <v>25447500</v>
      </c>
      <c r="X1884" s="54">
        <f t="shared" si="527"/>
        <v>99.764775066157014</v>
      </c>
      <c r="Y1884" s="35" t="s">
        <v>58</v>
      </c>
      <c r="Z1884" s="54">
        <f t="shared" si="512"/>
        <v>1</v>
      </c>
      <c r="AA1884" s="40">
        <f t="shared" si="523"/>
        <v>25447500</v>
      </c>
      <c r="AB1884" s="53"/>
      <c r="AC1884" s="35" t="s">
        <v>58</v>
      </c>
      <c r="AD1884" s="53"/>
      <c r="AE1884" s="11"/>
      <c r="AH1884" s="25"/>
    </row>
    <row r="1885" spans="1:34" s="834" customFormat="1" ht="180">
      <c r="A1885" s="16"/>
      <c r="B1885" s="17"/>
      <c r="C1885" s="806" t="s">
        <v>2512</v>
      </c>
      <c r="D1885" s="113" t="s">
        <v>2513</v>
      </c>
      <c r="E1885" s="20"/>
      <c r="F1885" s="21" t="s">
        <v>1307</v>
      </c>
      <c r="G1885" s="23"/>
      <c r="H1885" s="20"/>
      <c r="I1885" s="23">
        <v>6927000</v>
      </c>
      <c r="J1885" s="20"/>
      <c r="K1885" s="23"/>
      <c r="L1885" s="20"/>
      <c r="M1885" s="23"/>
      <c r="N1885" s="20"/>
      <c r="O1885" s="23"/>
      <c r="P1885" s="20"/>
      <c r="Q1885" s="23"/>
      <c r="R1885" s="20"/>
      <c r="S1885" s="23"/>
      <c r="T1885" s="54"/>
      <c r="U1885" s="54"/>
      <c r="V1885" s="35"/>
      <c r="W1885" s="40"/>
      <c r="X1885" s="54"/>
      <c r="Y1885" s="35"/>
      <c r="Z1885" s="54">
        <f t="shared" si="512"/>
        <v>0</v>
      </c>
      <c r="AA1885" s="40">
        <f t="shared" si="523"/>
        <v>6927000</v>
      </c>
      <c r="AB1885" s="53"/>
      <c r="AC1885" s="35" t="s">
        <v>58</v>
      </c>
      <c r="AD1885" s="53"/>
      <c r="AE1885" s="11"/>
      <c r="AH1885" s="582"/>
    </row>
    <row r="1886" spans="1:34" s="834" customFormat="1" ht="210">
      <c r="A1886" s="16"/>
      <c r="B1886" s="17"/>
      <c r="C1886" s="806" t="s">
        <v>2514</v>
      </c>
      <c r="D1886" s="113" t="s">
        <v>2515</v>
      </c>
      <c r="E1886" s="20"/>
      <c r="F1886" s="21" t="s">
        <v>55</v>
      </c>
      <c r="G1886" s="23"/>
      <c r="H1886" s="20"/>
      <c r="I1886" s="23">
        <v>31341100</v>
      </c>
      <c r="J1886" s="20"/>
      <c r="K1886" s="23"/>
      <c r="L1886" s="20"/>
      <c r="M1886" s="23"/>
      <c r="N1886" s="20"/>
      <c r="O1886" s="23"/>
      <c r="P1886" s="20"/>
      <c r="Q1886" s="23"/>
      <c r="R1886" s="20"/>
      <c r="S1886" s="23"/>
      <c r="T1886" s="54"/>
      <c r="U1886" s="54"/>
      <c r="V1886" s="35"/>
      <c r="W1886" s="40"/>
      <c r="X1886" s="54"/>
      <c r="Y1886" s="35"/>
      <c r="Z1886" s="54">
        <f t="shared" si="512"/>
        <v>0</v>
      </c>
      <c r="AA1886" s="40">
        <f t="shared" si="523"/>
        <v>31341100</v>
      </c>
      <c r="AB1886" s="53"/>
      <c r="AC1886" s="35" t="s">
        <v>58</v>
      </c>
      <c r="AD1886" s="53"/>
      <c r="AE1886" s="11"/>
      <c r="AH1886" s="582"/>
    </row>
    <row r="1887" spans="1:34" ht="180">
      <c r="A1887" s="16"/>
      <c r="B1887" s="17"/>
      <c r="C1887" s="806" t="s">
        <v>2516</v>
      </c>
      <c r="D1887" s="113" t="s">
        <v>2517</v>
      </c>
      <c r="E1887" s="20"/>
      <c r="F1887" s="21" t="s">
        <v>1307</v>
      </c>
      <c r="G1887" s="23"/>
      <c r="H1887" s="20"/>
      <c r="I1887" s="23">
        <v>14942300</v>
      </c>
      <c r="J1887" s="20"/>
      <c r="K1887" s="23"/>
      <c r="L1887" s="20"/>
      <c r="M1887" s="23"/>
      <c r="N1887" s="20"/>
      <c r="O1887" s="23"/>
      <c r="P1887" s="20"/>
      <c r="Q1887" s="23"/>
      <c r="R1887" s="20"/>
      <c r="S1887" s="23"/>
      <c r="T1887" s="54"/>
      <c r="U1887" s="54"/>
      <c r="V1887" s="35"/>
      <c r="W1887" s="40"/>
      <c r="X1887" s="53"/>
      <c r="Y1887" s="35"/>
      <c r="Z1887" s="54">
        <f t="shared" si="512"/>
        <v>0</v>
      </c>
      <c r="AA1887" s="40">
        <f t="shared" si="523"/>
        <v>14942300</v>
      </c>
      <c r="AB1887" s="53"/>
      <c r="AC1887" s="35" t="s">
        <v>58</v>
      </c>
      <c r="AD1887" s="53"/>
      <c r="AE1887" s="11"/>
      <c r="AH1887" s="25"/>
    </row>
    <row r="1888" spans="1:34" ht="126">
      <c r="A1888" s="16"/>
      <c r="B1888" s="17"/>
      <c r="C1888" s="18" t="s">
        <v>2518</v>
      </c>
      <c r="D1888" s="19" t="s">
        <v>2519</v>
      </c>
      <c r="E1888" s="45">
        <v>6</v>
      </c>
      <c r="F1888" s="76" t="s">
        <v>2507</v>
      </c>
      <c r="G1888" s="42">
        <f>SUM(G1891)</f>
        <v>0</v>
      </c>
      <c r="H1888" s="45"/>
      <c r="I1888" s="42">
        <f>SUM(I1891)</f>
        <v>7674000</v>
      </c>
      <c r="J1888" s="45">
        <v>2</v>
      </c>
      <c r="K1888" s="42">
        <f>SUM(K1889:K1890)</f>
        <v>28900000</v>
      </c>
      <c r="L1888" s="45">
        <v>0</v>
      </c>
      <c r="M1888" s="42">
        <f>SUM(M1891)</f>
        <v>0</v>
      </c>
      <c r="N1888" s="45">
        <v>0</v>
      </c>
      <c r="O1888" s="42">
        <f>SUM(O1891)</f>
        <v>0</v>
      </c>
      <c r="P1888" s="45">
        <v>0</v>
      </c>
      <c r="Q1888" s="42">
        <f>SUM(Q1891)</f>
        <v>0</v>
      </c>
      <c r="R1888" s="45">
        <v>2</v>
      </c>
      <c r="S1888" s="42">
        <f>SUM(S1891)</f>
        <v>0</v>
      </c>
      <c r="T1888" s="55">
        <f>SUM(L1888,N1888,P1888,R1888)</f>
        <v>2</v>
      </c>
      <c r="U1888" s="55">
        <f>T1888/J1888*100</f>
        <v>100</v>
      </c>
      <c r="V1888" s="58" t="s">
        <v>58</v>
      </c>
      <c r="W1888" s="59">
        <f>SUM(M1888,O1888,Q1888,S1888)</f>
        <v>0</v>
      </c>
      <c r="X1888" s="57">
        <f>W1888/K1888*100</f>
        <v>0</v>
      </c>
      <c r="Y1888" s="58" t="s">
        <v>58</v>
      </c>
      <c r="Z1888" s="55">
        <f t="shared" si="512"/>
        <v>2</v>
      </c>
      <c r="AA1888" s="59">
        <f t="shared" si="523"/>
        <v>7674000</v>
      </c>
      <c r="AB1888" s="57"/>
      <c r="AC1888" s="58" t="s">
        <v>58</v>
      </c>
      <c r="AD1888" s="57"/>
      <c r="AE1888" s="77"/>
      <c r="AH1888" s="25"/>
    </row>
    <row r="1889" spans="1:34" ht="165">
      <c r="A1889" s="16"/>
      <c r="B1889" s="17"/>
      <c r="C1889" s="436" t="s">
        <v>2520</v>
      </c>
      <c r="D1889" s="29" t="s">
        <v>2521</v>
      </c>
      <c r="E1889" s="20">
        <v>3</v>
      </c>
      <c r="F1889" s="21" t="s">
        <v>173</v>
      </c>
      <c r="G1889" s="23"/>
      <c r="H1889" s="20"/>
      <c r="I1889" s="23"/>
      <c r="J1889" s="20">
        <v>1</v>
      </c>
      <c r="K1889" s="23">
        <v>13625000</v>
      </c>
      <c r="L1889" s="20">
        <v>0</v>
      </c>
      <c r="M1889" s="23">
        <v>0</v>
      </c>
      <c r="N1889" s="20">
        <v>0</v>
      </c>
      <c r="O1889" s="23">
        <v>0</v>
      </c>
      <c r="P1889" s="20">
        <v>0</v>
      </c>
      <c r="Q1889" s="23">
        <v>9753000</v>
      </c>
      <c r="R1889" s="20">
        <v>1</v>
      </c>
      <c r="S1889" s="23">
        <v>3572000</v>
      </c>
      <c r="T1889" s="54">
        <f>SUM(L1889,N1889,P1889,R1889)</f>
        <v>1</v>
      </c>
      <c r="U1889" s="54">
        <f>T1889/J1889*100</f>
        <v>100</v>
      </c>
      <c r="V1889" s="35" t="s">
        <v>58</v>
      </c>
      <c r="W1889" s="40">
        <f>SUM(M1889,O1889,Q1889,S1889)</f>
        <v>13325000</v>
      </c>
      <c r="X1889" s="53">
        <f>W1889/K1889*100</f>
        <v>97.798165137614674</v>
      </c>
      <c r="Y1889" s="35" t="s">
        <v>58</v>
      </c>
      <c r="Z1889" s="54">
        <f t="shared" si="512"/>
        <v>1</v>
      </c>
      <c r="AA1889" s="40">
        <f t="shared" si="523"/>
        <v>13325000</v>
      </c>
      <c r="AB1889" s="53"/>
      <c r="AC1889" s="35" t="s">
        <v>58</v>
      </c>
      <c r="AD1889" s="53"/>
      <c r="AE1889" s="11"/>
      <c r="AH1889" s="25"/>
    </row>
    <row r="1890" spans="1:34" s="834" customFormat="1" ht="111" customHeight="1">
      <c r="A1890" s="16"/>
      <c r="B1890" s="17"/>
      <c r="C1890" s="436" t="s">
        <v>2522</v>
      </c>
      <c r="D1890" s="29" t="s">
        <v>2523</v>
      </c>
      <c r="E1890" s="20">
        <v>3</v>
      </c>
      <c r="F1890" s="21" t="s">
        <v>173</v>
      </c>
      <c r="G1890" s="23"/>
      <c r="H1890" s="20"/>
      <c r="I1890" s="23"/>
      <c r="J1890" s="20">
        <v>1</v>
      </c>
      <c r="K1890" s="23">
        <v>15275000</v>
      </c>
      <c r="L1890" s="20">
        <v>0</v>
      </c>
      <c r="M1890" s="23">
        <v>0</v>
      </c>
      <c r="N1890" s="20">
        <v>0</v>
      </c>
      <c r="O1890" s="23">
        <v>0</v>
      </c>
      <c r="P1890" s="20">
        <v>0</v>
      </c>
      <c r="Q1890" s="23">
        <v>8405100</v>
      </c>
      <c r="R1890" s="20">
        <v>1</v>
      </c>
      <c r="S1890" s="23">
        <v>6619900</v>
      </c>
      <c r="T1890" s="54">
        <f>SUM(L1890,N1890,P1890,R1890)</f>
        <v>1</v>
      </c>
      <c r="U1890" s="54">
        <f>T1890/J1890*100</f>
        <v>100</v>
      </c>
      <c r="V1890" s="35" t="s">
        <v>58</v>
      </c>
      <c r="W1890" s="40">
        <f>SUM(M1890,O1890,Q1890,S1890)</f>
        <v>15025000</v>
      </c>
      <c r="X1890" s="53">
        <f>W1890/K1890*100</f>
        <v>98.363338788870706</v>
      </c>
      <c r="Y1890" s="35" t="s">
        <v>58</v>
      </c>
      <c r="Z1890" s="54">
        <f t="shared" si="512"/>
        <v>1</v>
      </c>
      <c r="AA1890" s="40">
        <f t="shared" si="523"/>
        <v>15025000</v>
      </c>
      <c r="AB1890" s="53"/>
      <c r="AC1890" s="35" t="s">
        <v>58</v>
      </c>
      <c r="AD1890" s="53"/>
      <c r="AE1890" s="11"/>
      <c r="AH1890" s="582"/>
    </row>
    <row r="1891" spans="1:34" ht="156.75" customHeight="1">
      <c r="A1891" s="16"/>
      <c r="B1891" s="17"/>
      <c r="C1891" s="806" t="s">
        <v>2524</v>
      </c>
      <c r="D1891" s="113" t="s">
        <v>2525</v>
      </c>
      <c r="E1891" s="20"/>
      <c r="F1891" s="47" t="s">
        <v>1307</v>
      </c>
      <c r="G1891" s="23"/>
      <c r="H1891" s="20"/>
      <c r="I1891" s="23">
        <v>7674000</v>
      </c>
      <c r="J1891" s="20"/>
      <c r="K1891" s="23"/>
      <c r="L1891" s="20"/>
      <c r="M1891" s="23"/>
      <c r="N1891" s="20"/>
      <c r="O1891" s="23"/>
      <c r="P1891" s="20"/>
      <c r="Q1891" s="23"/>
      <c r="R1891" s="20"/>
      <c r="S1891" s="23"/>
      <c r="T1891" s="54"/>
      <c r="U1891" s="54"/>
      <c r="V1891" s="35"/>
      <c r="W1891" s="40"/>
      <c r="X1891" s="53"/>
      <c r="Y1891" s="35"/>
      <c r="Z1891" s="54">
        <f t="shared" si="512"/>
        <v>0</v>
      </c>
      <c r="AA1891" s="40">
        <f t="shared" si="523"/>
        <v>7674000</v>
      </c>
      <c r="AB1891" s="53"/>
      <c r="AC1891" s="35" t="s">
        <v>58</v>
      </c>
      <c r="AD1891" s="53"/>
      <c r="AE1891" s="11"/>
      <c r="AH1891" s="25"/>
    </row>
    <row r="1892" spans="1:34" s="78" customFormat="1" ht="108.75" customHeight="1">
      <c r="A1892" s="16"/>
      <c r="B1892" s="17"/>
      <c r="C1892" s="18" t="s">
        <v>2526</v>
      </c>
      <c r="D1892" s="19" t="s">
        <v>2527</v>
      </c>
      <c r="E1892" s="45">
        <v>6</v>
      </c>
      <c r="F1892" s="76" t="s">
        <v>2507</v>
      </c>
      <c r="G1892" s="42">
        <f>SUM(G1895:G1896)</f>
        <v>0</v>
      </c>
      <c r="H1892" s="45"/>
      <c r="I1892" s="42">
        <f>SUM(I1895:I1896)</f>
        <v>35664402</v>
      </c>
      <c r="J1892" s="45">
        <v>2</v>
      </c>
      <c r="K1892" s="42">
        <f>SUM(K1895:K1896)</f>
        <v>0</v>
      </c>
      <c r="L1892" s="45">
        <f>L1895</f>
        <v>0</v>
      </c>
      <c r="M1892" s="42">
        <f>SUM(M1895:M1896)</f>
        <v>0</v>
      </c>
      <c r="N1892" s="45">
        <f>N1895</f>
        <v>0</v>
      </c>
      <c r="O1892" s="42">
        <f>SUM(O1895:O1896)</f>
        <v>0</v>
      </c>
      <c r="P1892" s="45">
        <f>P1895</f>
        <v>0</v>
      </c>
      <c r="Q1892" s="42">
        <f>SUM(Q1895:Q1896)</f>
        <v>0</v>
      </c>
      <c r="R1892" s="45">
        <v>2</v>
      </c>
      <c r="S1892" s="42">
        <f>SUM(S1895:S1896)</f>
        <v>0</v>
      </c>
      <c r="T1892" s="55">
        <f>SUM(L1892,N1892,P1892,R1892)</f>
        <v>2</v>
      </c>
      <c r="U1892" s="55">
        <f>T1892/J1892*100</f>
        <v>100</v>
      </c>
      <c r="V1892" s="58" t="s">
        <v>58</v>
      </c>
      <c r="W1892" s="59">
        <f>SUM(M1892,O1892,Q1892,S1892)</f>
        <v>0</v>
      </c>
      <c r="X1892" s="57" t="e">
        <f>W1892/K1892*100</f>
        <v>#DIV/0!</v>
      </c>
      <c r="Y1892" s="58" t="s">
        <v>58</v>
      </c>
      <c r="Z1892" s="55">
        <f t="shared" si="512"/>
        <v>2</v>
      </c>
      <c r="AA1892" s="59">
        <f t="shared" si="523"/>
        <v>35664402</v>
      </c>
      <c r="AB1892" s="57"/>
      <c r="AC1892" s="58" t="s">
        <v>58</v>
      </c>
      <c r="AD1892" s="57"/>
      <c r="AE1892" s="77"/>
      <c r="AH1892" s="79"/>
    </row>
    <row r="1893" spans="1:34" s="78" customFormat="1" ht="93" customHeight="1">
      <c r="A1893" s="16"/>
      <c r="B1893" s="17"/>
      <c r="C1893" s="436" t="s">
        <v>2528</v>
      </c>
      <c r="D1893" s="29" t="s">
        <v>2529</v>
      </c>
      <c r="E1893" s="20">
        <v>3</v>
      </c>
      <c r="F1893" s="21" t="s">
        <v>173</v>
      </c>
      <c r="G1893" s="23"/>
      <c r="H1893" s="20"/>
      <c r="I1893" s="23"/>
      <c r="J1893" s="20">
        <f>J1894</f>
        <v>1</v>
      </c>
      <c r="K1893" s="23">
        <v>22175000</v>
      </c>
      <c r="L1893" s="20">
        <f>L1894</f>
        <v>0</v>
      </c>
      <c r="M1893" s="23">
        <v>7386100</v>
      </c>
      <c r="N1893" s="20">
        <f>N1894</f>
        <v>0</v>
      </c>
      <c r="O1893" s="23">
        <v>0</v>
      </c>
      <c r="P1893" s="20">
        <f>P1894</f>
        <v>0</v>
      </c>
      <c r="Q1893" s="23">
        <v>6825700</v>
      </c>
      <c r="R1893" s="20">
        <v>1</v>
      </c>
      <c r="S1893" s="23">
        <v>7713200</v>
      </c>
      <c r="T1893" s="54">
        <f>SUM(L1893,N1893,P1893,R1893)</f>
        <v>1</v>
      </c>
      <c r="U1893" s="54">
        <f>T1893/J1893*100</f>
        <v>100</v>
      </c>
      <c r="V1893" s="35" t="s">
        <v>58</v>
      </c>
      <c r="W1893" s="40">
        <f>SUM(M1893,O1893,Q1893,S1893)</f>
        <v>21925000</v>
      </c>
      <c r="X1893" s="54">
        <f>W1893/K1893*100</f>
        <v>98.872604284103716</v>
      </c>
      <c r="Y1893" s="35" t="s">
        <v>58</v>
      </c>
      <c r="Z1893" s="54">
        <f t="shared" si="512"/>
        <v>1</v>
      </c>
      <c r="AA1893" s="40">
        <f t="shared" si="523"/>
        <v>21925000</v>
      </c>
      <c r="AB1893" s="53"/>
      <c r="AC1893" s="35" t="s">
        <v>58</v>
      </c>
      <c r="AD1893" s="53"/>
      <c r="AE1893" s="11"/>
      <c r="AH1893" s="79"/>
    </row>
    <row r="1894" spans="1:34" s="78" customFormat="1" ht="87" customHeight="1">
      <c r="A1894" s="16"/>
      <c r="B1894" s="17"/>
      <c r="C1894" s="436" t="s">
        <v>2530</v>
      </c>
      <c r="D1894" s="29" t="s">
        <v>2531</v>
      </c>
      <c r="E1894" s="20">
        <v>3</v>
      </c>
      <c r="F1894" s="21" t="s">
        <v>173</v>
      </c>
      <c r="G1894" s="23"/>
      <c r="H1894" s="20"/>
      <c r="I1894" s="23"/>
      <c r="J1894" s="20">
        <v>1</v>
      </c>
      <c r="K1894" s="23">
        <v>23325000</v>
      </c>
      <c r="L1894" s="20">
        <v>0</v>
      </c>
      <c r="M1894" s="23">
        <v>5285200</v>
      </c>
      <c r="N1894" s="20">
        <v>0</v>
      </c>
      <c r="O1894" s="23">
        <v>9214700</v>
      </c>
      <c r="P1894" s="20">
        <v>0</v>
      </c>
      <c r="Q1894" s="23">
        <v>1687600</v>
      </c>
      <c r="R1894" s="20">
        <v>1</v>
      </c>
      <c r="S1894" s="23">
        <v>4487500</v>
      </c>
      <c r="T1894" s="20">
        <v>1</v>
      </c>
      <c r="U1894" s="54">
        <f>T1894/J1894*100</f>
        <v>100</v>
      </c>
      <c r="V1894" s="35" t="s">
        <v>58</v>
      </c>
      <c r="W1894" s="40">
        <f>SUM(M1894,O1894,Q1894,S1894)</f>
        <v>20675000</v>
      </c>
      <c r="X1894" s="53">
        <f>W1894/K1894*100</f>
        <v>88.638799571275456</v>
      </c>
      <c r="Y1894" s="35" t="s">
        <v>58</v>
      </c>
      <c r="Z1894" s="20">
        <v>1</v>
      </c>
      <c r="AA1894" s="40">
        <f t="shared" si="523"/>
        <v>20675000</v>
      </c>
      <c r="AB1894" s="53"/>
      <c r="AC1894" s="35" t="s">
        <v>58</v>
      </c>
      <c r="AD1894" s="53"/>
      <c r="AE1894" s="11"/>
      <c r="AH1894" s="79"/>
    </row>
    <row r="1895" spans="1:34" s="78" customFormat="1" ht="162.75" customHeight="1">
      <c r="A1895" s="16"/>
      <c r="B1895" s="17"/>
      <c r="C1895" s="806" t="s">
        <v>2532</v>
      </c>
      <c r="D1895" s="113" t="s">
        <v>2533</v>
      </c>
      <c r="E1895" s="20"/>
      <c r="F1895" s="47" t="s">
        <v>55</v>
      </c>
      <c r="G1895" s="23"/>
      <c r="H1895" s="20"/>
      <c r="I1895" s="23">
        <v>30190602</v>
      </c>
      <c r="J1895" s="20"/>
      <c r="K1895" s="23"/>
      <c r="L1895" s="20"/>
      <c r="M1895" s="23"/>
      <c r="N1895" s="20"/>
      <c r="O1895" s="23"/>
      <c r="P1895" s="20"/>
      <c r="Q1895" s="23"/>
      <c r="R1895" s="20"/>
      <c r="S1895" s="23"/>
      <c r="T1895" s="54"/>
      <c r="U1895" s="54"/>
      <c r="V1895" s="35"/>
      <c r="W1895" s="40"/>
      <c r="X1895" s="54"/>
      <c r="Y1895" s="35"/>
      <c r="Z1895" s="54">
        <f>SUM(H1895,T1895)</f>
        <v>0</v>
      </c>
      <c r="AA1895" s="40">
        <f t="shared" si="523"/>
        <v>30190602</v>
      </c>
      <c r="AB1895" s="53"/>
      <c r="AC1895" s="35" t="s">
        <v>58</v>
      </c>
      <c r="AD1895" s="53"/>
      <c r="AE1895" s="11"/>
      <c r="AH1895" s="79"/>
    </row>
    <row r="1896" spans="1:34" ht="60" customHeight="1">
      <c r="A1896" s="16"/>
      <c r="B1896" s="17"/>
      <c r="C1896" s="806" t="s">
        <v>2534</v>
      </c>
      <c r="D1896" s="113" t="s">
        <v>2525</v>
      </c>
      <c r="E1896" s="20"/>
      <c r="F1896" s="47" t="s">
        <v>1307</v>
      </c>
      <c r="G1896" s="23"/>
      <c r="H1896" s="20"/>
      <c r="I1896" s="23">
        <v>5473800</v>
      </c>
      <c r="J1896" s="20"/>
      <c r="K1896" s="23"/>
      <c r="L1896" s="20"/>
      <c r="M1896" s="23"/>
      <c r="N1896" s="20"/>
      <c r="O1896" s="23"/>
      <c r="P1896" s="20"/>
      <c r="Q1896" s="23"/>
      <c r="R1896" s="20"/>
      <c r="S1896" s="23"/>
      <c r="T1896" s="20"/>
      <c r="U1896" s="54"/>
      <c r="V1896" s="35"/>
      <c r="W1896" s="40"/>
      <c r="X1896" s="53"/>
      <c r="Y1896" s="35"/>
      <c r="Z1896" s="20">
        <v>1</v>
      </c>
      <c r="AA1896" s="40">
        <f t="shared" si="523"/>
        <v>5473800</v>
      </c>
      <c r="AB1896" s="53"/>
      <c r="AC1896" s="35" t="s">
        <v>58</v>
      </c>
      <c r="AD1896" s="53"/>
      <c r="AE1896" s="11"/>
      <c r="AH1896" s="25"/>
    </row>
    <row r="1897" spans="1:34" ht="82.5" customHeight="1">
      <c r="A1897" s="16"/>
      <c r="B1897" s="17" t="s">
        <v>2535</v>
      </c>
      <c r="C1897" s="18" t="s">
        <v>2536</v>
      </c>
      <c r="D1897" s="19" t="s">
        <v>2537</v>
      </c>
      <c r="E1897" s="294">
        <v>64.89</v>
      </c>
      <c r="F1897" s="76" t="s">
        <v>2538</v>
      </c>
      <c r="G1897" s="42">
        <f>G1900</f>
        <v>0</v>
      </c>
      <c r="H1897" s="45">
        <v>61.83</v>
      </c>
      <c r="I1897" s="42">
        <f>I1900</f>
        <v>263221900</v>
      </c>
      <c r="J1897" s="294">
        <v>62.47</v>
      </c>
      <c r="K1897" s="42">
        <f>K1900</f>
        <v>293190850</v>
      </c>
      <c r="L1897" s="45">
        <v>0</v>
      </c>
      <c r="M1897" s="42">
        <f>M1900</f>
        <v>70402300</v>
      </c>
      <c r="N1897" s="45">
        <v>0</v>
      </c>
      <c r="O1897" s="42">
        <f>O1900</f>
        <v>164454350</v>
      </c>
      <c r="P1897" s="45">
        <v>0</v>
      </c>
      <c r="Q1897" s="42">
        <f>Q1900</f>
        <v>27545200</v>
      </c>
      <c r="R1897" s="45">
        <v>0</v>
      </c>
      <c r="S1897" s="42">
        <f>S1900</f>
        <v>28459900</v>
      </c>
      <c r="T1897" s="55">
        <f t="shared" ref="T1897:T1902" si="528">SUM(L1897,N1897,P1897,R1897)</f>
        <v>0</v>
      </c>
      <c r="U1897" s="55">
        <f t="shared" ref="U1897:U1902" si="529">T1897/J1897*100</f>
        <v>0</v>
      </c>
      <c r="V1897" s="58" t="s">
        <v>58</v>
      </c>
      <c r="W1897" s="59">
        <f t="shared" ref="W1897:W1902" si="530">SUM(M1897,O1897,Q1897,S1897)</f>
        <v>290861750</v>
      </c>
      <c r="X1897" s="57">
        <f t="shared" ref="X1897:X1902" si="531">W1897/K1897*100</f>
        <v>99.205602766934916</v>
      </c>
      <c r="Y1897" s="58" t="s">
        <v>58</v>
      </c>
      <c r="Z1897" s="55">
        <f t="shared" ref="Z1897:Z1902" si="532">SUM(H1897,T1897)</f>
        <v>61.83</v>
      </c>
      <c r="AA1897" s="59">
        <f t="shared" si="523"/>
        <v>554083650</v>
      </c>
      <c r="AB1897" s="57"/>
      <c r="AC1897" s="58" t="s">
        <v>58</v>
      </c>
      <c r="AD1897" s="57"/>
      <c r="AE1897" s="77"/>
      <c r="AH1897" s="25"/>
    </row>
    <row r="1898" spans="1:34" ht="50.25" customHeight="1">
      <c r="A1898" s="16"/>
      <c r="B1898" s="17"/>
      <c r="C1898" s="18" t="s">
        <v>2539</v>
      </c>
      <c r="D1898" s="19"/>
      <c r="E1898" s="45"/>
      <c r="F1898" s="46"/>
      <c r="G1898" s="42">
        <f>SUM(G1899:G1900)</f>
        <v>0</v>
      </c>
      <c r="H1898" s="45"/>
      <c r="I1898" s="42">
        <f>SUM(I1899:I1900)</f>
        <v>263221900</v>
      </c>
      <c r="J1898" s="45">
        <f>J1900</f>
        <v>1</v>
      </c>
      <c r="K1898" s="42">
        <f>SUM(K1899:K1900)</f>
        <v>322077400</v>
      </c>
      <c r="L1898" s="45">
        <f>L1900</f>
        <v>0</v>
      </c>
      <c r="M1898" s="42">
        <f>SUM(M1899:M1900)</f>
        <v>70402300</v>
      </c>
      <c r="N1898" s="45">
        <f>N1900</f>
        <v>0</v>
      </c>
      <c r="O1898" s="42">
        <f>SUM(O1899:O1900)</f>
        <v>168896850</v>
      </c>
      <c r="P1898" s="45">
        <f>P1900</f>
        <v>0</v>
      </c>
      <c r="Q1898" s="42">
        <f>SUM(Q1899:Q1900)</f>
        <v>34895400</v>
      </c>
      <c r="R1898" s="45">
        <v>1</v>
      </c>
      <c r="S1898" s="42">
        <f>SUM(S1899:S1900)</f>
        <v>45205900</v>
      </c>
      <c r="T1898" s="55">
        <f t="shared" si="528"/>
        <v>1</v>
      </c>
      <c r="U1898" s="55">
        <f t="shared" si="529"/>
        <v>100</v>
      </c>
      <c r="V1898" s="58" t="s">
        <v>58</v>
      </c>
      <c r="W1898" s="59">
        <f t="shared" si="530"/>
        <v>319400450</v>
      </c>
      <c r="X1898" s="57">
        <f t="shared" si="531"/>
        <v>99.168848854343707</v>
      </c>
      <c r="Y1898" s="58" t="s">
        <v>58</v>
      </c>
      <c r="Z1898" s="55">
        <f t="shared" si="532"/>
        <v>1</v>
      </c>
      <c r="AA1898" s="59">
        <f t="shared" si="523"/>
        <v>582622350</v>
      </c>
      <c r="AB1898" s="57"/>
      <c r="AC1898" s="58" t="s">
        <v>58</v>
      </c>
      <c r="AD1898" s="57"/>
      <c r="AE1898" s="77"/>
      <c r="AH1898" s="25"/>
    </row>
    <row r="1899" spans="1:34" ht="98.25" customHeight="1">
      <c r="A1899" s="16"/>
      <c r="B1899" s="17" t="s">
        <v>2540</v>
      </c>
      <c r="C1899" s="26" t="s">
        <v>2541</v>
      </c>
      <c r="D1899" s="29" t="s">
        <v>2542</v>
      </c>
      <c r="E1899" s="20"/>
      <c r="F1899" s="21" t="s">
        <v>173</v>
      </c>
      <c r="G1899" s="23"/>
      <c r="H1899" s="20"/>
      <c r="I1899" s="23"/>
      <c r="J1899" s="20">
        <v>1</v>
      </c>
      <c r="K1899" s="23">
        <v>28886550</v>
      </c>
      <c r="L1899" s="20">
        <v>0</v>
      </c>
      <c r="M1899" s="23">
        <v>0</v>
      </c>
      <c r="N1899" s="20">
        <v>0</v>
      </c>
      <c r="O1899" s="23">
        <v>4442500</v>
      </c>
      <c r="P1899" s="20">
        <v>0</v>
      </c>
      <c r="Q1899" s="23">
        <v>7350200</v>
      </c>
      <c r="R1899" s="20">
        <v>1</v>
      </c>
      <c r="S1899" s="23">
        <v>16746000</v>
      </c>
      <c r="T1899" s="54">
        <f t="shared" si="528"/>
        <v>1</v>
      </c>
      <c r="U1899" s="54">
        <f t="shared" si="529"/>
        <v>100</v>
      </c>
      <c r="V1899" s="35" t="s">
        <v>58</v>
      </c>
      <c r="W1899" s="40">
        <f t="shared" si="530"/>
        <v>28538700</v>
      </c>
      <c r="X1899" s="53">
        <f t="shared" si="531"/>
        <v>98.795806352783572</v>
      </c>
      <c r="Y1899" s="35" t="s">
        <v>58</v>
      </c>
      <c r="Z1899" s="54">
        <f t="shared" si="532"/>
        <v>1</v>
      </c>
      <c r="AA1899" s="40">
        <f t="shared" si="523"/>
        <v>28538700</v>
      </c>
      <c r="AB1899" s="53"/>
      <c r="AC1899" s="35" t="s">
        <v>58</v>
      </c>
      <c r="AD1899" s="53"/>
      <c r="AE1899" s="11"/>
      <c r="AH1899" s="25"/>
    </row>
    <row r="1900" spans="1:34" ht="63">
      <c r="A1900" s="16"/>
      <c r="B1900" s="17"/>
      <c r="C1900" s="18" t="s">
        <v>2543</v>
      </c>
      <c r="D1900" s="19" t="s">
        <v>2544</v>
      </c>
      <c r="E1900" s="45"/>
      <c r="F1900" s="46"/>
      <c r="G1900" s="42">
        <f>SUM(G1901:G1902)</f>
        <v>0</v>
      </c>
      <c r="H1900" s="45"/>
      <c r="I1900" s="42">
        <f>SUM(I1901:I1902)</f>
        <v>263221900</v>
      </c>
      <c r="J1900" s="45">
        <v>1</v>
      </c>
      <c r="K1900" s="42">
        <f>SUM(K1901:K1902)</f>
        <v>293190850</v>
      </c>
      <c r="L1900" s="45">
        <f>L1902</f>
        <v>0</v>
      </c>
      <c r="M1900" s="42">
        <f>SUM(M1901:M1902)</f>
        <v>70402300</v>
      </c>
      <c r="N1900" s="45">
        <f>N1902</f>
        <v>0</v>
      </c>
      <c r="O1900" s="42">
        <f>SUM(O1901:O1902)</f>
        <v>164454350</v>
      </c>
      <c r="P1900" s="45">
        <f>P1902</f>
        <v>0</v>
      </c>
      <c r="Q1900" s="42">
        <f>SUM(Q1901:Q1902)</f>
        <v>27545200</v>
      </c>
      <c r="R1900" s="45">
        <v>1</v>
      </c>
      <c r="S1900" s="42">
        <f>SUM(S1901:S1902)</f>
        <v>28459900</v>
      </c>
      <c r="T1900" s="55">
        <f t="shared" si="528"/>
        <v>1</v>
      </c>
      <c r="U1900" s="55">
        <f t="shared" si="529"/>
        <v>100</v>
      </c>
      <c r="V1900" s="58" t="s">
        <v>58</v>
      </c>
      <c r="W1900" s="59">
        <f t="shared" si="530"/>
        <v>290861750</v>
      </c>
      <c r="X1900" s="57">
        <f t="shared" si="531"/>
        <v>99.205602766934916</v>
      </c>
      <c r="Y1900" s="58" t="s">
        <v>58</v>
      </c>
      <c r="Z1900" s="55">
        <f t="shared" si="532"/>
        <v>1</v>
      </c>
      <c r="AA1900" s="59">
        <f t="shared" si="523"/>
        <v>554083650</v>
      </c>
      <c r="AB1900" s="57"/>
      <c r="AC1900" s="58" t="s">
        <v>58</v>
      </c>
      <c r="AD1900" s="57"/>
      <c r="AE1900" s="77"/>
      <c r="AH1900" s="25"/>
    </row>
    <row r="1901" spans="1:34" ht="210">
      <c r="A1901" s="16"/>
      <c r="B1901" s="17" t="s">
        <v>2540</v>
      </c>
      <c r="C1901" s="26" t="s">
        <v>2545</v>
      </c>
      <c r="D1901" s="29" t="s">
        <v>2546</v>
      </c>
      <c r="E1901" s="20"/>
      <c r="F1901" s="21" t="s">
        <v>173</v>
      </c>
      <c r="G1901" s="23"/>
      <c r="H1901" s="20"/>
      <c r="I1901" s="23">
        <v>239922900</v>
      </c>
      <c r="J1901" s="20">
        <v>1</v>
      </c>
      <c r="K1901" s="23">
        <v>271892250</v>
      </c>
      <c r="L1901" s="20">
        <v>0</v>
      </c>
      <c r="M1901" s="23">
        <v>64227300</v>
      </c>
      <c r="N1901" s="20">
        <v>0</v>
      </c>
      <c r="O1901" s="23">
        <v>164454350</v>
      </c>
      <c r="P1901" s="20">
        <v>0</v>
      </c>
      <c r="Q1901" s="23">
        <v>15904600</v>
      </c>
      <c r="R1901" s="20">
        <v>1</v>
      </c>
      <c r="S1901" s="23">
        <v>25479900</v>
      </c>
      <c r="T1901" s="54">
        <f t="shared" si="528"/>
        <v>1</v>
      </c>
      <c r="U1901" s="54">
        <f t="shared" si="529"/>
        <v>100</v>
      </c>
      <c r="V1901" s="35" t="s">
        <v>58</v>
      </c>
      <c r="W1901" s="40">
        <f t="shared" si="530"/>
        <v>270066150</v>
      </c>
      <c r="X1901" s="53">
        <f t="shared" si="531"/>
        <v>99.328373648016807</v>
      </c>
      <c r="Y1901" s="35" t="s">
        <v>58</v>
      </c>
      <c r="Z1901" s="54">
        <f t="shared" si="532"/>
        <v>1</v>
      </c>
      <c r="AA1901" s="40">
        <f t="shared" si="523"/>
        <v>509989050</v>
      </c>
      <c r="AB1901" s="53"/>
      <c r="AC1901" s="35" t="s">
        <v>58</v>
      </c>
      <c r="AD1901" s="53"/>
      <c r="AE1901" s="11"/>
      <c r="AH1901" s="25"/>
    </row>
    <row r="1902" spans="1:34" ht="90">
      <c r="A1902" s="16"/>
      <c r="B1902" s="17"/>
      <c r="C1902" s="26" t="s">
        <v>2547</v>
      </c>
      <c r="D1902" s="29" t="s">
        <v>2548</v>
      </c>
      <c r="E1902" s="20"/>
      <c r="F1902" s="21" t="s">
        <v>173</v>
      </c>
      <c r="G1902" s="23"/>
      <c r="H1902" s="20"/>
      <c r="I1902" s="23">
        <v>23299000</v>
      </c>
      <c r="J1902" s="20">
        <v>1</v>
      </c>
      <c r="K1902" s="23">
        <v>21298600</v>
      </c>
      <c r="L1902" s="20">
        <v>0</v>
      </c>
      <c r="M1902" s="23">
        <v>6175000</v>
      </c>
      <c r="N1902" s="20">
        <v>0</v>
      </c>
      <c r="O1902" s="23">
        <v>0</v>
      </c>
      <c r="P1902" s="20">
        <v>0</v>
      </c>
      <c r="Q1902" s="23">
        <v>11640600</v>
      </c>
      <c r="R1902" s="20">
        <v>1</v>
      </c>
      <c r="S1902" s="23">
        <v>2980000</v>
      </c>
      <c r="T1902" s="54">
        <f t="shared" si="528"/>
        <v>1</v>
      </c>
      <c r="U1902" s="54">
        <f t="shared" si="529"/>
        <v>100</v>
      </c>
      <c r="V1902" s="35" t="s">
        <v>58</v>
      </c>
      <c r="W1902" s="40">
        <f t="shared" si="530"/>
        <v>20795600</v>
      </c>
      <c r="X1902" s="53">
        <f t="shared" si="531"/>
        <v>97.638342426262753</v>
      </c>
      <c r="Y1902" s="35" t="s">
        <v>58</v>
      </c>
      <c r="Z1902" s="54">
        <f t="shared" si="532"/>
        <v>1</v>
      </c>
      <c r="AA1902" s="40">
        <f t="shared" si="523"/>
        <v>44094600</v>
      </c>
      <c r="AB1902" s="53"/>
      <c r="AC1902" s="35" t="s">
        <v>58</v>
      </c>
      <c r="AD1902" s="53"/>
      <c r="AE1902" s="11"/>
      <c r="AH1902" s="25"/>
    </row>
    <row r="1903" spans="1:34" s="78" customFormat="1" ht="72.75" customHeight="1">
      <c r="A1903" s="48">
        <v>1</v>
      </c>
      <c r="B1903" s="17" t="s">
        <v>29</v>
      </c>
      <c r="C1903" s="49" t="s">
        <v>2207</v>
      </c>
      <c r="D1903" s="19" t="s">
        <v>143</v>
      </c>
      <c r="E1903" s="108">
        <v>100</v>
      </c>
      <c r="F1903" s="46" t="s">
        <v>58</v>
      </c>
      <c r="G1903" s="52">
        <f>G1904+G1907+G1914+G1922+G1926</f>
        <v>48315174853.490005</v>
      </c>
      <c r="H1903" s="108">
        <v>100</v>
      </c>
      <c r="I1903" s="52">
        <f>I1904+I1907+I1912+I1914+I1922+I1926</f>
        <v>21488528278</v>
      </c>
      <c r="J1903" s="45">
        <v>100</v>
      </c>
      <c r="K1903" s="52">
        <f>K1904+K1907+K1912+K1914+K1922+K1926</f>
        <v>10300654136</v>
      </c>
      <c r="L1903" s="45">
        <v>100</v>
      </c>
      <c r="M1903" s="52">
        <f>M1904+M1907+M1914+M1922+M1926</f>
        <v>1764116259</v>
      </c>
      <c r="N1903" s="45">
        <v>100</v>
      </c>
      <c r="O1903" s="52">
        <f>O1904+O1907+O1914+O1922+O1926</f>
        <v>2151859730</v>
      </c>
      <c r="P1903" s="45">
        <v>100</v>
      </c>
      <c r="Q1903" s="52">
        <f>Q1904+Q1907+Q1914+Q1922+Q1926</f>
        <v>2085565272</v>
      </c>
      <c r="R1903" s="119">
        <v>100</v>
      </c>
      <c r="S1903" s="52">
        <f>S1904+S1907+S1914+S1922+S1926</f>
        <v>2346959201</v>
      </c>
      <c r="T1903" s="55">
        <f>AVERAGE(L1903,N1903,P1903,R1903)</f>
        <v>100</v>
      </c>
      <c r="U1903" s="57">
        <f t="shared" ref="U1903:U1920" si="533">T1903/J1903*100</f>
        <v>100</v>
      </c>
      <c r="V1903" s="45" t="s">
        <v>58</v>
      </c>
      <c r="W1903" s="56">
        <f>SUM(M1903,O1903,Q1903,S1903)</f>
        <v>8348500462</v>
      </c>
      <c r="X1903" s="60">
        <f t="shared" ref="X1903:X1920" si="534">W1903/K1903*100</f>
        <v>81.048255302764005</v>
      </c>
      <c r="Y1903" s="45" t="s">
        <v>58</v>
      </c>
      <c r="Z1903" s="57">
        <f t="shared" ref="Z1903:Z1966" si="535">SUM(H1903,T1903)</f>
        <v>200</v>
      </c>
      <c r="AA1903" s="56">
        <f t="shared" ref="AA1903:AA1966" si="536">SUM(I1903,W1903)</f>
        <v>29837028740</v>
      </c>
      <c r="AB1903" s="57"/>
      <c r="AC1903" s="58" t="s">
        <v>58</v>
      </c>
      <c r="AD1903" s="60"/>
      <c r="AE1903" s="24" t="s">
        <v>2208</v>
      </c>
      <c r="AH1903" s="79"/>
    </row>
    <row r="1904" spans="1:34" s="78" customFormat="1" ht="72.75" customHeight="1">
      <c r="A1904" s="48">
        <v>2</v>
      </c>
      <c r="B1904" s="49" t="s">
        <v>30</v>
      </c>
      <c r="C1904" s="573" t="s">
        <v>309</v>
      </c>
      <c r="D1904" s="573" t="s">
        <v>139</v>
      </c>
      <c r="E1904" s="45">
        <v>45</v>
      </c>
      <c r="F1904" s="46" t="s">
        <v>1280</v>
      </c>
      <c r="G1904" s="42">
        <f>SUM(G1905:G1906)</f>
        <v>38999400</v>
      </c>
      <c r="H1904" s="45">
        <v>15</v>
      </c>
      <c r="I1904" s="42">
        <f t="shared" ref="I1904:S1904" si="537">SUM(I1905:I1906)</f>
        <v>8962000</v>
      </c>
      <c r="J1904" s="45">
        <f t="shared" si="537"/>
        <v>15</v>
      </c>
      <c r="K1904" s="42">
        <f t="shared" si="537"/>
        <v>7199850</v>
      </c>
      <c r="L1904" s="45">
        <f t="shared" si="537"/>
        <v>8</v>
      </c>
      <c r="M1904" s="42">
        <f t="shared" si="537"/>
        <v>900000</v>
      </c>
      <c r="N1904" s="45">
        <f t="shared" si="537"/>
        <v>1</v>
      </c>
      <c r="O1904" s="42">
        <f t="shared" si="537"/>
        <v>0</v>
      </c>
      <c r="P1904" s="45">
        <f t="shared" si="537"/>
        <v>2</v>
      </c>
      <c r="Q1904" s="42">
        <f t="shared" si="537"/>
        <v>2549700</v>
      </c>
      <c r="R1904" s="42">
        <f t="shared" si="537"/>
        <v>4</v>
      </c>
      <c r="S1904" s="42">
        <f t="shared" si="537"/>
        <v>3725150</v>
      </c>
      <c r="T1904" s="55">
        <f t="shared" ref="T1904:T1911" si="538">SUM(L1904,N1904,P1904,R1904)</f>
        <v>15</v>
      </c>
      <c r="U1904" s="57">
        <f t="shared" si="533"/>
        <v>100</v>
      </c>
      <c r="V1904" s="58" t="s">
        <v>58</v>
      </c>
      <c r="W1904" s="59">
        <f t="shared" ref="W1904:W1919" si="539">SUM(M1904,O1904,Q1904,S1904)</f>
        <v>7174850</v>
      </c>
      <c r="X1904" s="57">
        <f t="shared" si="534"/>
        <v>99.652770543830769</v>
      </c>
      <c r="Y1904" s="58" t="s">
        <v>58</v>
      </c>
      <c r="Z1904" s="55">
        <f t="shared" si="535"/>
        <v>30</v>
      </c>
      <c r="AA1904" s="59">
        <f t="shared" si="536"/>
        <v>16136850</v>
      </c>
      <c r="AB1904" s="57"/>
      <c r="AC1904" s="58" t="s">
        <v>58</v>
      </c>
      <c r="AD1904" s="57"/>
      <c r="AE1904" s="77"/>
      <c r="AH1904" s="79"/>
    </row>
    <row r="1905" spans="1:34" s="78" customFormat="1" ht="89.25" customHeight="1">
      <c r="A1905" s="16"/>
      <c r="B1905" s="17"/>
      <c r="C1905" s="26" t="s">
        <v>69</v>
      </c>
      <c r="D1905" s="29" t="s">
        <v>211</v>
      </c>
      <c r="E1905" s="20">
        <v>15</v>
      </c>
      <c r="F1905" s="21" t="s">
        <v>55</v>
      </c>
      <c r="G1905" s="820">
        <v>22499700</v>
      </c>
      <c r="H1905" s="54">
        <v>15</v>
      </c>
      <c r="I1905" s="40">
        <v>7499800</v>
      </c>
      <c r="J1905" s="20">
        <v>10</v>
      </c>
      <c r="K1905" s="23">
        <v>5999800</v>
      </c>
      <c r="L1905" s="20">
        <v>6</v>
      </c>
      <c r="M1905" s="23">
        <v>900000</v>
      </c>
      <c r="N1905" s="20">
        <v>0</v>
      </c>
      <c r="O1905" s="23">
        <v>0</v>
      </c>
      <c r="P1905" s="20">
        <v>1</v>
      </c>
      <c r="Q1905" s="23">
        <v>2349850</v>
      </c>
      <c r="R1905" s="20">
        <v>3</v>
      </c>
      <c r="S1905" s="23">
        <v>2724950</v>
      </c>
      <c r="T1905" s="54">
        <f t="shared" si="538"/>
        <v>10</v>
      </c>
      <c r="U1905" s="53">
        <f t="shared" si="533"/>
        <v>100</v>
      </c>
      <c r="V1905" s="35" t="s">
        <v>58</v>
      </c>
      <c r="W1905" s="40">
        <f t="shared" si="539"/>
        <v>5974800</v>
      </c>
      <c r="X1905" s="53">
        <f>W1905/K1905*100</f>
        <v>99.583319443981466</v>
      </c>
      <c r="Y1905" s="35" t="s">
        <v>58</v>
      </c>
      <c r="Z1905" s="54">
        <f t="shared" si="535"/>
        <v>25</v>
      </c>
      <c r="AA1905" s="40">
        <f t="shared" si="536"/>
        <v>13474600</v>
      </c>
      <c r="AB1905" s="53"/>
      <c r="AC1905" s="35" t="s">
        <v>58</v>
      </c>
      <c r="AD1905" s="53"/>
      <c r="AE1905" s="11"/>
      <c r="AH1905" s="79"/>
    </row>
    <row r="1906" spans="1:34" s="78" customFormat="1" ht="54.75" customHeight="1">
      <c r="A1906" s="16"/>
      <c r="B1906" s="17"/>
      <c r="C1906" s="26" t="s">
        <v>70</v>
      </c>
      <c r="D1906" s="29" t="s">
        <v>212</v>
      </c>
      <c r="E1906" s="20">
        <v>30</v>
      </c>
      <c r="F1906" s="21" t="s">
        <v>173</v>
      </c>
      <c r="G1906" s="820">
        <v>16499700</v>
      </c>
      <c r="H1906" s="20"/>
      <c r="I1906" s="28">
        <v>1462200</v>
      </c>
      <c r="J1906" s="20">
        <v>5</v>
      </c>
      <c r="K1906" s="28">
        <v>1200050</v>
      </c>
      <c r="L1906" s="20">
        <v>2</v>
      </c>
      <c r="M1906" s="28">
        <v>0</v>
      </c>
      <c r="N1906" s="20">
        <v>1</v>
      </c>
      <c r="O1906" s="28">
        <v>0</v>
      </c>
      <c r="P1906" s="20">
        <v>1</v>
      </c>
      <c r="Q1906" s="28">
        <v>199850</v>
      </c>
      <c r="R1906" s="20">
        <v>1</v>
      </c>
      <c r="S1906" s="28">
        <v>1000200</v>
      </c>
      <c r="T1906" s="54">
        <f t="shared" si="538"/>
        <v>5</v>
      </c>
      <c r="U1906" s="53">
        <f t="shared" si="533"/>
        <v>100</v>
      </c>
      <c r="V1906" s="35" t="s">
        <v>58</v>
      </c>
      <c r="W1906" s="40">
        <f t="shared" si="539"/>
        <v>1200050</v>
      </c>
      <c r="X1906" s="53">
        <f t="shared" si="534"/>
        <v>100</v>
      </c>
      <c r="Y1906" s="35" t="s">
        <v>58</v>
      </c>
      <c r="Z1906" s="54">
        <f t="shared" si="535"/>
        <v>5</v>
      </c>
      <c r="AA1906" s="40">
        <f t="shared" si="536"/>
        <v>2662250</v>
      </c>
      <c r="AB1906" s="53"/>
      <c r="AC1906" s="35" t="s">
        <v>58</v>
      </c>
      <c r="AD1906" s="53"/>
      <c r="AE1906" s="11"/>
      <c r="AH1906" s="79"/>
    </row>
    <row r="1907" spans="1:34" s="78" customFormat="1" ht="114.75" customHeight="1">
      <c r="A1907" s="821"/>
      <c r="B1907" s="822"/>
      <c r="C1907" s="471" t="s">
        <v>71</v>
      </c>
      <c r="D1907" s="573" t="s">
        <v>140</v>
      </c>
      <c r="E1907" s="823">
        <v>100</v>
      </c>
      <c r="F1907" s="824" t="s">
        <v>58</v>
      </c>
      <c r="G1907" s="610">
        <f>SUM(G1908:G1911)</f>
        <v>42922555930.490005</v>
      </c>
      <c r="H1907" s="823">
        <v>100</v>
      </c>
      <c r="I1907" s="610">
        <f>SUM(I1908:I1911)</f>
        <v>19433927260</v>
      </c>
      <c r="J1907" s="825">
        <f>SUM(J1909:J1911)</f>
        <v>14</v>
      </c>
      <c r="K1907" s="610">
        <f>SUM(K1908:K1911)</f>
        <v>8845924732</v>
      </c>
      <c r="L1907" s="825">
        <f>SUM(L1909:L1911)</f>
        <v>4</v>
      </c>
      <c r="M1907" s="610">
        <f>SUM(M1908:M1911)</f>
        <v>1637458505</v>
      </c>
      <c r="N1907" s="825">
        <f>SUM(N1909:N1911)</f>
        <v>4</v>
      </c>
      <c r="O1907" s="610">
        <f>SUM(O1908:O1911)</f>
        <v>1958667277</v>
      </c>
      <c r="P1907" s="825">
        <f>SUM(P1909:P1911)</f>
        <v>3</v>
      </c>
      <c r="Q1907" s="610">
        <f>SUM(Q1908:Q1911)</f>
        <v>1847308189</v>
      </c>
      <c r="R1907" s="825">
        <v>3</v>
      </c>
      <c r="S1907" s="610">
        <f>SUM(S1908:S1911)</f>
        <v>1670877531</v>
      </c>
      <c r="T1907" s="401">
        <f t="shared" si="538"/>
        <v>14</v>
      </c>
      <c r="U1907" s="412">
        <f t="shared" si="533"/>
        <v>100</v>
      </c>
      <c r="V1907" s="410" t="s">
        <v>58</v>
      </c>
      <c r="W1907" s="411">
        <f t="shared" si="539"/>
        <v>7114311502</v>
      </c>
      <c r="X1907" s="412">
        <f t="shared" si="534"/>
        <v>80.424734751179656</v>
      </c>
      <c r="Y1907" s="410" t="s">
        <v>58</v>
      </c>
      <c r="Z1907" s="401">
        <f t="shared" si="535"/>
        <v>114</v>
      </c>
      <c r="AA1907" s="411">
        <f t="shared" si="536"/>
        <v>26548238762</v>
      </c>
      <c r="AB1907" s="412"/>
      <c r="AC1907" s="410" t="s">
        <v>58</v>
      </c>
      <c r="AD1907" s="412"/>
      <c r="AE1907" s="826"/>
      <c r="AH1907" s="79"/>
    </row>
    <row r="1908" spans="1:34" s="78" customFormat="1" ht="102" customHeight="1">
      <c r="A1908" s="16"/>
      <c r="B1908" s="17"/>
      <c r="C1908" s="26" t="s">
        <v>72</v>
      </c>
      <c r="D1908" s="26" t="s">
        <v>213</v>
      </c>
      <c r="E1908" s="20">
        <v>153</v>
      </c>
      <c r="F1908" s="27" t="s">
        <v>57</v>
      </c>
      <c r="G1908" s="802">
        <v>42907556630.490005</v>
      </c>
      <c r="H1908" s="20">
        <v>51</v>
      </c>
      <c r="I1908" s="22">
        <v>19428927260</v>
      </c>
      <c r="J1908" s="43">
        <v>50</v>
      </c>
      <c r="K1908" s="23">
        <v>8841914532</v>
      </c>
      <c r="L1908" s="43">
        <v>50</v>
      </c>
      <c r="M1908" s="23">
        <v>1636134005</v>
      </c>
      <c r="N1908" s="43">
        <v>50</v>
      </c>
      <c r="O1908" s="23">
        <v>1958667277</v>
      </c>
      <c r="P1908" s="43">
        <v>50</v>
      </c>
      <c r="Q1908" s="23">
        <v>1845745989</v>
      </c>
      <c r="R1908" s="43">
        <v>50</v>
      </c>
      <c r="S1908" s="23">
        <v>1670483331</v>
      </c>
      <c r="T1908" s="406">
        <f>AVERAGE(L1908,N1908,P1908,R1908)</f>
        <v>50</v>
      </c>
      <c r="U1908" s="53">
        <f t="shared" si="533"/>
        <v>100</v>
      </c>
      <c r="V1908" s="35" t="s">
        <v>58</v>
      </c>
      <c r="W1908" s="40">
        <f t="shared" si="539"/>
        <v>7111030602</v>
      </c>
      <c r="X1908" s="53">
        <f t="shared" si="534"/>
        <v>80.424104714700491</v>
      </c>
      <c r="Y1908" s="35" t="s">
        <v>58</v>
      </c>
      <c r="Z1908" s="54">
        <f t="shared" si="535"/>
        <v>101</v>
      </c>
      <c r="AA1908" s="40">
        <f t="shared" si="536"/>
        <v>26539957862</v>
      </c>
      <c r="AB1908" s="53"/>
      <c r="AC1908" s="35" t="s">
        <v>58</v>
      </c>
      <c r="AD1908" s="53"/>
      <c r="AE1908" s="11"/>
      <c r="AH1908" s="79"/>
    </row>
    <row r="1909" spans="1:34" s="78" customFormat="1" ht="117.75" customHeight="1">
      <c r="A1909" s="16"/>
      <c r="B1909" s="17"/>
      <c r="C1909" s="436" t="s">
        <v>73</v>
      </c>
      <c r="D1909" s="29" t="s">
        <v>214</v>
      </c>
      <c r="E1909" s="20">
        <v>3</v>
      </c>
      <c r="F1909" s="27" t="s">
        <v>173</v>
      </c>
      <c r="G1909" s="828">
        <v>5999900</v>
      </c>
      <c r="H1909" s="20">
        <v>1</v>
      </c>
      <c r="I1909" s="22">
        <v>2000000</v>
      </c>
      <c r="J1909" s="44">
        <v>1</v>
      </c>
      <c r="K1909" s="23">
        <v>1600250</v>
      </c>
      <c r="L1909" s="44">
        <v>1</v>
      </c>
      <c r="M1909" s="23">
        <v>1324500</v>
      </c>
      <c r="N1909" s="44">
        <v>0</v>
      </c>
      <c r="O1909" s="23">
        <v>0</v>
      </c>
      <c r="P1909" s="44">
        <v>0</v>
      </c>
      <c r="Q1909" s="23">
        <v>0</v>
      </c>
      <c r="R1909" s="44">
        <v>0</v>
      </c>
      <c r="S1909" s="23">
        <v>0</v>
      </c>
      <c r="T1909" s="54">
        <f t="shared" si="538"/>
        <v>1</v>
      </c>
      <c r="U1909" s="53">
        <f t="shared" si="533"/>
        <v>100</v>
      </c>
      <c r="V1909" s="35" t="s">
        <v>58</v>
      </c>
      <c r="W1909" s="40">
        <f t="shared" si="539"/>
        <v>1324500</v>
      </c>
      <c r="X1909" s="53">
        <f t="shared" si="534"/>
        <v>82.768317450398371</v>
      </c>
      <c r="Y1909" s="35" t="s">
        <v>58</v>
      </c>
      <c r="Z1909" s="54">
        <f t="shared" si="535"/>
        <v>2</v>
      </c>
      <c r="AA1909" s="40">
        <f t="shared" si="536"/>
        <v>3324500</v>
      </c>
      <c r="AB1909" s="53"/>
      <c r="AC1909" s="35" t="s">
        <v>58</v>
      </c>
      <c r="AD1909" s="53"/>
      <c r="AE1909" s="11"/>
      <c r="AH1909" s="79"/>
    </row>
    <row r="1910" spans="1:34" s="78" customFormat="1" ht="73.5" customHeight="1">
      <c r="A1910" s="16"/>
      <c r="B1910" s="17"/>
      <c r="C1910" s="26" t="s">
        <v>74</v>
      </c>
      <c r="D1910" s="29" t="s">
        <v>215</v>
      </c>
      <c r="E1910" s="20">
        <v>36</v>
      </c>
      <c r="F1910" s="27" t="s">
        <v>173</v>
      </c>
      <c r="G1910" s="828">
        <v>4499500</v>
      </c>
      <c r="H1910" s="20">
        <v>12</v>
      </c>
      <c r="I1910" s="22">
        <v>1500000</v>
      </c>
      <c r="J1910" s="43">
        <v>12</v>
      </c>
      <c r="K1910" s="23">
        <v>1199800</v>
      </c>
      <c r="L1910" s="43">
        <v>3</v>
      </c>
      <c r="M1910" s="23">
        <v>0</v>
      </c>
      <c r="N1910" s="43">
        <v>3</v>
      </c>
      <c r="O1910" s="23">
        <v>0</v>
      </c>
      <c r="P1910" s="43">
        <v>3</v>
      </c>
      <c r="Q1910" s="23">
        <v>427050</v>
      </c>
      <c r="R1910" s="20">
        <v>3</v>
      </c>
      <c r="S1910" s="23">
        <v>394200</v>
      </c>
      <c r="T1910" s="54">
        <f t="shared" si="538"/>
        <v>12</v>
      </c>
      <c r="U1910" s="54">
        <f t="shared" si="533"/>
        <v>100</v>
      </c>
      <c r="V1910" s="35" t="s">
        <v>58</v>
      </c>
      <c r="W1910" s="40">
        <f t="shared" si="539"/>
        <v>821250</v>
      </c>
      <c r="X1910" s="53">
        <f t="shared" si="534"/>
        <v>68.448908151358552</v>
      </c>
      <c r="Y1910" s="35" t="s">
        <v>58</v>
      </c>
      <c r="Z1910" s="54">
        <f t="shared" si="535"/>
        <v>24</v>
      </c>
      <c r="AA1910" s="40">
        <f t="shared" si="536"/>
        <v>2321250</v>
      </c>
      <c r="AB1910" s="53"/>
      <c r="AC1910" s="35" t="s">
        <v>58</v>
      </c>
      <c r="AD1910" s="53"/>
      <c r="AE1910" s="11"/>
      <c r="AH1910" s="79"/>
    </row>
    <row r="1911" spans="1:34" s="78" customFormat="1" ht="108" customHeight="1">
      <c r="A1911" s="16"/>
      <c r="B1911" s="17"/>
      <c r="C1911" s="26" t="s">
        <v>75</v>
      </c>
      <c r="D1911" s="29" t="s">
        <v>216</v>
      </c>
      <c r="E1911" s="20">
        <v>3</v>
      </c>
      <c r="F1911" s="27" t="s">
        <v>55</v>
      </c>
      <c r="G1911" s="828">
        <v>4499900</v>
      </c>
      <c r="H1911" s="20">
        <v>1</v>
      </c>
      <c r="I1911" s="22">
        <v>1500000</v>
      </c>
      <c r="J1911" s="43">
        <v>1</v>
      </c>
      <c r="K1911" s="23">
        <v>1210150</v>
      </c>
      <c r="L1911" s="43">
        <v>0</v>
      </c>
      <c r="M1911" s="23">
        <v>0</v>
      </c>
      <c r="N1911" s="43">
        <v>1</v>
      </c>
      <c r="O1911" s="23">
        <v>0</v>
      </c>
      <c r="P1911" s="43">
        <v>0</v>
      </c>
      <c r="Q1911" s="23">
        <v>1135150</v>
      </c>
      <c r="R1911" s="20">
        <v>0</v>
      </c>
      <c r="S1911" s="23">
        <v>0</v>
      </c>
      <c r="T1911" s="54">
        <f t="shared" si="538"/>
        <v>1</v>
      </c>
      <c r="U1911" s="53">
        <f t="shared" si="533"/>
        <v>100</v>
      </c>
      <c r="V1911" s="35" t="s">
        <v>58</v>
      </c>
      <c r="W1911" s="40">
        <f t="shared" si="539"/>
        <v>1135150</v>
      </c>
      <c r="X1911" s="53">
        <f t="shared" si="534"/>
        <v>93.802421187456105</v>
      </c>
      <c r="Y1911" s="35" t="s">
        <v>58</v>
      </c>
      <c r="Z1911" s="54">
        <f t="shared" si="535"/>
        <v>2</v>
      </c>
      <c r="AA1911" s="40">
        <f t="shared" si="536"/>
        <v>2635150</v>
      </c>
      <c r="AB1911" s="53"/>
      <c r="AC1911" s="35" t="s">
        <v>58</v>
      </c>
      <c r="AD1911" s="53"/>
      <c r="AE1911" s="11"/>
      <c r="AH1911" s="79"/>
    </row>
    <row r="1912" spans="1:34" ht="94.5">
      <c r="A1912" s="821"/>
      <c r="B1912" s="822"/>
      <c r="C1912" s="822" t="s">
        <v>1595</v>
      </c>
      <c r="D1912" s="473" t="s">
        <v>2209</v>
      </c>
      <c r="E1912" s="823">
        <v>100</v>
      </c>
      <c r="F1912" s="829" t="s">
        <v>58</v>
      </c>
      <c r="G1912" s="610">
        <f>SUM(G1913)</f>
        <v>0</v>
      </c>
      <c r="H1912" s="823"/>
      <c r="I1912" s="610"/>
      <c r="J1912" s="825">
        <v>100</v>
      </c>
      <c r="K1912" s="610">
        <f>SUM(K1913)</f>
        <v>10536500</v>
      </c>
      <c r="L1912" s="825">
        <v>0</v>
      </c>
      <c r="M1912" s="610">
        <f>SUM(M1913)</f>
        <v>0</v>
      </c>
      <c r="N1912" s="825">
        <f>N1913</f>
        <v>0</v>
      </c>
      <c r="O1912" s="610">
        <f>SUM(O1913)</f>
        <v>0</v>
      </c>
      <c r="P1912" s="825">
        <f>P1913</f>
        <v>0</v>
      </c>
      <c r="Q1912" s="610">
        <f>SUM(Q1913)</f>
        <v>0</v>
      </c>
      <c r="R1912" s="823">
        <v>72</v>
      </c>
      <c r="S1912" s="610">
        <f>SUM(S1913)</f>
        <v>5800000</v>
      </c>
      <c r="T1912" s="401">
        <f>AVERAGE(L1912,N1912,P1912,R1912)</f>
        <v>18</v>
      </c>
      <c r="U1912" s="412">
        <f t="shared" si="533"/>
        <v>18</v>
      </c>
      <c r="V1912" s="410" t="s">
        <v>58</v>
      </c>
      <c r="W1912" s="411">
        <f t="shared" si="539"/>
        <v>5800000</v>
      </c>
      <c r="X1912" s="412">
        <f t="shared" si="534"/>
        <v>55.046742276847148</v>
      </c>
      <c r="Y1912" s="410" t="s">
        <v>58</v>
      </c>
      <c r="Z1912" s="401">
        <f t="shared" si="535"/>
        <v>18</v>
      </c>
      <c r="AA1912" s="411">
        <f t="shared" si="536"/>
        <v>5800000</v>
      </c>
      <c r="AB1912" s="412"/>
      <c r="AC1912" s="410" t="s">
        <v>58</v>
      </c>
      <c r="AD1912" s="412"/>
      <c r="AE1912" s="830"/>
      <c r="AH1912" s="25"/>
    </row>
    <row r="1913" spans="1:34" ht="180">
      <c r="A1913" s="16"/>
      <c r="B1913" s="17"/>
      <c r="C1913" s="29" t="s">
        <v>2210</v>
      </c>
      <c r="D1913" s="360" t="s">
        <v>2211</v>
      </c>
      <c r="E1913" s="20"/>
      <c r="F1913" s="21" t="s">
        <v>57</v>
      </c>
      <c r="G1913" s="803"/>
      <c r="H1913" s="20"/>
      <c r="I1913" s="23"/>
      <c r="J1913" s="20">
        <v>51</v>
      </c>
      <c r="K1913" s="23">
        <v>10536500</v>
      </c>
      <c r="L1913" s="20">
        <v>0</v>
      </c>
      <c r="M1913" s="23">
        <v>0</v>
      </c>
      <c r="N1913" s="20">
        <v>0</v>
      </c>
      <c r="O1913" s="23">
        <v>0</v>
      </c>
      <c r="P1913" s="20">
        <v>0</v>
      </c>
      <c r="Q1913" s="23">
        <v>0</v>
      </c>
      <c r="R1913" s="20">
        <v>51</v>
      </c>
      <c r="S1913" s="23">
        <v>5800000</v>
      </c>
      <c r="T1913" s="54">
        <f>SUM(L1913,N1913,P1913,R1913)</f>
        <v>51</v>
      </c>
      <c r="U1913" s="54">
        <f t="shared" si="533"/>
        <v>100</v>
      </c>
      <c r="V1913" s="35" t="s">
        <v>58</v>
      </c>
      <c r="W1913" s="40">
        <f t="shared" si="539"/>
        <v>5800000</v>
      </c>
      <c r="X1913" s="53">
        <f t="shared" si="534"/>
        <v>55.046742276847148</v>
      </c>
      <c r="Y1913" s="35" t="s">
        <v>58</v>
      </c>
      <c r="Z1913" s="54">
        <f t="shared" si="535"/>
        <v>51</v>
      </c>
      <c r="AA1913" s="40">
        <f t="shared" si="536"/>
        <v>5800000</v>
      </c>
      <c r="AB1913" s="53"/>
      <c r="AC1913" s="35" t="s">
        <v>58</v>
      </c>
      <c r="AD1913" s="53"/>
      <c r="AE1913" s="11"/>
      <c r="AH1913" s="25"/>
    </row>
    <row r="1914" spans="1:34" ht="94.5">
      <c r="A1914" s="821"/>
      <c r="B1914" s="822"/>
      <c r="C1914" s="822" t="s">
        <v>76</v>
      </c>
      <c r="D1914" s="473" t="s">
        <v>1596</v>
      </c>
      <c r="E1914" s="823">
        <v>100</v>
      </c>
      <c r="F1914" s="829" t="s">
        <v>58</v>
      </c>
      <c r="G1914" s="610">
        <f>SUM(G1915:G1921)</f>
        <v>2557497823</v>
      </c>
      <c r="H1914" s="823">
        <v>100</v>
      </c>
      <c r="I1914" s="610">
        <f>SUM(I1915:I1921)</f>
        <v>880926275</v>
      </c>
      <c r="J1914" s="825">
        <v>100</v>
      </c>
      <c r="K1914" s="610">
        <f>SUM(K1915:K1921)</f>
        <v>909102500</v>
      </c>
      <c r="L1914" s="825">
        <v>100</v>
      </c>
      <c r="M1914" s="610">
        <f>SUM(M1915:M1920)</f>
        <v>65200100</v>
      </c>
      <c r="N1914" s="825">
        <v>100</v>
      </c>
      <c r="O1914" s="610">
        <f>SUM(O1915:O1920)</f>
        <v>125284387</v>
      </c>
      <c r="P1914" s="825">
        <v>100</v>
      </c>
      <c r="Q1914" s="610">
        <f>SUM(Q1915:Q1920)</f>
        <v>122266414</v>
      </c>
      <c r="R1914" s="825">
        <v>100</v>
      </c>
      <c r="S1914" s="610">
        <f>SUM(S1915:S1920)</f>
        <v>518112042</v>
      </c>
      <c r="T1914" s="401">
        <f>AVERAGE(L1914,N1914,P1914,R1914)</f>
        <v>100</v>
      </c>
      <c r="U1914" s="401">
        <f t="shared" si="533"/>
        <v>100</v>
      </c>
      <c r="V1914" s="410" t="s">
        <v>58</v>
      </c>
      <c r="W1914" s="411">
        <f t="shared" si="539"/>
        <v>830862943</v>
      </c>
      <c r="X1914" s="412">
        <f t="shared" si="534"/>
        <v>91.393758459579644</v>
      </c>
      <c r="Y1914" s="410" t="s">
        <v>58</v>
      </c>
      <c r="Z1914" s="401">
        <f t="shared" si="535"/>
        <v>200</v>
      </c>
      <c r="AA1914" s="411">
        <f t="shared" si="536"/>
        <v>1711789218</v>
      </c>
      <c r="AB1914" s="412"/>
      <c r="AC1914" s="410" t="s">
        <v>58</v>
      </c>
      <c r="AD1914" s="412"/>
      <c r="AE1914" s="830"/>
      <c r="AH1914" s="25"/>
    </row>
    <row r="1915" spans="1:34" ht="120">
      <c r="A1915" s="16"/>
      <c r="B1915" s="17"/>
      <c r="C1915" s="29" t="s">
        <v>342</v>
      </c>
      <c r="D1915" s="29" t="s">
        <v>343</v>
      </c>
      <c r="E1915" s="20">
        <v>36</v>
      </c>
      <c r="F1915" s="21" t="s">
        <v>59</v>
      </c>
      <c r="G1915" s="803">
        <v>21594400</v>
      </c>
      <c r="H1915" s="20">
        <v>12</v>
      </c>
      <c r="I1915" s="23">
        <v>5854400</v>
      </c>
      <c r="J1915" s="20">
        <v>12</v>
      </c>
      <c r="K1915" s="23">
        <v>6614000</v>
      </c>
      <c r="L1915" s="20">
        <v>3</v>
      </c>
      <c r="M1915" s="23">
        <v>224000</v>
      </c>
      <c r="N1915" s="20">
        <v>3</v>
      </c>
      <c r="O1915" s="23">
        <v>1758000</v>
      </c>
      <c r="P1915" s="20">
        <v>3</v>
      </c>
      <c r="Q1915" s="23">
        <v>1025100</v>
      </c>
      <c r="R1915" s="20">
        <v>3</v>
      </c>
      <c r="S1915" s="23">
        <v>3296700</v>
      </c>
      <c r="T1915" s="54">
        <f t="shared" ref="T1915:T1920" si="540">SUM(L1915,N1915,P1915,R1915)</f>
        <v>12</v>
      </c>
      <c r="U1915" s="54">
        <f t="shared" si="533"/>
        <v>100</v>
      </c>
      <c r="V1915" s="35" t="s">
        <v>58</v>
      </c>
      <c r="W1915" s="40">
        <f t="shared" si="539"/>
        <v>6303800</v>
      </c>
      <c r="X1915" s="53">
        <f t="shared" si="534"/>
        <v>95.309948593891747</v>
      </c>
      <c r="Y1915" s="35" t="s">
        <v>58</v>
      </c>
      <c r="Z1915" s="54">
        <f t="shared" si="535"/>
        <v>24</v>
      </c>
      <c r="AA1915" s="40">
        <f t="shared" si="536"/>
        <v>12158200</v>
      </c>
      <c r="AB1915" s="53"/>
      <c r="AC1915" s="35" t="s">
        <v>58</v>
      </c>
      <c r="AD1915" s="53"/>
      <c r="AE1915" s="11"/>
      <c r="AH1915" s="25"/>
    </row>
    <row r="1916" spans="1:34" ht="123.75" customHeight="1">
      <c r="A1916" s="16"/>
      <c r="B1916" s="17"/>
      <c r="C1916" s="29" t="s">
        <v>345</v>
      </c>
      <c r="D1916" s="29" t="s">
        <v>217</v>
      </c>
      <c r="E1916" s="20">
        <v>36</v>
      </c>
      <c r="F1916" s="21" t="s">
        <v>59</v>
      </c>
      <c r="G1916" s="831">
        <v>773501023</v>
      </c>
      <c r="H1916" s="20">
        <v>12</v>
      </c>
      <c r="I1916" s="22">
        <v>295759350</v>
      </c>
      <c r="J1916" s="20">
        <v>12</v>
      </c>
      <c r="K1916" s="23">
        <v>345199300</v>
      </c>
      <c r="L1916" s="20">
        <v>3</v>
      </c>
      <c r="M1916" s="23">
        <v>3762000</v>
      </c>
      <c r="N1916" s="20">
        <v>3</v>
      </c>
      <c r="O1916" s="23">
        <v>39532000</v>
      </c>
      <c r="P1916" s="20">
        <v>3</v>
      </c>
      <c r="Q1916" s="23">
        <v>1943000</v>
      </c>
      <c r="R1916" s="20">
        <v>3</v>
      </c>
      <c r="S1916" s="23">
        <v>263417900</v>
      </c>
      <c r="T1916" s="54">
        <f t="shared" si="540"/>
        <v>12</v>
      </c>
      <c r="U1916" s="54">
        <f t="shared" si="533"/>
        <v>100</v>
      </c>
      <c r="V1916" s="35" t="s">
        <v>58</v>
      </c>
      <c r="W1916" s="40">
        <f t="shared" si="539"/>
        <v>308654900</v>
      </c>
      <c r="X1916" s="53">
        <f t="shared" si="534"/>
        <v>89.413535890715892</v>
      </c>
      <c r="Y1916" s="35" t="s">
        <v>58</v>
      </c>
      <c r="Z1916" s="54">
        <f t="shared" si="535"/>
        <v>24</v>
      </c>
      <c r="AA1916" s="40">
        <f t="shared" si="536"/>
        <v>604414250</v>
      </c>
      <c r="AB1916" s="53"/>
      <c r="AC1916" s="35" t="s">
        <v>58</v>
      </c>
      <c r="AD1916" s="53"/>
      <c r="AE1916" s="11"/>
      <c r="AH1916" s="25"/>
    </row>
    <row r="1917" spans="1:34" ht="60" customHeight="1">
      <c r="A1917" s="16"/>
      <c r="B1917" s="17"/>
      <c r="C1917" s="29" t="s">
        <v>347</v>
      </c>
      <c r="D1917" s="26" t="s">
        <v>218</v>
      </c>
      <c r="E1917" s="20">
        <v>36</v>
      </c>
      <c r="F1917" s="21" t="s">
        <v>59</v>
      </c>
      <c r="G1917" s="832">
        <v>191043400</v>
      </c>
      <c r="H1917" s="20">
        <v>12</v>
      </c>
      <c r="I1917" s="22">
        <v>13197500</v>
      </c>
      <c r="J1917" s="20">
        <v>12</v>
      </c>
      <c r="K1917" s="23">
        <v>74759200</v>
      </c>
      <c r="L1917" s="20">
        <v>3</v>
      </c>
      <c r="M1917" s="23">
        <v>3287500</v>
      </c>
      <c r="N1917" s="20">
        <v>3</v>
      </c>
      <c r="O1917" s="23">
        <v>5387500</v>
      </c>
      <c r="P1917" s="20">
        <v>3</v>
      </c>
      <c r="Q1917" s="23">
        <v>7075000</v>
      </c>
      <c r="R1917" s="20">
        <v>3</v>
      </c>
      <c r="S1917" s="23">
        <v>33309000</v>
      </c>
      <c r="T1917" s="54">
        <f t="shared" si="540"/>
        <v>12</v>
      </c>
      <c r="U1917" s="54">
        <f t="shared" si="533"/>
        <v>100</v>
      </c>
      <c r="V1917" s="35" t="s">
        <v>58</v>
      </c>
      <c r="W1917" s="40">
        <f t="shared" si="539"/>
        <v>49059000</v>
      </c>
      <c r="X1917" s="53">
        <f t="shared" si="534"/>
        <v>65.622692591681016</v>
      </c>
      <c r="Y1917" s="35" t="s">
        <v>58</v>
      </c>
      <c r="Z1917" s="54">
        <f t="shared" si="535"/>
        <v>24</v>
      </c>
      <c r="AA1917" s="40">
        <f t="shared" si="536"/>
        <v>62256500</v>
      </c>
      <c r="AB1917" s="53"/>
      <c r="AC1917" s="35" t="s">
        <v>58</v>
      </c>
      <c r="AD1917" s="53"/>
      <c r="AE1917" s="11"/>
      <c r="AH1917" s="25"/>
    </row>
    <row r="1918" spans="1:34" ht="63.75" customHeight="1">
      <c r="A1918" s="16"/>
      <c r="B1918" s="17"/>
      <c r="C1918" s="29" t="s">
        <v>349</v>
      </c>
      <c r="D1918" s="26" t="s">
        <v>219</v>
      </c>
      <c r="E1918" s="20">
        <v>36</v>
      </c>
      <c r="F1918" s="21" t="s">
        <v>59</v>
      </c>
      <c r="G1918" s="832">
        <v>181233500</v>
      </c>
      <c r="H1918" s="20">
        <v>12</v>
      </c>
      <c r="I1918" s="22">
        <v>50105370</v>
      </c>
      <c r="J1918" s="20">
        <v>12</v>
      </c>
      <c r="K1918" s="23">
        <v>67976000</v>
      </c>
      <c r="L1918" s="20">
        <v>3</v>
      </c>
      <c r="M1918" s="23">
        <v>6750000</v>
      </c>
      <c r="N1918" s="20">
        <v>3</v>
      </c>
      <c r="O1918" s="23">
        <v>22358400</v>
      </c>
      <c r="P1918" s="20">
        <v>3</v>
      </c>
      <c r="Q1918" s="23">
        <v>7385000</v>
      </c>
      <c r="R1918" s="20">
        <v>3</v>
      </c>
      <c r="S1918" s="23">
        <v>19700450</v>
      </c>
      <c r="T1918" s="54">
        <f t="shared" si="540"/>
        <v>12</v>
      </c>
      <c r="U1918" s="54">
        <f t="shared" si="533"/>
        <v>100</v>
      </c>
      <c r="V1918" s="35" t="s">
        <v>58</v>
      </c>
      <c r="W1918" s="40">
        <f t="shared" si="539"/>
        <v>56193850</v>
      </c>
      <c r="X1918" s="53">
        <f t="shared" si="534"/>
        <v>82.667191361657061</v>
      </c>
      <c r="Y1918" s="35" t="s">
        <v>58</v>
      </c>
      <c r="Z1918" s="54">
        <f t="shared" si="535"/>
        <v>24</v>
      </c>
      <c r="AA1918" s="40">
        <f t="shared" si="536"/>
        <v>106299220</v>
      </c>
      <c r="AB1918" s="53"/>
      <c r="AC1918" s="35" t="s">
        <v>58</v>
      </c>
      <c r="AD1918" s="53"/>
      <c r="AE1918" s="11"/>
      <c r="AH1918" s="25"/>
    </row>
    <row r="1919" spans="1:34" s="834" customFormat="1" ht="72.75" customHeight="1">
      <c r="A1919" s="16"/>
      <c r="B1919" s="17"/>
      <c r="C1919" s="29" t="s">
        <v>963</v>
      </c>
      <c r="D1919" s="360" t="s">
        <v>1179</v>
      </c>
      <c r="E1919" s="20">
        <v>36</v>
      </c>
      <c r="F1919" s="21" t="s">
        <v>55</v>
      </c>
      <c r="G1919" s="831">
        <v>18828000</v>
      </c>
      <c r="H1919" s="20">
        <v>12</v>
      </c>
      <c r="I1919" s="22">
        <v>5400000</v>
      </c>
      <c r="J1919" s="20">
        <v>12</v>
      </c>
      <c r="K1919" s="23">
        <v>5454000</v>
      </c>
      <c r="L1919" s="20">
        <v>3</v>
      </c>
      <c r="M1919" s="23">
        <v>510000</v>
      </c>
      <c r="N1919" s="20">
        <v>3</v>
      </c>
      <c r="O1919" s="23">
        <v>855000</v>
      </c>
      <c r="P1919" s="20">
        <v>3</v>
      </c>
      <c r="Q1919" s="23">
        <v>570000</v>
      </c>
      <c r="R1919" s="20">
        <v>3</v>
      </c>
      <c r="S1919" s="23">
        <v>1425000</v>
      </c>
      <c r="T1919" s="54">
        <f t="shared" si="540"/>
        <v>12</v>
      </c>
      <c r="U1919" s="54">
        <f t="shared" si="533"/>
        <v>100</v>
      </c>
      <c r="V1919" s="35" t="s">
        <v>58</v>
      </c>
      <c r="W1919" s="40">
        <f t="shared" si="539"/>
        <v>3360000</v>
      </c>
      <c r="X1919" s="53">
        <f t="shared" si="534"/>
        <v>61.606160616061615</v>
      </c>
      <c r="Y1919" s="35" t="s">
        <v>58</v>
      </c>
      <c r="Z1919" s="54">
        <f t="shared" si="535"/>
        <v>24</v>
      </c>
      <c r="AA1919" s="40">
        <f t="shared" si="536"/>
        <v>8760000</v>
      </c>
      <c r="AB1919" s="53"/>
      <c r="AC1919" s="35" t="s">
        <v>58</v>
      </c>
      <c r="AD1919" s="53"/>
      <c r="AE1919" s="11"/>
      <c r="AH1919" s="582"/>
    </row>
    <row r="1920" spans="1:34" ht="101.25" customHeight="1">
      <c r="A1920" s="16"/>
      <c r="B1920" s="17"/>
      <c r="C1920" s="29" t="s">
        <v>77</v>
      </c>
      <c r="D1920" s="360" t="s">
        <v>220</v>
      </c>
      <c r="E1920" s="20">
        <v>36</v>
      </c>
      <c r="F1920" s="21" t="s">
        <v>173</v>
      </c>
      <c r="G1920" s="831">
        <v>1371297500</v>
      </c>
      <c r="H1920" s="20">
        <v>12</v>
      </c>
      <c r="I1920" s="22">
        <v>446759655</v>
      </c>
      <c r="J1920" s="20">
        <v>12</v>
      </c>
      <c r="K1920" s="23">
        <v>409100000</v>
      </c>
      <c r="L1920" s="20">
        <v>3</v>
      </c>
      <c r="M1920" s="23">
        <v>50666600</v>
      </c>
      <c r="N1920" s="20">
        <v>3</v>
      </c>
      <c r="O1920" s="23">
        <v>55393487</v>
      </c>
      <c r="P1920" s="20">
        <v>3</v>
      </c>
      <c r="Q1920" s="23">
        <v>104268314</v>
      </c>
      <c r="R1920" s="20">
        <v>3</v>
      </c>
      <c r="S1920" s="23">
        <v>196962992</v>
      </c>
      <c r="T1920" s="54">
        <f t="shared" si="540"/>
        <v>12</v>
      </c>
      <c r="U1920" s="54">
        <f t="shared" si="533"/>
        <v>100</v>
      </c>
      <c r="V1920" s="35" t="s">
        <v>58</v>
      </c>
      <c r="W1920" s="40">
        <f>SUM(M1920,O1920,Q1920,S1920)</f>
        <v>407291393</v>
      </c>
      <c r="X1920" s="53">
        <f t="shared" si="534"/>
        <v>99.557905890980209</v>
      </c>
      <c r="Y1920" s="35" t="s">
        <v>58</v>
      </c>
      <c r="Z1920" s="54">
        <f t="shared" si="535"/>
        <v>24</v>
      </c>
      <c r="AA1920" s="40">
        <f t="shared" si="536"/>
        <v>854051048</v>
      </c>
      <c r="AB1920" s="53"/>
      <c r="AC1920" s="35" t="s">
        <v>58</v>
      </c>
      <c r="AD1920" s="53"/>
      <c r="AE1920" s="11"/>
      <c r="AH1920" s="25"/>
    </row>
    <row r="1921" spans="1:31" s="863" customFormat="1" ht="75">
      <c r="A1921" s="821"/>
      <c r="B1921" s="822"/>
      <c r="C1921" s="440" t="s">
        <v>2212</v>
      </c>
      <c r="D1921" s="440" t="s">
        <v>2213</v>
      </c>
      <c r="E1921" s="20">
        <v>36</v>
      </c>
      <c r="F1921" s="21" t="s">
        <v>59</v>
      </c>
      <c r="G1921" s="832">
        <f>K1921</f>
        <v>0</v>
      </c>
      <c r="H1921" s="20">
        <v>12</v>
      </c>
      <c r="I1921" s="804">
        <v>63850000</v>
      </c>
      <c r="J1921" s="301"/>
      <c r="K1921" s="273"/>
      <c r="L1921" s="301"/>
      <c r="M1921" s="273"/>
      <c r="N1921" s="301"/>
      <c r="O1921" s="273"/>
      <c r="P1921" s="301"/>
      <c r="Q1921" s="273"/>
      <c r="R1921" s="301"/>
      <c r="S1921" s="273"/>
      <c r="T1921" s="406"/>
      <c r="U1921" s="406"/>
      <c r="V1921" s="300"/>
      <c r="W1921" s="407"/>
      <c r="X1921" s="408"/>
      <c r="Y1921" s="300"/>
      <c r="Z1921" s="406">
        <f t="shared" si="535"/>
        <v>12</v>
      </c>
      <c r="AA1921" s="407">
        <f t="shared" si="536"/>
        <v>63850000</v>
      </c>
      <c r="AB1921" s="408"/>
      <c r="AC1921" s="300" t="s">
        <v>58</v>
      </c>
      <c r="AD1921" s="408"/>
      <c r="AE1921" s="833"/>
    </row>
    <row r="1922" spans="1:31" s="863" customFormat="1" ht="126">
      <c r="A1922" s="821"/>
      <c r="B1922" s="822"/>
      <c r="C1922" s="573" t="s">
        <v>79</v>
      </c>
      <c r="D1922" s="471" t="s">
        <v>2214</v>
      </c>
      <c r="E1922" s="823">
        <v>100</v>
      </c>
      <c r="F1922" s="829" t="s">
        <v>58</v>
      </c>
      <c r="G1922" s="610">
        <f>SUM(G1923:G1925)</f>
        <v>702966000</v>
      </c>
      <c r="H1922" s="823">
        <v>100</v>
      </c>
      <c r="I1922" s="610">
        <f>SUM(I1923:I1925)</f>
        <v>170913931</v>
      </c>
      <c r="J1922" s="825">
        <v>100</v>
      </c>
      <c r="K1922" s="610">
        <f>SUM(K1923:K1925)</f>
        <v>250005654</v>
      </c>
      <c r="L1922" s="825">
        <v>100</v>
      </c>
      <c r="M1922" s="610">
        <f>SUM(M1923:M1925)</f>
        <v>42843727</v>
      </c>
      <c r="N1922" s="825">
        <v>100</v>
      </c>
      <c r="O1922" s="610">
        <f>SUM(O1923:O1925)</f>
        <v>41405066</v>
      </c>
      <c r="P1922" s="825">
        <v>100</v>
      </c>
      <c r="Q1922" s="610">
        <f>SUM(Q1923:Q1925)</f>
        <v>46408669</v>
      </c>
      <c r="R1922" s="825">
        <v>100</v>
      </c>
      <c r="S1922" s="610">
        <f>SUM(S1923:S1925)</f>
        <v>68838051</v>
      </c>
      <c r="T1922" s="401">
        <f>AVERAGE(L1922,N1922,P1922,R1922)</f>
        <v>100</v>
      </c>
      <c r="U1922" s="401">
        <f t="shared" ref="U1922:U1957" si="541">T1922/J1922*100</f>
        <v>100</v>
      </c>
      <c r="V1922" s="410" t="s">
        <v>58</v>
      </c>
      <c r="W1922" s="411">
        <f>SUM(M1922,O1923,Q1922,S1922)</f>
        <v>158381982</v>
      </c>
      <c r="X1922" s="412">
        <f t="shared" ref="X1922:X1957" si="542">W1922/K1922*100</f>
        <v>63.351360045641201</v>
      </c>
      <c r="Y1922" s="410" t="s">
        <v>58</v>
      </c>
      <c r="Z1922" s="412">
        <f t="shared" si="535"/>
        <v>200</v>
      </c>
      <c r="AA1922" s="411">
        <f t="shared" si="536"/>
        <v>329295913</v>
      </c>
      <c r="AB1922" s="412"/>
      <c r="AC1922" s="410" t="s">
        <v>58</v>
      </c>
      <c r="AD1922" s="412"/>
      <c r="AE1922" s="830"/>
    </row>
    <row r="1923" spans="1:31" s="863" customFormat="1" ht="75">
      <c r="A1923" s="16"/>
      <c r="B1923" s="17"/>
      <c r="C1923" s="29" t="s">
        <v>86</v>
      </c>
      <c r="D1923" s="29" t="s">
        <v>222</v>
      </c>
      <c r="E1923" s="20">
        <v>36</v>
      </c>
      <c r="F1923" s="21" t="s">
        <v>173</v>
      </c>
      <c r="G1923" s="832">
        <v>3200000</v>
      </c>
      <c r="H1923" s="20">
        <v>12</v>
      </c>
      <c r="I1923" s="22">
        <v>436000</v>
      </c>
      <c r="J1923" s="20">
        <v>12</v>
      </c>
      <c r="K1923" s="23">
        <v>1100000</v>
      </c>
      <c r="L1923" s="20">
        <v>3</v>
      </c>
      <c r="M1923" s="23">
        <v>0</v>
      </c>
      <c r="N1923" s="20">
        <v>3</v>
      </c>
      <c r="O1923" s="273">
        <v>291535</v>
      </c>
      <c r="P1923" s="20">
        <v>3</v>
      </c>
      <c r="Q1923" s="273">
        <v>0</v>
      </c>
      <c r="R1923" s="20">
        <v>3</v>
      </c>
      <c r="S1923" s="23">
        <v>377210</v>
      </c>
      <c r="T1923" s="54">
        <f>SUM(L1923,N1923,P1923,R1923)</f>
        <v>12</v>
      </c>
      <c r="U1923" s="54">
        <f t="shared" si="541"/>
        <v>100</v>
      </c>
      <c r="V1923" s="35" t="s">
        <v>58</v>
      </c>
      <c r="W1923" s="40">
        <f>SUM(M1923,O1923,Q1923,S1923)</f>
        <v>668745</v>
      </c>
      <c r="X1923" s="53">
        <f t="shared" si="542"/>
        <v>60.795000000000002</v>
      </c>
      <c r="Y1923" s="35" t="s">
        <v>58</v>
      </c>
      <c r="Z1923" s="54">
        <f t="shared" si="535"/>
        <v>24</v>
      </c>
      <c r="AA1923" s="40">
        <f t="shared" si="536"/>
        <v>1104745</v>
      </c>
      <c r="AB1923" s="53"/>
      <c r="AC1923" s="35" t="s">
        <v>58</v>
      </c>
      <c r="AD1923" s="53"/>
      <c r="AE1923" s="11"/>
    </row>
    <row r="1924" spans="1:31" s="863" customFormat="1" ht="135">
      <c r="A1924" s="16"/>
      <c r="B1924" s="17"/>
      <c r="C1924" s="29" t="s">
        <v>357</v>
      </c>
      <c r="D1924" s="29" t="s">
        <v>223</v>
      </c>
      <c r="E1924" s="20">
        <v>36</v>
      </c>
      <c r="F1924" s="21" t="s">
        <v>173</v>
      </c>
      <c r="G1924" s="831">
        <v>480400000</v>
      </c>
      <c r="H1924" s="20">
        <v>12</v>
      </c>
      <c r="I1924" s="22">
        <v>103900923</v>
      </c>
      <c r="J1924" s="20">
        <v>12</v>
      </c>
      <c r="K1924" s="23">
        <v>175783654</v>
      </c>
      <c r="L1924" s="20">
        <v>3</v>
      </c>
      <c r="M1924" s="23">
        <v>26039775</v>
      </c>
      <c r="N1924" s="20">
        <v>3</v>
      </c>
      <c r="O1924" s="23">
        <v>23559579</v>
      </c>
      <c r="P1924" s="20">
        <v>3</v>
      </c>
      <c r="Q1924" s="23">
        <v>29104717</v>
      </c>
      <c r="R1924" s="20">
        <v>3</v>
      </c>
      <c r="S1924" s="23">
        <v>51156081</v>
      </c>
      <c r="T1924" s="54">
        <f>SUM(L1924,N1924,P1924,R1924)</f>
        <v>12</v>
      </c>
      <c r="U1924" s="54">
        <f t="shared" si="541"/>
        <v>100</v>
      </c>
      <c r="V1924" s="35" t="s">
        <v>58</v>
      </c>
      <c r="W1924" s="40">
        <f>SUM(M1924,O1924,Q1924,S1924)</f>
        <v>129860152</v>
      </c>
      <c r="X1924" s="53">
        <f t="shared" si="542"/>
        <v>73.874987261329778</v>
      </c>
      <c r="Y1924" s="35" t="s">
        <v>58</v>
      </c>
      <c r="Z1924" s="54">
        <f t="shared" si="535"/>
        <v>24</v>
      </c>
      <c r="AA1924" s="40">
        <f t="shared" si="536"/>
        <v>233761075</v>
      </c>
      <c r="AB1924" s="53"/>
      <c r="AC1924" s="35" t="s">
        <v>58</v>
      </c>
      <c r="AD1924" s="53"/>
      <c r="AE1924" s="11"/>
    </row>
    <row r="1925" spans="1:31" s="863" customFormat="1" ht="120">
      <c r="A1925" s="16"/>
      <c r="B1925" s="17"/>
      <c r="C1925" s="29" t="s">
        <v>80</v>
      </c>
      <c r="D1925" s="29" t="s">
        <v>224</v>
      </c>
      <c r="E1925" s="20">
        <v>36</v>
      </c>
      <c r="F1925" s="21" t="s">
        <v>173</v>
      </c>
      <c r="G1925" s="831">
        <v>219366000</v>
      </c>
      <c r="H1925" s="20">
        <v>12</v>
      </c>
      <c r="I1925" s="22">
        <v>66577008</v>
      </c>
      <c r="J1925" s="20">
        <v>12</v>
      </c>
      <c r="K1925" s="23">
        <v>73122000</v>
      </c>
      <c r="L1925" s="20">
        <v>3</v>
      </c>
      <c r="M1925" s="23">
        <v>16803952</v>
      </c>
      <c r="N1925" s="20">
        <v>3</v>
      </c>
      <c r="O1925" s="23">
        <v>17553952</v>
      </c>
      <c r="P1925" s="20">
        <v>3</v>
      </c>
      <c r="Q1925" s="23">
        <v>17303952</v>
      </c>
      <c r="R1925" s="20">
        <v>3</v>
      </c>
      <c r="S1925" s="23">
        <v>17304760</v>
      </c>
      <c r="T1925" s="54">
        <f>SUM(L1925,N1925,P1925,R1925)</f>
        <v>12</v>
      </c>
      <c r="U1925" s="54">
        <f t="shared" si="541"/>
        <v>100</v>
      </c>
      <c r="V1925" s="35" t="s">
        <v>58</v>
      </c>
      <c r="W1925" s="40">
        <f>SUM(M1925,O1925,Q1925+S1925)</f>
        <v>68966616</v>
      </c>
      <c r="X1925" s="53">
        <f t="shared" si="542"/>
        <v>94.317190448838929</v>
      </c>
      <c r="Y1925" s="35" t="s">
        <v>58</v>
      </c>
      <c r="Z1925" s="54">
        <f t="shared" si="535"/>
        <v>24</v>
      </c>
      <c r="AA1925" s="40">
        <f t="shared" si="536"/>
        <v>135543624</v>
      </c>
      <c r="AB1925" s="53"/>
      <c r="AC1925" s="35" t="s">
        <v>58</v>
      </c>
      <c r="AD1925" s="53"/>
      <c r="AE1925" s="11"/>
    </row>
    <row r="1926" spans="1:31" s="863" customFormat="1" ht="126">
      <c r="A1926" s="821"/>
      <c r="B1926" s="822"/>
      <c r="C1926" s="573" t="s">
        <v>81</v>
      </c>
      <c r="D1926" s="471" t="s">
        <v>2215</v>
      </c>
      <c r="E1926" s="823">
        <v>100</v>
      </c>
      <c r="F1926" s="829" t="s">
        <v>58</v>
      </c>
      <c r="G1926" s="610">
        <f>SUM(G1927:G1930)</f>
        <v>2093155700</v>
      </c>
      <c r="H1926" s="823">
        <v>100</v>
      </c>
      <c r="I1926" s="610">
        <f>SUM(I1927:I1930)</f>
        <v>993798812</v>
      </c>
      <c r="J1926" s="825">
        <v>100</v>
      </c>
      <c r="K1926" s="610">
        <f>SUM(K1927:K1930)</f>
        <v>277884900</v>
      </c>
      <c r="L1926" s="825">
        <v>100</v>
      </c>
      <c r="M1926" s="610">
        <f>SUM(M1927:M1929)</f>
        <v>17713927</v>
      </c>
      <c r="N1926" s="825">
        <v>100</v>
      </c>
      <c r="O1926" s="610">
        <f>SUM(O1927:O1929)</f>
        <v>26503000</v>
      </c>
      <c r="P1926" s="825">
        <v>100</v>
      </c>
      <c r="Q1926" s="610">
        <f>SUM(Q1927:Q1929)</f>
        <v>67032300</v>
      </c>
      <c r="R1926" s="825">
        <v>100</v>
      </c>
      <c r="S1926" s="610">
        <f>SUM(S1927:S1929)</f>
        <v>85406427</v>
      </c>
      <c r="T1926" s="401">
        <f>AVERAGE(L1926,N1926,P1926,R1926)</f>
        <v>100</v>
      </c>
      <c r="U1926" s="401">
        <f t="shared" si="541"/>
        <v>100</v>
      </c>
      <c r="V1926" s="410" t="s">
        <v>58</v>
      </c>
      <c r="W1926" s="411">
        <f>SUM(M1926,O1927,Q1926,S1926)</f>
        <v>181072654</v>
      </c>
      <c r="X1926" s="412">
        <f t="shared" si="542"/>
        <v>65.161026741647348</v>
      </c>
      <c r="Y1926" s="410" t="s">
        <v>58</v>
      </c>
      <c r="Z1926" s="412">
        <f t="shared" si="535"/>
        <v>200</v>
      </c>
      <c r="AA1926" s="411">
        <f t="shared" si="536"/>
        <v>1174871466</v>
      </c>
      <c r="AB1926" s="412"/>
      <c r="AC1926" s="410" t="s">
        <v>58</v>
      </c>
      <c r="AD1926" s="412"/>
      <c r="AE1926" s="830"/>
    </row>
    <row r="1927" spans="1:31" s="863" customFormat="1" ht="180">
      <c r="A1927" s="16"/>
      <c r="B1927" s="17"/>
      <c r="C1927" s="29" t="s">
        <v>82</v>
      </c>
      <c r="D1927" s="29" t="s">
        <v>226</v>
      </c>
      <c r="E1927" s="20">
        <v>36</v>
      </c>
      <c r="F1927" s="21" t="s">
        <v>138</v>
      </c>
      <c r="G1927" s="831">
        <v>512480000</v>
      </c>
      <c r="H1927" s="20">
        <v>12</v>
      </c>
      <c r="I1927" s="22">
        <v>71101497</v>
      </c>
      <c r="J1927" s="20">
        <v>48</v>
      </c>
      <c r="K1927" s="23">
        <v>154140000</v>
      </c>
      <c r="L1927" s="20">
        <v>5</v>
      </c>
      <c r="M1927" s="23">
        <v>7164227</v>
      </c>
      <c r="N1927" s="20">
        <v>2</v>
      </c>
      <c r="O1927" s="273">
        <v>10920000</v>
      </c>
      <c r="P1927" s="20">
        <v>5</v>
      </c>
      <c r="Q1927" s="273">
        <v>34782300</v>
      </c>
      <c r="R1927" s="20">
        <v>36</v>
      </c>
      <c r="S1927" s="23">
        <v>57459427</v>
      </c>
      <c r="T1927" s="54">
        <f>SUM(L1927,N1927,P1927,R1927)</f>
        <v>48</v>
      </c>
      <c r="U1927" s="54">
        <f t="shared" si="541"/>
        <v>100</v>
      </c>
      <c r="V1927" s="35" t="s">
        <v>58</v>
      </c>
      <c r="W1927" s="40">
        <f>SUM(M1927,O1928,Q1927,S1927)</f>
        <v>103905954</v>
      </c>
      <c r="X1927" s="53">
        <f t="shared" si="542"/>
        <v>67.410116776956016</v>
      </c>
      <c r="Y1927" s="35" t="s">
        <v>58</v>
      </c>
      <c r="Z1927" s="54">
        <f t="shared" si="535"/>
        <v>60</v>
      </c>
      <c r="AA1927" s="40">
        <f t="shared" si="536"/>
        <v>175007451</v>
      </c>
      <c r="AB1927" s="53"/>
      <c r="AC1927" s="35" t="s">
        <v>58</v>
      </c>
      <c r="AD1927" s="53"/>
      <c r="AE1927" s="11"/>
    </row>
    <row r="1928" spans="1:31" s="863" customFormat="1" ht="105">
      <c r="A1928" s="16"/>
      <c r="B1928" s="17"/>
      <c r="C1928" s="26" t="s">
        <v>83</v>
      </c>
      <c r="D1928" s="29" t="s">
        <v>365</v>
      </c>
      <c r="E1928" s="20">
        <v>36</v>
      </c>
      <c r="F1928" s="21" t="s">
        <v>138</v>
      </c>
      <c r="G1928" s="831">
        <v>1363925000</v>
      </c>
      <c r="H1928" s="20">
        <v>12</v>
      </c>
      <c r="I1928" s="22">
        <v>890984815</v>
      </c>
      <c r="J1928" s="20">
        <v>4</v>
      </c>
      <c r="K1928" s="23">
        <v>56450000</v>
      </c>
      <c r="L1928" s="20">
        <v>4</v>
      </c>
      <c r="M1928" s="23">
        <v>4500000</v>
      </c>
      <c r="N1928" s="20">
        <v>4</v>
      </c>
      <c r="O1928" s="23">
        <v>4500000</v>
      </c>
      <c r="P1928" s="20">
        <v>4</v>
      </c>
      <c r="Q1928" s="23">
        <v>26650000</v>
      </c>
      <c r="R1928" s="20">
        <v>4</v>
      </c>
      <c r="S1928" s="23">
        <v>5767000</v>
      </c>
      <c r="T1928" s="54">
        <f>AVERAGE(J1928,N1928,P1928,R1928)</f>
        <v>4</v>
      </c>
      <c r="U1928" s="54">
        <f t="shared" si="541"/>
        <v>100</v>
      </c>
      <c r="V1928" s="35" t="s">
        <v>58</v>
      </c>
      <c r="W1928" s="40">
        <f>SUM(M1928,O1929,Q1928,S1928)</f>
        <v>48000000</v>
      </c>
      <c r="X1928" s="53">
        <f t="shared" si="542"/>
        <v>85.031000885739587</v>
      </c>
      <c r="Y1928" s="35" t="s">
        <v>58</v>
      </c>
      <c r="Z1928" s="805">
        <f t="shared" si="535"/>
        <v>16</v>
      </c>
      <c r="AA1928" s="40">
        <f t="shared" si="536"/>
        <v>938984815</v>
      </c>
      <c r="AB1928" s="53"/>
      <c r="AC1928" s="35" t="s">
        <v>58</v>
      </c>
      <c r="AD1928" s="53"/>
      <c r="AE1928" s="11"/>
    </row>
    <row r="1929" spans="1:31" s="863" customFormat="1" ht="135">
      <c r="A1929" s="16"/>
      <c r="B1929" s="17"/>
      <c r="C1929" s="26" t="s">
        <v>84</v>
      </c>
      <c r="D1929" s="360" t="s">
        <v>228</v>
      </c>
      <c r="E1929" s="20">
        <v>36</v>
      </c>
      <c r="F1929" s="21" t="s">
        <v>138</v>
      </c>
      <c r="G1929" s="831">
        <v>209250700</v>
      </c>
      <c r="H1929" s="20">
        <v>12</v>
      </c>
      <c r="I1929" s="22">
        <v>26102500</v>
      </c>
      <c r="J1929" s="20">
        <v>94</v>
      </c>
      <c r="K1929" s="23">
        <v>67294900</v>
      </c>
      <c r="L1929" s="20">
        <v>20</v>
      </c>
      <c r="M1929" s="23">
        <v>6049700</v>
      </c>
      <c r="N1929" s="20">
        <v>28</v>
      </c>
      <c r="O1929" s="23">
        <v>11083000</v>
      </c>
      <c r="P1929" s="20">
        <v>16</v>
      </c>
      <c r="Q1929" s="23">
        <v>5600000</v>
      </c>
      <c r="R1929" s="20">
        <v>30</v>
      </c>
      <c r="S1929" s="23">
        <v>22180000</v>
      </c>
      <c r="T1929" s="54">
        <f t="shared" ref="T1929:T1957" si="543">SUM(L1929,N1929,P1929,R1929)</f>
        <v>94</v>
      </c>
      <c r="U1929" s="54">
        <f t="shared" si="541"/>
        <v>100</v>
      </c>
      <c r="V1929" s="35" t="s">
        <v>58</v>
      </c>
      <c r="W1929" s="40">
        <f>SUM(M1929,O1930,Q1929,S1929)</f>
        <v>33829700</v>
      </c>
      <c r="X1929" s="53">
        <f t="shared" si="542"/>
        <v>50.270822900398095</v>
      </c>
      <c r="Y1929" s="35" t="s">
        <v>58</v>
      </c>
      <c r="Z1929" s="54">
        <f t="shared" si="535"/>
        <v>106</v>
      </c>
      <c r="AA1929" s="40">
        <f t="shared" si="536"/>
        <v>59932200</v>
      </c>
      <c r="AB1929" s="53"/>
      <c r="AC1929" s="35" t="s">
        <v>58</v>
      </c>
      <c r="AD1929" s="53"/>
      <c r="AE1929" s="11"/>
    </row>
    <row r="1930" spans="1:31" s="863" customFormat="1" ht="45">
      <c r="A1930" s="821"/>
      <c r="B1930" s="822"/>
      <c r="C1930" s="436" t="s">
        <v>2216</v>
      </c>
      <c r="D1930" s="436" t="s">
        <v>2217</v>
      </c>
      <c r="E1930" s="20">
        <v>36</v>
      </c>
      <c r="F1930" s="21" t="s">
        <v>138</v>
      </c>
      <c r="G1930" s="807">
        <v>7500000</v>
      </c>
      <c r="H1930" s="20"/>
      <c r="I1930" s="804">
        <v>5610000</v>
      </c>
      <c r="J1930" s="301">
        <v>0</v>
      </c>
      <c r="K1930" s="273">
        <v>0</v>
      </c>
      <c r="L1930" s="301">
        <v>0</v>
      </c>
      <c r="M1930" s="273">
        <v>0</v>
      </c>
      <c r="N1930" s="301">
        <v>0</v>
      </c>
      <c r="O1930" s="273">
        <v>0</v>
      </c>
      <c r="P1930" s="301">
        <v>0</v>
      </c>
      <c r="Q1930" s="273">
        <v>0</v>
      </c>
      <c r="R1930" s="301"/>
      <c r="S1930" s="273"/>
      <c r="T1930" s="808">
        <f t="shared" si="543"/>
        <v>0</v>
      </c>
      <c r="U1930" s="406"/>
      <c r="V1930" s="300" t="s">
        <v>58</v>
      </c>
      <c r="W1930" s="407">
        <f t="shared" ref="W1930:W1934" si="544">SUM(M1930,O1930,Q1930,S1930)</f>
        <v>0</v>
      </c>
      <c r="X1930" s="408"/>
      <c r="Y1930" s="300" t="s">
        <v>58</v>
      </c>
      <c r="Z1930" s="809">
        <f t="shared" si="535"/>
        <v>0</v>
      </c>
      <c r="AA1930" s="407">
        <f t="shared" si="536"/>
        <v>5610000</v>
      </c>
      <c r="AB1930" s="408"/>
      <c r="AC1930" s="300" t="s">
        <v>58</v>
      </c>
      <c r="AD1930" s="408"/>
      <c r="AE1930" s="833"/>
    </row>
    <row r="1931" spans="1:31" s="863" customFormat="1" ht="78.75">
      <c r="A1931" s="48">
        <v>29</v>
      </c>
      <c r="B1931" s="49" t="s">
        <v>2218</v>
      </c>
      <c r="C1931" s="1065" t="s">
        <v>2219</v>
      </c>
      <c r="D1931" s="358" t="s">
        <v>2220</v>
      </c>
      <c r="E1931" s="45">
        <v>100</v>
      </c>
      <c r="F1931" s="46" t="s">
        <v>58</v>
      </c>
      <c r="G1931" s="52">
        <f>G1934+G1945+G1952+G1959</f>
        <v>610122989848</v>
      </c>
      <c r="H1931" s="45"/>
      <c r="I1931" s="52">
        <f>I1934+I1945+I1952+I1959</f>
        <v>76380676018</v>
      </c>
      <c r="J1931" s="45">
        <v>100</v>
      </c>
      <c r="K1931" s="52">
        <f>K1934+K1945+K1952+K1959+K1963</f>
        <v>206874354619</v>
      </c>
      <c r="L1931" s="45">
        <v>0</v>
      </c>
      <c r="M1931" s="52">
        <f>M1934+M1945+M1952+M1959</f>
        <v>28271685236</v>
      </c>
      <c r="N1931" s="45">
        <v>0</v>
      </c>
      <c r="O1931" s="52">
        <f>O1934+O1945+O1952+O1959</f>
        <v>40967654850</v>
      </c>
      <c r="P1931" s="45">
        <f>5/6*100</f>
        <v>83.333333333333343</v>
      </c>
      <c r="Q1931" s="52">
        <f>Q1934+Q1945+Q1952+Q1959</f>
        <v>85341993230</v>
      </c>
      <c r="R1931" s="45">
        <f>1/6*100</f>
        <v>16.666666666666664</v>
      </c>
      <c r="S1931" s="52">
        <f>S1934+S1945+S1952+S1959</f>
        <v>40003294420</v>
      </c>
      <c r="T1931" s="835">
        <f t="shared" si="543"/>
        <v>100</v>
      </c>
      <c r="U1931" s="55">
        <f t="shared" si="541"/>
        <v>100</v>
      </c>
      <c r="V1931" s="58" t="s">
        <v>58</v>
      </c>
      <c r="W1931" s="59">
        <f t="shared" si="544"/>
        <v>194584627736</v>
      </c>
      <c r="X1931" s="57">
        <f t="shared" si="542"/>
        <v>94.059327988897437</v>
      </c>
      <c r="Y1931" s="58" t="s">
        <v>58</v>
      </c>
      <c r="Z1931" s="55">
        <f t="shared" si="535"/>
        <v>100</v>
      </c>
      <c r="AA1931" s="59">
        <f t="shared" si="536"/>
        <v>270965303754</v>
      </c>
      <c r="AB1931" s="57"/>
      <c r="AC1931" s="58" t="s">
        <v>58</v>
      </c>
      <c r="AD1931" s="57"/>
      <c r="AE1931" s="77"/>
    </row>
    <row r="1932" spans="1:31" s="863" customFormat="1" ht="150" customHeight="1">
      <c r="A1932" s="16"/>
      <c r="B1932" s="17"/>
      <c r="C1932" s="1066"/>
      <c r="D1932" s="49" t="s">
        <v>2221</v>
      </c>
      <c r="E1932" s="45">
        <v>100</v>
      </c>
      <c r="F1932" s="46" t="s">
        <v>58</v>
      </c>
      <c r="G1932" s="97"/>
      <c r="H1932" s="76"/>
      <c r="I1932" s="97"/>
      <c r="J1932" s="108">
        <v>100</v>
      </c>
      <c r="K1932" s="97"/>
      <c r="L1932" s="107">
        <f>1863/12050*100</f>
        <v>15.460580912863071</v>
      </c>
      <c r="M1932" s="97"/>
      <c r="N1932" s="107">
        <f>3501/12050*100</f>
        <v>29.053941908713693</v>
      </c>
      <c r="O1932" s="97"/>
      <c r="P1932" s="107">
        <f>4250/12050*100</f>
        <v>35.269709543568467</v>
      </c>
      <c r="Q1932" s="97"/>
      <c r="R1932" s="107">
        <f>7305/12050*100</f>
        <v>60.622406639004147</v>
      </c>
      <c r="S1932" s="42"/>
      <c r="T1932" s="57">
        <f t="shared" si="543"/>
        <v>140.40663900414938</v>
      </c>
      <c r="U1932" s="55">
        <f t="shared" si="541"/>
        <v>140.40663900414938</v>
      </c>
      <c r="V1932" s="58" t="s">
        <v>58</v>
      </c>
      <c r="W1932" s="59">
        <f t="shared" si="544"/>
        <v>0</v>
      </c>
      <c r="X1932" s="57"/>
      <c r="Y1932" s="58" t="s">
        <v>58</v>
      </c>
      <c r="Z1932" s="55">
        <f t="shared" si="535"/>
        <v>140.40663900414938</v>
      </c>
      <c r="AA1932" s="59">
        <f t="shared" si="536"/>
        <v>0</v>
      </c>
      <c r="AB1932" s="57"/>
      <c r="AC1932" s="58"/>
      <c r="AD1932" s="57"/>
      <c r="AE1932" s="77"/>
    </row>
    <row r="1933" spans="1:31" s="863" customFormat="1" ht="94.5">
      <c r="A1933" s="16"/>
      <c r="B1933" s="17"/>
      <c r="C1933" s="1067"/>
      <c r="D1933" s="281" t="s">
        <v>2222</v>
      </c>
      <c r="E1933" s="45">
        <v>100</v>
      </c>
      <c r="F1933" s="46" t="s">
        <v>58</v>
      </c>
      <c r="G1933" s="41"/>
      <c r="H1933" s="45"/>
      <c r="I1933" s="41"/>
      <c r="J1933" s="45">
        <v>100</v>
      </c>
      <c r="K1933" s="41"/>
      <c r="L1933" s="45">
        <v>100</v>
      </c>
      <c r="M1933" s="41"/>
      <c r="N1933" s="45">
        <v>100</v>
      </c>
      <c r="O1933" s="41"/>
      <c r="P1933" s="45">
        <v>100</v>
      </c>
      <c r="Q1933" s="41"/>
      <c r="R1933" s="45">
        <v>100</v>
      </c>
      <c r="S1933" s="42"/>
      <c r="T1933" s="55">
        <f>AVERAGE(L1933,N1933,P1933,R1933)</f>
        <v>100</v>
      </c>
      <c r="U1933" s="55">
        <f t="shared" si="541"/>
        <v>100</v>
      </c>
      <c r="V1933" s="58" t="s">
        <v>58</v>
      </c>
      <c r="W1933" s="59">
        <f t="shared" si="544"/>
        <v>0</v>
      </c>
      <c r="X1933" s="57"/>
      <c r="Y1933" s="58" t="s">
        <v>58</v>
      </c>
      <c r="Z1933" s="55">
        <f t="shared" si="535"/>
        <v>100</v>
      </c>
      <c r="AA1933" s="59">
        <f t="shared" si="536"/>
        <v>0</v>
      </c>
      <c r="AB1933" s="57"/>
      <c r="AC1933" s="58"/>
      <c r="AD1933" s="57"/>
      <c r="AE1933" s="77"/>
    </row>
    <row r="1934" spans="1:31" s="863" customFormat="1" ht="94.5">
      <c r="A1934" s="16"/>
      <c r="B1934" s="17"/>
      <c r="C1934" s="836" t="s">
        <v>2223</v>
      </c>
      <c r="D1934" s="606" t="s">
        <v>2224</v>
      </c>
      <c r="E1934" s="45">
        <v>100</v>
      </c>
      <c r="F1934" s="46" t="s">
        <v>58</v>
      </c>
      <c r="G1934" s="52">
        <f>SUM(G1937:G1944)</f>
        <v>2379331400</v>
      </c>
      <c r="H1934" s="45"/>
      <c r="I1934" s="52">
        <f>SUM(I1937:I1944)</f>
        <v>586966500</v>
      </c>
      <c r="J1934" s="45">
        <v>100</v>
      </c>
      <c r="K1934" s="52">
        <f>SUM(K1937:K1944)</f>
        <v>754495100</v>
      </c>
      <c r="L1934" s="45">
        <v>0</v>
      </c>
      <c r="M1934" s="52">
        <f>SUM(M1937:M1944)</f>
        <v>142662600</v>
      </c>
      <c r="N1934" s="45">
        <v>0</v>
      </c>
      <c r="O1934" s="52">
        <f>SUM(O1937:O1944)</f>
        <v>141508900</v>
      </c>
      <c r="P1934" s="45">
        <f>4/4*100</f>
        <v>100</v>
      </c>
      <c r="Q1934" s="52">
        <f>SUM(Q1937:Q1944)</f>
        <v>191252000</v>
      </c>
      <c r="R1934" s="45">
        <v>0</v>
      </c>
      <c r="S1934" s="52">
        <f>SUM(S1937:S1944)</f>
        <v>79673200</v>
      </c>
      <c r="T1934" s="835">
        <f t="shared" si="543"/>
        <v>100</v>
      </c>
      <c r="U1934" s="55">
        <f t="shared" si="541"/>
        <v>100</v>
      </c>
      <c r="V1934" s="58" t="s">
        <v>58</v>
      </c>
      <c r="W1934" s="59">
        <f t="shared" si="544"/>
        <v>555096700</v>
      </c>
      <c r="X1934" s="57">
        <f t="shared" si="542"/>
        <v>73.571942349261107</v>
      </c>
      <c r="Y1934" s="58" t="s">
        <v>58</v>
      </c>
      <c r="Z1934" s="55">
        <f t="shared" si="535"/>
        <v>100</v>
      </c>
      <c r="AA1934" s="59">
        <f t="shared" si="536"/>
        <v>1142063200</v>
      </c>
      <c r="AB1934" s="57"/>
      <c r="AC1934" s="58" t="s">
        <v>58</v>
      </c>
      <c r="AD1934" s="57"/>
      <c r="AE1934" s="77"/>
    </row>
    <row r="1935" spans="1:31" s="863" customFormat="1" ht="78.75">
      <c r="A1935" s="16"/>
      <c r="B1935" s="17"/>
      <c r="C1935" s="822"/>
      <c r="D1935" s="611" t="s">
        <v>2225</v>
      </c>
      <c r="E1935" s="45">
        <v>100</v>
      </c>
      <c r="F1935" s="46" t="s">
        <v>58</v>
      </c>
      <c r="G1935" s="97"/>
      <c r="H1935" s="45"/>
      <c r="I1935" s="97"/>
      <c r="J1935" s="45">
        <v>100</v>
      </c>
      <c r="K1935" s="97"/>
      <c r="L1935" s="45">
        <v>0</v>
      </c>
      <c r="M1935" s="97"/>
      <c r="N1935" s="45">
        <v>0</v>
      </c>
      <c r="O1935" s="97"/>
      <c r="P1935" s="45">
        <f>3/4*100</f>
        <v>75</v>
      </c>
      <c r="Q1935" s="97"/>
      <c r="R1935" s="45">
        <f>1/4*100</f>
        <v>25</v>
      </c>
      <c r="S1935" s="42"/>
      <c r="T1935" s="835">
        <f t="shared" si="543"/>
        <v>100</v>
      </c>
      <c r="U1935" s="55">
        <f t="shared" si="541"/>
        <v>100</v>
      </c>
      <c r="V1935" s="58" t="s">
        <v>58</v>
      </c>
      <c r="W1935" s="59">
        <f t="shared" ref="W1935:W1952" si="545">SUM(M1935,O1937,Q1935,S1935)</f>
        <v>0</v>
      </c>
      <c r="X1935" s="57"/>
      <c r="Y1935" s="58" t="s">
        <v>58</v>
      </c>
      <c r="Z1935" s="55">
        <f t="shared" si="535"/>
        <v>100</v>
      </c>
      <c r="AA1935" s="59">
        <f t="shared" si="536"/>
        <v>0</v>
      </c>
      <c r="AB1935" s="57"/>
      <c r="AC1935" s="58"/>
      <c r="AD1935" s="57"/>
      <c r="AE1935" s="77"/>
    </row>
    <row r="1936" spans="1:31" s="863" customFormat="1" ht="78.75">
      <c r="A1936" s="16"/>
      <c r="B1936" s="17"/>
      <c r="C1936" s="471"/>
      <c r="D1936" s="611" t="s">
        <v>2226</v>
      </c>
      <c r="E1936" s="45">
        <v>100</v>
      </c>
      <c r="F1936" s="46" t="s">
        <v>58</v>
      </c>
      <c r="G1936" s="41"/>
      <c r="H1936" s="45"/>
      <c r="I1936" s="41"/>
      <c r="J1936" s="45">
        <v>100</v>
      </c>
      <c r="K1936" s="41"/>
      <c r="L1936" s="45">
        <v>0</v>
      </c>
      <c r="M1936" s="41"/>
      <c r="N1936" s="45">
        <v>0</v>
      </c>
      <c r="O1936" s="41"/>
      <c r="P1936" s="45">
        <f>1/2*100</f>
        <v>50</v>
      </c>
      <c r="Q1936" s="41"/>
      <c r="R1936" s="45">
        <f>1/2*100</f>
        <v>50</v>
      </c>
      <c r="S1936" s="42"/>
      <c r="T1936" s="835">
        <f t="shared" si="543"/>
        <v>100</v>
      </c>
      <c r="U1936" s="55">
        <f t="shared" si="541"/>
        <v>100</v>
      </c>
      <c r="V1936" s="58" t="s">
        <v>58</v>
      </c>
      <c r="W1936" s="59">
        <f>SUM(M1936,O1938,Q1936,S1936)</f>
        <v>0</v>
      </c>
      <c r="X1936" s="57"/>
      <c r="Y1936" s="58" t="s">
        <v>58</v>
      </c>
      <c r="Z1936" s="55">
        <f t="shared" si="535"/>
        <v>100</v>
      </c>
      <c r="AA1936" s="59">
        <f t="shared" si="536"/>
        <v>0</v>
      </c>
      <c r="AB1936" s="57"/>
      <c r="AC1936" s="58"/>
      <c r="AD1936" s="57"/>
      <c r="AE1936" s="77"/>
    </row>
    <row r="1937" spans="1:31" s="863" customFormat="1" ht="75">
      <c r="A1937" s="16"/>
      <c r="B1937" s="17"/>
      <c r="C1937" s="26" t="s">
        <v>2227</v>
      </c>
      <c r="D1937" s="837" t="s">
        <v>2228</v>
      </c>
      <c r="E1937" s="20">
        <v>6</v>
      </c>
      <c r="F1937" s="21" t="s">
        <v>55</v>
      </c>
      <c r="G1937" s="838">
        <v>33450200</v>
      </c>
      <c r="H1937" s="20">
        <v>2</v>
      </c>
      <c r="I1937" s="23">
        <v>8475000</v>
      </c>
      <c r="J1937" s="20">
        <v>2</v>
      </c>
      <c r="K1937" s="23">
        <v>8925050</v>
      </c>
      <c r="L1937" s="20">
        <v>0</v>
      </c>
      <c r="M1937" s="23">
        <v>0</v>
      </c>
      <c r="N1937" s="20">
        <v>0</v>
      </c>
      <c r="O1937" s="42">
        <v>0</v>
      </c>
      <c r="P1937" s="20">
        <v>2</v>
      </c>
      <c r="Q1937" s="42">
        <v>6747900</v>
      </c>
      <c r="R1937" s="20">
        <v>0</v>
      </c>
      <c r="S1937" s="23">
        <v>0</v>
      </c>
      <c r="T1937" s="54">
        <f t="shared" si="543"/>
        <v>2</v>
      </c>
      <c r="U1937" s="53">
        <f t="shared" si="541"/>
        <v>100</v>
      </c>
      <c r="V1937" s="35" t="s">
        <v>58</v>
      </c>
      <c r="W1937" s="40">
        <f>SUM(M1937,O1937,Q1937,S1937)</f>
        <v>6747900</v>
      </c>
      <c r="X1937" s="53">
        <f t="shared" si="542"/>
        <v>75.606299124374658</v>
      </c>
      <c r="Y1937" s="35" t="s">
        <v>58</v>
      </c>
      <c r="Z1937" s="54">
        <f t="shared" si="535"/>
        <v>4</v>
      </c>
      <c r="AA1937" s="40">
        <f t="shared" si="536"/>
        <v>15222900</v>
      </c>
      <c r="AB1937" s="53"/>
      <c r="AC1937" s="35" t="s">
        <v>58</v>
      </c>
      <c r="AD1937" s="53"/>
      <c r="AE1937" s="11"/>
    </row>
    <row r="1938" spans="1:31" s="863" customFormat="1" ht="105">
      <c r="A1938" s="16"/>
      <c r="B1938" s="17"/>
      <c r="C1938" s="26" t="s">
        <v>2229</v>
      </c>
      <c r="D1938" s="837" t="s">
        <v>2230</v>
      </c>
      <c r="E1938" s="20">
        <v>6</v>
      </c>
      <c r="F1938" s="21" t="s">
        <v>55</v>
      </c>
      <c r="G1938" s="839">
        <v>33450200</v>
      </c>
      <c r="H1938" s="20">
        <v>2</v>
      </c>
      <c r="I1938" s="22">
        <v>7250000</v>
      </c>
      <c r="J1938" s="20">
        <v>2</v>
      </c>
      <c r="K1938" s="23">
        <v>8925050</v>
      </c>
      <c r="L1938" s="20">
        <v>0</v>
      </c>
      <c r="M1938" s="23">
        <v>0</v>
      </c>
      <c r="N1938" s="20">
        <v>0</v>
      </c>
      <c r="O1938" s="42">
        <v>0</v>
      </c>
      <c r="P1938" s="20">
        <v>2</v>
      </c>
      <c r="Q1938" s="42">
        <v>7017800</v>
      </c>
      <c r="R1938" s="20">
        <v>0</v>
      </c>
      <c r="S1938" s="23">
        <v>775100</v>
      </c>
      <c r="T1938" s="54">
        <f t="shared" si="543"/>
        <v>2</v>
      </c>
      <c r="U1938" s="53">
        <f t="shared" si="541"/>
        <v>100</v>
      </c>
      <c r="V1938" s="35" t="s">
        <v>58</v>
      </c>
      <c r="W1938" s="40">
        <f t="shared" ref="W1938:W1943" si="546">SUM(M1938,O1938,Q1938,S1938)</f>
        <v>7792900</v>
      </c>
      <c r="X1938" s="53">
        <f t="shared" si="542"/>
        <v>87.314917003266089</v>
      </c>
      <c r="Y1938" s="35" t="s">
        <v>58</v>
      </c>
      <c r="Z1938" s="54">
        <f t="shared" si="535"/>
        <v>4</v>
      </c>
      <c r="AA1938" s="40">
        <f t="shared" si="536"/>
        <v>15042900</v>
      </c>
      <c r="AB1938" s="53"/>
      <c r="AC1938" s="35" t="s">
        <v>58</v>
      </c>
      <c r="AD1938" s="53"/>
      <c r="AE1938" s="11"/>
    </row>
    <row r="1939" spans="1:31" s="863" customFormat="1" ht="75">
      <c r="A1939" s="16"/>
      <c r="B1939" s="17"/>
      <c r="C1939" s="26" t="s">
        <v>2231</v>
      </c>
      <c r="D1939" s="840" t="s">
        <v>2232</v>
      </c>
      <c r="E1939" s="20">
        <v>118</v>
      </c>
      <c r="F1939" s="21" t="s">
        <v>55</v>
      </c>
      <c r="G1939" s="838">
        <v>379850200</v>
      </c>
      <c r="H1939" s="44">
        <v>38</v>
      </c>
      <c r="I1939" s="22">
        <v>68100000</v>
      </c>
      <c r="J1939" s="20">
        <v>40</v>
      </c>
      <c r="K1939" s="23">
        <v>86497500</v>
      </c>
      <c r="L1939" s="20">
        <v>0</v>
      </c>
      <c r="M1939" s="23"/>
      <c r="N1939" s="20">
        <v>40</v>
      </c>
      <c r="O1939" s="23">
        <v>1000000</v>
      </c>
      <c r="P1939" s="20">
        <v>40</v>
      </c>
      <c r="Q1939" s="23">
        <v>15125000</v>
      </c>
      <c r="R1939" s="20">
        <v>0</v>
      </c>
      <c r="S1939" s="23">
        <v>23075000</v>
      </c>
      <c r="T1939" s="54">
        <v>40</v>
      </c>
      <c r="U1939" s="53">
        <f t="shared" si="541"/>
        <v>100</v>
      </c>
      <c r="V1939" s="35" t="s">
        <v>58</v>
      </c>
      <c r="W1939" s="40">
        <f t="shared" si="546"/>
        <v>39200000</v>
      </c>
      <c r="X1939" s="53">
        <f t="shared" si="542"/>
        <v>45.31922887944738</v>
      </c>
      <c r="Y1939" s="35" t="s">
        <v>58</v>
      </c>
      <c r="Z1939" s="54">
        <f t="shared" si="535"/>
        <v>78</v>
      </c>
      <c r="AA1939" s="40">
        <f t="shared" si="536"/>
        <v>107300000</v>
      </c>
      <c r="AB1939" s="53"/>
      <c r="AC1939" s="35" t="s">
        <v>58</v>
      </c>
      <c r="AD1939" s="53"/>
      <c r="AE1939" s="11"/>
    </row>
    <row r="1940" spans="1:31" s="863" customFormat="1" ht="90">
      <c r="A1940" s="16"/>
      <c r="B1940" s="17"/>
      <c r="C1940" s="26" t="s">
        <v>2233</v>
      </c>
      <c r="D1940" s="840" t="s">
        <v>2234</v>
      </c>
      <c r="E1940" s="20"/>
      <c r="F1940" s="21" t="s">
        <v>55</v>
      </c>
      <c r="G1940" s="838"/>
      <c r="H1940" s="44"/>
      <c r="I1940" s="22"/>
      <c r="J1940" s="20">
        <v>40</v>
      </c>
      <c r="K1940" s="23">
        <v>25997500</v>
      </c>
      <c r="L1940" s="20">
        <v>0</v>
      </c>
      <c r="M1940" s="23">
        <v>6000000</v>
      </c>
      <c r="N1940" s="20">
        <v>40</v>
      </c>
      <c r="O1940" s="23">
        <v>12725000</v>
      </c>
      <c r="P1940" s="20">
        <v>40</v>
      </c>
      <c r="Q1940" s="23">
        <v>0</v>
      </c>
      <c r="R1940" s="20">
        <v>0</v>
      </c>
      <c r="S1940" s="23">
        <v>1437500</v>
      </c>
      <c r="T1940" s="54">
        <v>40</v>
      </c>
      <c r="U1940" s="53">
        <f t="shared" si="541"/>
        <v>100</v>
      </c>
      <c r="V1940" s="35" t="s">
        <v>58</v>
      </c>
      <c r="W1940" s="40">
        <f t="shared" si="546"/>
        <v>20162500</v>
      </c>
      <c r="X1940" s="53">
        <f t="shared" si="542"/>
        <v>77.555534185979425</v>
      </c>
      <c r="Y1940" s="35" t="s">
        <v>58</v>
      </c>
      <c r="Z1940" s="54">
        <f t="shared" si="535"/>
        <v>40</v>
      </c>
      <c r="AA1940" s="40">
        <f t="shared" si="536"/>
        <v>20162500</v>
      </c>
      <c r="AB1940" s="53"/>
      <c r="AC1940" s="35" t="s">
        <v>58</v>
      </c>
      <c r="AD1940" s="53"/>
      <c r="AE1940" s="11"/>
    </row>
    <row r="1941" spans="1:31" s="863" customFormat="1" ht="94.5" customHeight="1">
      <c r="A1941" s="16"/>
      <c r="B1941" s="17"/>
      <c r="C1941" s="26" t="s">
        <v>2235</v>
      </c>
      <c r="D1941" s="840" t="s">
        <v>2236</v>
      </c>
      <c r="E1941" s="20">
        <v>118</v>
      </c>
      <c r="F1941" s="21" t="s">
        <v>55</v>
      </c>
      <c r="G1941" s="839">
        <v>87830000</v>
      </c>
      <c r="H1941" s="20">
        <v>38</v>
      </c>
      <c r="I1941" s="23">
        <v>26152500</v>
      </c>
      <c r="J1941" s="20">
        <v>40</v>
      </c>
      <c r="K1941" s="23">
        <v>13150000</v>
      </c>
      <c r="L1941" s="20">
        <v>0</v>
      </c>
      <c r="M1941" s="23"/>
      <c r="N1941" s="20">
        <v>40</v>
      </c>
      <c r="O1941" s="23">
        <v>9895400</v>
      </c>
      <c r="P1941" s="20">
        <v>40</v>
      </c>
      <c r="Q1941" s="23">
        <v>0</v>
      </c>
      <c r="R1941" s="20">
        <v>0</v>
      </c>
      <c r="S1941" s="23">
        <v>0</v>
      </c>
      <c r="T1941" s="54">
        <v>40</v>
      </c>
      <c r="U1941" s="53">
        <f t="shared" si="541"/>
        <v>100</v>
      </c>
      <c r="V1941" s="35" t="s">
        <v>58</v>
      </c>
      <c r="W1941" s="40">
        <f t="shared" si="546"/>
        <v>9895400</v>
      </c>
      <c r="X1941" s="53">
        <f t="shared" si="542"/>
        <v>75.250190114068431</v>
      </c>
      <c r="Y1941" s="35" t="s">
        <v>58</v>
      </c>
      <c r="Z1941" s="54">
        <f t="shared" si="535"/>
        <v>78</v>
      </c>
      <c r="AA1941" s="40">
        <f t="shared" si="536"/>
        <v>36047900</v>
      </c>
      <c r="AB1941" s="53"/>
      <c r="AC1941" s="35" t="s">
        <v>58</v>
      </c>
      <c r="AD1941" s="53"/>
      <c r="AE1941" s="11"/>
    </row>
    <row r="1942" spans="1:31" s="863" customFormat="1" ht="90">
      <c r="A1942" s="16"/>
      <c r="B1942" s="17"/>
      <c r="C1942" s="26" t="s">
        <v>2237</v>
      </c>
      <c r="D1942" s="840" t="s">
        <v>2238</v>
      </c>
      <c r="E1942" s="20"/>
      <c r="F1942" s="21"/>
      <c r="G1942" s="839"/>
      <c r="H1942" s="20"/>
      <c r="I1942" s="23"/>
      <c r="J1942" s="20">
        <v>40</v>
      </c>
      <c r="K1942" s="23">
        <v>13150000</v>
      </c>
      <c r="L1942" s="20">
        <v>0</v>
      </c>
      <c r="M1942" s="23"/>
      <c r="N1942" s="20">
        <v>40</v>
      </c>
      <c r="O1942" s="23">
        <v>0</v>
      </c>
      <c r="P1942" s="20">
        <v>40</v>
      </c>
      <c r="Q1942" s="23">
        <v>0</v>
      </c>
      <c r="R1942" s="20">
        <v>0</v>
      </c>
      <c r="S1942" s="23">
        <v>11900000</v>
      </c>
      <c r="T1942" s="54">
        <v>40</v>
      </c>
      <c r="U1942" s="53">
        <f t="shared" si="541"/>
        <v>100</v>
      </c>
      <c r="V1942" s="35" t="s">
        <v>58</v>
      </c>
      <c r="W1942" s="40">
        <f t="shared" si="546"/>
        <v>11900000</v>
      </c>
      <c r="X1942" s="53">
        <f t="shared" si="542"/>
        <v>90.49429657794677</v>
      </c>
      <c r="Y1942" s="35" t="s">
        <v>58</v>
      </c>
      <c r="Z1942" s="54">
        <f t="shared" si="535"/>
        <v>40</v>
      </c>
      <c r="AA1942" s="40">
        <f t="shared" si="536"/>
        <v>11900000</v>
      </c>
      <c r="AB1942" s="53"/>
      <c r="AC1942" s="35" t="s">
        <v>58</v>
      </c>
      <c r="AD1942" s="53"/>
      <c r="AE1942" s="11"/>
    </row>
    <row r="1943" spans="1:31" s="863" customFormat="1" ht="195">
      <c r="A1943" s="16"/>
      <c r="B1943" s="17"/>
      <c r="C1943" s="26" t="s">
        <v>2239</v>
      </c>
      <c r="D1943" s="840" t="s">
        <v>2240</v>
      </c>
      <c r="E1943" s="20">
        <v>6</v>
      </c>
      <c r="F1943" s="21" t="s">
        <v>55</v>
      </c>
      <c r="G1943" s="839">
        <v>908450300</v>
      </c>
      <c r="H1943" s="20">
        <v>2</v>
      </c>
      <c r="I1943" s="23">
        <v>225720000</v>
      </c>
      <c r="J1943" s="20">
        <v>2</v>
      </c>
      <c r="K1943" s="23">
        <v>292325000</v>
      </c>
      <c r="L1943" s="20">
        <v>0</v>
      </c>
      <c r="M1943" s="23">
        <v>22100100</v>
      </c>
      <c r="N1943" s="20">
        <v>0</v>
      </c>
      <c r="O1943" s="23">
        <v>300000</v>
      </c>
      <c r="P1943" s="20">
        <v>0</v>
      </c>
      <c r="Q1943" s="23">
        <v>133925000</v>
      </c>
      <c r="R1943" s="20">
        <v>2</v>
      </c>
      <c r="S1943" s="23">
        <v>12946800</v>
      </c>
      <c r="T1943" s="54">
        <f t="shared" si="543"/>
        <v>2</v>
      </c>
      <c r="U1943" s="53">
        <f t="shared" si="541"/>
        <v>100</v>
      </c>
      <c r="V1943" s="35" t="s">
        <v>58</v>
      </c>
      <c r="W1943" s="40">
        <f t="shared" si="546"/>
        <v>169271900</v>
      </c>
      <c r="X1943" s="53">
        <f t="shared" si="542"/>
        <v>57.905379286752755</v>
      </c>
      <c r="Y1943" s="35" t="s">
        <v>58</v>
      </c>
      <c r="Z1943" s="54">
        <f t="shared" si="535"/>
        <v>4</v>
      </c>
      <c r="AA1943" s="40">
        <f t="shared" si="536"/>
        <v>394991900</v>
      </c>
      <c r="AB1943" s="53"/>
      <c r="AC1943" s="35" t="s">
        <v>58</v>
      </c>
      <c r="AD1943" s="53"/>
      <c r="AE1943" s="11"/>
    </row>
    <row r="1944" spans="1:31" s="863" customFormat="1" ht="225">
      <c r="A1944" s="16"/>
      <c r="B1944" s="17"/>
      <c r="C1944" s="26" t="s">
        <v>2241</v>
      </c>
      <c r="D1944" s="840" t="s">
        <v>2242</v>
      </c>
      <c r="E1944" s="20">
        <v>6</v>
      </c>
      <c r="F1944" s="21" t="s">
        <v>55</v>
      </c>
      <c r="G1944" s="839">
        <v>936300500</v>
      </c>
      <c r="H1944" s="20">
        <v>2</v>
      </c>
      <c r="I1944" s="23">
        <v>251269000</v>
      </c>
      <c r="J1944" s="20">
        <v>2</v>
      </c>
      <c r="K1944" s="23">
        <v>305525000</v>
      </c>
      <c r="L1944" s="20">
        <v>0</v>
      </c>
      <c r="M1944" s="23">
        <v>114562500</v>
      </c>
      <c r="N1944" s="20">
        <v>0</v>
      </c>
      <c r="O1944" s="23">
        <v>117588500</v>
      </c>
      <c r="P1944" s="20">
        <v>0</v>
      </c>
      <c r="Q1944" s="23">
        <v>28436300</v>
      </c>
      <c r="R1944" s="20">
        <v>2</v>
      </c>
      <c r="S1944" s="23">
        <v>29538800</v>
      </c>
      <c r="T1944" s="54">
        <f t="shared" si="543"/>
        <v>2</v>
      </c>
      <c r="U1944" s="53">
        <f t="shared" si="541"/>
        <v>100</v>
      </c>
      <c r="V1944" s="35" t="s">
        <v>58</v>
      </c>
      <c r="W1944" s="40">
        <f>SUM(M1944,O1944,Q1944,S1944)</f>
        <v>290126100</v>
      </c>
      <c r="X1944" s="53">
        <f t="shared" si="542"/>
        <v>94.959855985598566</v>
      </c>
      <c r="Y1944" s="35" t="s">
        <v>58</v>
      </c>
      <c r="Z1944" s="54">
        <f t="shared" si="535"/>
        <v>4</v>
      </c>
      <c r="AA1944" s="40">
        <f t="shared" si="536"/>
        <v>541395100</v>
      </c>
      <c r="AB1944" s="53"/>
      <c r="AC1944" s="35" t="s">
        <v>58</v>
      </c>
      <c r="AD1944" s="53"/>
      <c r="AE1944" s="11"/>
    </row>
    <row r="1945" spans="1:31" s="863" customFormat="1" ht="157.5">
      <c r="A1945" s="16"/>
      <c r="B1945" s="17"/>
      <c r="C1945" s="836" t="s">
        <v>2243</v>
      </c>
      <c r="D1945" s="573" t="s">
        <v>2244</v>
      </c>
      <c r="E1945" s="823">
        <v>100</v>
      </c>
      <c r="F1945" s="829" t="s">
        <v>58</v>
      </c>
      <c r="G1945" s="270">
        <f>SUM(G1948:G1951)</f>
        <v>259080500</v>
      </c>
      <c r="H1945" s="823"/>
      <c r="I1945" s="270">
        <f>SUM(I1948:I1951)</f>
        <v>63659600</v>
      </c>
      <c r="J1945" s="823">
        <v>100</v>
      </c>
      <c r="K1945" s="270">
        <f>SUM(K1948:K1951)</f>
        <v>47224800</v>
      </c>
      <c r="L1945" s="841">
        <f>3/12*100</f>
        <v>25</v>
      </c>
      <c r="M1945" s="270">
        <f>SUM(M1948:M1951)</f>
        <v>1500000</v>
      </c>
      <c r="N1945" s="841">
        <f>3/12*100</f>
        <v>25</v>
      </c>
      <c r="O1945" s="270">
        <f>SUM(O1948:O1951)</f>
        <v>6687500</v>
      </c>
      <c r="P1945" s="841">
        <f>3/12*100</f>
        <v>25</v>
      </c>
      <c r="Q1945" s="270">
        <f>SUM(Q1948:Q1951)</f>
        <v>16812300</v>
      </c>
      <c r="R1945" s="841">
        <f>3/12*100</f>
        <v>25</v>
      </c>
      <c r="S1945" s="270">
        <f>SUM(S1948:S1951)</f>
        <v>7537500</v>
      </c>
      <c r="T1945" s="55">
        <f t="shared" si="543"/>
        <v>100</v>
      </c>
      <c r="U1945" s="55">
        <f t="shared" si="541"/>
        <v>100</v>
      </c>
      <c r="V1945" s="58" t="s">
        <v>58</v>
      </c>
      <c r="W1945" s="59">
        <f t="shared" si="545"/>
        <v>25849800</v>
      </c>
      <c r="X1945" s="57">
        <f t="shared" si="542"/>
        <v>54.737764903186459</v>
      </c>
      <c r="Y1945" s="58" t="s">
        <v>58</v>
      </c>
      <c r="Z1945" s="55">
        <f t="shared" si="535"/>
        <v>100</v>
      </c>
      <c r="AA1945" s="59">
        <f t="shared" si="536"/>
        <v>89509400</v>
      </c>
      <c r="AB1945" s="57"/>
      <c r="AC1945" s="58" t="s">
        <v>58</v>
      </c>
      <c r="AD1945" s="57"/>
      <c r="AE1945" s="77"/>
    </row>
    <row r="1946" spans="1:31" s="863" customFormat="1" ht="110.25">
      <c r="A1946" s="16"/>
      <c r="B1946" s="17"/>
      <c r="C1946" s="822"/>
      <c r="D1946" s="573" t="s">
        <v>2245</v>
      </c>
      <c r="E1946" s="823">
        <v>100</v>
      </c>
      <c r="F1946" s="829" t="s">
        <v>58</v>
      </c>
      <c r="G1946" s="810"/>
      <c r="H1946" s="823"/>
      <c r="I1946" s="810"/>
      <c r="J1946" s="823">
        <v>100</v>
      </c>
      <c r="K1946" s="810"/>
      <c r="L1946" s="841">
        <f>1/4*100</f>
        <v>25</v>
      </c>
      <c r="M1946" s="810"/>
      <c r="N1946" s="841">
        <f>1/4*100</f>
        <v>25</v>
      </c>
      <c r="O1946" s="810"/>
      <c r="P1946" s="841">
        <f>1/4*100</f>
        <v>25</v>
      </c>
      <c r="Q1946" s="810"/>
      <c r="R1946" s="841">
        <f>1/4*100</f>
        <v>25</v>
      </c>
      <c r="S1946" s="42"/>
      <c r="T1946" s="55">
        <f t="shared" si="543"/>
        <v>100</v>
      </c>
      <c r="U1946" s="55">
        <f t="shared" si="541"/>
        <v>100</v>
      </c>
      <c r="V1946" s="58" t="s">
        <v>58</v>
      </c>
      <c r="W1946" s="59">
        <f t="shared" si="545"/>
        <v>0</v>
      </c>
      <c r="X1946" s="57"/>
      <c r="Y1946" s="58" t="s">
        <v>58</v>
      </c>
      <c r="Z1946" s="55">
        <f t="shared" si="535"/>
        <v>100</v>
      </c>
      <c r="AA1946" s="59">
        <f t="shared" si="536"/>
        <v>0</v>
      </c>
      <c r="AB1946" s="57"/>
      <c r="AC1946" s="58"/>
      <c r="AD1946" s="57"/>
      <c r="AE1946" s="77"/>
    </row>
    <row r="1947" spans="1:31" s="863" customFormat="1" ht="94.5" customHeight="1">
      <c r="A1947" s="16"/>
      <c r="B1947" s="17"/>
      <c r="C1947" s="471"/>
      <c r="D1947" s="836" t="s">
        <v>2246</v>
      </c>
      <c r="E1947" s="823">
        <v>100</v>
      </c>
      <c r="F1947" s="829" t="s">
        <v>58</v>
      </c>
      <c r="G1947" s="811"/>
      <c r="H1947" s="823"/>
      <c r="I1947" s="811"/>
      <c r="J1947" s="823">
        <v>100</v>
      </c>
      <c r="K1947" s="811"/>
      <c r="L1947" s="292">
        <v>25</v>
      </c>
      <c r="M1947" s="811"/>
      <c r="N1947" s="292">
        <v>25</v>
      </c>
      <c r="O1947" s="811"/>
      <c r="P1947" s="292">
        <v>25</v>
      </c>
      <c r="Q1947" s="811"/>
      <c r="R1947" s="292">
        <v>25</v>
      </c>
      <c r="S1947" s="42"/>
      <c r="T1947" s="57">
        <f t="shared" si="543"/>
        <v>100</v>
      </c>
      <c r="U1947" s="57">
        <f t="shared" si="541"/>
        <v>100</v>
      </c>
      <c r="V1947" s="58" t="s">
        <v>58</v>
      </c>
      <c r="W1947" s="59">
        <f>SUM(M1947,O1947,Q1947,S1947)</f>
        <v>0</v>
      </c>
      <c r="X1947" s="57"/>
      <c r="Y1947" s="58" t="s">
        <v>58</v>
      </c>
      <c r="Z1947" s="55">
        <f t="shared" si="535"/>
        <v>100</v>
      </c>
      <c r="AA1947" s="59">
        <f t="shared" si="536"/>
        <v>0</v>
      </c>
      <c r="AB1947" s="57"/>
      <c r="AC1947" s="58"/>
      <c r="AD1947" s="57"/>
      <c r="AE1947" s="77"/>
    </row>
    <row r="1948" spans="1:31" s="863" customFormat="1" ht="105">
      <c r="A1948" s="16"/>
      <c r="B1948" s="17"/>
      <c r="C1948" s="26" t="s">
        <v>2247</v>
      </c>
      <c r="D1948" s="29" t="s">
        <v>2248</v>
      </c>
      <c r="E1948" s="20">
        <v>3</v>
      </c>
      <c r="F1948" s="21" t="s">
        <v>55</v>
      </c>
      <c r="G1948" s="839">
        <v>13559600</v>
      </c>
      <c r="H1948" s="44"/>
      <c r="I1948" s="22">
        <v>3257300</v>
      </c>
      <c r="J1948" s="20">
        <v>1</v>
      </c>
      <c r="K1948" s="23">
        <v>3019700</v>
      </c>
      <c r="L1948" s="20">
        <v>0</v>
      </c>
      <c r="M1948" s="23">
        <v>0</v>
      </c>
      <c r="N1948" s="20">
        <v>0</v>
      </c>
      <c r="O1948" s="42">
        <v>0</v>
      </c>
      <c r="P1948" s="20">
        <v>0</v>
      </c>
      <c r="Q1948" s="42">
        <v>2269700</v>
      </c>
      <c r="R1948" s="20">
        <v>1</v>
      </c>
      <c r="S1948" s="23">
        <v>0</v>
      </c>
      <c r="T1948" s="54">
        <f t="shared" si="543"/>
        <v>1</v>
      </c>
      <c r="U1948" s="53">
        <f t="shared" si="541"/>
        <v>100</v>
      </c>
      <c r="V1948" s="35" t="s">
        <v>58</v>
      </c>
      <c r="W1948" s="40">
        <f>SUM(M1948,O1948,Q1948,S1948)</f>
        <v>2269700</v>
      </c>
      <c r="X1948" s="53">
        <f t="shared" si="542"/>
        <v>75.163095671755471</v>
      </c>
      <c r="Y1948" s="35" t="s">
        <v>58</v>
      </c>
      <c r="Z1948" s="54">
        <f t="shared" si="535"/>
        <v>1</v>
      </c>
      <c r="AA1948" s="40">
        <f t="shared" si="536"/>
        <v>5527000</v>
      </c>
      <c r="AB1948" s="53"/>
      <c r="AC1948" s="35" t="s">
        <v>58</v>
      </c>
      <c r="AD1948" s="53"/>
      <c r="AE1948" s="11"/>
    </row>
    <row r="1949" spans="1:31" s="863" customFormat="1" ht="240">
      <c r="A1949" s="16"/>
      <c r="B1949" s="17"/>
      <c r="C1949" s="26" t="s">
        <v>2249</v>
      </c>
      <c r="D1949" s="29" t="s">
        <v>2250</v>
      </c>
      <c r="E1949" s="20">
        <v>36</v>
      </c>
      <c r="F1949" s="21" t="s">
        <v>55</v>
      </c>
      <c r="G1949" s="839">
        <v>154020300</v>
      </c>
      <c r="H1949" s="44"/>
      <c r="I1949" s="22">
        <v>16622500</v>
      </c>
      <c r="J1949" s="20">
        <v>12</v>
      </c>
      <c r="K1949" s="23">
        <v>24330100</v>
      </c>
      <c r="L1949" s="20">
        <v>3</v>
      </c>
      <c r="M1949" s="23">
        <v>0</v>
      </c>
      <c r="N1949" s="20">
        <v>3</v>
      </c>
      <c r="O1949" s="23">
        <v>2625000</v>
      </c>
      <c r="P1949" s="20">
        <v>3</v>
      </c>
      <c r="Q1949" s="23">
        <v>5892600</v>
      </c>
      <c r="R1949" s="20">
        <v>3</v>
      </c>
      <c r="S1949" s="23">
        <v>3750000</v>
      </c>
      <c r="T1949" s="54">
        <f t="shared" si="543"/>
        <v>12</v>
      </c>
      <c r="U1949" s="53">
        <f t="shared" si="541"/>
        <v>100</v>
      </c>
      <c r="V1949" s="35" t="s">
        <v>58</v>
      </c>
      <c r="W1949" s="40">
        <f t="shared" ref="W1949:W1951" si="547">SUM(M1949,O1949,Q1949,S1949)</f>
        <v>12267600</v>
      </c>
      <c r="X1949" s="53">
        <f t="shared" si="542"/>
        <v>50.421494362949595</v>
      </c>
      <c r="Y1949" s="35" t="s">
        <v>58</v>
      </c>
      <c r="Z1949" s="54">
        <f t="shared" si="535"/>
        <v>12</v>
      </c>
      <c r="AA1949" s="40">
        <f t="shared" si="536"/>
        <v>28890100</v>
      </c>
      <c r="AB1949" s="53"/>
      <c r="AC1949" s="35" t="s">
        <v>58</v>
      </c>
      <c r="AD1949" s="53"/>
      <c r="AE1949" s="11"/>
    </row>
    <row r="1950" spans="1:31" s="863" customFormat="1" ht="90" customHeight="1">
      <c r="A1950" s="16"/>
      <c r="B1950" s="17"/>
      <c r="C1950" s="26" t="s">
        <v>2251</v>
      </c>
      <c r="D1950" s="29" t="s">
        <v>2252</v>
      </c>
      <c r="E1950" s="20">
        <v>3</v>
      </c>
      <c r="F1950" s="21" t="s">
        <v>55</v>
      </c>
      <c r="G1950" s="839">
        <v>27830500</v>
      </c>
      <c r="H1950" s="44"/>
      <c r="I1950" s="22">
        <v>20360000</v>
      </c>
      <c r="J1950" s="20">
        <v>1</v>
      </c>
      <c r="K1950" s="23">
        <v>1875000</v>
      </c>
      <c r="L1950" s="20"/>
      <c r="M1950" s="23"/>
      <c r="N1950" s="20">
        <v>0</v>
      </c>
      <c r="O1950" s="23">
        <v>0</v>
      </c>
      <c r="P1950" s="20">
        <v>0</v>
      </c>
      <c r="Q1950" s="23">
        <v>0</v>
      </c>
      <c r="R1950" s="20">
        <v>1</v>
      </c>
      <c r="S1950" s="23">
        <v>0</v>
      </c>
      <c r="T1950" s="54">
        <f t="shared" si="543"/>
        <v>1</v>
      </c>
      <c r="U1950" s="53">
        <f t="shared" si="541"/>
        <v>100</v>
      </c>
      <c r="V1950" s="35" t="s">
        <v>58</v>
      </c>
      <c r="W1950" s="40">
        <f t="shared" si="547"/>
        <v>0</v>
      </c>
      <c r="X1950" s="53">
        <f t="shared" si="542"/>
        <v>0</v>
      </c>
      <c r="Y1950" s="35" t="s">
        <v>58</v>
      </c>
      <c r="Z1950" s="54">
        <f t="shared" si="535"/>
        <v>1</v>
      </c>
      <c r="AA1950" s="40">
        <f t="shared" si="536"/>
        <v>20360000</v>
      </c>
      <c r="AB1950" s="53"/>
      <c r="AC1950" s="35" t="s">
        <v>58</v>
      </c>
      <c r="AD1950" s="53"/>
      <c r="AE1950" s="11"/>
    </row>
    <row r="1951" spans="1:31" s="863" customFormat="1" ht="240">
      <c r="A1951" s="16"/>
      <c r="B1951" s="17"/>
      <c r="C1951" s="26" t="s">
        <v>2253</v>
      </c>
      <c r="D1951" s="29" t="s">
        <v>2254</v>
      </c>
      <c r="E1951" s="105">
        <v>12</v>
      </c>
      <c r="F1951" s="21" t="s">
        <v>55</v>
      </c>
      <c r="G1951" s="839">
        <v>63670100</v>
      </c>
      <c r="H1951" s="20">
        <v>4</v>
      </c>
      <c r="I1951" s="23">
        <v>23419800</v>
      </c>
      <c r="J1951" s="105">
        <v>4</v>
      </c>
      <c r="K1951" s="23">
        <v>18000000</v>
      </c>
      <c r="L1951" s="105">
        <v>1</v>
      </c>
      <c r="M1951" s="23">
        <v>1500000</v>
      </c>
      <c r="N1951" s="20">
        <v>1</v>
      </c>
      <c r="O1951" s="23">
        <v>4062500</v>
      </c>
      <c r="P1951" s="20">
        <v>1</v>
      </c>
      <c r="Q1951" s="23">
        <v>8650000</v>
      </c>
      <c r="R1951" s="20">
        <v>1</v>
      </c>
      <c r="S1951" s="23">
        <v>3787500</v>
      </c>
      <c r="T1951" s="54">
        <f t="shared" si="543"/>
        <v>4</v>
      </c>
      <c r="U1951" s="53">
        <f t="shared" si="541"/>
        <v>100</v>
      </c>
      <c r="V1951" s="35" t="s">
        <v>58</v>
      </c>
      <c r="W1951" s="40">
        <f t="shared" si="547"/>
        <v>18000000</v>
      </c>
      <c r="X1951" s="53">
        <f t="shared" si="542"/>
        <v>100</v>
      </c>
      <c r="Y1951" s="35" t="s">
        <v>58</v>
      </c>
      <c r="Z1951" s="54">
        <f t="shared" si="535"/>
        <v>8</v>
      </c>
      <c r="AA1951" s="40">
        <f t="shared" si="536"/>
        <v>41419800</v>
      </c>
      <c r="AB1951" s="53"/>
      <c r="AC1951" s="35" t="s">
        <v>58</v>
      </c>
      <c r="AD1951" s="53"/>
      <c r="AE1951" s="11"/>
    </row>
    <row r="1952" spans="1:31" s="863" customFormat="1" ht="94.5" customHeight="1">
      <c r="A1952" s="821"/>
      <c r="B1952" s="822"/>
      <c r="C1952" s="836" t="s">
        <v>2255</v>
      </c>
      <c r="D1952" s="573" t="s">
        <v>2256</v>
      </c>
      <c r="E1952" s="823">
        <v>100</v>
      </c>
      <c r="F1952" s="829" t="s">
        <v>58</v>
      </c>
      <c r="G1952" s="270">
        <f>SUM(G1955:G1958)</f>
        <v>919138500</v>
      </c>
      <c r="H1952" s="823"/>
      <c r="I1952" s="270">
        <f>SUM(I1955:I1958)</f>
        <v>213376000</v>
      </c>
      <c r="J1952" s="823">
        <f>J1955/J1955*100</f>
        <v>100</v>
      </c>
      <c r="K1952" s="270">
        <f>SUM(K1955:K1958)</f>
        <v>280004650</v>
      </c>
      <c r="L1952" s="841">
        <v>100</v>
      </c>
      <c r="M1952" s="270">
        <f>SUM(M1955:M1957)</f>
        <v>7875000</v>
      </c>
      <c r="N1952" s="841">
        <v>100</v>
      </c>
      <c r="O1952" s="270">
        <f>SUM(O1955:O1957)</f>
        <v>54963550</v>
      </c>
      <c r="P1952" s="841">
        <v>100</v>
      </c>
      <c r="Q1952" s="270">
        <f>SUM(Q1955:Q1957)</f>
        <v>104103650</v>
      </c>
      <c r="R1952" s="841">
        <v>100</v>
      </c>
      <c r="S1952" s="270">
        <f>SUM(S1955:S1957)</f>
        <v>50160500</v>
      </c>
      <c r="T1952" s="401">
        <f>AVERAGE(L1952,N1952,P1952,R1952)</f>
        <v>100</v>
      </c>
      <c r="U1952" s="401">
        <f t="shared" si="541"/>
        <v>100</v>
      </c>
      <c r="V1952" s="410" t="s">
        <v>58</v>
      </c>
      <c r="W1952" s="411">
        <f t="shared" si="545"/>
        <v>162139150</v>
      </c>
      <c r="X1952" s="412">
        <f t="shared" si="542"/>
        <v>57.905877634532146</v>
      </c>
      <c r="Y1952" s="410" t="s">
        <v>58</v>
      </c>
      <c r="Z1952" s="401">
        <f t="shared" si="535"/>
        <v>100</v>
      </c>
      <c r="AA1952" s="411">
        <f t="shared" si="536"/>
        <v>375515150</v>
      </c>
      <c r="AB1952" s="412"/>
      <c r="AC1952" s="410" t="s">
        <v>58</v>
      </c>
      <c r="AD1952" s="412"/>
      <c r="AE1952" s="830"/>
    </row>
    <row r="1953" spans="1:31" s="863" customFormat="1" ht="110.25">
      <c r="A1953" s="821"/>
      <c r="B1953" s="822"/>
      <c r="C1953" s="822"/>
      <c r="D1953" s="573" t="s">
        <v>2257</v>
      </c>
      <c r="E1953" s="823">
        <v>100</v>
      </c>
      <c r="F1953" s="829" t="s">
        <v>58</v>
      </c>
      <c r="G1953" s="810"/>
      <c r="H1953" s="823"/>
      <c r="I1953" s="810"/>
      <c r="J1953" s="823">
        <f>J1956/J1956*100</f>
        <v>100</v>
      </c>
      <c r="K1953" s="810"/>
      <c r="L1953" s="823">
        <v>0</v>
      </c>
      <c r="M1953" s="810"/>
      <c r="N1953" s="823">
        <v>0</v>
      </c>
      <c r="O1953" s="810"/>
      <c r="P1953" s="823">
        <f>2/2*100</f>
        <v>100</v>
      </c>
      <c r="Q1953" s="810"/>
      <c r="R1953" s="823"/>
      <c r="S1953" s="610"/>
      <c r="T1953" s="401">
        <f t="shared" si="543"/>
        <v>100</v>
      </c>
      <c r="U1953" s="412">
        <f t="shared" si="541"/>
        <v>100</v>
      </c>
      <c r="V1953" s="410" t="s">
        <v>58</v>
      </c>
      <c r="W1953" s="411">
        <f>SUM(M1953,O1953,Q1953,S1953)</f>
        <v>0</v>
      </c>
      <c r="X1953" s="412" t="e">
        <f>W1953/K1953*100</f>
        <v>#DIV/0!</v>
      </c>
      <c r="Y1953" s="410" t="s">
        <v>58</v>
      </c>
      <c r="Z1953" s="401">
        <f t="shared" si="535"/>
        <v>100</v>
      </c>
      <c r="AA1953" s="411">
        <f t="shared" si="536"/>
        <v>0</v>
      </c>
      <c r="AB1953" s="412"/>
      <c r="AC1953" s="410"/>
      <c r="AD1953" s="412"/>
      <c r="AE1953" s="830"/>
    </row>
    <row r="1954" spans="1:31" s="863" customFormat="1" ht="94.5" customHeight="1">
      <c r="A1954" s="821"/>
      <c r="B1954" s="822"/>
      <c r="C1954" s="471"/>
      <c r="D1954" s="573" t="s">
        <v>2258</v>
      </c>
      <c r="E1954" s="823">
        <v>100</v>
      </c>
      <c r="F1954" s="829" t="s">
        <v>58</v>
      </c>
      <c r="G1954" s="811"/>
      <c r="H1954" s="823"/>
      <c r="I1954" s="811"/>
      <c r="J1954" s="823">
        <f>(22+22+275+22+22+275)/(22+22+275+22+22+275)*100</f>
        <v>100</v>
      </c>
      <c r="K1954" s="811"/>
      <c r="L1954" s="292">
        <f>(22)/(22+22+275+22+22+275)*100</f>
        <v>3.4482758620689653</v>
      </c>
      <c r="M1954" s="811"/>
      <c r="N1954" s="292">
        <f>(22)/(22+22+275+22+22+275)*100</f>
        <v>3.4482758620689653</v>
      </c>
      <c r="O1954" s="811"/>
      <c r="P1954" s="292">
        <f>(22+275)/(22+22+275+22+22+275)*100</f>
        <v>46.551724137931032</v>
      </c>
      <c r="Q1954" s="811"/>
      <c r="R1954" s="292">
        <f>(22+275)/(22+22+275+22+22+275)*100</f>
        <v>46.551724137931032</v>
      </c>
      <c r="S1954" s="610"/>
      <c r="T1954" s="412">
        <f t="shared" si="543"/>
        <v>100</v>
      </c>
      <c r="U1954" s="412">
        <f t="shared" si="541"/>
        <v>100</v>
      </c>
      <c r="V1954" s="410" t="s">
        <v>58</v>
      </c>
      <c r="W1954" s="411">
        <f>SUM(M1954,O1954,Q1954,S1954)</f>
        <v>0</v>
      </c>
      <c r="X1954" s="412" t="e">
        <f t="shared" si="542"/>
        <v>#DIV/0!</v>
      </c>
      <c r="Y1954" s="410" t="s">
        <v>58</v>
      </c>
      <c r="Z1954" s="412">
        <f t="shared" si="535"/>
        <v>100</v>
      </c>
      <c r="AA1954" s="411">
        <f t="shared" si="536"/>
        <v>0</v>
      </c>
      <c r="AB1954" s="412"/>
      <c r="AC1954" s="410"/>
      <c r="AD1954" s="412"/>
      <c r="AE1954" s="830"/>
    </row>
    <row r="1955" spans="1:31" s="863" customFormat="1" ht="225">
      <c r="A1955" s="16"/>
      <c r="B1955" s="17"/>
      <c r="C1955" s="26" t="s">
        <v>2259</v>
      </c>
      <c r="D1955" s="29" t="s">
        <v>2260</v>
      </c>
      <c r="E1955" s="20">
        <v>6</v>
      </c>
      <c r="F1955" s="21" t="s">
        <v>173</v>
      </c>
      <c r="G1955" s="839">
        <v>371944900</v>
      </c>
      <c r="H1955" s="44"/>
      <c r="I1955" s="22">
        <v>31825000</v>
      </c>
      <c r="J1955" s="20">
        <v>6</v>
      </c>
      <c r="K1955" s="23">
        <v>128499950</v>
      </c>
      <c r="L1955" s="20">
        <v>0</v>
      </c>
      <c r="M1955" s="23">
        <v>4500000</v>
      </c>
      <c r="N1955" s="20"/>
      <c r="O1955" s="273">
        <v>4900000</v>
      </c>
      <c r="P1955" s="20">
        <v>4</v>
      </c>
      <c r="Q1955" s="273">
        <v>32012500</v>
      </c>
      <c r="R1955" s="20">
        <v>2</v>
      </c>
      <c r="S1955" s="23">
        <v>37660500</v>
      </c>
      <c r="T1955" s="54">
        <f t="shared" si="543"/>
        <v>6</v>
      </c>
      <c r="U1955" s="53">
        <f t="shared" si="541"/>
        <v>100</v>
      </c>
      <c r="V1955" s="35" t="s">
        <v>58</v>
      </c>
      <c r="W1955" s="40">
        <f>SUM(M1955,O1955,Q1955,S1955)</f>
        <v>79073000</v>
      </c>
      <c r="X1955" s="53">
        <f t="shared" si="542"/>
        <v>61.535432504059337</v>
      </c>
      <c r="Y1955" s="35" t="s">
        <v>58</v>
      </c>
      <c r="Z1955" s="54">
        <f t="shared" si="535"/>
        <v>6</v>
      </c>
      <c r="AA1955" s="40">
        <f t="shared" si="536"/>
        <v>110898000</v>
      </c>
      <c r="AB1955" s="53"/>
      <c r="AC1955" s="35" t="s">
        <v>58</v>
      </c>
      <c r="AD1955" s="53"/>
      <c r="AE1955" s="11"/>
    </row>
    <row r="1956" spans="1:31" s="863" customFormat="1" ht="165">
      <c r="A1956" s="16"/>
      <c r="B1956" s="17"/>
      <c r="C1956" s="26" t="s">
        <v>2261</v>
      </c>
      <c r="D1956" s="29" t="s">
        <v>2262</v>
      </c>
      <c r="E1956" s="20">
        <v>18</v>
      </c>
      <c r="F1956" s="21" t="s">
        <v>1280</v>
      </c>
      <c r="G1956" s="839">
        <v>192401000</v>
      </c>
      <c r="H1956" s="20">
        <v>2</v>
      </c>
      <c r="I1956" s="23">
        <v>54908500</v>
      </c>
      <c r="J1956" s="20">
        <v>18</v>
      </c>
      <c r="K1956" s="23">
        <v>60321250</v>
      </c>
      <c r="L1956" s="20">
        <v>5</v>
      </c>
      <c r="M1956" s="23">
        <v>3375000</v>
      </c>
      <c r="N1956" s="20">
        <v>4</v>
      </c>
      <c r="O1956" s="273">
        <v>29321250</v>
      </c>
      <c r="P1956" s="20">
        <v>5</v>
      </c>
      <c r="Q1956" s="273">
        <v>2450000</v>
      </c>
      <c r="R1956" s="20">
        <v>4</v>
      </c>
      <c r="S1956" s="23">
        <v>12000000</v>
      </c>
      <c r="T1956" s="54">
        <f t="shared" si="543"/>
        <v>18</v>
      </c>
      <c r="U1956" s="53">
        <f t="shared" si="541"/>
        <v>100</v>
      </c>
      <c r="V1956" s="35" t="s">
        <v>58</v>
      </c>
      <c r="W1956" s="40">
        <f t="shared" ref="W1956:W1957" si="548">SUM(M1956,O1956,Q1956,S1956)</f>
        <v>47146250</v>
      </c>
      <c r="X1956" s="53">
        <f t="shared" si="542"/>
        <v>78.158609113703719</v>
      </c>
      <c r="Y1956" s="35" t="s">
        <v>58</v>
      </c>
      <c r="Z1956" s="54">
        <f t="shared" si="535"/>
        <v>20</v>
      </c>
      <c r="AA1956" s="40">
        <f t="shared" si="536"/>
        <v>102054750</v>
      </c>
      <c r="AB1956" s="53"/>
      <c r="AC1956" s="35" t="s">
        <v>58</v>
      </c>
      <c r="AD1956" s="53"/>
      <c r="AE1956" s="11"/>
    </row>
    <row r="1957" spans="1:31" s="863" customFormat="1" ht="105" customHeight="1">
      <c r="A1957" s="16"/>
      <c r="B1957" s="17"/>
      <c r="C1957" s="26" t="s">
        <v>2263</v>
      </c>
      <c r="D1957" s="29" t="s">
        <v>2264</v>
      </c>
      <c r="E1957" s="20">
        <f>4*3</f>
        <v>12</v>
      </c>
      <c r="F1957" s="21" t="s">
        <v>55</v>
      </c>
      <c r="G1957" s="839">
        <v>336637600</v>
      </c>
      <c r="H1957" s="44"/>
      <c r="I1957" s="22">
        <v>108487500</v>
      </c>
      <c r="J1957" s="20">
        <v>2</v>
      </c>
      <c r="K1957" s="23">
        <v>91183450</v>
      </c>
      <c r="L1957" s="20">
        <v>0</v>
      </c>
      <c r="M1957" s="23">
        <v>0</v>
      </c>
      <c r="N1957" s="20">
        <v>0</v>
      </c>
      <c r="O1957" s="23">
        <v>20742300</v>
      </c>
      <c r="P1957" s="20">
        <v>2</v>
      </c>
      <c r="Q1957" s="23">
        <v>69641150</v>
      </c>
      <c r="R1957" s="20">
        <v>0</v>
      </c>
      <c r="S1957" s="23">
        <v>500000</v>
      </c>
      <c r="T1957" s="54">
        <f t="shared" si="543"/>
        <v>2</v>
      </c>
      <c r="U1957" s="53">
        <f t="shared" si="541"/>
        <v>100</v>
      </c>
      <c r="V1957" s="35" t="s">
        <v>58</v>
      </c>
      <c r="W1957" s="40">
        <f t="shared" si="548"/>
        <v>90883450</v>
      </c>
      <c r="X1957" s="53">
        <f t="shared" si="542"/>
        <v>99.670992926896275</v>
      </c>
      <c r="Y1957" s="35" t="s">
        <v>58</v>
      </c>
      <c r="Z1957" s="54">
        <f t="shared" si="535"/>
        <v>2</v>
      </c>
      <c r="AA1957" s="40">
        <f t="shared" si="536"/>
        <v>199370950</v>
      </c>
      <c r="AB1957" s="53"/>
      <c r="AC1957" s="35" t="s">
        <v>58</v>
      </c>
      <c r="AD1957" s="53"/>
      <c r="AE1957" s="11"/>
    </row>
    <row r="1958" spans="1:31" s="863" customFormat="1" ht="165">
      <c r="A1958" s="821"/>
      <c r="B1958" s="822"/>
      <c r="C1958" s="436" t="s">
        <v>2265</v>
      </c>
      <c r="D1958" s="440" t="s">
        <v>2266</v>
      </c>
      <c r="E1958" s="301">
        <v>51</v>
      </c>
      <c r="F1958" s="842" t="s">
        <v>173</v>
      </c>
      <c r="G1958" s="807">
        <v>18155000</v>
      </c>
      <c r="H1958" s="299"/>
      <c r="I1958" s="804">
        <v>18155000</v>
      </c>
      <c r="J1958" s="301"/>
      <c r="K1958" s="273"/>
      <c r="L1958" s="301"/>
      <c r="M1958" s="273"/>
      <c r="N1958" s="301"/>
      <c r="O1958" s="23"/>
      <c r="P1958" s="301"/>
      <c r="Q1958" s="23"/>
      <c r="R1958" s="301"/>
      <c r="S1958" s="273"/>
      <c r="T1958" s="406"/>
      <c r="U1958" s="408"/>
      <c r="V1958" s="300"/>
      <c r="W1958" s="407"/>
      <c r="X1958" s="408"/>
      <c r="Y1958" s="300"/>
      <c r="Z1958" s="406">
        <f t="shared" si="535"/>
        <v>0</v>
      </c>
      <c r="AA1958" s="407">
        <f t="shared" si="536"/>
        <v>18155000</v>
      </c>
      <c r="AB1958" s="408"/>
      <c r="AC1958" s="300" t="s">
        <v>58</v>
      </c>
      <c r="AD1958" s="408"/>
      <c r="AE1958" s="833"/>
    </row>
    <row r="1959" spans="1:31" s="863" customFormat="1" ht="110.25">
      <c r="A1959" s="821"/>
      <c r="B1959" s="822"/>
      <c r="C1959" s="471" t="s">
        <v>2267</v>
      </c>
      <c r="D1959" s="573" t="s">
        <v>2268</v>
      </c>
      <c r="E1959" s="45">
        <v>100</v>
      </c>
      <c r="F1959" s="46" t="s">
        <v>58</v>
      </c>
      <c r="G1959" s="610">
        <f>SUM(G1960:G1962)</f>
        <v>606565439448</v>
      </c>
      <c r="H1959" s="823"/>
      <c r="I1959" s="610">
        <f>SUM(I1960:I1962)</f>
        <v>75516673918</v>
      </c>
      <c r="J1959" s="823">
        <v>100</v>
      </c>
      <c r="K1959" s="610">
        <f>SUM(K1960:K1962)</f>
        <v>205726630069</v>
      </c>
      <c r="L1959" s="292">
        <v>25</v>
      </c>
      <c r="M1959" s="610">
        <f>SUM(M1960:M1962)</f>
        <v>28119647636</v>
      </c>
      <c r="N1959" s="292">
        <v>25</v>
      </c>
      <c r="O1959" s="610">
        <f>SUM(O1960:O1962)</f>
        <v>40764494900</v>
      </c>
      <c r="P1959" s="292">
        <v>25</v>
      </c>
      <c r="Q1959" s="610">
        <f>SUM(Q1960:Q1962)</f>
        <v>85029825280</v>
      </c>
      <c r="R1959" s="292">
        <v>25</v>
      </c>
      <c r="S1959" s="610">
        <f>SUM(S1960:S1962)</f>
        <v>39865923220</v>
      </c>
      <c r="T1959" s="412">
        <f t="shared" ref="T1959:T1993" si="549">SUM(L1959,N1959,P1959,R1959)</f>
        <v>100</v>
      </c>
      <c r="U1959" s="412">
        <f t="shared" ref="U1959:U1993" si="550">T1959/J1959*100</f>
        <v>100</v>
      </c>
      <c r="V1959" s="410" t="s">
        <v>58</v>
      </c>
      <c r="W1959" s="411">
        <f>SUM(M1959,O1961,Q1959,O1959+S1959)</f>
        <v>193900430036</v>
      </c>
      <c r="X1959" s="412">
        <f t="shared" ref="X1959:X1993" si="551">W1959/K1959*100</f>
        <v>94.251497713721591</v>
      </c>
      <c r="Y1959" s="410" t="s">
        <v>58</v>
      </c>
      <c r="Z1959" s="401">
        <f t="shared" si="535"/>
        <v>100</v>
      </c>
      <c r="AA1959" s="411">
        <f t="shared" si="536"/>
        <v>269417103954</v>
      </c>
      <c r="AB1959" s="412"/>
      <c r="AC1959" s="410" t="s">
        <v>58</v>
      </c>
      <c r="AD1959" s="412"/>
      <c r="AE1959" s="833"/>
    </row>
    <row r="1960" spans="1:31" s="863" customFormat="1" ht="120">
      <c r="A1960" s="16"/>
      <c r="B1960" s="17"/>
      <c r="C1960" s="26" t="s">
        <v>2269</v>
      </c>
      <c r="D1960" s="29" t="s">
        <v>2270</v>
      </c>
      <c r="E1960" s="20">
        <v>100</v>
      </c>
      <c r="F1960" s="21" t="s">
        <v>173</v>
      </c>
      <c r="G1960" s="50">
        <v>565003532000</v>
      </c>
      <c r="H1960" s="44"/>
      <c r="I1960" s="22">
        <v>64400000000</v>
      </c>
      <c r="J1960" s="20">
        <v>12</v>
      </c>
      <c r="K1960" s="23">
        <v>188998562000</v>
      </c>
      <c r="L1960" s="268">
        <v>3</v>
      </c>
      <c r="M1960" s="23">
        <v>26339122886</v>
      </c>
      <c r="N1960" s="514">
        <v>3</v>
      </c>
      <c r="O1960" s="273">
        <v>39198080150</v>
      </c>
      <c r="P1960" s="514">
        <v>3</v>
      </c>
      <c r="Q1960" s="273">
        <v>84382455280</v>
      </c>
      <c r="R1960" s="514">
        <v>3</v>
      </c>
      <c r="S1960" s="23">
        <v>38716106720</v>
      </c>
      <c r="T1960" s="53">
        <f t="shared" si="549"/>
        <v>12</v>
      </c>
      <c r="U1960" s="53">
        <f t="shared" si="550"/>
        <v>100</v>
      </c>
      <c r="V1960" s="35" t="s">
        <v>58</v>
      </c>
      <c r="W1960" s="40">
        <f>SUM(M1960,O1960,Q1960,S1960)</f>
        <v>188635765036</v>
      </c>
      <c r="X1960" s="53">
        <f t="shared" si="551"/>
        <v>99.808042473889302</v>
      </c>
      <c r="Y1960" s="35" t="s">
        <v>58</v>
      </c>
      <c r="Z1960" s="54">
        <f t="shared" si="535"/>
        <v>12</v>
      </c>
      <c r="AA1960" s="40">
        <f t="shared" si="536"/>
        <v>253035765036</v>
      </c>
      <c r="AB1960" s="53"/>
      <c r="AC1960" s="35" t="s">
        <v>58</v>
      </c>
      <c r="AD1960" s="53"/>
      <c r="AE1960" s="11"/>
    </row>
    <row r="1961" spans="1:31" s="863" customFormat="1" ht="105">
      <c r="A1961" s="16"/>
      <c r="B1961" s="17"/>
      <c r="C1961" s="26" t="s">
        <v>2271</v>
      </c>
      <c r="D1961" s="29" t="s">
        <v>2272</v>
      </c>
      <c r="E1961" s="20">
        <v>100</v>
      </c>
      <c r="F1961" s="21" t="s">
        <v>173</v>
      </c>
      <c r="G1961" s="50">
        <v>33675312448</v>
      </c>
      <c r="H1961" s="44"/>
      <c r="I1961" s="22">
        <v>8487808918</v>
      </c>
      <c r="J1961" s="20">
        <v>12</v>
      </c>
      <c r="K1961" s="23">
        <v>14099203069</v>
      </c>
      <c r="L1961" s="514">
        <v>3</v>
      </c>
      <c r="M1961" s="23">
        <v>860422000</v>
      </c>
      <c r="N1961" s="514">
        <v>3</v>
      </c>
      <c r="O1961" s="273">
        <v>120539000</v>
      </c>
      <c r="P1961" s="514">
        <v>3</v>
      </c>
      <c r="Q1961" s="273">
        <v>647370000</v>
      </c>
      <c r="R1961" s="514">
        <v>3</v>
      </c>
      <c r="S1961" s="23">
        <v>886930000</v>
      </c>
      <c r="T1961" s="53">
        <f t="shared" si="549"/>
        <v>12</v>
      </c>
      <c r="U1961" s="53">
        <f t="shared" si="550"/>
        <v>100</v>
      </c>
      <c r="V1961" s="35" t="s">
        <v>58</v>
      </c>
      <c r="W1961" s="40">
        <f>SUM(M1961,O1961,Q1961,S1961)</f>
        <v>2515261000</v>
      </c>
      <c r="X1961" s="53">
        <f t="shared" si="551"/>
        <v>17.83973879722549</v>
      </c>
      <c r="Y1961" s="35" t="s">
        <v>58</v>
      </c>
      <c r="Z1961" s="54">
        <f t="shared" si="535"/>
        <v>12</v>
      </c>
      <c r="AA1961" s="40">
        <f t="shared" si="536"/>
        <v>11003069918</v>
      </c>
      <c r="AB1961" s="53"/>
      <c r="AC1961" s="35" t="s">
        <v>58</v>
      </c>
      <c r="AD1961" s="53"/>
      <c r="AE1961" s="11"/>
    </row>
    <row r="1962" spans="1:31" s="863" customFormat="1" ht="120">
      <c r="A1962" s="16"/>
      <c r="B1962" s="17"/>
      <c r="C1962" s="26" t="s">
        <v>2273</v>
      </c>
      <c r="D1962" s="29" t="s">
        <v>2274</v>
      </c>
      <c r="E1962" s="20">
        <v>100</v>
      </c>
      <c r="F1962" s="21" t="s">
        <v>173</v>
      </c>
      <c r="G1962" s="50">
        <v>7886595000</v>
      </c>
      <c r="H1962" s="44"/>
      <c r="I1962" s="22">
        <v>2628865000</v>
      </c>
      <c r="J1962" s="20">
        <v>12</v>
      </c>
      <c r="K1962" s="23">
        <v>2628865000</v>
      </c>
      <c r="L1962" s="514">
        <v>3</v>
      </c>
      <c r="M1962" s="23">
        <v>920102750</v>
      </c>
      <c r="N1962" s="514">
        <v>3</v>
      </c>
      <c r="O1962" s="23">
        <v>1445875750</v>
      </c>
      <c r="P1962" s="514">
        <v>3</v>
      </c>
      <c r="Q1962" s="23">
        <v>0</v>
      </c>
      <c r="R1962" s="514">
        <v>3</v>
      </c>
      <c r="S1962" s="23">
        <v>262886500</v>
      </c>
      <c r="T1962" s="54">
        <f t="shared" si="549"/>
        <v>12</v>
      </c>
      <c r="U1962" s="54">
        <f t="shared" si="550"/>
        <v>100</v>
      </c>
      <c r="V1962" s="35" t="s">
        <v>58</v>
      </c>
      <c r="W1962" s="40">
        <f>SUM(M1962,O1962,Q1962,S1962)</f>
        <v>2628865000</v>
      </c>
      <c r="X1962" s="53">
        <f t="shared" si="551"/>
        <v>100</v>
      </c>
      <c r="Y1962" s="35" t="s">
        <v>58</v>
      </c>
      <c r="Z1962" s="54">
        <f t="shared" si="535"/>
        <v>12</v>
      </c>
      <c r="AA1962" s="40">
        <f t="shared" si="536"/>
        <v>5257730000</v>
      </c>
      <c r="AB1962" s="53"/>
      <c r="AC1962" s="35" t="s">
        <v>58</v>
      </c>
      <c r="AD1962" s="53"/>
      <c r="AE1962" s="11"/>
    </row>
    <row r="1963" spans="1:31" s="863" customFormat="1" ht="157.5">
      <c r="A1963" s="821"/>
      <c r="B1963" s="822"/>
      <c r="C1963" s="471" t="s">
        <v>2275</v>
      </c>
      <c r="D1963" s="573" t="s">
        <v>2276</v>
      </c>
      <c r="E1963" s="45">
        <v>100</v>
      </c>
      <c r="F1963" s="46" t="s">
        <v>58</v>
      </c>
      <c r="G1963" s="610">
        <f>SUM(G1964)</f>
        <v>0</v>
      </c>
      <c r="H1963" s="823"/>
      <c r="I1963" s="610"/>
      <c r="J1963" s="823">
        <v>100</v>
      </c>
      <c r="K1963" s="610">
        <f>SUM(K1964)</f>
        <v>66000000</v>
      </c>
      <c r="L1963" s="292">
        <v>0</v>
      </c>
      <c r="M1963" s="610">
        <f>SUM(M1964)</f>
        <v>0</v>
      </c>
      <c r="N1963" s="292">
        <v>0</v>
      </c>
      <c r="O1963" s="610">
        <f>SUM(O1964)</f>
        <v>0</v>
      </c>
      <c r="P1963" s="292">
        <v>0</v>
      </c>
      <c r="Q1963" s="610">
        <f>SUM(Q1964)</f>
        <v>0</v>
      </c>
      <c r="R1963" s="292">
        <v>100</v>
      </c>
      <c r="S1963" s="610">
        <v>0</v>
      </c>
      <c r="T1963" s="412">
        <f t="shared" si="549"/>
        <v>100</v>
      </c>
      <c r="U1963" s="412">
        <f t="shared" si="550"/>
        <v>100</v>
      </c>
      <c r="V1963" s="410" t="s">
        <v>58</v>
      </c>
      <c r="W1963" s="411">
        <f t="shared" ref="W1963:W1982" si="552">SUM(M1963,O1965,Q1963,S1963)</f>
        <v>105404890</v>
      </c>
      <c r="X1963" s="412">
        <f t="shared" si="551"/>
        <v>159.7043787878788</v>
      </c>
      <c r="Y1963" s="410" t="s">
        <v>58</v>
      </c>
      <c r="Z1963" s="401">
        <f t="shared" si="535"/>
        <v>100</v>
      </c>
      <c r="AA1963" s="411">
        <f t="shared" si="536"/>
        <v>105404890</v>
      </c>
      <c r="AB1963" s="412"/>
      <c r="AC1963" s="410" t="s">
        <v>58</v>
      </c>
      <c r="AD1963" s="412"/>
      <c r="AE1963" s="833"/>
    </row>
    <row r="1964" spans="1:31" s="863" customFormat="1" ht="240">
      <c r="A1964" s="16"/>
      <c r="B1964" s="17"/>
      <c r="C1964" s="26" t="s">
        <v>2277</v>
      </c>
      <c r="D1964" s="29" t="s">
        <v>2278</v>
      </c>
      <c r="E1964" s="20"/>
      <c r="F1964" s="21" t="s">
        <v>57</v>
      </c>
      <c r="G1964" s="50"/>
      <c r="H1964" s="44"/>
      <c r="I1964" s="22"/>
      <c r="J1964" s="20">
        <v>40</v>
      </c>
      <c r="K1964" s="23">
        <v>66000000</v>
      </c>
      <c r="L1964" s="268">
        <v>0</v>
      </c>
      <c r="M1964" s="23"/>
      <c r="N1964" s="514">
        <v>0</v>
      </c>
      <c r="O1964" s="23">
        <v>0</v>
      </c>
      <c r="P1964" s="514">
        <v>0</v>
      </c>
      <c r="Q1964" s="23">
        <v>0</v>
      </c>
      <c r="R1964" s="514">
        <v>40</v>
      </c>
      <c r="S1964" s="23">
        <v>0</v>
      </c>
      <c r="T1964" s="53">
        <f t="shared" si="549"/>
        <v>40</v>
      </c>
      <c r="U1964" s="53">
        <f t="shared" si="550"/>
        <v>100</v>
      </c>
      <c r="V1964" s="35" t="s">
        <v>58</v>
      </c>
      <c r="W1964" s="40">
        <f>SUM(M1964+O1964,Q1964,S1964)</f>
        <v>0</v>
      </c>
      <c r="X1964" s="53">
        <f t="shared" si="551"/>
        <v>0</v>
      </c>
      <c r="Y1964" s="35" t="s">
        <v>58</v>
      </c>
      <c r="Z1964" s="54">
        <f t="shared" si="535"/>
        <v>40</v>
      </c>
      <c r="AA1964" s="40">
        <f t="shared" si="536"/>
        <v>0</v>
      </c>
      <c r="AB1964" s="53"/>
      <c r="AC1964" s="35" t="s">
        <v>58</v>
      </c>
      <c r="AD1964" s="53"/>
      <c r="AE1964" s="11"/>
    </row>
    <row r="1965" spans="1:31" s="863" customFormat="1" ht="110.25">
      <c r="A1965" s="16"/>
      <c r="B1965" s="17"/>
      <c r="C1965" s="49" t="s">
        <v>2279</v>
      </c>
      <c r="D1965" s="281" t="s">
        <v>2280</v>
      </c>
      <c r="E1965" s="45">
        <v>100</v>
      </c>
      <c r="F1965" s="46" t="s">
        <v>58</v>
      </c>
      <c r="G1965" s="52">
        <f>G1966</f>
        <v>5841087950</v>
      </c>
      <c r="H1965" s="45">
        <v>100</v>
      </c>
      <c r="I1965" s="52">
        <f>I1966</f>
        <v>722587300</v>
      </c>
      <c r="J1965" s="45">
        <v>100</v>
      </c>
      <c r="K1965" s="52">
        <f>K1966</f>
        <v>1767990550</v>
      </c>
      <c r="L1965" s="45">
        <v>34.83</v>
      </c>
      <c r="M1965" s="52">
        <f>M1966</f>
        <v>48709820</v>
      </c>
      <c r="N1965" s="45">
        <v>54.98</v>
      </c>
      <c r="O1965" s="52">
        <f>O1966</f>
        <v>105404890</v>
      </c>
      <c r="P1965" s="45">
        <v>85.31</v>
      </c>
      <c r="Q1965" s="52">
        <f>Q1966</f>
        <v>146884150</v>
      </c>
      <c r="R1965" s="45">
        <v>95.3</v>
      </c>
      <c r="S1965" s="42"/>
      <c r="T1965" s="57">
        <f>R1965</f>
        <v>95.3</v>
      </c>
      <c r="U1965" s="57">
        <f t="shared" si="550"/>
        <v>95.3</v>
      </c>
      <c r="V1965" s="58" t="s">
        <v>58</v>
      </c>
      <c r="W1965" s="59">
        <f>SUM(M1965,O1966,Q1965,S1965)</f>
        <v>300998860</v>
      </c>
      <c r="X1965" s="57">
        <f t="shared" si="551"/>
        <v>17.024913396737329</v>
      </c>
      <c r="Y1965" s="58" t="s">
        <v>58</v>
      </c>
      <c r="Z1965" s="55">
        <f t="shared" si="535"/>
        <v>195.3</v>
      </c>
      <c r="AA1965" s="59">
        <f t="shared" si="536"/>
        <v>1023586160</v>
      </c>
      <c r="AB1965" s="57"/>
      <c r="AC1965" s="58" t="s">
        <v>58</v>
      </c>
      <c r="AD1965" s="57"/>
      <c r="AE1965" s="77"/>
    </row>
    <row r="1966" spans="1:31" s="863" customFormat="1" ht="110.25">
      <c r="A1966" s="16"/>
      <c r="B1966" s="17"/>
      <c r="C1966" s="836" t="s">
        <v>2281</v>
      </c>
      <c r="D1966" s="836" t="s">
        <v>2282</v>
      </c>
      <c r="E1966" s="45">
        <v>100</v>
      </c>
      <c r="F1966" s="46" t="s">
        <v>58</v>
      </c>
      <c r="G1966" s="52">
        <f>SUM(G1969:G1975)</f>
        <v>5841087950</v>
      </c>
      <c r="H1966" s="45"/>
      <c r="I1966" s="52">
        <f>SUM(I1969:I1975)</f>
        <v>722587300</v>
      </c>
      <c r="J1966" s="45">
        <v>2</v>
      </c>
      <c r="K1966" s="52">
        <f>SUM(K1969:K1975)</f>
        <v>1767990550</v>
      </c>
      <c r="L1966" s="45">
        <v>1</v>
      </c>
      <c r="M1966" s="52">
        <f>SUM(M1969:M1975)</f>
        <v>48709820</v>
      </c>
      <c r="N1966" s="45">
        <v>0</v>
      </c>
      <c r="O1966" s="52">
        <f>SUM(O1969:O1975)</f>
        <v>105404890</v>
      </c>
      <c r="P1966" s="45">
        <v>1</v>
      </c>
      <c r="Q1966" s="52">
        <f>SUM(Q1969:Q1975)</f>
        <v>146884150</v>
      </c>
      <c r="R1966" s="45">
        <v>0</v>
      </c>
      <c r="S1966" s="42"/>
      <c r="T1966" s="57">
        <f t="shared" si="549"/>
        <v>2</v>
      </c>
      <c r="U1966" s="57">
        <f t="shared" si="550"/>
        <v>100</v>
      </c>
      <c r="V1966" s="58" t="s">
        <v>58</v>
      </c>
      <c r="W1966" s="59">
        <f t="shared" si="552"/>
        <v>195593970</v>
      </c>
      <c r="X1966" s="57">
        <f t="shared" si="551"/>
        <v>11.063066485281837</v>
      </c>
      <c r="Y1966" s="58" t="s">
        <v>58</v>
      </c>
      <c r="Z1966" s="55">
        <f t="shared" si="535"/>
        <v>2</v>
      </c>
      <c r="AA1966" s="59">
        <f t="shared" si="536"/>
        <v>918181270</v>
      </c>
      <c r="AB1966" s="57"/>
      <c r="AC1966" s="35" t="s">
        <v>58</v>
      </c>
      <c r="AD1966" s="53"/>
      <c r="AE1966" s="77"/>
    </row>
    <row r="1967" spans="1:31" s="863" customFormat="1" ht="94.5">
      <c r="A1967" s="16"/>
      <c r="B1967" s="17"/>
      <c r="C1967" s="822"/>
      <c r="D1967" s="836" t="s">
        <v>2283</v>
      </c>
      <c r="E1967" s="45">
        <v>100</v>
      </c>
      <c r="F1967" s="46" t="s">
        <v>58</v>
      </c>
      <c r="G1967" s="97"/>
      <c r="H1967" s="45">
        <v>1</v>
      </c>
      <c r="I1967" s="97"/>
      <c r="J1967" s="45">
        <v>100</v>
      </c>
      <c r="K1967" s="97"/>
      <c r="L1967" s="45">
        <f>1/5*100</f>
        <v>20</v>
      </c>
      <c r="M1967" s="97"/>
      <c r="N1967" s="107">
        <f>1/5*100</f>
        <v>20</v>
      </c>
      <c r="O1967" s="97"/>
      <c r="P1967" s="107">
        <f>1/5*100</f>
        <v>20</v>
      </c>
      <c r="Q1967" s="97"/>
      <c r="R1967" s="45">
        <v>40</v>
      </c>
      <c r="S1967" s="42"/>
      <c r="T1967" s="57">
        <f t="shared" si="549"/>
        <v>100</v>
      </c>
      <c r="U1967" s="57">
        <f t="shared" si="550"/>
        <v>100</v>
      </c>
      <c r="V1967" s="58" t="s">
        <v>58</v>
      </c>
      <c r="W1967" s="59">
        <f t="shared" si="552"/>
        <v>47041800</v>
      </c>
      <c r="X1967" s="57"/>
      <c r="Y1967" s="58" t="s">
        <v>58</v>
      </c>
      <c r="Z1967" s="55">
        <f t="shared" ref="Z1967:Z1993" si="553">SUM(H1967,T1967)</f>
        <v>101</v>
      </c>
      <c r="AA1967" s="59">
        <f t="shared" ref="AA1967:AA1990" si="554">SUM(I1967,W1967)</f>
        <v>47041800</v>
      </c>
      <c r="AB1967" s="57"/>
      <c r="AC1967" s="35"/>
      <c r="AD1967" s="53"/>
      <c r="AE1967" s="77"/>
    </row>
    <row r="1968" spans="1:31" s="889" customFormat="1" ht="189">
      <c r="A1968" s="16"/>
      <c r="B1968" s="17"/>
      <c r="C1968" s="471"/>
      <c r="D1968" s="843" t="s">
        <v>2284</v>
      </c>
      <c r="E1968" s="45">
        <v>100</v>
      </c>
      <c r="F1968" s="46" t="s">
        <v>58</v>
      </c>
      <c r="G1968" s="41"/>
      <c r="H1968" s="45">
        <v>100</v>
      </c>
      <c r="I1968" s="41"/>
      <c r="J1968" s="45">
        <v>100</v>
      </c>
      <c r="K1968" s="41"/>
      <c r="L1968" s="107">
        <f>L1972/(J1972+J1973)*100</f>
        <v>23.076923076923077</v>
      </c>
      <c r="M1968" s="41"/>
      <c r="N1968" s="107">
        <f>N1972/(J1972+J1973)*100</f>
        <v>23.076923076923077</v>
      </c>
      <c r="O1968" s="41"/>
      <c r="P1968" s="107">
        <f>P1972/(J1972+J1973)*100</f>
        <v>23.076923076923077</v>
      </c>
      <c r="Q1968" s="41"/>
      <c r="R1968" s="107">
        <v>30.77</v>
      </c>
      <c r="S1968" s="42"/>
      <c r="T1968" s="55">
        <f t="shared" si="549"/>
        <v>100.00076923076922</v>
      </c>
      <c r="U1968" s="57">
        <f>T1968/J1968*100</f>
        <v>100.00076923076921</v>
      </c>
      <c r="V1968" s="58" t="s">
        <v>58</v>
      </c>
      <c r="W1968" s="59">
        <f t="shared" si="552"/>
        <v>7232850</v>
      </c>
      <c r="X1968" s="57"/>
      <c r="Y1968" s="58" t="s">
        <v>58</v>
      </c>
      <c r="Z1968" s="55">
        <f t="shared" si="553"/>
        <v>200.00076923076921</v>
      </c>
      <c r="AA1968" s="59">
        <f t="shared" si="554"/>
        <v>7232850</v>
      </c>
      <c r="AB1968" s="57"/>
      <c r="AC1968" s="35"/>
      <c r="AD1968" s="53"/>
      <c r="AE1968" s="77"/>
    </row>
    <row r="1969" spans="1:34" s="863" customFormat="1" ht="60">
      <c r="A1969" s="16"/>
      <c r="B1969" s="17"/>
      <c r="C1969" s="26" t="s">
        <v>2285</v>
      </c>
      <c r="D1969" s="29" t="s">
        <v>2286</v>
      </c>
      <c r="E1969" s="20">
        <v>12</v>
      </c>
      <c r="F1969" s="21" t="s">
        <v>55</v>
      </c>
      <c r="G1969" s="832">
        <f>380779950*2+K1969</f>
        <v>1104983650</v>
      </c>
      <c r="H1969" s="44"/>
      <c r="I1969" s="22">
        <v>308428600</v>
      </c>
      <c r="J1969" s="20">
        <v>1</v>
      </c>
      <c r="K1969" s="23">
        <v>343423750</v>
      </c>
      <c r="L1969" s="20">
        <v>0</v>
      </c>
      <c r="M1969" s="23">
        <v>17012500</v>
      </c>
      <c r="N1969" s="20">
        <v>1</v>
      </c>
      <c r="O1969" s="23">
        <v>47041800</v>
      </c>
      <c r="P1969" s="20">
        <v>0</v>
      </c>
      <c r="Q1969" s="23">
        <v>90786500</v>
      </c>
      <c r="R1969" s="20">
        <v>0</v>
      </c>
      <c r="S1969" s="23">
        <v>77490900</v>
      </c>
      <c r="T1969" s="54">
        <f t="shared" si="549"/>
        <v>1</v>
      </c>
      <c r="U1969" s="53">
        <f t="shared" si="550"/>
        <v>100</v>
      </c>
      <c r="V1969" s="35" t="s">
        <v>58</v>
      </c>
      <c r="W1969" s="40">
        <f>SUM(M1969,O1969,Q1969,S1969)</f>
        <v>232331700</v>
      </c>
      <c r="X1969" s="53">
        <f t="shared" si="551"/>
        <v>67.651611165506182</v>
      </c>
      <c r="Y1969" s="35" t="s">
        <v>58</v>
      </c>
      <c r="Z1969" s="54">
        <f t="shared" si="553"/>
        <v>1</v>
      </c>
      <c r="AA1969" s="40">
        <f t="shared" si="554"/>
        <v>540760300</v>
      </c>
      <c r="AB1969" s="53"/>
      <c r="AC1969" s="35" t="s">
        <v>58</v>
      </c>
      <c r="AD1969" s="53"/>
      <c r="AE1969" s="11"/>
    </row>
    <row r="1970" spans="1:34" s="863" customFormat="1" ht="75">
      <c r="A1970" s="16"/>
      <c r="B1970" s="17"/>
      <c r="C1970" s="26" t="s">
        <v>2287</v>
      </c>
      <c r="D1970" s="29" t="s">
        <v>2288</v>
      </c>
      <c r="E1970" s="20">
        <v>6</v>
      </c>
      <c r="F1970" s="21" t="s">
        <v>55</v>
      </c>
      <c r="G1970" s="839">
        <f>31805000*2+K1970</f>
        <v>89053650</v>
      </c>
      <c r="H1970" s="20">
        <v>2</v>
      </c>
      <c r="I1970" s="23">
        <v>23923800</v>
      </c>
      <c r="J1970" s="20">
        <v>2</v>
      </c>
      <c r="K1970" s="23">
        <v>25443650</v>
      </c>
      <c r="L1970" s="20">
        <v>1</v>
      </c>
      <c r="M1970" s="23">
        <v>0</v>
      </c>
      <c r="N1970" s="20">
        <v>0</v>
      </c>
      <c r="O1970" s="23">
        <v>7232850</v>
      </c>
      <c r="P1970" s="20">
        <v>1</v>
      </c>
      <c r="Q1970" s="23">
        <v>819300</v>
      </c>
      <c r="R1970" s="20">
        <v>0</v>
      </c>
      <c r="S1970" s="23">
        <v>6449400</v>
      </c>
      <c r="T1970" s="54">
        <f t="shared" si="549"/>
        <v>2</v>
      </c>
      <c r="U1970" s="53">
        <f t="shared" si="550"/>
        <v>100</v>
      </c>
      <c r="V1970" s="35" t="s">
        <v>58</v>
      </c>
      <c r="W1970" s="40">
        <f t="shared" ref="W1970:W1975" si="555">SUM(M1970,O1970,Q1970,S1970)</f>
        <v>14501550</v>
      </c>
      <c r="X1970" s="53">
        <f t="shared" si="551"/>
        <v>56.994770797428828</v>
      </c>
      <c r="Y1970" s="35" t="s">
        <v>58</v>
      </c>
      <c r="Z1970" s="54">
        <f t="shared" si="553"/>
        <v>4</v>
      </c>
      <c r="AA1970" s="40">
        <f t="shared" si="554"/>
        <v>38425350</v>
      </c>
      <c r="AB1970" s="53"/>
      <c r="AC1970" s="35" t="s">
        <v>58</v>
      </c>
      <c r="AD1970" s="53"/>
      <c r="AE1970" s="11"/>
    </row>
    <row r="1971" spans="1:34" s="863" customFormat="1" ht="75">
      <c r="A1971" s="16"/>
      <c r="B1971" s="17"/>
      <c r="C1971" s="26" t="s">
        <v>2289</v>
      </c>
      <c r="D1971" s="29" t="s">
        <v>2290</v>
      </c>
      <c r="E1971" s="20">
        <v>3</v>
      </c>
      <c r="F1971" s="21" t="s">
        <v>173</v>
      </c>
      <c r="G1971" s="839">
        <f>136788200*2+K1971</f>
        <v>401964600</v>
      </c>
      <c r="H1971" s="20">
        <v>1</v>
      </c>
      <c r="I1971" s="23">
        <v>70541250</v>
      </c>
      <c r="J1971" s="20">
        <v>1</v>
      </c>
      <c r="K1971" s="23">
        <v>128388200</v>
      </c>
      <c r="L1971" s="20">
        <v>0</v>
      </c>
      <c r="M1971" s="23">
        <v>10472500</v>
      </c>
      <c r="N1971" s="20">
        <v>0</v>
      </c>
      <c r="O1971" s="23">
        <v>13828600</v>
      </c>
      <c r="P1971" s="20">
        <v>0</v>
      </c>
      <c r="Q1971" s="23">
        <v>33513100</v>
      </c>
      <c r="R1971" s="20">
        <v>1</v>
      </c>
      <c r="S1971" s="23">
        <v>62767800</v>
      </c>
      <c r="T1971" s="54">
        <f t="shared" si="549"/>
        <v>1</v>
      </c>
      <c r="U1971" s="53">
        <f t="shared" si="550"/>
        <v>100</v>
      </c>
      <c r="V1971" s="35" t="s">
        <v>58</v>
      </c>
      <c r="W1971" s="40">
        <f t="shared" si="555"/>
        <v>120582000</v>
      </c>
      <c r="X1971" s="53">
        <f t="shared" si="551"/>
        <v>93.919846216396834</v>
      </c>
      <c r="Y1971" s="35" t="s">
        <v>58</v>
      </c>
      <c r="Z1971" s="54">
        <f t="shared" si="553"/>
        <v>2</v>
      </c>
      <c r="AA1971" s="40">
        <f t="shared" si="554"/>
        <v>191123250</v>
      </c>
      <c r="AB1971" s="53"/>
      <c r="AC1971" s="35" t="s">
        <v>58</v>
      </c>
      <c r="AD1971" s="53"/>
      <c r="AE1971" s="11"/>
    </row>
    <row r="1972" spans="1:34" s="863" customFormat="1" ht="90">
      <c r="A1972" s="16"/>
      <c r="B1972" s="17"/>
      <c r="C1972" s="26" t="s">
        <v>2291</v>
      </c>
      <c r="D1972" s="29" t="s">
        <v>2292</v>
      </c>
      <c r="E1972" s="104">
        <f>600+300+155</f>
        <v>1055</v>
      </c>
      <c r="F1972" s="21" t="s">
        <v>173</v>
      </c>
      <c r="G1972" s="838">
        <f>1357175200*2+K1972</f>
        <v>3858985600</v>
      </c>
      <c r="H1972" s="20">
        <v>100</v>
      </c>
      <c r="I1972" s="23">
        <v>257296800</v>
      </c>
      <c r="J1972" s="20">
        <v>12</v>
      </c>
      <c r="K1972" s="23">
        <v>1144635200</v>
      </c>
      <c r="L1972" s="20">
        <v>3</v>
      </c>
      <c r="M1972" s="23">
        <v>17704820</v>
      </c>
      <c r="N1972" s="20">
        <v>3</v>
      </c>
      <c r="O1972" s="23">
        <v>20706440</v>
      </c>
      <c r="P1972" s="20">
        <v>3</v>
      </c>
      <c r="Q1972" s="23">
        <v>16340000</v>
      </c>
      <c r="R1972" s="20">
        <v>3</v>
      </c>
      <c r="S1972" s="23">
        <v>277537500</v>
      </c>
      <c r="T1972" s="54">
        <f t="shared" si="549"/>
        <v>12</v>
      </c>
      <c r="U1972" s="53">
        <f t="shared" si="550"/>
        <v>100</v>
      </c>
      <c r="V1972" s="35" t="s">
        <v>58</v>
      </c>
      <c r="W1972" s="40">
        <f t="shared" si="555"/>
        <v>332288760</v>
      </c>
      <c r="X1972" s="53">
        <f t="shared" si="551"/>
        <v>29.030101468135872</v>
      </c>
      <c r="Y1972" s="35" t="s">
        <v>58</v>
      </c>
      <c r="Z1972" s="54">
        <f t="shared" si="553"/>
        <v>112</v>
      </c>
      <c r="AA1972" s="40">
        <f t="shared" si="554"/>
        <v>589585560</v>
      </c>
      <c r="AB1972" s="53"/>
      <c r="AC1972" s="35" t="s">
        <v>58</v>
      </c>
      <c r="AD1972" s="53"/>
      <c r="AE1972" s="11"/>
    </row>
    <row r="1973" spans="1:34" s="863" customFormat="1" ht="75" customHeight="1">
      <c r="A1973" s="16"/>
      <c r="B1973" s="17"/>
      <c r="C1973" s="26" t="s">
        <v>2293</v>
      </c>
      <c r="D1973" s="29" t="s">
        <v>2294</v>
      </c>
      <c r="E1973" s="20">
        <v>100</v>
      </c>
      <c r="F1973" s="21" t="s">
        <v>55</v>
      </c>
      <c r="G1973" s="839">
        <f>70800300*2+K1973</f>
        <v>209500600</v>
      </c>
      <c r="H1973" s="20">
        <v>100</v>
      </c>
      <c r="I1973" s="23">
        <v>25236000</v>
      </c>
      <c r="J1973" s="20">
        <v>1</v>
      </c>
      <c r="K1973" s="23">
        <v>67900000</v>
      </c>
      <c r="L1973" s="20">
        <v>0</v>
      </c>
      <c r="M1973" s="23">
        <v>2520000</v>
      </c>
      <c r="N1973" s="20">
        <v>0</v>
      </c>
      <c r="O1973" s="23">
        <v>12100000</v>
      </c>
      <c r="P1973" s="20">
        <v>0</v>
      </c>
      <c r="Q1973" s="23">
        <v>1125000</v>
      </c>
      <c r="R1973" s="20">
        <v>1</v>
      </c>
      <c r="S1973" s="23">
        <v>1550000</v>
      </c>
      <c r="T1973" s="54">
        <f t="shared" si="549"/>
        <v>1</v>
      </c>
      <c r="U1973" s="53">
        <f t="shared" si="550"/>
        <v>100</v>
      </c>
      <c r="V1973" s="35" t="s">
        <v>58</v>
      </c>
      <c r="W1973" s="40">
        <f t="shared" si="555"/>
        <v>17295000</v>
      </c>
      <c r="X1973" s="53">
        <f t="shared" si="551"/>
        <v>25.471281296023562</v>
      </c>
      <c r="Y1973" s="35" t="s">
        <v>58</v>
      </c>
      <c r="Z1973" s="54">
        <f t="shared" si="553"/>
        <v>101</v>
      </c>
      <c r="AA1973" s="40">
        <f t="shared" si="554"/>
        <v>42531000</v>
      </c>
      <c r="AB1973" s="53"/>
      <c r="AC1973" s="35" t="s">
        <v>58</v>
      </c>
      <c r="AD1973" s="53"/>
      <c r="AE1973" s="11"/>
    </row>
    <row r="1974" spans="1:34" s="863" customFormat="1" ht="135">
      <c r="A1974" s="16"/>
      <c r="B1974" s="17"/>
      <c r="C1974" s="26" t="s">
        <v>2295</v>
      </c>
      <c r="D1974" s="29" t="s">
        <v>2296</v>
      </c>
      <c r="E1974" s="20">
        <v>9</v>
      </c>
      <c r="F1974" s="21" t="s">
        <v>173</v>
      </c>
      <c r="G1974" s="839">
        <f>20000000*2+K1974</f>
        <v>60000000</v>
      </c>
      <c r="H1974" s="44"/>
      <c r="I1974" s="22">
        <v>18610850</v>
      </c>
      <c r="J1974" s="20">
        <v>4</v>
      </c>
      <c r="K1974" s="23">
        <v>20000000</v>
      </c>
      <c r="L1974" s="20">
        <v>1</v>
      </c>
      <c r="M1974" s="23">
        <v>1000000</v>
      </c>
      <c r="N1974" s="20">
        <v>1</v>
      </c>
      <c r="O1974" s="23">
        <v>4495200</v>
      </c>
      <c r="P1974" s="20">
        <v>1</v>
      </c>
      <c r="Q1974" s="23">
        <v>4300250</v>
      </c>
      <c r="R1974" s="20">
        <v>1</v>
      </c>
      <c r="S1974" s="23">
        <v>9675600</v>
      </c>
      <c r="T1974" s="54">
        <f t="shared" si="549"/>
        <v>4</v>
      </c>
      <c r="U1974" s="53">
        <f t="shared" si="550"/>
        <v>100</v>
      </c>
      <c r="V1974" s="35" t="s">
        <v>58</v>
      </c>
      <c r="W1974" s="40">
        <f t="shared" si="555"/>
        <v>19471050</v>
      </c>
      <c r="X1974" s="53">
        <f t="shared" si="551"/>
        <v>97.355249999999998</v>
      </c>
      <c r="Y1974" s="35" t="s">
        <v>58</v>
      </c>
      <c r="Z1974" s="54">
        <f t="shared" si="553"/>
        <v>4</v>
      </c>
      <c r="AA1974" s="40">
        <f t="shared" si="554"/>
        <v>38081900</v>
      </c>
      <c r="AB1974" s="53"/>
      <c r="AC1974" s="35" t="s">
        <v>58</v>
      </c>
      <c r="AD1974" s="53"/>
      <c r="AE1974" s="11"/>
    </row>
    <row r="1975" spans="1:34" s="863" customFormat="1" ht="150">
      <c r="A1975" s="16"/>
      <c r="B1975" s="17"/>
      <c r="C1975" s="26" t="s">
        <v>2297</v>
      </c>
      <c r="D1975" s="29" t="s">
        <v>2298</v>
      </c>
      <c r="E1975" s="20">
        <v>300</v>
      </c>
      <c r="F1975" s="21" t="s">
        <v>57</v>
      </c>
      <c r="G1975" s="839">
        <f>39200050*2+K1975</f>
        <v>116599850</v>
      </c>
      <c r="H1975" s="44"/>
      <c r="I1975" s="22">
        <v>18550000</v>
      </c>
      <c r="J1975" s="20">
        <v>100</v>
      </c>
      <c r="K1975" s="23">
        <v>38199750</v>
      </c>
      <c r="L1975" s="20">
        <v>0</v>
      </c>
      <c r="M1975" s="23">
        <v>0</v>
      </c>
      <c r="N1975" s="20">
        <v>50</v>
      </c>
      <c r="O1975" s="23"/>
      <c r="P1975" s="20">
        <v>50</v>
      </c>
      <c r="Q1975" s="23"/>
      <c r="R1975" s="20">
        <v>0</v>
      </c>
      <c r="S1975" s="23">
        <v>30222300</v>
      </c>
      <c r="T1975" s="54">
        <f t="shared" si="549"/>
        <v>100</v>
      </c>
      <c r="U1975" s="53">
        <f t="shared" si="550"/>
        <v>100</v>
      </c>
      <c r="V1975" s="35" t="s">
        <v>58</v>
      </c>
      <c r="W1975" s="40">
        <f t="shared" si="555"/>
        <v>30222300</v>
      </c>
      <c r="X1975" s="53">
        <f t="shared" si="551"/>
        <v>79.116486364439552</v>
      </c>
      <c r="Y1975" s="35" t="s">
        <v>58</v>
      </c>
      <c r="Z1975" s="54">
        <f t="shared" si="553"/>
        <v>100</v>
      </c>
      <c r="AA1975" s="40">
        <f t="shared" si="554"/>
        <v>48772300</v>
      </c>
      <c r="AB1975" s="53"/>
      <c r="AC1975" s="35" t="s">
        <v>58</v>
      </c>
      <c r="AD1975" s="53"/>
      <c r="AE1975" s="11"/>
    </row>
    <row r="1976" spans="1:34" s="863" customFormat="1" ht="78.75">
      <c r="A1976" s="16"/>
      <c r="B1976" s="17"/>
      <c r="C1976" s="49" t="s">
        <v>2299</v>
      </c>
      <c r="D1976" s="281" t="s">
        <v>2300</v>
      </c>
      <c r="E1976" s="563">
        <v>100</v>
      </c>
      <c r="F1976" s="46" t="s">
        <v>58</v>
      </c>
      <c r="G1976" s="52">
        <f>G1979</f>
        <v>3044960675</v>
      </c>
      <c r="H1976" s="563">
        <v>100</v>
      </c>
      <c r="I1976" s="52">
        <f>I1979</f>
        <v>640649836</v>
      </c>
      <c r="J1976" s="563">
        <v>100</v>
      </c>
      <c r="K1976" s="52">
        <f>K1979</f>
        <v>1190738450</v>
      </c>
      <c r="L1976" s="812">
        <f>36489962379.32/228196140000*100</f>
        <v>15.990613329094874</v>
      </c>
      <c r="M1976" s="52">
        <f>M1979</f>
        <v>93103750</v>
      </c>
      <c r="N1976" s="844">
        <f>45354205295.03/228196140000*100</f>
        <v>19.875097490706896</v>
      </c>
      <c r="O1976" s="52">
        <f>O1979</f>
        <v>105815750</v>
      </c>
      <c r="P1976" s="271">
        <f>38928092264.36/228196140000*100</f>
        <v>17.0590494056385</v>
      </c>
      <c r="Q1976" s="52">
        <f>Q1979</f>
        <v>184277400</v>
      </c>
      <c r="R1976" s="45">
        <v>21.68</v>
      </c>
      <c r="S1976" s="52">
        <f>S1979</f>
        <v>659470300</v>
      </c>
      <c r="T1976" s="128">
        <f>SUM(L1976,N1976,P1976,R1976)</f>
        <v>74.604760225440259</v>
      </c>
      <c r="U1976" s="57">
        <f>T1976/J1976*100</f>
        <v>74.604760225440259</v>
      </c>
      <c r="V1976" s="58" t="s">
        <v>58</v>
      </c>
      <c r="W1976" s="59">
        <f>SUM(M1976,O1979,Q1976,S1976)</f>
        <v>1042667200</v>
      </c>
      <c r="X1976" s="57">
        <f>W1976/K1976*100</f>
        <v>87.564754459722025</v>
      </c>
      <c r="Y1976" s="58" t="s">
        <v>58</v>
      </c>
      <c r="Z1976" s="55">
        <f t="shared" si="553"/>
        <v>174.60476022544026</v>
      </c>
      <c r="AA1976" s="59">
        <f t="shared" si="554"/>
        <v>1683317036</v>
      </c>
      <c r="AB1976" s="57"/>
      <c r="AC1976" s="58" t="s">
        <v>58</v>
      </c>
      <c r="AD1976" s="57"/>
      <c r="AE1976" s="77"/>
    </row>
    <row r="1977" spans="1:34" s="863" customFormat="1" ht="120">
      <c r="A1977" s="16"/>
      <c r="B1977" s="17"/>
      <c r="C1977" s="17"/>
      <c r="D1977" s="845" t="s">
        <v>2301</v>
      </c>
      <c r="E1977" s="563"/>
      <c r="F1977" s="46"/>
      <c r="G1977" s="97"/>
      <c r="H1977" s="563"/>
      <c r="I1977" s="97"/>
      <c r="J1977" s="561">
        <v>81.819999999999993</v>
      </c>
      <c r="K1977" s="97">
        <v>0</v>
      </c>
      <c r="L1977" s="813">
        <f>8/11*100</f>
        <v>72.727272727272734</v>
      </c>
      <c r="M1977" s="97"/>
      <c r="N1977" s="813">
        <f>8/11*100</f>
        <v>72.727272727272734</v>
      </c>
      <c r="O1977" s="97"/>
      <c r="P1977" s="813">
        <f>8/11*100</f>
        <v>72.727272727272734</v>
      </c>
      <c r="Q1977" s="97"/>
      <c r="R1977" s="45">
        <v>81.819999999999993</v>
      </c>
      <c r="S1977" s="42"/>
      <c r="T1977" s="128">
        <f>R1977</f>
        <v>81.819999999999993</v>
      </c>
      <c r="U1977" s="57">
        <f t="shared" ref="U1977" si="556">T1977/J1977*100</f>
        <v>100</v>
      </c>
      <c r="V1977" s="58" t="s">
        <v>58</v>
      </c>
      <c r="W1977" s="59">
        <f>SUM(M1977,O1980,Q1977,S1977)</f>
        <v>0</v>
      </c>
      <c r="X1977" s="57">
        <f>W1977/J1977*100</f>
        <v>0</v>
      </c>
      <c r="Y1977" s="58" t="s">
        <v>58</v>
      </c>
      <c r="Z1977" s="55">
        <f t="shared" si="553"/>
        <v>81.819999999999993</v>
      </c>
      <c r="AA1977" s="59">
        <f t="shared" si="554"/>
        <v>0</v>
      </c>
      <c r="AB1977" s="57"/>
      <c r="AC1977" s="58" t="s">
        <v>58</v>
      </c>
      <c r="AD1977" s="57"/>
      <c r="AE1977" s="77"/>
    </row>
    <row r="1978" spans="1:34" s="863" customFormat="1" ht="165" customHeight="1">
      <c r="A1978" s="16"/>
      <c r="B1978" s="17"/>
      <c r="C1978" s="18"/>
      <c r="D1978" s="281" t="s">
        <v>2302</v>
      </c>
      <c r="E1978" s="563">
        <v>100</v>
      </c>
      <c r="F1978" s="46" t="s">
        <v>58</v>
      </c>
      <c r="G1978" s="41"/>
      <c r="H1978" s="563">
        <v>100</v>
      </c>
      <c r="I1978" s="41"/>
      <c r="J1978" s="563">
        <v>100</v>
      </c>
      <c r="K1978" s="41"/>
      <c r="L1978" s="813">
        <v>15.07</v>
      </c>
      <c r="M1978" s="41"/>
      <c r="N1978" s="813">
        <v>38.1</v>
      </c>
      <c r="O1978" s="41"/>
      <c r="P1978" s="813">
        <v>0</v>
      </c>
      <c r="Q1978" s="41"/>
      <c r="R1978" s="45">
        <v>46.24</v>
      </c>
      <c r="S1978" s="42"/>
      <c r="T1978" s="128">
        <f t="shared" si="549"/>
        <v>99.41</v>
      </c>
      <c r="U1978" s="57">
        <f t="shared" si="550"/>
        <v>99.41</v>
      </c>
      <c r="V1978" s="58"/>
      <c r="W1978" s="59">
        <f t="shared" si="552"/>
        <v>0</v>
      </c>
      <c r="X1978" s="57">
        <f>W1978/J1978*100</f>
        <v>0</v>
      </c>
      <c r="Y1978" s="58" t="s">
        <v>58</v>
      </c>
      <c r="Z1978" s="55">
        <f t="shared" si="553"/>
        <v>199.41</v>
      </c>
      <c r="AA1978" s="59">
        <f t="shared" si="554"/>
        <v>0</v>
      </c>
      <c r="AB1978" s="57"/>
      <c r="AC1978" s="58"/>
      <c r="AD1978" s="57"/>
      <c r="AE1978" s="77"/>
    </row>
    <row r="1979" spans="1:34" s="863" customFormat="1" ht="63">
      <c r="A1979" s="16"/>
      <c r="B1979" s="17"/>
      <c r="C1979" s="473" t="s">
        <v>2303</v>
      </c>
      <c r="D1979" s="836" t="s">
        <v>2304</v>
      </c>
      <c r="E1979" s="563">
        <v>48</v>
      </c>
      <c r="F1979" s="46" t="s">
        <v>58</v>
      </c>
      <c r="G1979" s="52">
        <f>SUM(G1985:G1993)</f>
        <v>3044960675</v>
      </c>
      <c r="H1979" s="45"/>
      <c r="I1979" s="52">
        <f>SUM(I1985:I1993)</f>
        <v>640649836</v>
      </c>
      <c r="J1979" s="563">
        <v>5</v>
      </c>
      <c r="K1979" s="52">
        <f>SUM(K1985:K1993)</f>
        <v>1190738450</v>
      </c>
      <c r="L1979" s="814">
        <v>0</v>
      </c>
      <c r="M1979" s="52">
        <f>SUM(M1985:M1993)</f>
        <v>93103750</v>
      </c>
      <c r="N1979" s="814">
        <v>0</v>
      </c>
      <c r="O1979" s="52">
        <f>SUM(O1985:O1993)</f>
        <v>105815750</v>
      </c>
      <c r="P1979" s="814">
        <v>0</v>
      </c>
      <c r="Q1979" s="52">
        <f>SUM(Q1985:Q1993)</f>
        <v>184277400</v>
      </c>
      <c r="R1979" s="45">
        <v>2.0099999999999998</v>
      </c>
      <c r="S1979" s="52">
        <f>SUM(S1985:S1993)</f>
        <v>659470300</v>
      </c>
      <c r="T1979" s="128">
        <f t="shared" si="549"/>
        <v>2.0099999999999998</v>
      </c>
      <c r="U1979" s="57">
        <f t="shared" si="550"/>
        <v>40.199999999999996</v>
      </c>
      <c r="V1979" s="58" t="s">
        <v>58</v>
      </c>
      <c r="W1979" s="59">
        <f t="shared" si="552"/>
        <v>936851450</v>
      </c>
      <c r="X1979" s="57">
        <f t="shared" si="551"/>
        <v>78.678189152286123</v>
      </c>
      <c r="Y1979" s="58" t="s">
        <v>58</v>
      </c>
      <c r="Z1979" s="55">
        <f t="shared" si="553"/>
        <v>2.0099999999999998</v>
      </c>
      <c r="AA1979" s="59">
        <f t="shared" si="554"/>
        <v>1577501286</v>
      </c>
      <c r="AB1979" s="57"/>
      <c r="AC1979" s="58" t="s">
        <v>58</v>
      </c>
      <c r="AD1979" s="57"/>
      <c r="AE1979" s="77"/>
    </row>
    <row r="1980" spans="1:34" s="863" customFormat="1" ht="126" customHeight="1">
      <c r="A1980" s="16"/>
      <c r="B1980" s="17"/>
      <c r="C1980" s="846"/>
      <c r="D1980" s="473" t="s">
        <v>2305</v>
      </c>
      <c r="E1980" s="563">
        <v>100</v>
      </c>
      <c r="F1980" s="46" t="s">
        <v>58</v>
      </c>
      <c r="G1980" s="97"/>
      <c r="H1980" s="45"/>
      <c r="I1980" s="97"/>
      <c r="J1980" s="563">
        <v>100</v>
      </c>
      <c r="K1980" s="97"/>
      <c r="L1980" s="814">
        <f>255/3197*100</f>
        <v>7.9762277134813893</v>
      </c>
      <c r="M1980" s="97"/>
      <c r="N1980" s="814">
        <f>255/3197*100</f>
        <v>7.9762277134813893</v>
      </c>
      <c r="O1980" s="97"/>
      <c r="P1980" s="814">
        <f>2432/3197*100</f>
        <v>76.071316859555836</v>
      </c>
      <c r="Q1980" s="97"/>
      <c r="R1980" s="814">
        <f>255/3197*100</f>
        <v>7.9762277134813893</v>
      </c>
      <c r="S1980" s="42"/>
      <c r="T1980" s="128">
        <f t="shared" si="549"/>
        <v>100</v>
      </c>
      <c r="U1980" s="57">
        <f t="shared" si="550"/>
        <v>100</v>
      </c>
      <c r="V1980" s="58" t="s">
        <v>58</v>
      </c>
      <c r="W1980" s="59">
        <f t="shared" si="552"/>
        <v>0</v>
      </c>
      <c r="X1980" s="57">
        <f>W1980/J1980*100</f>
        <v>0</v>
      </c>
      <c r="Y1980" s="58" t="s">
        <v>58</v>
      </c>
      <c r="Z1980" s="55">
        <f t="shared" si="553"/>
        <v>100</v>
      </c>
      <c r="AA1980" s="59">
        <f t="shared" si="554"/>
        <v>0</v>
      </c>
      <c r="AB1980" s="57"/>
      <c r="AC1980" s="58"/>
      <c r="AD1980" s="57"/>
      <c r="AE1980" s="77"/>
    </row>
    <row r="1981" spans="1:34" s="863" customFormat="1" ht="110.25">
      <c r="A1981" s="16"/>
      <c r="B1981" s="17"/>
      <c r="C1981" s="847"/>
      <c r="D1981" s="836" t="s">
        <v>2306</v>
      </c>
      <c r="E1981" s="563">
        <v>100</v>
      </c>
      <c r="F1981" s="46" t="s">
        <v>58</v>
      </c>
      <c r="G1981" s="97"/>
      <c r="H1981" s="45"/>
      <c r="I1981" s="97"/>
      <c r="J1981" s="563">
        <v>100</v>
      </c>
      <c r="K1981" s="97"/>
      <c r="L1981" s="813">
        <f>1607/77850*100</f>
        <v>2.0642260757867694</v>
      </c>
      <c r="M1981" s="97"/>
      <c r="N1981" s="813">
        <f>71038/77850*100</f>
        <v>91.249839434810525</v>
      </c>
      <c r="O1981" s="97"/>
      <c r="P1981" s="813">
        <f>3029/77850*100</f>
        <v>3.8908156711624917</v>
      </c>
      <c r="Q1981" s="97"/>
      <c r="R1981" s="45">
        <v>2.8</v>
      </c>
      <c r="S1981" s="42"/>
      <c r="T1981" s="128">
        <f t="shared" si="549"/>
        <v>100.00488118175977</v>
      </c>
      <c r="U1981" s="57">
        <f t="shared" si="550"/>
        <v>100.00488118175977</v>
      </c>
      <c r="V1981" s="58" t="s">
        <v>58</v>
      </c>
      <c r="W1981" s="59">
        <f t="shared" si="552"/>
        <v>0</v>
      </c>
      <c r="X1981" s="57">
        <f>W1981/J1981*100</f>
        <v>0</v>
      </c>
      <c r="Y1981" s="58" t="s">
        <v>58</v>
      </c>
      <c r="Z1981" s="55">
        <f t="shared" si="553"/>
        <v>100.00488118175977</v>
      </c>
      <c r="AA1981" s="59">
        <f t="shared" si="554"/>
        <v>0</v>
      </c>
      <c r="AB1981" s="57"/>
      <c r="AC1981" s="58"/>
      <c r="AD1981" s="57"/>
      <c r="AE1981" s="77"/>
    </row>
    <row r="1982" spans="1:34" s="863" customFormat="1" ht="141.75">
      <c r="A1982" s="16"/>
      <c r="B1982" s="17"/>
      <c r="C1982" s="847"/>
      <c r="D1982" s="573" t="s">
        <v>2307</v>
      </c>
      <c r="E1982" s="563">
        <v>100</v>
      </c>
      <c r="F1982" s="46" t="s">
        <v>58</v>
      </c>
      <c r="G1982" s="97"/>
      <c r="H1982" s="45"/>
      <c r="I1982" s="97"/>
      <c r="J1982" s="563">
        <v>100</v>
      </c>
      <c r="K1982" s="97"/>
      <c r="L1982" s="814">
        <f>(40+600)/(200+2400)*100</f>
        <v>24.615384615384617</v>
      </c>
      <c r="M1982" s="97"/>
      <c r="N1982" s="814">
        <f>(40+600)/(200+2400)*100</f>
        <v>24.615384615384617</v>
      </c>
      <c r="O1982" s="97"/>
      <c r="P1982" s="814">
        <f>(120+600)/(200+2400)*100</f>
        <v>27.692307692307693</v>
      </c>
      <c r="Q1982" s="97"/>
      <c r="R1982" s="814">
        <f>(600)/(200+2400)*100</f>
        <v>23.076923076923077</v>
      </c>
      <c r="S1982" s="42"/>
      <c r="T1982" s="128">
        <f>SUM(L1982+N1982+P1982+R1982)</f>
        <v>100.00000000000001</v>
      </c>
      <c r="U1982" s="57">
        <f t="shared" si="550"/>
        <v>100.00000000000003</v>
      </c>
      <c r="V1982" s="58" t="s">
        <v>58</v>
      </c>
      <c r="W1982" s="59">
        <f t="shared" si="552"/>
        <v>0</v>
      </c>
      <c r="X1982" s="57">
        <f>W1982/J1982*100</f>
        <v>0</v>
      </c>
      <c r="Y1982" s="58" t="s">
        <v>58</v>
      </c>
      <c r="Z1982" s="55">
        <f t="shared" si="553"/>
        <v>100.00000000000001</v>
      </c>
      <c r="AA1982" s="59">
        <f t="shared" si="554"/>
        <v>0</v>
      </c>
      <c r="AB1982" s="57"/>
      <c r="AC1982" s="58"/>
      <c r="AD1982" s="57"/>
      <c r="AE1982" s="77"/>
    </row>
    <row r="1983" spans="1:34" ht="63">
      <c r="A1983" s="16"/>
      <c r="B1983" s="17"/>
      <c r="C1983" s="847"/>
      <c r="D1983" s="573" t="s">
        <v>2308</v>
      </c>
      <c r="E1983" s="563">
        <v>100</v>
      </c>
      <c r="F1983" s="46" t="s">
        <v>58</v>
      </c>
      <c r="G1983" s="97"/>
      <c r="H1983" s="45"/>
      <c r="I1983" s="97"/>
      <c r="J1983" s="563">
        <v>100</v>
      </c>
      <c r="K1983" s="97"/>
      <c r="L1983" s="815">
        <f>375/1241*100</f>
        <v>30.217566478646251</v>
      </c>
      <c r="M1983" s="97"/>
      <c r="N1983" s="815">
        <f>282/1241*100</f>
        <v>22.723609991941981</v>
      </c>
      <c r="O1983" s="97"/>
      <c r="P1983" s="815">
        <f>342/1241*100</f>
        <v>27.558420628525383</v>
      </c>
      <c r="Q1983" s="97"/>
      <c r="R1983" s="815">
        <f>486/1241*100</f>
        <v>39.161966156325548</v>
      </c>
      <c r="S1983" s="42"/>
      <c r="T1983" s="128">
        <f>SUM(L1983,N1983,P1983,R1983)</f>
        <v>119.66156325543916</v>
      </c>
      <c r="U1983" s="57">
        <f t="shared" si="550"/>
        <v>119.66156325543915</v>
      </c>
      <c r="V1983" s="58" t="s">
        <v>58</v>
      </c>
      <c r="W1983" s="59">
        <f>SUM(M1983,O1983,Q1983,S1983)</f>
        <v>0</v>
      </c>
      <c r="X1983" s="57">
        <f t="shared" ref="X1983:X1984" si="557">W1983/J1983*100</f>
        <v>0</v>
      </c>
      <c r="Y1983" s="58" t="s">
        <v>58</v>
      </c>
      <c r="Z1983" s="55">
        <f t="shared" si="553"/>
        <v>119.66156325543916</v>
      </c>
      <c r="AA1983" s="59">
        <f t="shared" si="554"/>
        <v>0</v>
      </c>
      <c r="AB1983" s="57"/>
      <c r="AC1983" s="58"/>
      <c r="AD1983" s="57"/>
      <c r="AE1983" s="77"/>
      <c r="AH1983" s="25">
        <f>M2056+O2056+Q2056+S2056</f>
        <v>7351381101</v>
      </c>
    </row>
    <row r="1984" spans="1:34" ht="148.5" customHeight="1">
      <c r="A1984" s="16"/>
      <c r="B1984" s="17"/>
      <c r="C1984" s="18"/>
      <c r="D1984" s="573" t="s">
        <v>2309</v>
      </c>
      <c r="E1984" s="563">
        <v>100</v>
      </c>
      <c r="F1984" s="46" t="s">
        <v>58</v>
      </c>
      <c r="G1984" s="41"/>
      <c r="H1984" s="45"/>
      <c r="I1984" s="41"/>
      <c r="J1984" s="563">
        <v>100</v>
      </c>
      <c r="K1984" s="41"/>
      <c r="L1984" s="814">
        <f>30/91*100</f>
        <v>32.967032967032964</v>
      </c>
      <c r="M1984" s="41"/>
      <c r="N1984" s="814">
        <f>20/91*100</f>
        <v>21.978021978021978</v>
      </c>
      <c r="O1984" s="41"/>
      <c r="P1984" s="814">
        <f>20/91*100</f>
        <v>21.978021978021978</v>
      </c>
      <c r="Q1984" s="41"/>
      <c r="R1984" s="814">
        <v>39</v>
      </c>
      <c r="S1984" s="42"/>
      <c r="T1984" s="128">
        <f t="shared" si="549"/>
        <v>115.92307692307692</v>
      </c>
      <c r="U1984" s="57">
        <f t="shared" si="550"/>
        <v>115.92307692307693</v>
      </c>
      <c r="V1984" s="58" t="s">
        <v>58</v>
      </c>
      <c r="W1984" s="59">
        <f>SUM(M1984,O1984,Q1984,S1984)</f>
        <v>0</v>
      </c>
      <c r="X1984" s="57">
        <f t="shared" si="557"/>
        <v>0</v>
      </c>
      <c r="Y1984" s="58" t="s">
        <v>58</v>
      </c>
      <c r="Z1984" s="55">
        <f t="shared" si="553"/>
        <v>115.92307692307692</v>
      </c>
      <c r="AA1984" s="59">
        <f t="shared" si="554"/>
        <v>0</v>
      </c>
      <c r="AB1984" s="57"/>
      <c r="AC1984" s="58"/>
      <c r="AD1984" s="57"/>
      <c r="AE1984" s="77"/>
      <c r="AH1984" s="25"/>
    </row>
    <row r="1985" spans="1:34" ht="90">
      <c r="A1985" s="16"/>
      <c r="B1985" s="17"/>
      <c r="C1985" s="848" t="s">
        <v>2310</v>
      </c>
      <c r="D1985" s="849" t="s">
        <v>2311</v>
      </c>
      <c r="E1985" s="805">
        <v>621884111405</v>
      </c>
      <c r="F1985" s="21" t="s">
        <v>55</v>
      </c>
      <c r="G1985" s="50">
        <v>348199000</v>
      </c>
      <c r="H1985" s="104">
        <v>203906048913</v>
      </c>
      <c r="I1985" s="22">
        <v>85651000</v>
      </c>
      <c r="J1985" s="816">
        <v>2</v>
      </c>
      <c r="K1985" s="23">
        <v>65225000</v>
      </c>
      <c r="L1985" s="20">
        <v>1</v>
      </c>
      <c r="M1985" s="23">
        <v>11405000</v>
      </c>
      <c r="N1985" s="20">
        <v>0</v>
      </c>
      <c r="O1985" s="23">
        <v>9500000</v>
      </c>
      <c r="P1985" s="20">
        <v>1</v>
      </c>
      <c r="Q1985" s="23">
        <v>7500000</v>
      </c>
      <c r="R1985" s="20">
        <v>0</v>
      </c>
      <c r="S1985" s="23">
        <v>25125000</v>
      </c>
      <c r="T1985" s="106">
        <f t="shared" si="549"/>
        <v>2</v>
      </c>
      <c r="U1985" s="53">
        <f t="shared" si="550"/>
        <v>100</v>
      </c>
      <c r="V1985" s="35" t="s">
        <v>58</v>
      </c>
      <c r="W1985" s="40">
        <f t="shared" ref="W1985" si="558">SUM(M1985,O1985,Q1985,S1985)</f>
        <v>53530000</v>
      </c>
      <c r="X1985" s="53">
        <f t="shared" si="551"/>
        <v>82.069758528171704</v>
      </c>
      <c r="Y1985" s="35" t="s">
        <v>58</v>
      </c>
      <c r="Z1985" s="106">
        <f t="shared" si="553"/>
        <v>203906048915</v>
      </c>
      <c r="AA1985" s="40">
        <f t="shared" si="554"/>
        <v>139181000</v>
      </c>
      <c r="AB1985" s="53"/>
      <c r="AC1985" s="35" t="s">
        <v>58</v>
      </c>
      <c r="AD1985" s="53"/>
      <c r="AE1985" s="11"/>
      <c r="AH1985" s="25"/>
    </row>
    <row r="1986" spans="1:34" ht="91.5" customHeight="1">
      <c r="A1986" s="16"/>
      <c r="B1986" s="17"/>
      <c r="C1986" s="29" t="s">
        <v>2312</v>
      </c>
      <c r="D1986" s="29" t="s">
        <v>2313</v>
      </c>
      <c r="E1986" s="20">
        <f>240*3</f>
        <v>720</v>
      </c>
      <c r="F1986" s="21" t="s">
        <v>173</v>
      </c>
      <c r="G1986" s="817">
        <v>234765225</v>
      </c>
      <c r="H1986" s="44">
        <v>0</v>
      </c>
      <c r="I1986" s="22">
        <v>40761200</v>
      </c>
      <c r="J1986" s="20">
        <v>4</v>
      </c>
      <c r="K1986" s="23">
        <v>58246450</v>
      </c>
      <c r="L1986" s="20">
        <v>1</v>
      </c>
      <c r="M1986" s="23">
        <v>9253750</v>
      </c>
      <c r="N1986" s="20">
        <v>1</v>
      </c>
      <c r="O1986" s="23">
        <v>8135250</v>
      </c>
      <c r="P1986" s="20">
        <v>1</v>
      </c>
      <c r="Q1986" s="23">
        <v>10839500</v>
      </c>
      <c r="R1986" s="20">
        <v>1</v>
      </c>
      <c r="S1986" s="23">
        <v>21248000</v>
      </c>
      <c r="T1986" s="54">
        <f t="shared" si="549"/>
        <v>4</v>
      </c>
      <c r="U1986" s="53">
        <f t="shared" si="550"/>
        <v>100</v>
      </c>
      <c r="V1986" s="35" t="s">
        <v>58</v>
      </c>
      <c r="W1986" s="40">
        <f>SUM(M1986,O1986,Q1986,S1986)</f>
        <v>49476500</v>
      </c>
      <c r="X1986" s="53">
        <f t="shared" si="551"/>
        <v>84.943374231390919</v>
      </c>
      <c r="Y1986" s="35" t="s">
        <v>58</v>
      </c>
      <c r="Z1986" s="54">
        <f t="shared" si="553"/>
        <v>4</v>
      </c>
      <c r="AA1986" s="40">
        <f t="shared" si="554"/>
        <v>90237700</v>
      </c>
      <c r="AB1986" s="53"/>
      <c r="AC1986" s="35" t="s">
        <v>58</v>
      </c>
      <c r="AD1986" s="53"/>
      <c r="AE1986" s="11"/>
      <c r="AH1986" s="25"/>
    </row>
    <row r="1987" spans="1:34" ht="113.25" customHeight="1">
      <c r="A1987" s="16"/>
      <c r="B1987" s="17"/>
      <c r="C1987" s="29" t="s">
        <v>2314</v>
      </c>
      <c r="D1987" s="29" t="s">
        <v>2315</v>
      </c>
      <c r="E1987" s="105"/>
      <c r="F1987" s="21" t="s">
        <v>1430</v>
      </c>
      <c r="G1987" s="50"/>
      <c r="H1987" s="44"/>
      <c r="I1987" s="22"/>
      <c r="J1987" s="105">
        <v>3</v>
      </c>
      <c r="K1987" s="23">
        <v>142701600</v>
      </c>
      <c r="L1987" s="20">
        <v>0</v>
      </c>
      <c r="M1987" s="23">
        <v>0</v>
      </c>
      <c r="N1987" s="20">
        <v>0</v>
      </c>
      <c r="O1987" s="23">
        <v>562500</v>
      </c>
      <c r="P1987" s="20">
        <v>0</v>
      </c>
      <c r="Q1987" s="23">
        <v>5600000</v>
      </c>
      <c r="R1987" s="20">
        <v>3</v>
      </c>
      <c r="S1987" s="23">
        <v>99458900</v>
      </c>
      <c r="T1987" s="54">
        <f t="shared" si="549"/>
        <v>3</v>
      </c>
      <c r="U1987" s="53">
        <f t="shared" si="550"/>
        <v>100</v>
      </c>
      <c r="V1987" s="35" t="s">
        <v>58</v>
      </c>
      <c r="W1987" s="40">
        <f t="shared" ref="W1987:W1992" si="559">SUM(M1987,O1987,Q1987,S1987)</f>
        <v>105621400</v>
      </c>
      <c r="X1987" s="53">
        <f t="shared" si="551"/>
        <v>74.015568150602377</v>
      </c>
      <c r="Y1987" s="35" t="s">
        <v>58</v>
      </c>
      <c r="Z1987" s="54">
        <f t="shared" si="553"/>
        <v>3</v>
      </c>
      <c r="AA1987" s="40">
        <f t="shared" si="554"/>
        <v>105621400</v>
      </c>
      <c r="AB1987" s="53"/>
      <c r="AC1987" s="35" t="s">
        <v>58</v>
      </c>
      <c r="AD1987" s="53"/>
      <c r="AE1987" s="11"/>
      <c r="AH1987" s="25"/>
    </row>
    <row r="1988" spans="1:34" ht="180">
      <c r="A1988" s="16"/>
      <c r="B1988" s="17"/>
      <c r="C1988" s="29" t="s">
        <v>2316</v>
      </c>
      <c r="D1988" s="29" t="s">
        <v>2317</v>
      </c>
      <c r="E1988" s="105">
        <f>7100*3</f>
        <v>21300</v>
      </c>
      <c r="F1988" s="21" t="s">
        <v>173</v>
      </c>
      <c r="G1988" s="50">
        <v>362446350</v>
      </c>
      <c r="H1988" s="44">
        <v>478</v>
      </c>
      <c r="I1988" s="22">
        <v>88643870</v>
      </c>
      <c r="J1988" s="105">
        <v>12</v>
      </c>
      <c r="K1988" s="23">
        <v>86101650</v>
      </c>
      <c r="L1988" s="20">
        <v>3</v>
      </c>
      <c r="M1988" s="23">
        <v>21000000</v>
      </c>
      <c r="N1988" s="20">
        <v>3</v>
      </c>
      <c r="O1988" s="23">
        <v>13375000</v>
      </c>
      <c r="P1988" s="20">
        <v>3</v>
      </c>
      <c r="Q1988" s="23">
        <v>33708500</v>
      </c>
      <c r="R1988" s="20">
        <v>3</v>
      </c>
      <c r="S1988" s="23">
        <v>15000000</v>
      </c>
      <c r="T1988" s="54">
        <f t="shared" si="549"/>
        <v>12</v>
      </c>
      <c r="U1988" s="53">
        <f t="shared" si="550"/>
        <v>100</v>
      </c>
      <c r="V1988" s="35" t="s">
        <v>58</v>
      </c>
      <c r="W1988" s="40">
        <f t="shared" si="559"/>
        <v>83083500</v>
      </c>
      <c r="X1988" s="53">
        <f t="shared" si="551"/>
        <v>96.494666478516962</v>
      </c>
      <c r="Y1988" s="35" t="s">
        <v>58</v>
      </c>
      <c r="Z1988" s="54">
        <f t="shared" si="553"/>
        <v>490</v>
      </c>
      <c r="AA1988" s="40">
        <f t="shared" si="554"/>
        <v>171727370</v>
      </c>
      <c r="AB1988" s="53"/>
      <c r="AC1988" s="35" t="s">
        <v>58</v>
      </c>
      <c r="AD1988" s="53"/>
      <c r="AE1988" s="11"/>
      <c r="AG1988" s="290"/>
      <c r="AH1988" s="25"/>
    </row>
    <row r="1989" spans="1:34" ht="182.25" customHeight="1">
      <c r="A1989" s="16"/>
      <c r="B1989" s="17"/>
      <c r="C1989" s="29" t="s">
        <v>2318</v>
      </c>
      <c r="D1989" s="29" t="s">
        <v>2319</v>
      </c>
      <c r="E1989" s="104"/>
      <c r="F1989" s="47"/>
      <c r="G1989" s="818"/>
      <c r="H1989" s="104"/>
      <c r="I1989" s="819"/>
      <c r="J1989" s="104">
        <v>12</v>
      </c>
      <c r="K1989" s="23">
        <v>188605400</v>
      </c>
      <c r="L1989" s="104">
        <v>3</v>
      </c>
      <c r="M1989" s="23">
        <v>0</v>
      </c>
      <c r="N1989" s="104">
        <v>3</v>
      </c>
      <c r="O1989" s="23">
        <v>0</v>
      </c>
      <c r="P1989" s="104">
        <v>3</v>
      </c>
      <c r="Q1989" s="23">
        <v>937500</v>
      </c>
      <c r="R1989" s="20">
        <v>3</v>
      </c>
      <c r="S1989" s="23">
        <v>0</v>
      </c>
      <c r="T1989" s="106">
        <f t="shared" si="549"/>
        <v>12</v>
      </c>
      <c r="U1989" s="53">
        <f t="shared" si="550"/>
        <v>100</v>
      </c>
      <c r="V1989" s="35" t="s">
        <v>58</v>
      </c>
      <c r="W1989" s="40">
        <f t="shared" si="559"/>
        <v>937500</v>
      </c>
      <c r="X1989" s="53">
        <f t="shared" si="551"/>
        <v>0.49706954307776979</v>
      </c>
      <c r="Y1989" s="35" t="s">
        <v>58</v>
      </c>
      <c r="Z1989" s="54">
        <f t="shared" si="553"/>
        <v>12</v>
      </c>
      <c r="AA1989" s="40">
        <f t="shared" si="554"/>
        <v>937500</v>
      </c>
      <c r="AB1989" s="53"/>
      <c r="AC1989" s="35" t="s">
        <v>58</v>
      </c>
      <c r="AD1989" s="53"/>
      <c r="AE1989" s="11"/>
      <c r="AG1989" s="290"/>
      <c r="AH1989" s="25"/>
    </row>
    <row r="1990" spans="1:34" ht="75">
      <c r="A1990" s="16"/>
      <c r="B1990" s="17"/>
      <c r="C1990" s="29" t="s">
        <v>2320</v>
      </c>
      <c r="D1990" s="29" t="s">
        <v>2321</v>
      </c>
      <c r="E1990" s="104">
        <f>70000*3</f>
        <v>210000</v>
      </c>
      <c r="F1990" s="21" t="s">
        <v>55</v>
      </c>
      <c r="G1990" s="818">
        <v>429350400</v>
      </c>
      <c r="H1990" s="104">
        <v>68104</v>
      </c>
      <c r="I1990" s="50">
        <v>10662500</v>
      </c>
      <c r="J1990" s="104">
        <v>77850</v>
      </c>
      <c r="K1990" s="23">
        <v>119006900</v>
      </c>
      <c r="L1990" s="104">
        <v>1607</v>
      </c>
      <c r="M1990" s="23">
        <v>1500000</v>
      </c>
      <c r="N1990" s="104">
        <v>71038</v>
      </c>
      <c r="O1990" s="23">
        <v>4005000</v>
      </c>
      <c r="P1990" s="104">
        <v>3029</v>
      </c>
      <c r="Q1990" s="23">
        <v>4015000</v>
      </c>
      <c r="R1990" s="20">
        <v>2217</v>
      </c>
      <c r="S1990" s="23">
        <v>171487500</v>
      </c>
      <c r="T1990" s="106">
        <f t="shared" si="549"/>
        <v>77891</v>
      </c>
      <c r="U1990" s="53">
        <f t="shared" si="550"/>
        <v>100.05266538214515</v>
      </c>
      <c r="V1990" s="35" t="s">
        <v>58</v>
      </c>
      <c r="W1990" s="40">
        <f t="shared" si="559"/>
        <v>181007500</v>
      </c>
      <c r="X1990" s="53">
        <f t="shared" si="551"/>
        <v>152.09832371064198</v>
      </c>
      <c r="Y1990" s="35" t="s">
        <v>58</v>
      </c>
      <c r="Z1990" s="54">
        <f t="shared" si="553"/>
        <v>145995</v>
      </c>
      <c r="AA1990" s="40">
        <f t="shared" si="554"/>
        <v>191670000</v>
      </c>
      <c r="AB1990" s="53"/>
      <c r="AC1990" s="35" t="s">
        <v>58</v>
      </c>
      <c r="AD1990" s="53"/>
      <c r="AE1990" s="11"/>
      <c r="AG1990" s="290"/>
      <c r="AH1990" s="25"/>
    </row>
    <row r="1991" spans="1:34" ht="109.5" customHeight="1">
      <c r="A1991" s="16"/>
      <c r="B1991" s="17"/>
      <c r="C1991" s="29" t="s">
        <v>2322</v>
      </c>
      <c r="D1991" s="29" t="s">
        <v>2323</v>
      </c>
      <c r="E1991" s="20">
        <f>60*3</f>
        <v>180</v>
      </c>
      <c r="F1991" s="47" t="s">
        <v>1302</v>
      </c>
      <c r="G1991" s="818">
        <v>320349400</v>
      </c>
      <c r="H1991" s="44"/>
      <c r="I1991" s="22">
        <v>63743866</v>
      </c>
      <c r="J1991" s="20">
        <v>11</v>
      </c>
      <c r="K1991" s="23">
        <v>58246450</v>
      </c>
      <c r="L1991" s="20">
        <v>11</v>
      </c>
      <c r="M1991" s="23">
        <v>27000000</v>
      </c>
      <c r="N1991" s="20">
        <v>11</v>
      </c>
      <c r="O1991" s="23">
        <v>36905000</v>
      </c>
      <c r="P1991" s="20">
        <v>11</v>
      </c>
      <c r="Q1991" s="23">
        <v>6390500</v>
      </c>
      <c r="R1991" s="20">
        <v>11</v>
      </c>
      <c r="S1991" s="23">
        <v>48511000</v>
      </c>
      <c r="T1991" s="54">
        <f>SUM(L1991)</f>
        <v>11</v>
      </c>
      <c r="U1991" s="53">
        <f t="shared" si="550"/>
        <v>100</v>
      </c>
      <c r="V1991" s="35" t="s">
        <v>58</v>
      </c>
      <c r="W1991" s="40">
        <f t="shared" si="559"/>
        <v>118806500</v>
      </c>
      <c r="X1991" s="53">
        <f t="shared" si="551"/>
        <v>203.97208756928532</v>
      </c>
      <c r="Y1991" s="35" t="s">
        <v>58</v>
      </c>
      <c r="Z1991" s="54">
        <f t="shared" si="553"/>
        <v>11</v>
      </c>
      <c r="AA1991" s="40">
        <f>SUM(I1991,W1991)</f>
        <v>182550366</v>
      </c>
      <c r="AB1991" s="53"/>
      <c r="AC1991" s="35" t="s">
        <v>58</v>
      </c>
      <c r="AD1991" s="53"/>
      <c r="AE1991" s="11"/>
      <c r="AH1991" s="25"/>
    </row>
    <row r="1992" spans="1:34" ht="105">
      <c r="A1992" s="821"/>
      <c r="B1992" s="822"/>
      <c r="C1992" s="440" t="s">
        <v>2324</v>
      </c>
      <c r="D1992" s="440" t="s">
        <v>2325</v>
      </c>
      <c r="E1992" s="296">
        <f>69050*3</f>
        <v>207150</v>
      </c>
      <c r="F1992" s="21" t="s">
        <v>55</v>
      </c>
      <c r="G1992" s="818">
        <v>987553000</v>
      </c>
      <c r="H1992" s="299"/>
      <c r="I1992" s="804">
        <v>252247500</v>
      </c>
      <c r="J1992" s="296">
        <v>12</v>
      </c>
      <c r="K1992" s="273">
        <v>358348900</v>
      </c>
      <c r="L1992" s="301">
        <v>3</v>
      </c>
      <c r="M1992" s="273">
        <v>21820000</v>
      </c>
      <c r="N1992" s="296">
        <v>3</v>
      </c>
      <c r="O1992" s="23">
        <v>32340000</v>
      </c>
      <c r="P1992" s="296">
        <v>3</v>
      </c>
      <c r="Q1992" s="23">
        <v>112776000</v>
      </c>
      <c r="R1992" s="301">
        <v>3</v>
      </c>
      <c r="S1992" s="273">
        <v>169507500</v>
      </c>
      <c r="T1992" s="850">
        <f t="shared" si="549"/>
        <v>12</v>
      </c>
      <c r="U1992" s="408">
        <f t="shared" si="550"/>
        <v>100</v>
      </c>
      <c r="V1992" s="300" t="s">
        <v>58</v>
      </c>
      <c r="W1992" s="40">
        <f t="shared" si="559"/>
        <v>336443500</v>
      </c>
      <c r="X1992" s="408">
        <f t="shared" si="551"/>
        <v>93.887130670695512</v>
      </c>
      <c r="Y1992" s="300" t="s">
        <v>58</v>
      </c>
      <c r="Z1992" s="406">
        <f t="shared" si="553"/>
        <v>12</v>
      </c>
      <c r="AA1992" s="407">
        <f>SUM(I1992,W1992)</f>
        <v>588691000</v>
      </c>
      <c r="AB1992" s="408"/>
      <c r="AC1992" s="300" t="s">
        <v>58</v>
      </c>
      <c r="AD1992" s="408"/>
      <c r="AE1992" s="833"/>
      <c r="AH1992" s="25"/>
    </row>
    <row r="1993" spans="1:34" ht="150">
      <c r="A1993" s="16"/>
      <c r="B1993" s="17"/>
      <c r="C1993" s="29" t="s">
        <v>2326</v>
      </c>
      <c r="D1993" s="29" t="s">
        <v>2327</v>
      </c>
      <c r="E1993" s="20">
        <f>25+20+25</f>
        <v>70</v>
      </c>
      <c r="F1993" s="21" t="s">
        <v>55</v>
      </c>
      <c r="G1993" s="818">
        <v>362297300</v>
      </c>
      <c r="H1993" s="44"/>
      <c r="I1993" s="22">
        <v>98939900</v>
      </c>
      <c r="J1993" s="20">
        <v>12</v>
      </c>
      <c r="K1993" s="23">
        <v>114256100</v>
      </c>
      <c r="L1993" s="20">
        <v>3</v>
      </c>
      <c r="M1993" s="23">
        <v>1125000</v>
      </c>
      <c r="N1993" s="20">
        <v>3</v>
      </c>
      <c r="O1993" s="23">
        <v>993000</v>
      </c>
      <c r="P1993" s="20">
        <v>3</v>
      </c>
      <c r="Q1993" s="23">
        <v>2510400</v>
      </c>
      <c r="R1993" s="20">
        <v>3</v>
      </c>
      <c r="S1993" s="23">
        <v>109132400</v>
      </c>
      <c r="T1993" s="54">
        <f t="shared" si="549"/>
        <v>12</v>
      </c>
      <c r="U1993" s="53">
        <f t="shared" si="550"/>
        <v>100</v>
      </c>
      <c r="V1993" s="35" t="s">
        <v>58</v>
      </c>
      <c r="W1993" s="40">
        <f>SUM(M1993,O1993,Q1993,S1993)</f>
        <v>113760800</v>
      </c>
      <c r="X1993" s="53">
        <f t="shared" si="551"/>
        <v>99.566500169356388</v>
      </c>
      <c r="Y1993" s="35" t="s">
        <v>58</v>
      </c>
      <c r="Z1993" s="54">
        <f t="shared" si="553"/>
        <v>12</v>
      </c>
      <c r="AA1993" s="40">
        <f>SUM(I1993,W1993)</f>
        <v>212700700</v>
      </c>
      <c r="AB1993" s="53"/>
      <c r="AC1993" s="35" t="s">
        <v>58</v>
      </c>
      <c r="AD1993" s="53"/>
      <c r="AE1993" s="11"/>
      <c r="AH1993" s="25"/>
    </row>
    <row r="1994" spans="1:34" ht="118.5" customHeight="1">
      <c r="A1994" s="851"/>
      <c r="B1994" s="852" t="s">
        <v>2328</v>
      </c>
      <c r="C1994" s="853" t="s">
        <v>68</v>
      </c>
      <c r="D1994" s="854" t="s">
        <v>2329</v>
      </c>
      <c r="E1994" s="855">
        <v>26</v>
      </c>
      <c r="F1994" s="855" t="s">
        <v>1722</v>
      </c>
      <c r="G1994" s="1162">
        <f>G1999+G2002+G2007+G2014+G2016+G2020</f>
        <v>5951308724</v>
      </c>
      <c r="H1994" s="856">
        <v>25.33</v>
      </c>
      <c r="I1994" s="1162">
        <f>I1999+I2002+I2007+I2014+I2016+I2020</f>
        <v>4974507251</v>
      </c>
      <c r="J1994" s="855">
        <v>26</v>
      </c>
      <c r="K1994" s="1162">
        <f>K1999+K2002+K2007+K2014+K2016+K2020</f>
        <v>7726413258</v>
      </c>
      <c r="L1994" s="855">
        <v>0</v>
      </c>
      <c r="M1994" s="1163">
        <f>M1999+M2002+M2007+M2014+M2016+M2020</f>
        <v>842935592</v>
      </c>
      <c r="N1994" s="855">
        <v>0</v>
      </c>
      <c r="O1994" s="1163">
        <f>O1999+O2002+O2007+O2014+O2016+O2020</f>
        <v>1632918303</v>
      </c>
      <c r="P1994" s="855">
        <v>0</v>
      </c>
      <c r="Q1994" s="1163">
        <f>Q1999+Q2002+Q2007+Q2014+Q2016+Q2020</f>
        <v>1191316066</v>
      </c>
      <c r="R1994" s="857">
        <v>0</v>
      </c>
      <c r="S1994" s="1163">
        <f>S1999+S2002+S2007+S2014+S2016+S2020</f>
        <v>2887714556</v>
      </c>
      <c r="T1994" s="858">
        <f>SUM(L1994,N1994,P1994,R1994)</f>
        <v>0</v>
      </c>
      <c r="U1994" s="858">
        <f t="shared" ref="U1994:U2013" si="560">T1994/J1994*100</f>
        <v>0</v>
      </c>
      <c r="V1994" s="858" t="s">
        <v>58</v>
      </c>
      <c r="W1994" s="1156">
        <f>SUM(M1994,O1994,Q1994,S1994)</f>
        <v>6554884517</v>
      </c>
      <c r="X1994" s="1153">
        <f>W1994/K1994*100</f>
        <v>84.837353350379132</v>
      </c>
      <c r="Y1994" s="1153" t="s">
        <v>58</v>
      </c>
      <c r="Z1994" s="861">
        <f t="shared" ref="Z1994:Z2025" si="561">SUM(H1994,T1994)</f>
        <v>25.33</v>
      </c>
      <c r="AA1994" s="1156">
        <f>SUM(I1994,W1994)</f>
        <v>11529391768</v>
      </c>
      <c r="AB1994" s="857"/>
      <c r="AC1994" s="857"/>
      <c r="AD1994" s="855"/>
      <c r="AE1994" s="902" t="s">
        <v>2330</v>
      </c>
      <c r="AG1994" s="290"/>
      <c r="AH1994" s="25"/>
    </row>
    <row r="1995" spans="1:34" ht="47.25">
      <c r="A1995" s="851"/>
      <c r="B1995" s="853"/>
      <c r="C1995" s="853"/>
      <c r="D1995" s="854" t="s">
        <v>296</v>
      </c>
      <c r="E1995" s="855">
        <v>22</v>
      </c>
      <c r="F1995" s="855" t="s">
        <v>1722</v>
      </c>
      <c r="G1995" s="1162"/>
      <c r="H1995" s="864">
        <v>20</v>
      </c>
      <c r="I1995" s="1162"/>
      <c r="J1995" s="855">
        <v>22</v>
      </c>
      <c r="K1995" s="1162"/>
      <c r="L1995" s="855">
        <v>0</v>
      </c>
      <c r="M1995" s="1164"/>
      <c r="N1995" s="855">
        <v>0</v>
      </c>
      <c r="O1995" s="1164"/>
      <c r="P1995" s="855">
        <v>0</v>
      </c>
      <c r="Q1995" s="1164"/>
      <c r="R1995" s="857">
        <v>0</v>
      </c>
      <c r="S1995" s="1164"/>
      <c r="T1995" s="858">
        <f t="shared" ref="T1995:T2055" si="562">SUM(L1995,N1995,P1995,R1995)</f>
        <v>0</v>
      </c>
      <c r="U1995" s="858">
        <f t="shared" si="560"/>
        <v>0</v>
      </c>
      <c r="V1995" s="858" t="s">
        <v>58</v>
      </c>
      <c r="W1995" s="1157"/>
      <c r="X1995" s="1154"/>
      <c r="Y1995" s="1154"/>
      <c r="Z1995" s="861">
        <f t="shared" si="561"/>
        <v>20</v>
      </c>
      <c r="AA1995" s="1157"/>
      <c r="AB1995" s="857"/>
      <c r="AC1995" s="857"/>
      <c r="AD1995" s="855"/>
      <c r="AE1995" s="862"/>
      <c r="AG1995" s="290"/>
      <c r="AH1995" s="25"/>
    </row>
    <row r="1996" spans="1:34" ht="114.75" customHeight="1">
      <c r="A1996" s="851"/>
      <c r="B1996" s="853"/>
      <c r="C1996" s="853"/>
      <c r="D1996" s="854" t="s">
        <v>2331</v>
      </c>
      <c r="E1996" s="855">
        <v>12</v>
      </c>
      <c r="F1996" s="855" t="s">
        <v>1722</v>
      </c>
      <c r="G1996" s="1162"/>
      <c r="H1996" s="856">
        <v>12.63</v>
      </c>
      <c r="I1996" s="1162"/>
      <c r="J1996" s="855">
        <v>12</v>
      </c>
      <c r="K1996" s="1162"/>
      <c r="L1996" s="855">
        <v>0</v>
      </c>
      <c r="M1996" s="1164"/>
      <c r="N1996" s="855">
        <v>0</v>
      </c>
      <c r="O1996" s="1164"/>
      <c r="P1996" s="855">
        <v>0</v>
      </c>
      <c r="Q1996" s="1164"/>
      <c r="R1996" s="857">
        <v>0</v>
      </c>
      <c r="S1996" s="1164"/>
      <c r="T1996" s="858">
        <f t="shared" si="562"/>
        <v>0</v>
      </c>
      <c r="U1996" s="858">
        <f t="shared" si="560"/>
        <v>0</v>
      </c>
      <c r="V1996" s="858" t="s">
        <v>58</v>
      </c>
      <c r="W1996" s="1157"/>
      <c r="X1996" s="1154"/>
      <c r="Y1996" s="1154"/>
      <c r="Z1996" s="861">
        <f t="shared" si="561"/>
        <v>12.63</v>
      </c>
      <c r="AA1996" s="1157"/>
      <c r="AB1996" s="857"/>
      <c r="AC1996" s="857"/>
      <c r="AD1996" s="855"/>
      <c r="AE1996" s="862"/>
      <c r="AH1996" s="25"/>
    </row>
    <row r="1997" spans="1:34" ht="78.75">
      <c r="A1997" s="851"/>
      <c r="B1997" s="853"/>
      <c r="C1997" s="853"/>
      <c r="D1997" s="854" t="s">
        <v>302</v>
      </c>
      <c r="E1997" s="855">
        <v>8.5</v>
      </c>
      <c r="F1997" s="855" t="s">
        <v>1722</v>
      </c>
      <c r="G1997" s="1162"/>
      <c r="H1997" s="856">
        <v>7.83</v>
      </c>
      <c r="I1997" s="1162"/>
      <c r="J1997" s="855">
        <v>8.5</v>
      </c>
      <c r="K1997" s="1162"/>
      <c r="L1997" s="855">
        <v>0</v>
      </c>
      <c r="M1997" s="1164"/>
      <c r="N1997" s="855">
        <v>0</v>
      </c>
      <c r="O1997" s="1164"/>
      <c r="P1997" s="855">
        <v>0</v>
      </c>
      <c r="Q1997" s="1164"/>
      <c r="R1997" s="857">
        <v>0</v>
      </c>
      <c r="S1997" s="1164"/>
      <c r="T1997" s="858">
        <f t="shared" si="562"/>
        <v>0</v>
      </c>
      <c r="U1997" s="858">
        <f t="shared" si="560"/>
        <v>0</v>
      </c>
      <c r="V1997" s="858" t="s">
        <v>58</v>
      </c>
      <c r="W1997" s="1157"/>
      <c r="X1997" s="1154"/>
      <c r="Y1997" s="1154"/>
      <c r="Z1997" s="861">
        <f t="shared" si="561"/>
        <v>7.83</v>
      </c>
      <c r="AA1997" s="1157"/>
      <c r="AB1997" s="857"/>
      <c r="AC1997" s="857"/>
      <c r="AD1997" s="855"/>
      <c r="AE1997" s="862"/>
      <c r="AG1997" s="290"/>
      <c r="AH1997" s="25"/>
    </row>
    <row r="1998" spans="1:34" ht="47.25">
      <c r="A1998" s="851"/>
      <c r="B1998" s="854"/>
      <c r="C1998" s="854"/>
      <c r="D1998" s="854" t="s">
        <v>2332</v>
      </c>
      <c r="E1998" s="855">
        <v>13</v>
      </c>
      <c r="F1998" s="855" t="s">
        <v>1722</v>
      </c>
      <c r="G1998" s="1162"/>
      <c r="H1998" s="865">
        <v>15</v>
      </c>
      <c r="I1998" s="1162"/>
      <c r="J1998" s="855">
        <v>13</v>
      </c>
      <c r="K1998" s="1162"/>
      <c r="L1998" s="855">
        <v>0</v>
      </c>
      <c r="M1998" s="1165"/>
      <c r="N1998" s="855">
        <v>0</v>
      </c>
      <c r="O1998" s="1165"/>
      <c r="P1998" s="855">
        <v>0</v>
      </c>
      <c r="Q1998" s="1165"/>
      <c r="R1998" s="857">
        <v>0</v>
      </c>
      <c r="S1998" s="1165"/>
      <c r="T1998" s="858">
        <f t="shared" si="562"/>
        <v>0</v>
      </c>
      <c r="U1998" s="858">
        <f t="shared" si="560"/>
        <v>0</v>
      </c>
      <c r="V1998" s="858" t="s">
        <v>58</v>
      </c>
      <c r="W1998" s="1158"/>
      <c r="X1998" s="1155"/>
      <c r="Y1998" s="1155"/>
      <c r="Z1998" s="861">
        <f t="shared" si="561"/>
        <v>15</v>
      </c>
      <c r="AA1998" s="1158"/>
      <c r="AB1998" s="857"/>
      <c r="AC1998" s="857"/>
      <c r="AD1998" s="855"/>
      <c r="AE1998" s="866"/>
      <c r="AG1998" s="290"/>
      <c r="AH1998" s="25"/>
    </row>
    <row r="1999" spans="1:34" ht="126">
      <c r="A1999" s="851"/>
      <c r="B1999" s="853" t="s">
        <v>1592</v>
      </c>
      <c r="C1999" s="853" t="s">
        <v>172</v>
      </c>
      <c r="D1999" s="854" t="s">
        <v>1277</v>
      </c>
      <c r="E1999" s="855">
        <v>15</v>
      </c>
      <c r="F1999" s="855" t="s">
        <v>55</v>
      </c>
      <c r="G1999" s="867">
        <f>SUM(G2000:G2001)</f>
        <v>9501200</v>
      </c>
      <c r="H1999" s="855">
        <v>15</v>
      </c>
      <c r="I1999" s="867">
        <f>SUM(I2000:I2001)</f>
        <v>9500000</v>
      </c>
      <c r="J1999" s="855">
        <v>15</v>
      </c>
      <c r="K1999" s="867">
        <f>SUM(K2000:K2001)</f>
        <v>7847900</v>
      </c>
      <c r="L1999" s="868">
        <f>L2000+L2001</f>
        <v>8</v>
      </c>
      <c r="M1999" s="867">
        <f>SUM(M2000:M2001)</f>
        <v>90000</v>
      </c>
      <c r="N1999" s="868">
        <f>N2000+N2001</f>
        <v>1</v>
      </c>
      <c r="O1999" s="867">
        <f>SUM(O2000:O2001)</f>
        <v>2799000</v>
      </c>
      <c r="P1999" s="868">
        <f>P2000+P2001</f>
        <v>3</v>
      </c>
      <c r="Q1999" s="867">
        <f>SUM(Q2000:Q2001)</f>
        <v>0</v>
      </c>
      <c r="R1999" s="868">
        <f>R2000+R2001</f>
        <v>3</v>
      </c>
      <c r="S1999" s="867">
        <f>SUM(S2000:S2001)</f>
        <v>4465400</v>
      </c>
      <c r="T1999" s="858">
        <f t="shared" si="562"/>
        <v>15</v>
      </c>
      <c r="U1999" s="858">
        <f t="shared" si="560"/>
        <v>100</v>
      </c>
      <c r="V1999" s="858" t="s">
        <v>58</v>
      </c>
      <c r="W1999" s="869">
        <f>SUM(M1999,O1999,Q1999,S1999)</f>
        <v>7354400</v>
      </c>
      <c r="X1999" s="861">
        <f t="shared" ref="X1999:X2013" si="563">W1999/K1999*100</f>
        <v>93.711693574077131</v>
      </c>
      <c r="Y1999" s="861" t="s">
        <v>58</v>
      </c>
      <c r="Z1999" s="858">
        <f t="shared" si="561"/>
        <v>30</v>
      </c>
      <c r="AA1999" s="869">
        <f t="shared" ref="AA1999:AA2024" si="564">SUM(I1999,W1999)</f>
        <v>16854400</v>
      </c>
      <c r="AB1999" s="857"/>
      <c r="AC1999" s="857"/>
      <c r="AD1999" s="855"/>
      <c r="AE1999" s="866"/>
      <c r="AG1999" s="290"/>
      <c r="AH1999" s="25"/>
    </row>
    <row r="2000" spans="1:34" ht="75">
      <c r="A2000" s="870"/>
      <c r="B2000" s="871"/>
      <c r="C2000" s="872" t="s">
        <v>69</v>
      </c>
      <c r="D2000" s="873" t="s">
        <v>211</v>
      </c>
      <c r="E2000" s="874">
        <v>10</v>
      </c>
      <c r="F2000" s="874" t="s">
        <v>55</v>
      </c>
      <c r="G2000" s="875">
        <v>8001100</v>
      </c>
      <c r="H2000" s="874">
        <v>10</v>
      </c>
      <c r="I2000" s="875">
        <v>8000000</v>
      </c>
      <c r="J2000" s="874">
        <v>10</v>
      </c>
      <c r="K2000" s="875">
        <v>6583950</v>
      </c>
      <c r="L2000" s="876">
        <v>7</v>
      </c>
      <c r="M2000" s="875">
        <v>90000</v>
      </c>
      <c r="N2000" s="877">
        <v>0</v>
      </c>
      <c r="O2000" s="875">
        <v>2799000</v>
      </c>
      <c r="P2000" s="877">
        <v>2</v>
      </c>
      <c r="Q2000" s="875">
        <v>0</v>
      </c>
      <c r="R2000" s="877">
        <v>1</v>
      </c>
      <c r="S2000" s="875">
        <v>3201450</v>
      </c>
      <c r="T2000" s="878">
        <f t="shared" si="562"/>
        <v>10</v>
      </c>
      <c r="U2000" s="878">
        <f t="shared" si="560"/>
        <v>100</v>
      </c>
      <c r="V2000" s="878" t="s">
        <v>58</v>
      </c>
      <c r="W2000" s="879">
        <f>SUM(M2000,O2000,Q2000,S2000)</f>
        <v>6090450</v>
      </c>
      <c r="X2000" s="880">
        <f t="shared" si="563"/>
        <v>92.504499578520495</v>
      </c>
      <c r="Y2000" s="880" t="s">
        <v>58</v>
      </c>
      <c r="Z2000" s="878">
        <f t="shared" si="561"/>
        <v>20</v>
      </c>
      <c r="AA2000" s="879">
        <f t="shared" si="564"/>
        <v>14090450</v>
      </c>
      <c r="AB2000" s="877"/>
      <c r="AC2000" s="877"/>
      <c r="AD2000" s="874"/>
      <c r="AE2000" s="866"/>
      <c r="AG2000" s="290"/>
      <c r="AH2000" s="25"/>
    </row>
    <row r="2001" spans="1:34" ht="90">
      <c r="A2001" s="870"/>
      <c r="B2001" s="871"/>
      <c r="C2001" s="872" t="s">
        <v>70</v>
      </c>
      <c r="D2001" s="873" t="s">
        <v>212</v>
      </c>
      <c r="E2001" s="874">
        <v>5</v>
      </c>
      <c r="F2001" s="874" t="s">
        <v>173</v>
      </c>
      <c r="G2001" s="875">
        <v>1500100</v>
      </c>
      <c r="H2001" s="874">
        <v>5</v>
      </c>
      <c r="I2001" s="875">
        <v>1500000</v>
      </c>
      <c r="J2001" s="874">
        <v>5</v>
      </c>
      <c r="K2001" s="875">
        <v>1263950</v>
      </c>
      <c r="L2001" s="876">
        <v>1</v>
      </c>
      <c r="M2001" s="875">
        <v>0</v>
      </c>
      <c r="N2001" s="877">
        <v>1</v>
      </c>
      <c r="O2001" s="875">
        <v>0</v>
      </c>
      <c r="P2001" s="877">
        <v>1</v>
      </c>
      <c r="Q2001" s="875">
        <v>0</v>
      </c>
      <c r="R2001" s="877">
        <v>2</v>
      </c>
      <c r="S2001" s="875">
        <v>1263950</v>
      </c>
      <c r="T2001" s="878">
        <f t="shared" si="562"/>
        <v>5</v>
      </c>
      <c r="U2001" s="878">
        <f t="shared" si="560"/>
        <v>100</v>
      </c>
      <c r="V2001" s="878" t="s">
        <v>58</v>
      </c>
      <c r="W2001" s="879">
        <f>SUM(M2001,O2001,Q2001,S2001)</f>
        <v>1263950</v>
      </c>
      <c r="X2001" s="880">
        <f t="shared" si="563"/>
        <v>100</v>
      </c>
      <c r="Y2001" s="880" t="s">
        <v>58</v>
      </c>
      <c r="Z2001" s="878">
        <f t="shared" si="561"/>
        <v>10</v>
      </c>
      <c r="AA2001" s="879">
        <f t="shared" si="564"/>
        <v>2763950</v>
      </c>
      <c r="AB2001" s="877"/>
      <c r="AC2001" s="877"/>
      <c r="AD2001" s="874"/>
      <c r="AE2001" s="866"/>
      <c r="AG2001" s="290"/>
      <c r="AH2001" s="25"/>
    </row>
    <row r="2002" spans="1:34" ht="78.75">
      <c r="A2002" s="851"/>
      <c r="B2002" s="852" t="s">
        <v>1593</v>
      </c>
      <c r="C2002" s="881" t="s">
        <v>71</v>
      </c>
      <c r="D2002" s="854" t="s">
        <v>323</v>
      </c>
      <c r="E2002" s="855">
        <v>14</v>
      </c>
      <c r="F2002" s="855" t="s">
        <v>55</v>
      </c>
      <c r="G2002" s="867">
        <f>SUM(G2003:G2006)</f>
        <v>5220698199</v>
      </c>
      <c r="H2002" s="855">
        <v>14</v>
      </c>
      <c r="I2002" s="867">
        <f>SUM(I2003:I2006)</f>
        <v>3679467510</v>
      </c>
      <c r="J2002" s="855">
        <v>12</v>
      </c>
      <c r="K2002" s="867">
        <f>SUM(K2003:K2006)</f>
        <v>4958440442</v>
      </c>
      <c r="L2002" s="868">
        <f>L2004+L2005+L2006</f>
        <v>4</v>
      </c>
      <c r="M2002" s="867">
        <f>SUM(M2003:M2006)</f>
        <v>744552114</v>
      </c>
      <c r="N2002" s="868">
        <f>N2004+N2005+N2006</f>
        <v>4</v>
      </c>
      <c r="O2002" s="867">
        <f>SUM(O2003:O2006)</f>
        <v>1237462869</v>
      </c>
      <c r="P2002" s="868">
        <f>P2004+P2005+P2006</f>
        <v>3</v>
      </c>
      <c r="Q2002" s="867">
        <f>SUM(Q2003:Q2006)</f>
        <v>1062665433</v>
      </c>
      <c r="R2002" s="868">
        <v>3</v>
      </c>
      <c r="S2002" s="867">
        <f>SUM(S2003:S2006)</f>
        <v>889831616</v>
      </c>
      <c r="T2002" s="858">
        <f t="shared" si="562"/>
        <v>14</v>
      </c>
      <c r="U2002" s="861">
        <f t="shared" si="560"/>
        <v>116.66666666666667</v>
      </c>
      <c r="V2002" s="861" t="s">
        <v>58</v>
      </c>
      <c r="W2002" s="869"/>
      <c r="X2002" s="861">
        <f t="shared" si="563"/>
        <v>0</v>
      </c>
      <c r="Y2002" s="861" t="s">
        <v>58</v>
      </c>
      <c r="Z2002" s="858">
        <f t="shared" si="561"/>
        <v>28</v>
      </c>
      <c r="AA2002" s="869">
        <f t="shared" si="564"/>
        <v>3679467510</v>
      </c>
      <c r="AB2002" s="857"/>
      <c r="AC2002" s="857"/>
      <c r="AD2002" s="855"/>
      <c r="AE2002" s="866"/>
      <c r="AG2002" s="290"/>
      <c r="AH2002" s="25"/>
    </row>
    <row r="2003" spans="1:34" ht="90">
      <c r="A2003" s="870"/>
      <c r="B2003" s="871"/>
      <c r="C2003" s="872" t="s">
        <v>1173</v>
      </c>
      <c r="D2003" s="873" t="s">
        <v>213</v>
      </c>
      <c r="E2003" s="874">
        <v>42</v>
      </c>
      <c r="F2003" s="874" t="s">
        <v>57</v>
      </c>
      <c r="G2003" s="875">
        <v>5215677699</v>
      </c>
      <c r="H2003" s="874">
        <v>36</v>
      </c>
      <c r="I2003" s="875">
        <v>3674467510</v>
      </c>
      <c r="J2003" s="874">
        <v>42</v>
      </c>
      <c r="K2003" s="875">
        <v>4954016442</v>
      </c>
      <c r="L2003" s="876">
        <v>36</v>
      </c>
      <c r="M2003" s="875">
        <v>743712114</v>
      </c>
      <c r="N2003" s="877">
        <v>36</v>
      </c>
      <c r="O2003" s="875">
        <v>1236564069</v>
      </c>
      <c r="P2003" s="877">
        <v>37</v>
      </c>
      <c r="Q2003" s="875">
        <v>1062665433</v>
      </c>
      <c r="R2003" s="877">
        <v>35</v>
      </c>
      <c r="S2003" s="875">
        <v>887316416</v>
      </c>
      <c r="T2003" s="878">
        <f t="shared" si="562"/>
        <v>144</v>
      </c>
      <c r="U2003" s="878">
        <f t="shared" si="560"/>
        <v>342.85714285714283</v>
      </c>
      <c r="V2003" s="878" t="s">
        <v>58</v>
      </c>
      <c r="W2003" s="879">
        <f t="shared" ref="W2003:W2013" si="565">SUM(M2003,O2003,Q2003,S2003)</f>
        <v>3930258032</v>
      </c>
      <c r="X2003" s="880">
        <f t="shared" si="563"/>
        <v>79.334779729017299</v>
      </c>
      <c r="Y2003" s="880" t="s">
        <v>58</v>
      </c>
      <c r="Z2003" s="878">
        <f t="shared" si="561"/>
        <v>180</v>
      </c>
      <c r="AA2003" s="879">
        <f t="shared" si="564"/>
        <v>7604725542</v>
      </c>
      <c r="AB2003" s="877"/>
      <c r="AC2003" s="877"/>
      <c r="AD2003" s="874"/>
      <c r="AE2003" s="866"/>
      <c r="AH2003" s="25"/>
    </row>
    <row r="2004" spans="1:34" ht="83.25" customHeight="1">
      <c r="A2004" s="870"/>
      <c r="B2004" s="871"/>
      <c r="C2004" s="872" t="s">
        <v>73</v>
      </c>
      <c r="D2004" s="873" t="s">
        <v>214</v>
      </c>
      <c r="E2004" s="874">
        <v>1</v>
      </c>
      <c r="F2004" s="874" t="s">
        <v>173</v>
      </c>
      <c r="G2004" s="875">
        <v>2003000</v>
      </c>
      <c r="H2004" s="874">
        <v>1</v>
      </c>
      <c r="I2004" s="875">
        <v>2000000</v>
      </c>
      <c r="J2004" s="874">
        <v>1</v>
      </c>
      <c r="K2004" s="875">
        <v>1863800</v>
      </c>
      <c r="L2004" s="876">
        <v>1</v>
      </c>
      <c r="M2004" s="875">
        <v>840000</v>
      </c>
      <c r="N2004" s="877">
        <v>0</v>
      </c>
      <c r="O2004" s="875">
        <v>898800</v>
      </c>
      <c r="P2004" s="877">
        <v>0</v>
      </c>
      <c r="Q2004" s="875">
        <v>0</v>
      </c>
      <c r="R2004" s="877">
        <v>0</v>
      </c>
      <c r="S2004" s="875">
        <v>0</v>
      </c>
      <c r="T2004" s="878">
        <f t="shared" si="562"/>
        <v>1</v>
      </c>
      <c r="U2004" s="878">
        <f t="shared" si="560"/>
        <v>100</v>
      </c>
      <c r="V2004" s="878" t="s">
        <v>58</v>
      </c>
      <c r="W2004" s="879">
        <f t="shared" si="565"/>
        <v>1738800</v>
      </c>
      <c r="X2004" s="880">
        <f t="shared" si="563"/>
        <v>93.293271810280075</v>
      </c>
      <c r="Y2004" s="880" t="s">
        <v>58</v>
      </c>
      <c r="Z2004" s="878">
        <f t="shared" si="561"/>
        <v>2</v>
      </c>
      <c r="AA2004" s="879">
        <f t="shared" si="564"/>
        <v>3738800</v>
      </c>
      <c r="AB2004" s="877"/>
      <c r="AC2004" s="877"/>
      <c r="AD2004" s="874"/>
      <c r="AE2004" s="866"/>
      <c r="AG2004" s="290"/>
      <c r="AH2004" s="25"/>
    </row>
    <row r="2005" spans="1:34" ht="109.5" customHeight="1">
      <c r="A2005" s="870"/>
      <c r="B2005" s="871"/>
      <c r="C2005" s="872" t="s">
        <v>1174</v>
      </c>
      <c r="D2005" s="873" t="s">
        <v>215</v>
      </c>
      <c r="E2005" s="874">
        <v>12</v>
      </c>
      <c r="F2005" s="874" t="s">
        <v>173</v>
      </c>
      <c r="G2005" s="875">
        <v>1510000</v>
      </c>
      <c r="H2005" s="874">
        <v>12</v>
      </c>
      <c r="I2005" s="875">
        <v>1500000</v>
      </c>
      <c r="J2005" s="874">
        <v>12</v>
      </c>
      <c r="K2005" s="875">
        <v>1319950</v>
      </c>
      <c r="L2005" s="876">
        <v>3</v>
      </c>
      <c r="M2005" s="875">
        <v>0</v>
      </c>
      <c r="N2005" s="877">
        <v>3</v>
      </c>
      <c r="O2005" s="875">
        <v>0</v>
      </c>
      <c r="P2005" s="877">
        <v>3</v>
      </c>
      <c r="Q2005" s="875">
        <v>0</v>
      </c>
      <c r="R2005" s="877">
        <v>3</v>
      </c>
      <c r="S2005" s="875">
        <v>1319950</v>
      </c>
      <c r="T2005" s="878">
        <f t="shared" si="562"/>
        <v>12</v>
      </c>
      <c r="U2005" s="878">
        <f t="shared" si="560"/>
        <v>100</v>
      </c>
      <c r="V2005" s="878" t="s">
        <v>58</v>
      </c>
      <c r="W2005" s="879">
        <f t="shared" si="565"/>
        <v>1319950</v>
      </c>
      <c r="X2005" s="880">
        <f t="shared" si="563"/>
        <v>100</v>
      </c>
      <c r="Y2005" s="880" t="s">
        <v>58</v>
      </c>
      <c r="Z2005" s="878">
        <f t="shared" si="561"/>
        <v>24</v>
      </c>
      <c r="AA2005" s="879">
        <f t="shared" si="564"/>
        <v>2819950</v>
      </c>
      <c r="AB2005" s="877"/>
      <c r="AC2005" s="877"/>
      <c r="AD2005" s="874"/>
      <c r="AE2005" s="866"/>
      <c r="AH2005" s="25"/>
    </row>
    <row r="2006" spans="1:34" ht="105">
      <c r="A2006" s="870"/>
      <c r="B2006" s="871"/>
      <c r="C2006" s="872" t="s">
        <v>75</v>
      </c>
      <c r="D2006" s="873" t="s">
        <v>216</v>
      </c>
      <c r="E2006" s="874">
        <v>1</v>
      </c>
      <c r="F2006" s="874" t="s">
        <v>55</v>
      </c>
      <c r="G2006" s="875">
        <v>1507500</v>
      </c>
      <c r="H2006" s="874">
        <v>1</v>
      </c>
      <c r="I2006" s="875">
        <v>1500000</v>
      </c>
      <c r="J2006" s="874">
        <v>1</v>
      </c>
      <c r="K2006" s="875">
        <v>1240250</v>
      </c>
      <c r="L2006" s="876">
        <v>0</v>
      </c>
      <c r="M2006" s="875">
        <v>0</v>
      </c>
      <c r="N2006" s="877">
        <v>1</v>
      </c>
      <c r="O2006" s="875">
        <v>0</v>
      </c>
      <c r="P2006" s="877">
        <v>0</v>
      </c>
      <c r="Q2006" s="875">
        <v>0</v>
      </c>
      <c r="R2006" s="877">
        <v>0</v>
      </c>
      <c r="S2006" s="875">
        <v>1195250</v>
      </c>
      <c r="T2006" s="878">
        <f t="shared" si="562"/>
        <v>1</v>
      </c>
      <c r="U2006" s="878">
        <f t="shared" si="560"/>
        <v>100</v>
      </c>
      <c r="V2006" s="878" t="s">
        <v>58</v>
      </c>
      <c r="W2006" s="879">
        <f t="shared" si="565"/>
        <v>1195250</v>
      </c>
      <c r="X2006" s="880">
        <f t="shared" si="563"/>
        <v>96.371699254182616</v>
      </c>
      <c r="Y2006" s="880" t="s">
        <v>58</v>
      </c>
      <c r="Z2006" s="878">
        <f t="shared" si="561"/>
        <v>2</v>
      </c>
      <c r="AA2006" s="879">
        <f t="shared" si="564"/>
        <v>2695250</v>
      </c>
      <c r="AB2006" s="877"/>
      <c r="AC2006" s="877"/>
      <c r="AD2006" s="874"/>
      <c r="AE2006" s="866"/>
      <c r="AH2006" s="25"/>
    </row>
    <row r="2007" spans="1:34" ht="94.5">
      <c r="A2007" s="851"/>
      <c r="B2007" s="852" t="s">
        <v>1599</v>
      </c>
      <c r="C2007" s="881" t="s">
        <v>76</v>
      </c>
      <c r="D2007" s="854" t="s">
        <v>1281</v>
      </c>
      <c r="E2007" s="855">
        <v>12</v>
      </c>
      <c r="F2007" s="855" t="s">
        <v>173</v>
      </c>
      <c r="G2007" s="867">
        <f>SUM(G2008:G2013)</f>
        <v>450040800</v>
      </c>
      <c r="H2007" s="855">
        <v>12</v>
      </c>
      <c r="I2007" s="867">
        <f>SUM(I2008:I2013)</f>
        <v>466207800</v>
      </c>
      <c r="J2007" s="855">
        <v>12</v>
      </c>
      <c r="K2007" s="867">
        <f>SUM(K2008:K2013)</f>
        <v>2150015250</v>
      </c>
      <c r="L2007" s="868">
        <v>3</v>
      </c>
      <c r="M2007" s="867">
        <f>SUM(M2008:M2013)</f>
        <v>55093400</v>
      </c>
      <c r="N2007" s="857">
        <v>3</v>
      </c>
      <c r="O2007" s="867">
        <f>SUM(O2008:O2013)</f>
        <v>165432927</v>
      </c>
      <c r="P2007" s="857">
        <v>3</v>
      </c>
      <c r="Q2007" s="867">
        <f>SUM(Q2008:Q2013)</f>
        <v>72928364</v>
      </c>
      <c r="R2007" s="857">
        <v>3</v>
      </c>
      <c r="S2007" s="867">
        <f>SUM(S2008:S2013)</f>
        <v>1770161983</v>
      </c>
      <c r="T2007" s="858">
        <f t="shared" si="562"/>
        <v>12</v>
      </c>
      <c r="U2007" s="858">
        <f t="shared" si="560"/>
        <v>100</v>
      </c>
      <c r="V2007" s="858" t="s">
        <v>58</v>
      </c>
      <c r="W2007" s="869">
        <f t="shared" si="565"/>
        <v>2063616674</v>
      </c>
      <c r="X2007" s="861">
        <f t="shared" si="563"/>
        <v>95.981490084779637</v>
      </c>
      <c r="Y2007" s="861" t="s">
        <v>58</v>
      </c>
      <c r="Z2007" s="858">
        <f t="shared" si="561"/>
        <v>24</v>
      </c>
      <c r="AA2007" s="869">
        <f t="shared" si="564"/>
        <v>2529824474</v>
      </c>
      <c r="AB2007" s="857"/>
      <c r="AC2007" s="857"/>
      <c r="AD2007" s="855"/>
      <c r="AE2007" s="866"/>
      <c r="AG2007" s="290"/>
      <c r="AH2007" s="25"/>
    </row>
    <row r="2008" spans="1:34" ht="120">
      <c r="A2008" s="870"/>
      <c r="B2008" s="871"/>
      <c r="C2008" s="872" t="s">
        <v>2333</v>
      </c>
      <c r="D2008" s="873" t="s">
        <v>343</v>
      </c>
      <c r="E2008" s="874">
        <v>12</v>
      </c>
      <c r="F2008" s="874" t="s">
        <v>59</v>
      </c>
      <c r="G2008" s="875">
        <v>1765000</v>
      </c>
      <c r="H2008" s="874">
        <v>12</v>
      </c>
      <c r="I2008" s="875">
        <v>2517500</v>
      </c>
      <c r="J2008" s="874">
        <v>12</v>
      </c>
      <c r="K2008" s="875">
        <v>1859000</v>
      </c>
      <c r="L2008" s="876">
        <v>3</v>
      </c>
      <c r="M2008" s="875">
        <v>0</v>
      </c>
      <c r="N2008" s="877">
        <v>3</v>
      </c>
      <c r="O2008" s="875">
        <v>900000</v>
      </c>
      <c r="P2008" s="877">
        <v>3</v>
      </c>
      <c r="Q2008" s="875">
        <v>0</v>
      </c>
      <c r="R2008" s="877">
        <v>3</v>
      </c>
      <c r="S2008" s="875">
        <v>0</v>
      </c>
      <c r="T2008" s="878">
        <f t="shared" si="562"/>
        <v>12</v>
      </c>
      <c r="U2008" s="878">
        <f t="shared" si="560"/>
        <v>100</v>
      </c>
      <c r="V2008" s="878" t="s">
        <v>58</v>
      </c>
      <c r="W2008" s="879">
        <f t="shared" si="565"/>
        <v>900000</v>
      </c>
      <c r="X2008" s="880">
        <f t="shared" si="563"/>
        <v>48.413125336202263</v>
      </c>
      <c r="Y2008" s="880" t="s">
        <v>58</v>
      </c>
      <c r="Z2008" s="878">
        <f t="shared" si="561"/>
        <v>24</v>
      </c>
      <c r="AA2008" s="879">
        <f t="shared" si="564"/>
        <v>3417500</v>
      </c>
      <c r="AB2008" s="877"/>
      <c r="AC2008" s="877"/>
      <c r="AD2008" s="874"/>
      <c r="AE2008" s="866"/>
      <c r="AG2008" s="290"/>
      <c r="AH2008" s="25"/>
    </row>
    <row r="2009" spans="1:34" ht="126.75" customHeight="1">
      <c r="A2009" s="870"/>
      <c r="B2009" s="871"/>
      <c r="C2009" s="872" t="s">
        <v>285</v>
      </c>
      <c r="D2009" s="873" t="s">
        <v>960</v>
      </c>
      <c r="E2009" s="874">
        <v>12</v>
      </c>
      <c r="F2009" s="874" t="s">
        <v>59</v>
      </c>
      <c r="G2009" s="875">
        <v>97893000</v>
      </c>
      <c r="H2009" s="874">
        <v>12</v>
      </c>
      <c r="I2009" s="875">
        <v>147232750</v>
      </c>
      <c r="J2009" s="874">
        <v>12</v>
      </c>
      <c r="K2009" s="875">
        <v>363750600</v>
      </c>
      <c r="L2009" s="876">
        <v>3</v>
      </c>
      <c r="M2009" s="875">
        <v>11480000</v>
      </c>
      <c r="N2009" s="877">
        <v>3</v>
      </c>
      <c r="O2009" s="875">
        <v>93244375</v>
      </c>
      <c r="P2009" s="877">
        <v>3</v>
      </c>
      <c r="Q2009" s="875">
        <v>5920000</v>
      </c>
      <c r="R2009" s="877">
        <v>3</v>
      </c>
      <c r="S2009" s="875">
        <v>225360000</v>
      </c>
      <c r="T2009" s="878">
        <f t="shared" si="562"/>
        <v>12</v>
      </c>
      <c r="U2009" s="878">
        <f t="shared" si="560"/>
        <v>100</v>
      </c>
      <c r="V2009" s="878" t="s">
        <v>58</v>
      </c>
      <c r="W2009" s="879">
        <f t="shared" si="565"/>
        <v>336004375</v>
      </c>
      <c r="X2009" s="880">
        <f t="shared" si="563"/>
        <v>92.372184403269713</v>
      </c>
      <c r="Y2009" s="880" t="s">
        <v>58</v>
      </c>
      <c r="Z2009" s="878">
        <f t="shared" si="561"/>
        <v>24</v>
      </c>
      <c r="AA2009" s="879">
        <f t="shared" si="564"/>
        <v>483237125</v>
      </c>
      <c r="AB2009" s="877"/>
      <c r="AC2009" s="877"/>
      <c r="AD2009" s="874"/>
      <c r="AE2009" s="866"/>
      <c r="AH2009" s="25"/>
    </row>
    <row r="2010" spans="1:34" ht="171" customHeight="1">
      <c r="A2010" s="870"/>
      <c r="B2010" s="871"/>
      <c r="C2010" s="872" t="s">
        <v>287</v>
      </c>
      <c r="D2010" s="873" t="s">
        <v>218</v>
      </c>
      <c r="E2010" s="874">
        <v>12</v>
      </c>
      <c r="F2010" s="874" t="s">
        <v>59</v>
      </c>
      <c r="G2010" s="875">
        <v>47027000</v>
      </c>
      <c r="H2010" s="874">
        <v>12</v>
      </c>
      <c r="I2010" s="875">
        <v>19922000</v>
      </c>
      <c r="J2010" s="874">
        <v>12</v>
      </c>
      <c r="K2010" s="875">
        <v>31792500</v>
      </c>
      <c r="L2010" s="876">
        <v>3</v>
      </c>
      <c r="M2010" s="875">
        <v>2025000</v>
      </c>
      <c r="N2010" s="877">
        <v>3</v>
      </c>
      <c r="O2010" s="875">
        <v>4800000</v>
      </c>
      <c r="P2010" s="877">
        <v>3</v>
      </c>
      <c r="Q2010" s="875">
        <v>1425000</v>
      </c>
      <c r="R2010" s="877">
        <v>3</v>
      </c>
      <c r="S2010" s="875">
        <v>14837500</v>
      </c>
      <c r="T2010" s="878">
        <f t="shared" si="562"/>
        <v>12</v>
      </c>
      <c r="U2010" s="878">
        <f t="shared" si="560"/>
        <v>100</v>
      </c>
      <c r="V2010" s="878" t="s">
        <v>58</v>
      </c>
      <c r="W2010" s="879">
        <f t="shared" si="565"/>
        <v>23087500</v>
      </c>
      <c r="X2010" s="880">
        <f t="shared" si="563"/>
        <v>72.619328457969644</v>
      </c>
      <c r="Y2010" s="880" t="s">
        <v>58</v>
      </c>
      <c r="Z2010" s="878">
        <f t="shared" si="561"/>
        <v>24</v>
      </c>
      <c r="AA2010" s="879">
        <f t="shared" si="564"/>
        <v>43009500</v>
      </c>
      <c r="AB2010" s="877"/>
      <c r="AC2010" s="877"/>
      <c r="AD2010" s="874"/>
      <c r="AE2010" s="866"/>
      <c r="AG2010" s="290"/>
      <c r="AH2010" s="25"/>
    </row>
    <row r="2011" spans="1:34" ht="90">
      <c r="A2011" s="870"/>
      <c r="B2011" s="871"/>
      <c r="C2011" s="872" t="s">
        <v>286</v>
      </c>
      <c r="D2011" s="873" t="s">
        <v>2334</v>
      </c>
      <c r="E2011" s="874">
        <v>12</v>
      </c>
      <c r="F2011" s="874" t="s">
        <v>59</v>
      </c>
      <c r="G2011" s="875">
        <v>83423000</v>
      </c>
      <c r="H2011" s="874">
        <v>12</v>
      </c>
      <c r="I2011" s="875">
        <v>89025000</v>
      </c>
      <c r="J2011" s="874">
        <v>12</v>
      </c>
      <c r="K2011" s="875">
        <v>84174750</v>
      </c>
      <c r="L2011" s="876">
        <v>3</v>
      </c>
      <c r="M2011" s="875">
        <v>0</v>
      </c>
      <c r="N2011" s="877">
        <v>3</v>
      </c>
      <c r="O2011" s="875">
        <v>16487500</v>
      </c>
      <c r="P2011" s="877">
        <v>3</v>
      </c>
      <c r="Q2011" s="875">
        <v>23025000</v>
      </c>
      <c r="R2011" s="877">
        <v>3</v>
      </c>
      <c r="S2011" s="875">
        <v>30929250</v>
      </c>
      <c r="T2011" s="878">
        <f t="shared" si="562"/>
        <v>12</v>
      </c>
      <c r="U2011" s="878">
        <f t="shared" si="560"/>
        <v>100</v>
      </c>
      <c r="V2011" s="878" t="s">
        <v>58</v>
      </c>
      <c r="W2011" s="879">
        <f t="shared" si="565"/>
        <v>70441750</v>
      </c>
      <c r="X2011" s="880">
        <f t="shared" si="563"/>
        <v>83.685131229970992</v>
      </c>
      <c r="Y2011" s="880" t="s">
        <v>58</v>
      </c>
      <c r="Z2011" s="878">
        <f t="shared" si="561"/>
        <v>24</v>
      </c>
      <c r="AA2011" s="879">
        <f t="shared" si="564"/>
        <v>159466750</v>
      </c>
      <c r="AB2011" s="877"/>
      <c r="AC2011" s="877"/>
      <c r="AD2011" s="874"/>
      <c r="AE2011" s="866"/>
      <c r="AG2011" s="290"/>
      <c r="AH2011" s="25"/>
    </row>
    <row r="2012" spans="1:34" ht="135">
      <c r="A2012" s="870"/>
      <c r="B2012" s="871"/>
      <c r="C2012" s="872" t="s">
        <v>2335</v>
      </c>
      <c r="D2012" s="873" t="s">
        <v>1179</v>
      </c>
      <c r="E2012" s="874">
        <v>12</v>
      </c>
      <c r="F2012" s="874" t="s">
        <v>55</v>
      </c>
      <c r="G2012" s="875">
        <v>5932800</v>
      </c>
      <c r="H2012" s="874">
        <v>12</v>
      </c>
      <c r="I2012" s="875">
        <v>5760000</v>
      </c>
      <c r="J2012" s="874">
        <v>12</v>
      </c>
      <c r="K2012" s="875">
        <v>5438400</v>
      </c>
      <c r="L2012" s="876">
        <v>3</v>
      </c>
      <c r="M2012" s="875">
        <v>960000</v>
      </c>
      <c r="N2012" s="877">
        <v>3</v>
      </c>
      <c r="O2012" s="875">
        <v>1440000</v>
      </c>
      <c r="P2012" s="877">
        <v>3</v>
      </c>
      <c r="Q2012" s="875">
        <v>1440000</v>
      </c>
      <c r="R2012" s="877">
        <v>3</v>
      </c>
      <c r="S2012" s="875">
        <v>1598400</v>
      </c>
      <c r="T2012" s="878">
        <f t="shared" si="562"/>
        <v>12</v>
      </c>
      <c r="U2012" s="878">
        <f t="shared" si="560"/>
        <v>100</v>
      </c>
      <c r="V2012" s="878" t="s">
        <v>58</v>
      </c>
      <c r="W2012" s="879">
        <f t="shared" si="565"/>
        <v>5438400</v>
      </c>
      <c r="X2012" s="880">
        <f t="shared" si="563"/>
        <v>100</v>
      </c>
      <c r="Y2012" s="880" t="s">
        <v>58</v>
      </c>
      <c r="Z2012" s="878">
        <f t="shared" si="561"/>
        <v>24</v>
      </c>
      <c r="AA2012" s="879">
        <f t="shared" si="564"/>
        <v>11198400</v>
      </c>
      <c r="AB2012" s="877"/>
      <c r="AC2012" s="877"/>
      <c r="AD2012" s="874"/>
      <c r="AE2012" s="866"/>
      <c r="AG2012" s="290"/>
      <c r="AH2012" s="25"/>
    </row>
    <row r="2013" spans="1:34" ht="168.75" customHeight="1">
      <c r="A2013" s="870"/>
      <c r="B2013" s="871"/>
      <c r="C2013" s="872" t="s">
        <v>77</v>
      </c>
      <c r="D2013" s="873" t="s">
        <v>220</v>
      </c>
      <c r="E2013" s="874">
        <v>12</v>
      </c>
      <c r="F2013" s="874" t="s">
        <v>173</v>
      </c>
      <c r="G2013" s="875">
        <v>214000000</v>
      </c>
      <c r="H2013" s="874">
        <v>12</v>
      </c>
      <c r="I2013" s="875">
        <v>201750550</v>
      </c>
      <c r="J2013" s="874">
        <v>12</v>
      </c>
      <c r="K2013" s="875">
        <v>1663000000</v>
      </c>
      <c r="L2013" s="876">
        <v>3</v>
      </c>
      <c r="M2013" s="875">
        <v>40628400</v>
      </c>
      <c r="N2013" s="877">
        <v>3</v>
      </c>
      <c r="O2013" s="875">
        <v>48561052</v>
      </c>
      <c r="P2013" s="877">
        <v>3</v>
      </c>
      <c r="Q2013" s="875">
        <v>41118364</v>
      </c>
      <c r="R2013" s="877">
        <v>3</v>
      </c>
      <c r="S2013" s="875">
        <v>1497436833</v>
      </c>
      <c r="T2013" s="878">
        <f t="shared" si="562"/>
        <v>12</v>
      </c>
      <c r="U2013" s="878">
        <f t="shared" si="560"/>
        <v>100</v>
      </c>
      <c r="V2013" s="878" t="s">
        <v>58</v>
      </c>
      <c r="W2013" s="879">
        <f t="shared" si="565"/>
        <v>1627744649</v>
      </c>
      <c r="X2013" s="880">
        <f t="shared" si="563"/>
        <v>97.880014972940472</v>
      </c>
      <c r="Y2013" s="880" t="s">
        <v>58</v>
      </c>
      <c r="Z2013" s="878">
        <f t="shared" si="561"/>
        <v>24</v>
      </c>
      <c r="AA2013" s="879">
        <f t="shared" si="564"/>
        <v>1829495199</v>
      </c>
      <c r="AB2013" s="877"/>
      <c r="AC2013" s="877"/>
      <c r="AD2013" s="874"/>
      <c r="AE2013" s="866"/>
      <c r="AH2013" s="25"/>
    </row>
    <row r="2014" spans="1:34" ht="198.75" customHeight="1">
      <c r="A2014" s="851"/>
      <c r="B2014" s="852" t="s">
        <v>1599</v>
      </c>
      <c r="C2014" s="881" t="s">
        <v>78</v>
      </c>
      <c r="D2014" s="854" t="s">
        <v>1281</v>
      </c>
      <c r="E2014" s="855" t="s">
        <v>449</v>
      </c>
      <c r="F2014" s="855" t="s">
        <v>173</v>
      </c>
      <c r="G2014" s="882">
        <v>0</v>
      </c>
      <c r="H2014" s="855">
        <v>12</v>
      </c>
      <c r="I2014" s="882">
        <f>I2015</f>
        <v>195180000</v>
      </c>
      <c r="J2014" s="855" t="s">
        <v>449</v>
      </c>
      <c r="K2014" s="882">
        <v>0</v>
      </c>
      <c r="L2014" s="868" t="s">
        <v>449</v>
      </c>
      <c r="M2014" s="882">
        <v>0</v>
      </c>
      <c r="N2014" s="857" t="s">
        <v>449</v>
      </c>
      <c r="O2014" s="882">
        <v>0</v>
      </c>
      <c r="P2014" s="857" t="s">
        <v>449</v>
      </c>
      <c r="Q2014" s="882">
        <v>0</v>
      </c>
      <c r="R2014" s="857" t="s">
        <v>449</v>
      </c>
      <c r="S2014" s="882">
        <v>0</v>
      </c>
      <c r="T2014" s="861">
        <f t="shared" si="562"/>
        <v>0</v>
      </c>
      <c r="U2014" s="861" t="s">
        <v>449</v>
      </c>
      <c r="V2014" s="861" t="s">
        <v>58</v>
      </c>
      <c r="W2014" s="869">
        <f>W2015</f>
        <v>0</v>
      </c>
      <c r="X2014" s="861"/>
      <c r="Y2014" s="861" t="s">
        <v>58</v>
      </c>
      <c r="Z2014" s="858">
        <f t="shared" si="561"/>
        <v>12</v>
      </c>
      <c r="AA2014" s="869">
        <f t="shared" si="564"/>
        <v>195180000</v>
      </c>
      <c r="AB2014" s="857"/>
      <c r="AC2014" s="857"/>
      <c r="AD2014" s="855"/>
      <c r="AE2014" s="866"/>
      <c r="AH2014" s="25"/>
    </row>
    <row r="2015" spans="1:34" ht="183.75" customHeight="1">
      <c r="A2015" s="870"/>
      <c r="B2015" s="871"/>
      <c r="C2015" s="871" t="s">
        <v>1283</v>
      </c>
      <c r="D2015" s="873" t="s">
        <v>2336</v>
      </c>
      <c r="E2015" s="874" t="s">
        <v>449</v>
      </c>
      <c r="F2015" s="874" t="s">
        <v>138</v>
      </c>
      <c r="G2015" s="875">
        <v>0</v>
      </c>
      <c r="H2015" s="874">
        <v>235</v>
      </c>
      <c r="I2015" s="875">
        <v>195180000</v>
      </c>
      <c r="J2015" s="874" t="s">
        <v>449</v>
      </c>
      <c r="K2015" s="875">
        <v>0</v>
      </c>
      <c r="L2015" s="876" t="s">
        <v>449</v>
      </c>
      <c r="M2015" s="875">
        <v>0</v>
      </c>
      <c r="N2015" s="877" t="s">
        <v>449</v>
      </c>
      <c r="O2015" s="875">
        <v>0</v>
      </c>
      <c r="P2015" s="877" t="s">
        <v>449</v>
      </c>
      <c r="Q2015" s="875">
        <v>0</v>
      </c>
      <c r="R2015" s="877" t="s">
        <v>449</v>
      </c>
      <c r="S2015" s="875">
        <v>0</v>
      </c>
      <c r="T2015" s="861">
        <f t="shared" si="562"/>
        <v>0</v>
      </c>
      <c r="U2015" s="861" t="s">
        <v>449</v>
      </c>
      <c r="V2015" s="861" t="s">
        <v>58</v>
      </c>
      <c r="W2015" s="869">
        <f>SUM(M2015,O2015,Q2015,S2015)</f>
        <v>0</v>
      </c>
      <c r="X2015" s="858"/>
      <c r="Y2015" s="858" t="s">
        <v>58</v>
      </c>
      <c r="Z2015" s="858">
        <f t="shared" si="561"/>
        <v>235</v>
      </c>
      <c r="AA2015" s="869">
        <f t="shared" si="564"/>
        <v>195180000</v>
      </c>
      <c r="AB2015" s="877"/>
      <c r="AC2015" s="877"/>
      <c r="AD2015" s="874"/>
      <c r="AE2015" s="866"/>
      <c r="AH2015" s="25"/>
    </row>
    <row r="2016" spans="1:34" ht="186" customHeight="1">
      <c r="A2016" s="851"/>
      <c r="B2016" s="852" t="s">
        <v>1599</v>
      </c>
      <c r="C2016" s="881" t="s">
        <v>79</v>
      </c>
      <c r="D2016" s="854" t="s">
        <v>1281</v>
      </c>
      <c r="E2016" s="855">
        <v>12</v>
      </c>
      <c r="F2016" s="855" t="s">
        <v>173</v>
      </c>
      <c r="G2016" s="867">
        <f>SUM(G2017:G2019)</f>
        <v>208020425</v>
      </c>
      <c r="H2016" s="855">
        <v>12</v>
      </c>
      <c r="I2016" s="867">
        <f>SUM(I2017:I2019)</f>
        <v>123344641</v>
      </c>
      <c r="J2016" s="855">
        <v>12</v>
      </c>
      <c r="K2016" s="867">
        <f>SUM(K2017:K2019)</f>
        <v>266036366</v>
      </c>
      <c r="L2016" s="868">
        <v>3</v>
      </c>
      <c r="M2016" s="867">
        <f>SUM(M2017:M2019)</f>
        <v>43064078</v>
      </c>
      <c r="N2016" s="857">
        <v>3</v>
      </c>
      <c r="O2016" s="867">
        <f>SUM(O2017:O2019)</f>
        <v>42817407</v>
      </c>
      <c r="P2016" s="857">
        <v>3</v>
      </c>
      <c r="Q2016" s="867">
        <f>SUM(Q2017:Q2019)</f>
        <v>44162269</v>
      </c>
      <c r="R2016" s="857">
        <v>3</v>
      </c>
      <c r="S2016" s="867">
        <f>SUM(S2017:S2019)</f>
        <v>99779357</v>
      </c>
      <c r="T2016" s="858">
        <f t="shared" si="562"/>
        <v>12</v>
      </c>
      <c r="U2016" s="858">
        <f t="shared" ref="U2016:U2055" si="566">T2016/J2016*100</f>
        <v>100</v>
      </c>
      <c r="V2016" s="858" t="s">
        <v>58</v>
      </c>
      <c r="W2016" s="867">
        <f>SUM(W2017:W2019)</f>
        <v>229823111</v>
      </c>
      <c r="X2016" s="861">
        <f t="shared" ref="X2016:X2024" si="567">W2016/K2016*100</f>
        <v>86.387855335537097</v>
      </c>
      <c r="Y2016" s="861" t="s">
        <v>58</v>
      </c>
      <c r="Z2016" s="858">
        <f t="shared" si="561"/>
        <v>24</v>
      </c>
      <c r="AA2016" s="869">
        <f t="shared" si="564"/>
        <v>353167752</v>
      </c>
      <c r="AB2016" s="857"/>
      <c r="AC2016" s="857"/>
      <c r="AD2016" s="855"/>
      <c r="AE2016" s="866"/>
      <c r="AH2016" s="25"/>
    </row>
    <row r="2017" spans="1:34" s="78" customFormat="1" ht="198" customHeight="1">
      <c r="A2017" s="870"/>
      <c r="B2017" s="871"/>
      <c r="C2017" s="872" t="s">
        <v>86</v>
      </c>
      <c r="D2017" s="873" t="s">
        <v>222</v>
      </c>
      <c r="E2017" s="874">
        <v>12</v>
      </c>
      <c r="F2017" s="874" t="s">
        <v>173</v>
      </c>
      <c r="G2017" s="875">
        <v>1500000</v>
      </c>
      <c r="H2017" s="874">
        <v>12</v>
      </c>
      <c r="I2017" s="875">
        <v>1493200</v>
      </c>
      <c r="J2017" s="874">
        <v>12</v>
      </c>
      <c r="K2017" s="875">
        <v>1500000</v>
      </c>
      <c r="L2017" s="876">
        <v>3</v>
      </c>
      <c r="M2017" s="875">
        <v>0</v>
      </c>
      <c r="N2017" s="877">
        <v>3</v>
      </c>
      <c r="O2017" s="875">
        <v>109150</v>
      </c>
      <c r="P2017" s="877">
        <v>3</v>
      </c>
      <c r="Q2017" s="875">
        <v>177500</v>
      </c>
      <c r="R2017" s="877">
        <v>3</v>
      </c>
      <c r="S2017" s="875">
        <v>78500</v>
      </c>
      <c r="T2017" s="878">
        <f t="shared" si="562"/>
        <v>12</v>
      </c>
      <c r="U2017" s="878">
        <f t="shared" si="566"/>
        <v>100</v>
      </c>
      <c r="V2017" s="878" t="s">
        <v>58</v>
      </c>
      <c r="W2017" s="879">
        <f t="shared" ref="W2017:W2027" si="568">SUM(M2017,O2017,Q2017,S2017)</f>
        <v>365150</v>
      </c>
      <c r="X2017" s="880">
        <f t="shared" si="567"/>
        <v>24.343333333333334</v>
      </c>
      <c r="Y2017" s="880" t="s">
        <v>58</v>
      </c>
      <c r="Z2017" s="878">
        <f t="shared" si="561"/>
        <v>24</v>
      </c>
      <c r="AA2017" s="879">
        <f t="shared" si="564"/>
        <v>1858350</v>
      </c>
      <c r="AB2017" s="877"/>
      <c r="AC2017" s="877"/>
      <c r="AD2017" s="874"/>
      <c r="AE2017" s="866"/>
      <c r="AH2017" s="79"/>
    </row>
    <row r="2018" spans="1:34" ht="99.75" customHeight="1">
      <c r="A2018" s="870"/>
      <c r="B2018" s="871"/>
      <c r="C2018" s="872" t="s">
        <v>357</v>
      </c>
      <c r="D2018" s="873" t="s">
        <v>223</v>
      </c>
      <c r="E2018" s="874">
        <v>12</v>
      </c>
      <c r="F2018" s="874" t="s">
        <v>173</v>
      </c>
      <c r="G2018" s="875">
        <v>92550425</v>
      </c>
      <c r="H2018" s="874">
        <v>12</v>
      </c>
      <c r="I2018" s="875">
        <v>103012341</v>
      </c>
      <c r="J2018" s="874">
        <v>12</v>
      </c>
      <c r="K2018" s="875">
        <v>162566366</v>
      </c>
      <c r="L2018" s="876">
        <v>3</v>
      </c>
      <c r="M2018" s="875">
        <v>20314078</v>
      </c>
      <c r="N2018" s="877">
        <v>3</v>
      </c>
      <c r="O2018" s="875">
        <v>18965257</v>
      </c>
      <c r="P2018" s="877">
        <v>3</v>
      </c>
      <c r="Q2018" s="875">
        <v>20984769</v>
      </c>
      <c r="R2018" s="877">
        <v>3</v>
      </c>
      <c r="S2018" s="875">
        <v>76748357</v>
      </c>
      <c r="T2018" s="878">
        <f t="shared" si="562"/>
        <v>12</v>
      </c>
      <c r="U2018" s="878">
        <f t="shared" si="566"/>
        <v>100</v>
      </c>
      <c r="V2018" s="878" t="s">
        <v>58</v>
      </c>
      <c r="W2018" s="879">
        <f t="shared" si="568"/>
        <v>137012461</v>
      </c>
      <c r="X2018" s="880">
        <f t="shared" si="567"/>
        <v>84.280939760934316</v>
      </c>
      <c r="Y2018" s="880" t="s">
        <v>58</v>
      </c>
      <c r="Z2018" s="878">
        <f t="shared" si="561"/>
        <v>24</v>
      </c>
      <c r="AA2018" s="879">
        <f t="shared" si="564"/>
        <v>240024802</v>
      </c>
      <c r="AB2018" s="877"/>
      <c r="AC2018" s="877"/>
      <c r="AD2018" s="874"/>
      <c r="AE2018" s="866"/>
      <c r="AG2018" s="290"/>
      <c r="AH2018" s="25"/>
    </row>
    <row r="2019" spans="1:34" ht="99.75" customHeight="1">
      <c r="A2019" s="870"/>
      <c r="B2019" s="871"/>
      <c r="C2019" s="872" t="s">
        <v>80</v>
      </c>
      <c r="D2019" s="873" t="s">
        <v>2121</v>
      </c>
      <c r="E2019" s="874">
        <v>12</v>
      </c>
      <c r="F2019" s="874" t="s">
        <v>173</v>
      </c>
      <c r="G2019" s="875">
        <v>113970000</v>
      </c>
      <c r="H2019" s="874">
        <v>12</v>
      </c>
      <c r="I2019" s="875">
        <v>18839100</v>
      </c>
      <c r="J2019" s="874">
        <v>12</v>
      </c>
      <c r="K2019" s="875">
        <v>101970000</v>
      </c>
      <c r="L2019" s="876">
        <v>3</v>
      </c>
      <c r="M2019" s="875">
        <v>22750000</v>
      </c>
      <c r="N2019" s="877">
        <v>3</v>
      </c>
      <c r="O2019" s="875">
        <v>23743000</v>
      </c>
      <c r="P2019" s="877">
        <v>3</v>
      </c>
      <c r="Q2019" s="875">
        <v>23000000</v>
      </c>
      <c r="R2019" s="877">
        <v>3</v>
      </c>
      <c r="S2019" s="875">
        <v>22952500</v>
      </c>
      <c r="T2019" s="878">
        <f t="shared" si="562"/>
        <v>12</v>
      </c>
      <c r="U2019" s="878">
        <f t="shared" si="566"/>
        <v>100</v>
      </c>
      <c r="V2019" s="878" t="s">
        <v>58</v>
      </c>
      <c r="W2019" s="879">
        <f t="shared" si="568"/>
        <v>92445500</v>
      </c>
      <c r="X2019" s="880">
        <f t="shared" si="567"/>
        <v>90.659507698342651</v>
      </c>
      <c r="Y2019" s="880" t="s">
        <v>58</v>
      </c>
      <c r="Z2019" s="878">
        <f t="shared" si="561"/>
        <v>24</v>
      </c>
      <c r="AA2019" s="879">
        <f t="shared" si="564"/>
        <v>111284600</v>
      </c>
      <c r="AB2019" s="877"/>
      <c r="AC2019" s="877"/>
      <c r="AD2019" s="874"/>
      <c r="AE2019" s="866"/>
      <c r="AG2019" s="290"/>
      <c r="AH2019" s="25"/>
    </row>
    <row r="2020" spans="1:34" ht="110.25">
      <c r="A2020" s="851"/>
      <c r="B2020" s="852" t="s">
        <v>1599</v>
      </c>
      <c r="C2020" s="881" t="s">
        <v>1181</v>
      </c>
      <c r="D2020" s="854" t="s">
        <v>1281</v>
      </c>
      <c r="E2020" s="855">
        <v>12</v>
      </c>
      <c r="F2020" s="855" t="s">
        <v>173</v>
      </c>
      <c r="G2020" s="867">
        <f>SUM(G2021:G2023)</f>
        <v>63048100</v>
      </c>
      <c r="H2020" s="855">
        <v>12</v>
      </c>
      <c r="I2020" s="867">
        <f>SUM(I2021:I2023)</f>
        <v>500807300</v>
      </c>
      <c r="J2020" s="855">
        <v>12</v>
      </c>
      <c r="K2020" s="867">
        <f>SUM(K2021:K2023)</f>
        <v>344073300</v>
      </c>
      <c r="L2020" s="868">
        <v>3</v>
      </c>
      <c r="M2020" s="867">
        <f>SUM(M2021:M2023)</f>
        <v>136000</v>
      </c>
      <c r="N2020" s="857">
        <v>3</v>
      </c>
      <c r="O2020" s="867">
        <f>SUM(O2021:O2023)</f>
        <v>184406100</v>
      </c>
      <c r="P2020" s="857">
        <v>3</v>
      </c>
      <c r="Q2020" s="867">
        <f>SUM(Q2021:Q2023)</f>
        <v>11560000</v>
      </c>
      <c r="R2020" s="857">
        <v>3</v>
      </c>
      <c r="S2020" s="867">
        <f>SUM(S2021:S2023)</f>
        <v>123476200</v>
      </c>
      <c r="T2020" s="858">
        <f t="shared" si="562"/>
        <v>12</v>
      </c>
      <c r="U2020" s="858">
        <f t="shared" si="566"/>
        <v>100</v>
      </c>
      <c r="V2020" s="858" t="s">
        <v>58</v>
      </c>
      <c r="W2020" s="869">
        <f t="shared" si="568"/>
        <v>319578300</v>
      </c>
      <c r="X2020" s="861">
        <f t="shared" si="567"/>
        <v>92.880877417689774</v>
      </c>
      <c r="Y2020" s="861" t="s">
        <v>58</v>
      </c>
      <c r="Z2020" s="858">
        <f t="shared" si="561"/>
        <v>24</v>
      </c>
      <c r="AA2020" s="869">
        <f t="shared" si="564"/>
        <v>820385600</v>
      </c>
      <c r="AB2020" s="857"/>
      <c r="AC2020" s="857"/>
      <c r="AD2020" s="855"/>
      <c r="AE2020" s="866"/>
      <c r="AG2020" s="290"/>
      <c r="AH2020" s="25"/>
    </row>
    <row r="2021" spans="1:34" ht="180">
      <c r="A2021" s="870"/>
      <c r="B2021" s="871"/>
      <c r="C2021" s="872" t="s">
        <v>2337</v>
      </c>
      <c r="D2021" s="873" t="s">
        <v>226</v>
      </c>
      <c r="E2021" s="874">
        <v>8</v>
      </c>
      <c r="F2021" s="874" t="s">
        <v>138</v>
      </c>
      <c r="G2021" s="875">
        <v>35415000</v>
      </c>
      <c r="H2021" s="874">
        <v>8</v>
      </c>
      <c r="I2021" s="875">
        <v>21276600</v>
      </c>
      <c r="J2021" s="874">
        <v>8</v>
      </c>
      <c r="K2021" s="875">
        <v>27838600</v>
      </c>
      <c r="L2021" s="876">
        <v>1</v>
      </c>
      <c r="M2021" s="875">
        <v>136000</v>
      </c>
      <c r="N2021" s="877">
        <v>1</v>
      </c>
      <c r="O2021" s="875">
        <v>4546500</v>
      </c>
      <c r="P2021" s="877">
        <v>0</v>
      </c>
      <c r="Q2021" s="875">
        <v>4460000</v>
      </c>
      <c r="R2021" s="877">
        <v>3</v>
      </c>
      <c r="S2021" s="875">
        <v>12976000</v>
      </c>
      <c r="T2021" s="878">
        <f t="shared" si="562"/>
        <v>5</v>
      </c>
      <c r="U2021" s="878">
        <f t="shared" si="566"/>
        <v>62.5</v>
      </c>
      <c r="V2021" s="878" t="s">
        <v>58</v>
      </c>
      <c r="W2021" s="879">
        <f t="shared" si="568"/>
        <v>22118500</v>
      </c>
      <c r="X2021" s="880">
        <f t="shared" si="567"/>
        <v>79.452630520212935</v>
      </c>
      <c r="Y2021" s="880" t="s">
        <v>58</v>
      </c>
      <c r="Z2021" s="878">
        <f t="shared" si="561"/>
        <v>13</v>
      </c>
      <c r="AA2021" s="879">
        <f t="shared" si="564"/>
        <v>43395100</v>
      </c>
      <c r="AB2021" s="877"/>
      <c r="AC2021" s="877"/>
      <c r="AD2021" s="874"/>
      <c r="AE2021" s="866"/>
      <c r="AG2021" s="290"/>
      <c r="AH2021" s="25"/>
    </row>
    <row r="2022" spans="1:34" ht="105">
      <c r="A2022" s="870"/>
      <c r="B2022" s="871"/>
      <c r="C2022" s="872" t="s">
        <v>83</v>
      </c>
      <c r="D2022" s="873" t="s">
        <v>227</v>
      </c>
      <c r="E2022" s="874">
        <v>1</v>
      </c>
      <c r="F2022" s="874" t="s">
        <v>138</v>
      </c>
      <c r="G2022" s="875">
        <v>0</v>
      </c>
      <c r="H2022" s="874">
        <v>2</v>
      </c>
      <c r="I2022" s="875">
        <v>460130700</v>
      </c>
      <c r="J2022" s="874">
        <v>1</v>
      </c>
      <c r="K2022" s="875">
        <v>295950000</v>
      </c>
      <c r="L2022" s="876">
        <v>0</v>
      </c>
      <c r="M2022" s="875">
        <v>0</v>
      </c>
      <c r="N2022" s="877">
        <v>1</v>
      </c>
      <c r="O2022" s="875">
        <v>179859600</v>
      </c>
      <c r="P2022" s="877">
        <v>0</v>
      </c>
      <c r="Q2022" s="875">
        <v>0</v>
      </c>
      <c r="R2022" s="877">
        <v>0</v>
      </c>
      <c r="S2022" s="875">
        <v>100700200</v>
      </c>
      <c r="T2022" s="878">
        <f t="shared" si="562"/>
        <v>1</v>
      </c>
      <c r="U2022" s="878">
        <f t="shared" si="566"/>
        <v>100</v>
      </c>
      <c r="V2022" s="878" t="s">
        <v>58</v>
      </c>
      <c r="W2022" s="879">
        <f t="shared" si="568"/>
        <v>280559800</v>
      </c>
      <c r="X2022" s="880">
        <f t="shared" si="567"/>
        <v>94.799729684068254</v>
      </c>
      <c r="Y2022" s="880" t="s">
        <v>58</v>
      </c>
      <c r="Z2022" s="878">
        <f t="shared" si="561"/>
        <v>3</v>
      </c>
      <c r="AA2022" s="879">
        <f t="shared" si="564"/>
        <v>740690500</v>
      </c>
      <c r="AB2022" s="877"/>
      <c r="AC2022" s="877"/>
      <c r="AD2022" s="874"/>
      <c r="AE2022" s="866"/>
      <c r="AG2022" s="290"/>
      <c r="AH2022" s="25"/>
    </row>
    <row r="2023" spans="1:34" ht="185.25" customHeight="1">
      <c r="A2023" s="870"/>
      <c r="B2023" s="871"/>
      <c r="C2023" s="872" t="s">
        <v>84</v>
      </c>
      <c r="D2023" s="873" t="s">
        <v>2338</v>
      </c>
      <c r="E2023" s="874">
        <v>97</v>
      </c>
      <c r="F2023" s="874" t="s">
        <v>138</v>
      </c>
      <c r="G2023" s="875">
        <v>27633100</v>
      </c>
      <c r="H2023" s="874">
        <v>102</v>
      </c>
      <c r="I2023" s="875">
        <v>19400000</v>
      </c>
      <c r="J2023" s="874">
        <v>89</v>
      </c>
      <c r="K2023" s="875">
        <v>20284700</v>
      </c>
      <c r="L2023" s="876">
        <v>0</v>
      </c>
      <c r="M2023" s="875">
        <v>0</v>
      </c>
      <c r="N2023" s="877">
        <v>0</v>
      </c>
      <c r="O2023" s="875">
        <v>0</v>
      </c>
      <c r="P2023" s="877">
        <v>23</v>
      </c>
      <c r="Q2023" s="875">
        <v>7100000</v>
      </c>
      <c r="R2023" s="877">
        <v>26</v>
      </c>
      <c r="S2023" s="875">
        <v>9800000</v>
      </c>
      <c r="T2023" s="878">
        <f t="shared" si="562"/>
        <v>49</v>
      </c>
      <c r="U2023" s="878">
        <f t="shared" si="566"/>
        <v>55.056179775280903</v>
      </c>
      <c r="V2023" s="878" t="s">
        <v>58</v>
      </c>
      <c r="W2023" s="879">
        <f t="shared" si="568"/>
        <v>16900000</v>
      </c>
      <c r="X2023" s="880">
        <f t="shared" si="567"/>
        <v>83.314024856172381</v>
      </c>
      <c r="Y2023" s="880" t="s">
        <v>58</v>
      </c>
      <c r="Z2023" s="878">
        <f t="shared" si="561"/>
        <v>151</v>
      </c>
      <c r="AA2023" s="879">
        <f t="shared" si="564"/>
        <v>36300000</v>
      </c>
      <c r="AB2023" s="877"/>
      <c r="AC2023" s="877"/>
      <c r="AD2023" s="874"/>
      <c r="AE2023" s="866"/>
      <c r="AG2023" s="290"/>
      <c r="AH2023" s="25"/>
    </row>
    <row r="2024" spans="1:34" ht="126">
      <c r="A2024" s="851"/>
      <c r="B2024" s="853" t="s">
        <v>2339</v>
      </c>
      <c r="C2024" s="853" t="s">
        <v>2340</v>
      </c>
      <c r="D2024" s="854" t="s">
        <v>2341</v>
      </c>
      <c r="E2024" s="855">
        <v>100</v>
      </c>
      <c r="F2024" s="855" t="s">
        <v>58</v>
      </c>
      <c r="G2024" s="1159">
        <f>G2027+G2033</f>
        <v>2535781500</v>
      </c>
      <c r="H2024" s="855">
        <v>100</v>
      </c>
      <c r="I2024" s="1159">
        <f>I2027+I2033</f>
        <v>1901370300</v>
      </c>
      <c r="J2024" s="855">
        <v>100</v>
      </c>
      <c r="K2024" s="1159">
        <f>K2027+K2033</f>
        <v>1564881750</v>
      </c>
      <c r="L2024" s="883">
        <f>29/29*100</f>
        <v>100</v>
      </c>
      <c r="M2024" s="1160">
        <f>M2027+M2033</f>
        <v>166152000</v>
      </c>
      <c r="N2024" s="857">
        <v>100</v>
      </c>
      <c r="O2024" s="1160">
        <f>O2027+O2033</f>
        <v>135102500</v>
      </c>
      <c r="P2024" s="857">
        <v>100</v>
      </c>
      <c r="Q2024" s="1160">
        <f>Q2027+Q2033</f>
        <v>188762431</v>
      </c>
      <c r="R2024" s="857">
        <v>100</v>
      </c>
      <c r="S2024" s="1160">
        <f>S2027+S2033</f>
        <v>650062548</v>
      </c>
      <c r="T2024" s="861">
        <f>AVERAGE(L2024,N2024,P2024,R2024)</f>
        <v>100</v>
      </c>
      <c r="U2024" s="861">
        <f t="shared" si="566"/>
        <v>100</v>
      </c>
      <c r="V2024" s="861" t="s">
        <v>58</v>
      </c>
      <c r="W2024" s="1156">
        <f t="shared" si="568"/>
        <v>1140079479</v>
      </c>
      <c r="X2024" s="1153">
        <f t="shared" si="567"/>
        <v>72.854033795205297</v>
      </c>
      <c r="Y2024" s="1153" t="s">
        <v>58</v>
      </c>
      <c r="Z2024" s="861">
        <f t="shared" si="561"/>
        <v>200</v>
      </c>
      <c r="AA2024" s="1156">
        <f t="shared" si="564"/>
        <v>3041449779</v>
      </c>
      <c r="AB2024" s="861"/>
      <c r="AC2024" s="861"/>
      <c r="AD2024" s="861"/>
      <c r="AE2024" s="862"/>
      <c r="AH2024" s="25"/>
    </row>
    <row r="2025" spans="1:34" ht="108.75" customHeight="1">
      <c r="A2025" s="851"/>
      <c r="B2025" s="853"/>
      <c r="C2025" s="853"/>
      <c r="D2025" s="854" t="s">
        <v>2342</v>
      </c>
      <c r="E2025" s="855">
        <v>100</v>
      </c>
      <c r="F2025" s="855" t="s">
        <v>58</v>
      </c>
      <c r="G2025" s="1159"/>
      <c r="H2025" s="855">
        <v>100</v>
      </c>
      <c r="I2025" s="1159"/>
      <c r="J2025" s="855">
        <v>100</v>
      </c>
      <c r="K2025" s="1159"/>
      <c r="L2025" s="883">
        <v>0</v>
      </c>
      <c r="M2025" s="1161"/>
      <c r="N2025" s="857">
        <v>80.930000000000007</v>
      </c>
      <c r="O2025" s="1161"/>
      <c r="P2025" s="857">
        <v>0</v>
      </c>
      <c r="Q2025" s="1161"/>
      <c r="R2025" s="857">
        <v>19.07</v>
      </c>
      <c r="S2025" s="1161"/>
      <c r="T2025" s="861">
        <f t="shared" si="562"/>
        <v>100</v>
      </c>
      <c r="U2025" s="861">
        <f t="shared" si="566"/>
        <v>100</v>
      </c>
      <c r="V2025" s="861" t="s">
        <v>58</v>
      </c>
      <c r="W2025" s="1157">
        <f t="shared" si="568"/>
        <v>0</v>
      </c>
      <c r="X2025" s="1154"/>
      <c r="Y2025" s="1154" t="s">
        <v>58</v>
      </c>
      <c r="Z2025" s="861">
        <f t="shared" si="561"/>
        <v>200</v>
      </c>
      <c r="AA2025" s="1157"/>
      <c r="AB2025" s="857"/>
      <c r="AC2025" s="857"/>
      <c r="AD2025" s="855"/>
      <c r="AE2025" s="866"/>
      <c r="AG2025" s="290"/>
      <c r="AH2025" s="25"/>
    </row>
    <row r="2026" spans="1:34" ht="108.75" customHeight="1">
      <c r="A2026" s="851"/>
      <c r="B2026" s="853"/>
      <c r="C2026" s="853"/>
      <c r="D2026" s="854" t="s">
        <v>2343</v>
      </c>
      <c r="E2026" s="855">
        <v>100</v>
      </c>
      <c r="F2026" s="855" t="s">
        <v>58</v>
      </c>
      <c r="G2026" s="1159"/>
      <c r="H2026" s="855">
        <v>100</v>
      </c>
      <c r="I2026" s="1159"/>
      <c r="J2026" s="855">
        <v>100</v>
      </c>
      <c r="K2026" s="1159"/>
      <c r="L2026" s="883">
        <v>0</v>
      </c>
      <c r="M2026" s="1161"/>
      <c r="N2026" s="857">
        <v>60</v>
      </c>
      <c r="O2026" s="1161"/>
      <c r="P2026" s="857">
        <v>0</v>
      </c>
      <c r="Q2026" s="1161"/>
      <c r="R2026" s="857">
        <v>0</v>
      </c>
      <c r="S2026" s="1161"/>
      <c r="T2026" s="861">
        <f t="shared" si="562"/>
        <v>60</v>
      </c>
      <c r="U2026" s="861">
        <f t="shared" si="566"/>
        <v>60</v>
      </c>
      <c r="V2026" s="861" t="s">
        <v>58</v>
      </c>
      <c r="W2026" s="1157">
        <f t="shared" si="568"/>
        <v>0</v>
      </c>
      <c r="X2026" s="1154"/>
      <c r="Y2026" s="1154" t="s">
        <v>58</v>
      </c>
      <c r="Z2026" s="861">
        <f t="shared" ref="Z2026:Z2055" si="569">SUM(H2026,T2026)</f>
        <v>160</v>
      </c>
      <c r="AA2026" s="1157"/>
      <c r="AB2026" s="857"/>
      <c r="AC2026" s="857"/>
      <c r="AD2026" s="855"/>
      <c r="AE2026" s="866"/>
      <c r="AG2026" s="290"/>
      <c r="AH2026" s="25"/>
    </row>
    <row r="2027" spans="1:34" s="78" customFormat="1" ht="201.75" customHeight="1">
      <c r="A2027" s="851"/>
      <c r="B2027" s="852" t="s">
        <v>2344</v>
      </c>
      <c r="C2027" s="852" t="s">
        <v>2345</v>
      </c>
      <c r="D2027" s="854" t="s">
        <v>2346</v>
      </c>
      <c r="E2027" s="855">
        <v>806</v>
      </c>
      <c r="F2027" s="855" t="s">
        <v>2347</v>
      </c>
      <c r="G2027" s="1166">
        <f>SUM(G2030:G2032)</f>
        <v>1953056500</v>
      </c>
      <c r="H2027" s="855">
        <v>5911</v>
      </c>
      <c r="I2027" s="1166">
        <f>SUM(I2030:I2032)</f>
        <v>1623833000</v>
      </c>
      <c r="J2027" s="855">
        <v>624</v>
      </c>
      <c r="K2027" s="1166">
        <f>SUM(K2030:K2032)</f>
        <v>1058998350</v>
      </c>
      <c r="L2027" s="855">
        <v>624</v>
      </c>
      <c r="M2027" s="1166">
        <f>SUM(M2030:M2032)</f>
        <v>40227000</v>
      </c>
      <c r="N2027" s="857">
        <v>0</v>
      </c>
      <c r="O2027" s="1166">
        <f>SUM(O2030:O2032)</f>
        <v>84852500</v>
      </c>
      <c r="P2027" s="857">
        <v>0</v>
      </c>
      <c r="Q2027" s="1166">
        <f>SUM(Q2030:Q2032)</f>
        <v>86460671</v>
      </c>
      <c r="R2027" s="857">
        <v>0</v>
      </c>
      <c r="S2027" s="1166">
        <f>SUM(S2030:S2032)</f>
        <v>578712813</v>
      </c>
      <c r="T2027" s="861">
        <f t="shared" si="562"/>
        <v>624</v>
      </c>
      <c r="U2027" s="861">
        <f t="shared" si="566"/>
        <v>100</v>
      </c>
      <c r="V2027" s="861" t="s">
        <v>58</v>
      </c>
      <c r="W2027" s="1156">
        <f t="shared" si="568"/>
        <v>790252984</v>
      </c>
      <c r="X2027" s="1153">
        <f>W2027/K2027*100</f>
        <v>74.622683217589525</v>
      </c>
      <c r="Y2027" s="1153" t="s">
        <v>58</v>
      </c>
      <c r="Z2027" s="861">
        <f t="shared" si="569"/>
        <v>6535</v>
      </c>
      <c r="AA2027" s="1156">
        <f>SUM(I2027,W2027)</f>
        <v>2414085984</v>
      </c>
      <c r="AB2027" s="857"/>
      <c r="AC2027" s="857"/>
      <c r="AD2027" s="855"/>
      <c r="AE2027" s="866"/>
      <c r="AH2027" s="79"/>
    </row>
    <row r="2028" spans="1:34" ht="133.5" customHeight="1">
      <c r="A2028" s="851"/>
      <c r="B2028" s="853"/>
      <c r="C2028" s="853"/>
      <c r="D2028" s="854" t="s">
        <v>2348</v>
      </c>
      <c r="E2028" s="855">
        <v>5</v>
      </c>
      <c r="F2028" s="855" t="s">
        <v>1376</v>
      </c>
      <c r="G2028" s="1167"/>
      <c r="H2028" s="855">
        <v>5</v>
      </c>
      <c r="I2028" s="1167"/>
      <c r="J2028" s="855">
        <v>5</v>
      </c>
      <c r="K2028" s="1167"/>
      <c r="L2028" s="868">
        <v>2</v>
      </c>
      <c r="M2028" s="1167"/>
      <c r="N2028" s="857">
        <v>1</v>
      </c>
      <c r="O2028" s="1167"/>
      <c r="P2028" s="857">
        <v>0</v>
      </c>
      <c r="Q2028" s="1167"/>
      <c r="R2028" s="857">
        <v>2</v>
      </c>
      <c r="S2028" s="1167"/>
      <c r="T2028" s="861">
        <f t="shared" si="562"/>
        <v>5</v>
      </c>
      <c r="U2028" s="861">
        <f t="shared" si="566"/>
        <v>100</v>
      </c>
      <c r="V2028" s="861" t="s">
        <v>58</v>
      </c>
      <c r="W2028" s="1157"/>
      <c r="X2028" s="1154"/>
      <c r="Y2028" s="1154" t="s">
        <v>58</v>
      </c>
      <c r="Z2028" s="861">
        <f t="shared" si="569"/>
        <v>10</v>
      </c>
      <c r="AA2028" s="1157"/>
      <c r="AB2028" s="857"/>
      <c r="AC2028" s="857"/>
      <c r="AD2028" s="855"/>
      <c r="AE2028" s="866"/>
      <c r="AH2028" s="25"/>
    </row>
    <row r="2029" spans="1:34" ht="94.5">
      <c r="A2029" s="851"/>
      <c r="B2029" s="853"/>
      <c r="C2029" s="854"/>
      <c r="D2029" s="854" t="s">
        <v>2349</v>
      </c>
      <c r="E2029" s="855">
        <v>4751</v>
      </c>
      <c r="F2029" s="855" t="s">
        <v>2350</v>
      </c>
      <c r="G2029" s="1168"/>
      <c r="H2029" s="855">
        <v>4141</v>
      </c>
      <c r="I2029" s="1168"/>
      <c r="J2029" s="855">
        <v>4751</v>
      </c>
      <c r="K2029" s="1168"/>
      <c r="L2029" s="868">
        <v>4751</v>
      </c>
      <c r="M2029" s="1168"/>
      <c r="N2029" s="857">
        <v>0</v>
      </c>
      <c r="O2029" s="1168"/>
      <c r="P2029" s="857">
        <v>0</v>
      </c>
      <c r="Q2029" s="1168"/>
      <c r="R2029" s="857">
        <v>0</v>
      </c>
      <c r="S2029" s="1168"/>
      <c r="T2029" s="861">
        <f t="shared" si="562"/>
        <v>4751</v>
      </c>
      <c r="U2029" s="861">
        <f t="shared" si="566"/>
        <v>100</v>
      </c>
      <c r="V2029" s="861" t="s">
        <v>58</v>
      </c>
      <c r="W2029" s="1158"/>
      <c r="X2029" s="1155"/>
      <c r="Y2029" s="1155" t="s">
        <v>58</v>
      </c>
      <c r="Z2029" s="861">
        <f t="shared" si="569"/>
        <v>8892</v>
      </c>
      <c r="AA2029" s="1158"/>
      <c r="AB2029" s="857"/>
      <c r="AC2029" s="857"/>
      <c r="AD2029" s="855"/>
      <c r="AE2029" s="866"/>
      <c r="AG2029" s="290"/>
      <c r="AH2029" s="25"/>
    </row>
    <row r="2030" spans="1:34" ht="195">
      <c r="A2030" s="870"/>
      <c r="B2030" s="871"/>
      <c r="C2030" s="872" t="s">
        <v>2351</v>
      </c>
      <c r="D2030" s="873" t="s">
        <v>2352</v>
      </c>
      <c r="E2030" s="874">
        <v>1</v>
      </c>
      <c r="F2030" s="874" t="s">
        <v>55</v>
      </c>
      <c r="G2030" s="875">
        <v>250595000</v>
      </c>
      <c r="H2030" s="874">
        <v>1</v>
      </c>
      <c r="I2030" s="875">
        <v>1014586900</v>
      </c>
      <c r="J2030" s="874">
        <v>1</v>
      </c>
      <c r="K2030" s="875">
        <v>113325300</v>
      </c>
      <c r="L2030" s="876">
        <v>1</v>
      </c>
      <c r="M2030" s="875">
        <v>5250000</v>
      </c>
      <c r="N2030" s="877">
        <v>0</v>
      </c>
      <c r="O2030" s="875">
        <v>0</v>
      </c>
      <c r="P2030" s="877">
        <v>0</v>
      </c>
      <c r="Q2030" s="875">
        <v>25000000</v>
      </c>
      <c r="R2030" s="877">
        <v>0</v>
      </c>
      <c r="S2030" s="875">
        <v>41234300</v>
      </c>
      <c r="T2030" s="878">
        <f t="shared" si="562"/>
        <v>1</v>
      </c>
      <c r="U2030" s="880">
        <f t="shared" si="566"/>
        <v>100</v>
      </c>
      <c r="V2030" s="880" t="s">
        <v>58</v>
      </c>
      <c r="W2030" s="879">
        <f t="shared" ref="W2030:W2036" si="570">SUM(M2030,O2030,Q2030,S2030)</f>
        <v>71484300</v>
      </c>
      <c r="X2030" s="880">
        <f t="shared" ref="X2030:X2036" si="571">W2030/K2030*100</f>
        <v>63.078853530500247</v>
      </c>
      <c r="Y2030" s="880" t="s">
        <v>58</v>
      </c>
      <c r="Z2030" s="878">
        <f t="shared" si="569"/>
        <v>2</v>
      </c>
      <c r="AA2030" s="879">
        <f t="shared" ref="AA2030:AA2036" si="572">SUM(I2030,W2030)</f>
        <v>1086071200</v>
      </c>
      <c r="AB2030" s="877"/>
      <c r="AC2030" s="877"/>
      <c r="AD2030" s="874"/>
      <c r="AE2030" s="866"/>
      <c r="AG2030" s="290"/>
      <c r="AH2030" s="25"/>
    </row>
    <row r="2031" spans="1:34" ht="75">
      <c r="A2031" s="870"/>
      <c r="B2031" s="871"/>
      <c r="C2031" s="872" t="s">
        <v>2353</v>
      </c>
      <c r="D2031" s="873" t="s">
        <v>2354</v>
      </c>
      <c r="E2031" s="874">
        <v>44</v>
      </c>
      <c r="F2031" s="874" t="s">
        <v>1091</v>
      </c>
      <c r="G2031" s="875">
        <v>1649279100</v>
      </c>
      <c r="H2031" s="874">
        <v>44</v>
      </c>
      <c r="I2031" s="875">
        <v>528463000</v>
      </c>
      <c r="J2031" s="874">
        <v>44</v>
      </c>
      <c r="K2031" s="875">
        <v>900174200</v>
      </c>
      <c r="L2031" s="876">
        <v>44</v>
      </c>
      <c r="M2031" s="875">
        <v>31602000</v>
      </c>
      <c r="N2031" s="877">
        <v>0</v>
      </c>
      <c r="O2031" s="875">
        <v>73040000</v>
      </c>
      <c r="P2031" s="877">
        <v>0</v>
      </c>
      <c r="Q2031" s="875">
        <v>52085671</v>
      </c>
      <c r="R2031" s="877">
        <v>0</v>
      </c>
      <c r="S2031" s="875">
        <v>517940763</v>
      </c>
      <c r="T2031" s="878">
        <f t="shared" si="562"/>
        <v>44</v>
      </c>
      <c r="U2031" s="880">
        <f t="shared" si="566"/>
        <v>100</v>
      </c>
      <c r="V2031" s="880" t="s">
        <v>58</v>
      </c>
      <c r="W2031" s="879">
        <f t="shared" si="570"/>
        <v>674668434</v>
      </c>
      <c r="X2031" s="880">
        <f t="shared" si="571"/>
        <v>74.948652605240184</v>
      </c>
      <c r="Y2031" s="880" t="s">
        <v>58</v>
      </c>
      <c r="Z2031" s="878">
        <f t="shared" si="569"/>
        <v>88</v>
      </c>
      <c r="AA2031" s="879">
        <f t="shared" si="572"/>
        <v>1203131434</v>
      </c>
      <c r="AB2031" s="877"/>
      <c r="AC2031" s="877"/>
      <c r="AD2031" s="874"/>
      <c r="AE2031" s="866"/>
      <c r="AG2031" s="290"/>
      <c r="AH2031" s="25"/>
    </row>
    <row r="2032" spans="1:34" ht="120">
      <c r="A2032" s="870"/>
      <c r="B2032" s="871"/>
      <c r="C2032" s="872" t="s">
        <v>2355</v>
      </c>
      <c r="D2032" s="873" t="s">
        <v>2356</v>
      </c>
      <c r="E2032" s="874">
        <v>1</v>
      </c>
      <c r="F2032" s="874" t="s">
        <v>55</v>
      </c>
      <c r="G2032" s="875">
        <v>53182400</v>
      </c>
      <c r="H2032" s="874">
        <v>12</v>
      </c>
      <c r="I2032" s="875">
        <v>80783100</v>
      </c>
      <c r="J2032" s="874">
        <v>12</v>
      </c>
      <c r="K2032" s="875">
        <v>45498850</v>
      </c>
      <c r="L2032" s="876">
        <v>3</v>
      </c>
      <c r="M2032" s="875">
        <v>3375000</v>
      </c>
      <c r="N2032" s="877">
        <v>3</v>
      </c>
      <c r="O2032" s="875">
        <v>11812500</v>
      </c>
      <c r="P2032" s="877">
        <v>3</v>
      </c>
      <c r="Q2032" s="875">
        <v>9375000</v>
      </c>
      <c r="R2032" s="877">
        <v>3</v>
      </c>
      <c r="S2032" s="875">
        <v>19537750</v>
      </c>
      <c r="T2032" s="878">
        <f t="shared" si="562"/>
        <v>12</v>
      </c>
      <c r="U2032" s="880">
        <f t="shared" si="566"/>
        <v>100</v>
      </c>
      <c r="V2032" s="880" t="s">
        <v>58</v>
      </c>
      <c r="W2032" s="879">
        <f t="shared" si="570"/>
        <v>44100250</v>
      </c>
      <c r="X2032" s="880">
        <f t="shared" si="571"/>
        <v>96.926076153573121</v>
      </c>
      <c r="Y2032" s="880" t="s">
        <v>58</v>
      </c>
      <c r="Z2032" s="878">
        <f t="shared" si="569"/>
        <v>24</v>
      </c>
      <c r="AA2032" s="879">
        <f t="shared" si="572"/>
        <v>124883350</v>
      </c>
      <c r="AB2032" s="877"/>
      <c r="AC2032" s="877"/>
      <c r="AD2032" s="874"/>
      <c r="AE2032" s="866"/>
      <c r="AG2032" s="290"/>
      <c r="AH2032" s="25"/>
    </row>
    <row r="2033" spans="1:34" s="78" customFormat="1" ht="132" customHeight="1">
      <c r="A2033" s="851"/>
      <c r="B2033" s="852" t="s">
        <v>2357</v>
      </c>
      <c r="C2033" s="881" t="s">
        <v>2358</v>
      </c>
      <c r="D2033" s="854" t="s">
        <v>2359</v>
      </c>
      <c r="E2033" s="855">
        <v>3</v>
      </c>
      <c r="F2033" s="855" t="s">
        <v>2360</v>
      </c>
      <c r="G2033" s="882">
        <f>SUM(G2034:G2035)</f>
        <v>582725000</v>
      </c>
      <c r="H2033" s="855">
        <v>0</v>
      </c>
      <c r="I2033" s="882">
        <f>SUM(I2034:I2035)</f>
        <v>277537300</v>
      </c>
      <c r="J2033" s="855">
        <v>5</v>
      </c>
      <c r="K2033" s="882">
        <f>SUM(K2034:K2035)</f>
        <v>505883400</v>
      </c>
      <c r="L2033" s="868">
        <v>0</v>
      </c>
      <c r="M2033" s="882">
        <f>SUM(M2034:M2035)</f>
        <v>125925000</v>
      </c>
      <c r="N2033" s="857">
        <v>3</v>
      </c>
      <c r="O2033" s="882">
        <f>SUM(O2034:O2035)</f>
        <v>50250000</v>
      </c>
      <c r="P2033" s="857">
        <v>0</v>
      </c>
      <c r="Q2033" s="882">
        <f>SUM(Q2034:Q2035)</f>
        <v>102301760</v>
      </c>
      <c r="R2033" s="857">
        <v>0</v>
      </c>
      <c r="S2033" s="882">
        <f>SUM(S2034:S2035)</f>
        <v>71349735</v>
      </c>
      <c r="T2033" s="858">
        <f t="shared" si="562"/>
        <v>3</v>
      </c>
      <c r="U2033" s="861">
        <f t="shared" si="566"/>
        <v>60</v>
      </c>
      <c r="V2033" s="861" t="s">
        <v>58</v>
      </c>
      <c r="W2033" s="869">
        <f t="shared" si="570"/>
        <v>349826495</v>
      </c>
      <c r="X2033" s="861">
        <f t="shared" si="571"/>
        <v>69.151605883885495</v>
      </c>
      <c r="Y2033" s="861" t="s">
        <v>58</v>
      </c>
      <c r="Z2033" s="858">
        <f t="shared" si="569"/>
        <v>3</v>
      </c>
      <c r="AA2033" s="869">
        <f t="shared" si="572"/>
        <v>627363795</v>
      </c>
      <c r="AB2033" s="857"/>
      <c r="AC2033" s="857"/>
      <c r="AD2033" s="855"/>
      <c r="AE2033" s="866"/>
      <c r="AH2033" s="79">
        <f>M2106+O2106+Q2106+S2106</f>
        <v>2680460625</v>
      </c>
    </row>
    <row r="2034" spans="1:34" s="78" customFormat="1" ht="75">
      <c r="A2034" s="870"/>
      <c r="B2034" s="871"/>
      <c r="C2034" s="872" t="s">
        <v>2361</v>
      </c>
      <c r="D2034" s="873" t="s">
        <v>2362</v>
      </c>
      <c r="E2034" s="874">
        <v>2</v>
      </c>
      <c r="F2034" s="874" t="s">
        <v>55</v>
      </c>
      <c r="G2034" s="875">
        <v>146050000</v>
      </c>
      <c r="H2034" s="874">
        <v>0</v>
      </c>
      <c r="I2034" s="875">
        <v>128005000</v>
      </c>
      <c r="J2034" s="874">
        <v>2</v>
      </c>
      <c r="K2034" s="875">
        <v>132050000</v>
      </c>
      <c r="L2034" s="876">
        <v>0</v>
      </c>
      <c r="M2034" s="875">
        <v>17500000</v>
      </c>
      <c r="N2034" s="877">
        <v>1</v>
      </c>
      <c r="O2034" s="875">
        <v>0</v>
      </c>
      <c r="P2034" s="877">
        <v>0</v>
      </c>
      <c r="Q2034" s="875">
        <v>57459260</v>
      </c>
      <c r="R2034" s="877">
        <v>1</v>
      </c>
      <c r="S2034" s="875">
        <v>39003835</v>
      </c>
      <c r="T2034" s="878">
        <f t="shared" si="562"/>
        <v>2</v>
      </c>
      <c r="U2034" s="880">
        <f t="shared" si="566"/>
        <v>100</v>
      </c>
      <c r="V2034" s="880" t="s">
        <v>58</v>
      </c>
      <c r="W2034" s="879">
        <f t="shared" si="570"/>
        <v>113963095</v>
      </c>
      <c r="X2034" s="880">
        <f t="shared" si="571"/>
        <v>86.302987504733053</v>
      </c>
      <c r="Y2034" s="880" t="s">
        <v>58</v>
      </c>
      <c r="Z2034" s="878">
        <f t="shared" si="569"/>
        <v>2</v>
      </c>
      <c r="AA2034" s="879">
        <f t="shared" si="572"/>
        <v>241968095</v>
      </c>
      <c r="AB2034" s="877"/>
      <c r="AC2034" s="877"/>
      <c r="AD2034" s="874"/>
      <c r="AE2034" s="866"/>
      <c r="AH2034" s="79"/>
    </row>
    <row r="2035" spans="1:34" ht="90">
      <c r="A2035" s="870"/>
      <c r="B2035" s="871"/>
      <c r="C2035" s="885" t="s">
        <v>2363</v>
      </c>
      <c r="D2035" s="885" t="s">
        <v>2364</v>
      </c>
      <c r="E2035" s="874">
        <v>1</v>
      </c>
      <c r="F2035" s="874" t="s">
        <v>55</v>
      </c>
      <c r="G2035" s="875">
        <v>436675000</v>
      </c>
      <c r="H2035" s="874">
        <v>0</v>
      </c>
      <c r="I2035" s="875">
        <v>149532300</v>
      </c>
      <c r="J2035" s="874">
        <v>1</v>
      </c>
      <c r="K2035" s="875">
        <v>373833400</v>
      </c>
      <c r="L2035" s="876">
        <v>1</v>
      </c>
      <c r="M2035" s="875">
        <v>108425000</v>
      </c>
      <c r="N2035" s="877">
        <v>0</v>
      </c>
      <c r="O2035" s="875">
        <v>50250000</v>
      </c>
      <c r="P2035" s="877">
        <v>0</v>
      </c>
      <c r="Q2035" s="875">
        <v>44842500</v>
      </c>
      <c r="R2035" s="877">
        <v>0</v>
      </c>
      <c r="S2035" s="875">
        <v>32345900</v>
      </c>
      <c r="T2035" s="878">
        <f t="shared" si="562"/>
        <v>1</v>
      </c>
      <c r="U2035" s="880">
        <f t="shared" si="566"/>
        <v>100</v>
      </c>
      <c r="V2035" s="880" t="s">
        <v>58</v>
      </c>
      <c r="W2035" s="879">
        <f t="shared" si="570"/>
        <v>235863400</v>
      </c>
      <c r="X2035" s="880">
        <f t="shared" si="571"/>
        <v>63.093185360109608</v>
      </c>
      <c r="Y2035" s="880" t="s">
        <v>58</v>
      </c>
      <c r="Z2035" s="878">
        <f t="shared" si="569"/>
        <v>1</v>
      </c>
      <c r="AA2035" s="879">
        <f t="shared" si="572"/>
        <v>385395700</v>
      </c>
      <c r="AB2035" s="877"/>
      <c r="AC2035" s="877"/>
      <c r="AD2035" s="874"/>
      <c r="AE2035" s="866"/>
      <c r="AH2035" s="25"/>
    </row>
    <row r="2036" spans="1:34" ht="173.25">
      <c r="A2036" s="851"/>
      <c r="B2036" s="852" t="s">
        <v>2339</v>
      </c>
      <c r="C2036" s="853" t="s">
        <v>2365</v>
      </c>
      <c r="D2036" s="854" t="s">
        <v>2366</v>
      </c>
      <c r="E2036" s="855">
        <v>100</v>
      </c>
      <c r="F2036" s="855" t="s">
        <v>58</v>
      </c>
      <c r="G2036" s="1159">
        <f>G2041+G2044</f>
        <v>3276166550</v>
      </c>
      <c r="H2036" s="886">
        <v>0.8</v>
      </c>
      <c r="I2036" s="1159">
        <f>I2041+I2044</f>
        <v>230168000</v>
      </c>
      <c r="J2036" s="855">
        <v>100</v>
      </c>
      <c r="K2036" s="1159">
        <f>K2041+K2044</f>
        <v>1065954400</v>
      </c>
      <c r="L2036" s="868">
        <v>80</v>
      </c>
      <c r="M2036" s="1160">
        <f>M2041+M2044</f>
        <v>27550000</v>
      </c>
      <c r="N2036" s="857">
        <v>80</v>
      </c>
      <c r="O2036" s="1160">
        <f>O2041+O2044</f>
        <v>113208800</v>
      </c>
      <c r="P2036" s="857">
        <v>100</v>
      </c>
      <c r="Q2036" s="1160">
        <f>Q2041+Q2044</f>
        <v>0</v>
      </c>
      <c r="R2036" s="857">
        <v>100</v>
      </c>
      <c r="S2036" s="1160">
        <f>S2041+S2044</f>
        <v>424414685</v>
      </c>
      <c r="T2036" s="861">
        <f>R2036</f>
        <v>100</v>
      </c>
      <c r="U2036" s="861">
        <f t="shared" si="566"/>
        <v>100</v>
      </c>
      <c r="V2036" s="861" t="s">
        <v>58</v>
      </c>
      <c r="W2036" s="1156">
        <f t="shared" si="570"/>
        <v>565173485</v>
      </c>
      <c r="X2036" s="1153">
        <f t="shared" si="571"/>
        <v>53.020418603272333</v>
      </c>
      <c r="Y2036" s="1153" t="s">
        <v>58</v>
      </c>
      <c r="Z2036" s="861">
        <f t="shared" si="569"/>
        <v>100.8</v>
      </c>
      <c r="AA2036" s="1156">
        <f t="shared" si="572"/>
        <v>795341485</v>
      </c>
      <c r="AB2036" s="857"/>
      <c r="AC2036" s="857"/>
      <c r="AD2036" s="855"/>
      <c r="AE2036" s="866"/>
      <c r="AH2036" s="25"/>
    </row>
    <row r="2037" spans="1:34" s="78" customFormat="1" ht="110.25">
      <c r="A2037" s="851"/>
      <c r="B2037" s="853"/>
      <c r="C2037" s="853"/>
      <c r="D2037" s="854" t="s">
        <v>2367</v>
      </c>
      <c r="E2037" s="855">
        <v>63.36</v>
      </c>
      <c r="F2037" s="855" t="s">
        <v>58</v>
      </c>
      <c r="G2037" s="1159"/>
      <c r="H2037" s="886">
        <v>0</v>
      </c>
      <c r="I2037" s="1159"/>
      <c r="J2037" s="855">
        <v>8.26</v>
      </c>
      <c r="K2037" s="1159"/>
      <c r="L2037" s="868">
        <v>0</v>
      </c>
      <c r="M2037" s="1161"/>
      <c r="N2037" s="868">
        <v>0</v>
      </c>
      <c r="O2037" s="1161"/>
      <c r="P2037" s="868">
        <v>0</v>
      </c>
      <c r="Q2037" s="1161"/>
      <c r="R2037" s="887">
        <v>8.26</v>
      </c>
      <c r="S2037" s="1161"/>
      <c r="T2037" s="861">
        <f t="shared" ref="T2037:T2040" si="573">R2037</f>
        <v>8.26</v>
      </c>
      <c r="U2037" s="861">
        <f t="shared" si="566"/>
        <v>100</v>
      </c>
      <c r="V2037" s="861" t="s">
        <v>58</v>
      </c>
      <c r="W2037" s="1157"/>
      <c r="X2037" s="1154"/>
      <c r="Y2037" s="1154" t="s">
        <v>58</v>
      </c>
      <c r="Z2037" s="861">
        <f t="shared" si="569"/>
        <v>8.26</v>
      </c>
      <c r="AA2037" s="1157"/>
      <c r="AB2037" s="857"/>
      <c r="AC2037" s="857"/>
      <c r="AD2037" s="855"/>
      <c r="AE2037" s="866"/>
      <c r="AH2037" s="79">
        <f>M2110+O2110+Q2110+S2110</f>
        <v>2126869519</v>
      </c>
    </row>
    <row r="2038" spans="1:34" ht="94.5">
      <c r="A2038" s="851"/>
      <c r="B2038" s="853"/>
      <c r="C2038" s="853"/>
      <c r="D2038" s="854" t="s">
        <v>2368</v>
      </c>
      <c r="E2038" s="855">
        <v>100</v>
      </c>
      <c r="F2038" s="855" t="s">
        <v>58</v>
      </c>
      <c r="G2038" s="1159"/>
      <c r="H2038" s="886">
        <v>99.83</v>
      </c>
      <c r="I2038" s="1159"/>
      <c r="J2038" s="855">
        <v>100</v>
      </c>
      <c r="K2038" s="1159"/>
      <c r="L2038" s="868">
        <v>99.83</v>
      </c>
      <c r="M2038" s="1161"/>
      <c r="N2038" s="857">
        <v>0</v>
      </c>
      <c r="O2038" s="1161"/>
      <c r="P2038" s="857">
        <v>0</v>
      </c>
      <c r="Q2038" s="1161"/>
      <c r="R2038" s="857">
        <v>0</v>
      </c>
      <c r="S2038" s="1161"/>
      <c r="T2038" s="861">
        <f>L2038+N2038+P2038+R2038</f>
        <v>99.83</v>
      </c>
      <c r="U2038" s="861">
        <f t="shared" si="566"/>
        <v>99.83</v>
      </c>
      <c r="V2038" s="861" t="s">
        <v>58</v>
      </c>
      <c r="W2038" s="1157">
        <f>SUM(M2038,O2038,Q2038,S2038)</f>
        <v>0</v>
      </c>
      <c r="X2038" s="1154"/>
      <c r="Y2038" s="1154" t="s">
        <v>58</v>
      </c>
      <c r="Z2038" s="861">
        <f t="shared" si="569"/>
        <v>199.66</v>
      </c>
      <c r="AA2038" s="1157"/>
      <c r="AB2038" s="857"/>
      <c r="AC2038" s="857"/>
      <c r="AD2038" s="855"/>
      <c r="AE2038" s="866"/>
      <c r="AH2038" s="25">
        <f>M2111+O2111+Q2111+S2111</f>
        <v>2122369919</v>
      </c>
    </row>
    <row r="2039" spans="1:34" ht="78.75">
      <c r="A2039" s="851"/>
      <c r="B2039" s="853"/>
      <c r="C2039" s="853"/>
      <c r="D2039" s="854" t="s">
        <v>2369</v>
      </c>
      <c r="E2039" s="855">
        <v>100</v>
      </c>
      <c r="F2039" s="855" t="s">
        <v>58</v>
      </c>
      <c r="G2039" s="1159"/>
      <c r="H2039" s="855">
        <v>100</v>
      </c>
      <c r="I2039" s="1159"/>
      <c r="J2039" s="855">
        <v>100</v>
      </c>
      <c r="K2039" s="1159"/>
      <c r="L2039" s="868">
        <v>100</v>
      </c>
      <c r="M2039" s="1161"/>
      <c r="N2039" s="857">
        <v>0</v>
      </c>
      <c r="O2039" s="1161"/>
      <c r="P2039" s="857">
        <v>0</v>
      </c>
      <c r="Q2039" s="1161"/>
      <c r="R2039" s="857">
        <v>0</v>
      </c>
      <c r="S2039" s="1161"/>
      <c r="T2039" s="861">
        <f>L2039+N2039+P2039+R2039</f>
        <v>100</v>
      </c>
      <c r="U2039" s="861">
        <f t="shared" si="566"/>
        <v>100</v>
      </c>
      <c r="V2039" s="861" t="s">
        <v>58</v>
      </c>
      <c r="W2039" s="1157"/>
      <c r="X2039" s="1154"/>
      <c r="Y2039" s="1154" t="s">
        <v>58</v>
      </c>
      <c r="Z2039" s="861">
        <f t="shared" si="569"/>
        <v>200</v>
      </c>
      <c r="AA2039" s="1157"/>
      <c r="AB2039" s="857"/>
      <c r="AC2039" s="857"/>
      <c r="AD2039" s="855"/>
      <c r="AE2039" s="866"/>
      <c r="AH2039" s="25">
        <f>M2112+O2112+Q2112+S2112</f>
        <v>1500000</v>
      </c>
    </row>
    <row r="2040" spans="1:34" ht="141.75">
      <c r="A2040" s="851"/>
      <c r="B2040" s="853"/>
      <c r="C2040" s="853"/>
      <c r="D2040" s="854" t="s">
        <v>2370</v>
      </c>
      <c r="E2040" s="855">
        <v>100</v>
      </c>
      <c r="F2040" s="855" t="s">
        <v>58</v>
      </c>
      <c r="G2040" s="1159"/>
      <c r="H2040" s="886">
        <v>99.83</v>
      </c>
      <c r="I2040" s="1159"/>
      <c r="J2040" s="855">
        <v>100</v>
      </c>
      <c r="K2040" s="1159"/>
      <c r="L2040" s="868">
        <v>100</v>
      </c>
      <c r="M2040" s="1161"/>
      <c r="N2040" s="868">
        <v>100</v>
      </c>
      <c r="O2040" s="1161"/>
      <c r="P2040" s="857">
        <v>99.98</v>
      </c>
      <c r="Q2040" s="1161"/>
      <c r="R2040" s="857">
        <v>99.96</v>
      </c>
      <c r="S2040" s="1161"/>
      <c r="T2040" s="861">
        <f t="shared" si="573"/>
        <v>99.96</v>
      </c>
      <c r="U2040" s="861">
        <f t="shared" si="566"/>
        <v>99.96</v>
      </c>
      <c r="V2040" s="861" t="s">
        <v>58</v>
      </c>
      <c r="W2040" s="1157"/>
      <c r="X2040" s="1154"/>
      <c r="Y2040" s="1154" t="s">
        <v>58</v>
      </c>
      <c r="Z2040" s="861">
        <f t="shared" si="569"/>
        <v>199.79</v>
      </c>
      <c r="AA2040" s="1157"/>
      <c r="AB2040" s="857"/>
      <c r="AC2040" s="857"/>
      <c r="AD2040" s="855"/>
      <c r="AE2040" s="866"/>
      <c r="AH2040" s="25">
        <f>M2113+O2113+Q2113+S2113</f>
        <v>1499800</v>
      </c>
    </row>
    <row r="2041" spans="1:34" ht="94.5">
      <c r="A2041" s="851"/>
      <c r="B2041" s="852" t="s">
        <v>2371</v>
      </c>
      <c r="C2041" s="852" t="s">
        <v>2372</v>
      </c>
      <c r="D2041" s="854" t="s">
        <v>2373</v>
      </c>
      <c r="E2041" s="855">
        <v>200</v>
      </c>
      <c r="F2041" s="855" t="s">
        <v>2374</v>
      </c>
      <c r="G2041" s="882">
        <f>SUM(G2042:G2043)</f>
        <v>2920950000</v>
      </c>
      <c r="H2041" s="855">
        <v>0</v>
      </c>
      <c r="I2041" s="882">
        <f>SUM(I2042:I2043)</f>
        <v>101470000</v>
      </c>
      <c r="J2041" s="855">
        <v>30</v>
      </c>
      <c r="K2041" s="882">
        <f>SUM(K2042:K2043)</f>
        <v>898150000</v>
      </c>
      <c r="L2041" s="868">
        <v>0</v>
      </c>
      <c r="M2041" s="884">
        <f>SUM(M2042:M2043)</f>
        <v>19050000</v>
      </c>
      <c r="N2041" s="857">
        <v>0</v>
      </c>
      <c r="O2041" s="884">
        <f>SUM(O2042:O2043)</f>
        <v>76633800</v>
      </c>
      <c r="P2041" s="857">
        <v>0</v>
      </c>
      <c r="Q2041" s="884">
        <f>SUM(Q2042:Q2043)</f>
        <v>0</v>
      </c>
      <c r="R2041" s="857">
        <v>30</v>
      </c>
      <c r="S2041" s="884">
        <f>SUM(S2042:S2043)</f>
        <v>374312885</v>
      </c>
      <c r="T2041" s="861">
        <f t="shared" si="562"/>
        <v>30</v>
      </c>
      <c r="U2041" s="861">
        <f t="shared" si="566"/>
        <v>100</v>
      </c>
      <c r="V2041" s="861" t="s">
        <v>58</v>
      </c>
      <c r="W2041" s="859">
        <f>SUM(M2041,O2041,Q2041,S2041)</f>
        <v>469996685</v>
      </c>
      <c r="X2041" s="860">
        <f>W2041/K2041*100</f>
        <v>52.329419918721818</v>
      </c>
      <c r="Y2041" s="860" t="s">
        <v>58</v>
      </c>
      <c r="Z2041" s="861">
        <f t="shared" si="569"/>
        <v>30</v>
      </c>
      <c r="AA2041" s="859">
        <f>SUM(I2041,W2041)</f>
        <v>571466685</v>
      </c>
      <c r="AB2041" s="857"/>
      <c r="AC2041" s="857"/>
      <c r="AD2041" s="855"/>
      <c r="AE2041" s="888"/>
      <c r="AH2041" s="25">
        <f>M2114+O2114+Q2114+S2114</f>
        <v>1499800</v>
      </c>
    </row>
    <row r="2042" spans="1:34" s="78" customFormat="1" ht="60">
      <c r="A2042" s="870"/>
      <c r="B2042" s="871"/>
      <c r="C2042" s="885" t="s">
        <v>2375</v>
      </c>
      <c r="D2042" s="873" t="s">
        <v>2376</v>
      </c>
      <c r="E2042" s="874">
        <v>275</v>
      </c>
      <c r="F2042" s="874" t="s">
        <v>57</v>
      </c>
      <c r="G2042" s="875">
        <v>1470850000</v>
      </c>
      <c r="H2042" s="874">
        <v>0</v>
      </c>
      <c r="I2042" s="875">
        <v>0</v>
      </c>
      <c r="J2042" s="874">
        <v>95</v>
      </c>
      <c r="K2042" s="875">
        <v>389800000</v>
      </c>
      <c r="L2042" s="876">
        <v>28</v>
      </c>
      <c r="M2042" s="875">
        <v>19050000</v>
      </c>
      <c r="N2042" s="877">
        <v>0</v>
      </c>
      <c r="O2042" s="875">
        <v>0</v>
      </c>
      <c r="P2042" s="877">
        <v>6</v>
      </c>
      <c r="Q2042" s="875">
        <v>0</v>
      </c>
      <c r="R2042" s="877">
        <v>30</v>
      </c>
      <c r="S2042" s="875">
        <v>297314343</v>
      </c>
      <c r="T2042" s="878">
        <f t="shared" si="562"/>
        <v>64</v>
      </c>
      <c r="U2042" s="880">
        <f t="shared" si="566"/>
        <v>67.368421052631575</v>
      </c>
      <c r="V2042" s="880" t="s">
        <v>58</v>
      </c>
      <c r="W2042" s="879">
        <f>SUM(M2042,O2042,Q2042,S2042)</f>
        <v>316364343</v>
      </c>
      <c r="X2042" s="880">
        <f>W2042/K2042*100</f>
        <v>81.160683170856856</v>
      </c>
      <c r="Y2042" s="880" t="s">
        <v>58</v>
      </c>
      <c r="Z2042" s="878">
        <f t="shared" si="569"/>
        <v>64</v>
      </c>
      <c r="AA2042" s="879">
        <f>SUM(I2042,W2042)</f>
        <v>316364343</v>
      </c>
      <c r="AB2042" s="877"/>
      <c r="AC2042" s="877"/>
      <c r="AD2042" s="874"/>
      <c r="AE2042" s="866"/>
      <c r="AH2042" s="79"/>
    </row>
    <row r="2043" spans="1:34" ht="75">
      <c r="A2043" s="870"/>
      <c r="B2043" s="871"/>
      <c r="C2043" s="872" t="s">
        <v>2377</v>
      </c>
      <c r="D2043" s="873" t="s">
        <v>2378</v>
      </c>
      <c r="E2043" s="874">
        <v>20</v>
      </c>
      <c r="F2043" s="874" t="s">
        <v>2374</v>
      </c>
      <c r="G2043" s="875">
        <v>1450100000</v>
      </c>
      <c r="H2043" s="874">
        <v>82</v>
      </c>
      <c r="I2043" s="875">
        <v>101470000</v>
      </c>
      <c r="J2043" s="874">
        <v>7</v>
      </c>
      <c r="K2043" s="875">
        <v>508350000</v>
      </c>
      <c r="L2043" s="876">
        <v>2</v>
      </c>
      <c r="M2043" s="875">
        <v>0</v>
      </c>
      <c r="N2043" s="877">
        <v>0</v>
      </c>
      <c r="O2043" s="875">
        <v>76633800</v>
      </c>
      <c r="P2043" s="877">
        <v>1</v>
      </c>
      <c r="Q2043" s="875">
        <v>0</v>
      </c>
      <c r="R2043" s="877">
        <v>1</v>
      </c>
      <c r="S2043" s="875">
        <v>76998542</v>
      </c>
      <c r="T2043" s="878">
        <f t="shared" si="562"/>
        <v>4</v>
      </c>
      <c r="U2043" s="880">
        <f t="shared" si="566"/>
        <v>57.142857142857139</v>
      </c>
      <c r="V2043" s="880" t="s">
        <v>58</v>
      </c>
      <c r="W2043" s="879">
        <f>SUM(M2043,O2043,Q2043,S2043)</f>
        <v>153632342</v>
      </c>
      <c r="X2043" s="880">
        <f>W2043/K2043*100</f>
        <v>30.221764925740143</v>
      </c>
      <c r="Y2043" s="880" t="s">
        <v>58</v>
      </c>
      <c r="Z2043" s="878">
        <f t="shared" si="569"/>
        <v>86</v>
      </c>
      <c r="AA2043" s="879">
        <f>SUM(I2043,W2043)</f>
        <v>255102342</v>
      </c>
      <c r="AB2043" s="877"/>
      <c r="AC2043" s="877"/>
      <c r="AD2043" s="874"/>
      <c r="AE2043" s="866"/>
      <c r="AH2043" s="25"/>
    </row>
    <row r="2044" spans="1:34" ht="78.75">
      <c r="A2044" s="851"/>
      <c r="B2044" s="852" t="s">
        <v>2379</v>
      </c>
      <c r="C2044" s="852" t="s">
        <v>2380</v>
      </c>
      <c r="D2044" s="854" t="s">
        <v>2381</v>
      </c>
      <c r="E2044" s="855">
        <v>4751</v>
      </c>
      <c r="F2044" s="855" t="s">
        <v>2374</v>
      </c>
      <c r="G2044" s="1166">
        <f>SUM(G2046:G2048)</f>
        <v>355216550</v>
      </c>
      <c r="H2044" s="855">
        <v>4123</v>
      </c>
      <c r="I2044" s="1166">
        <f>SUM(I2046:I2048)</f>
        <v>128698000</v>
      </c>
      <c r="J2044" s="855">
        <v>4141</v>
      </c>
      <c r="K2044" s="1166">
        <f>SUM(K2046:K2048)</f>
        <v>167804400</v>
      </c>
      <c r="L2044" s="868">
        <v>4141</v>
      </c>
      <c r="M2044" s="1166">
        <f>SUM(M2046:M2048)</f>
        <v>8500000</v>
      </c>
      <c r="N2044" s="857">
        <v>0</v>
      </c>
      <c r="O2044" s="1166">
        <f>SUM(O2046:O2048)</f>
        <v>36575000</v>
      </c>
      <c r="P2044" s="857">
        <v>0</v>
      </c>
      <c r="Q2044" s="1166">
        <f>SUM(Q2046:Q2048)</f>
        <v>0</v>
      </c>
      <c r="R2044" s="857">
        <v>0</v>
      </c>
      <c r="S2044" s="1166">
        <f>SUM(S2046:S2048)</f>
        <v>50101800</v>
      </c>
      <c r="T2044" s="861">
        <f t="shared" si="562"/>
        <v>4141</v>
      </c>
      <c r="U2044" s="861">
        <f t="shared" si="566"/>
        <v>100</v>
      </c>
      <c r="V2044" s="861" t="s">
        <v>58</v>
      </c>
      <c r="W2044" s="1156">
        <f>SUM(M2044,O2044,Q2044,S2044)</f>
        <v>95176800</v>
      </c>
      <c r="X2044" s="1153">
        <f>W2044/K2044*100</f>
        <v>56.718894141035634</v>
      </c>
      <c r="Y2044" s="1153" t="s">
        <v>58</v>
      </c>
      <c r="Z2044" s="861">
        <f t="shared" si="569"/>
        <v>8264</v>
      </c>
      <c r="AA2044" s="1156">
        <f>SUM(I2044,W2044)</f>
        <v>223874800</v>
      </c>
      <c r="AB2044" s="857"/>
      <c r="AC2044" s="857"/>
      <c r="AD2044" s="855"/>
      <c r="AE2044" s="866"/>
      <c r="AH2044" s="25"/>
    </row>
    <row r="2045" spans="1:34" ht="80.25" customHeight="1">
      <c r="A2045" s="851"/>
      <c r="B2045" s="853"/>
      <c r="C2045" s="852"/>
      <c r="D2045" s="854" t="s">
        <v>2382</v>
      </c>
      <c r="E2045" s="855">
        <v>200</v>
      </c>
      <c r="F2045" s="855" t="s">
        <v>2374</v>
      </c>
      <c r="G2045" s="1168"/>
      <c r="H2045" s="855">
        <v>200</v>
      </c>
      <c r="I2045" s="1168"/>
      <c r="J2045" s="855">
        <v>200</v>
      </c>
      <c r="K2045" s="1168"/>
      <c r="L2045" s="868">
        <v>0</v>
      </c>
      <c r="M2045" s="1168"/>
      <c r="N2045" s="857">
        <v>89</v>
      </c>
      <c r="O2045" s="1168"/>
      <c r="P2045" s="857">
        <v>0</v>
      </c>
      <c r="Q2045" s="1168"/>
      <c r="R2045" s="857">
        <v>111</v>
      </c>
      <c r="S2045" s="1168"/>
      <c r="T2045" s="861">
        <f>SUM(L2045,N2045,P2045,R2045)</f>
        <v>200</v>
      </c>
      <c r="U2045" s="861">
        <f t="shared" si="566"/>
        <v>100</v>
      </c>
      <c r="V2045" s="861" t="s">
        <v>58</v>
      </c>
      <c r="W2045" s="1158"/>
      <c r="X2045" s="1155"/>
      <c r="Y2045" s="1155" t="s">
        <v>58</v>
      </c>
      <c r="Z2045" s="861">
        <f t="shared" si="569"/>
        <v>400</v>
      </c>
      <c r="AA2045" s="1158"/>
      <c r="AB2045" s="857"/>
      <c r="AC2045" s="857"/>
      <c r="AD2045" s="855"/>
      <c r="AE2045" s="866"/>
      <c r="AH2045" s="25"/>
    </row>
    <row r="2046" spans="1:34" ht="135">
      <c r="A2046" s="870"/>
      <c r="B2046" s="871"/>
      <c r="C2046" s="872" t="s">
        <v>2383</v>
      </c>
      <c r="D2046" s="873" t="s">
        <v>2384</v>
      </c>
      <c r="E2046" s="874">
        <v>3</v>
      </c>
      <c r="F2046" s="874" t="s">
        <v>55</v>
      </c>
      <c r="G2046" s="875">
        <v>48685000</v>
      </c>
      <c r="H2046" s="874">
        <v>14</v>
      </c>
      <c r="I2046" s="875">
        <v>30630000</v>
      </c>
      <c r="J2046" s="874">
        <v>14</v>
      </c>
      <c r="K2046" s="875">
        <v>41560000</v>
      </c>
      <c r="L2046" s="876">
        <v>4</v>
      </c>
      <c r="M2046" s="875">
        <v>0</v>
      </c>
      <c r="N2046" s="877">
        <v>3</v>
      </c>
      <c r="O2046" s="875">
        <v>6000000</v>
      </c>
      <c r="P2046" s="877">
        <v>3</v>
      </c>
      <c r="Q2046" s="875">
        <v>0</v>
      </c>
      <c r="R2046" s="877">
        <v>4</v>
      </c>
      <c r="S2046" s="875">
        <v>4743000</v>
      </c>
      <c r="T2046" s="878">
        <f t="shared" si="562"/>
        <v>14</v>
      </c>
      <c r="U2046" s="880">
        <f t="shared" si="566"/>
        <v>100</v>
      </c>
      <c r="V2046" s="880" t="s">
        <v>58</v>
      </c>
      <c r="W2046" s="879">
        <f t="shared" ref="W2046:W2049" si="574">SUM(M2046,O2046,Q2046,S2046)</f>
        <v>10743000</v>
      </c>
      <c r="X2046" s="880">
        <f>W2046/K2046*100</f>
        <v>25.849374398460057</v>
      </c>
      <c r="Y2046" s="880" t="s">
        <v>58</v>
      </c>
      <c r="Z2046" s="878">
        <f t="shared" si="569"/>
        <v>28</v>
      </c>
      <c r="AA2046" s="879">
        <f>SUM(I2046,W2046)</f>
        <v>41373000</v>
      </c>
      <c r="AB2046" s="877"/>
      <c r="AC2046" s="877"/>
      <c r="AD2046" s="874"/>
      <c r="AE2046" s="866"/>
      <c r="AH2046" s="25"/>
    </row>
    <row r="2047" spans="1:34" ht="75">
      <c r="A2047" s="870"/>
      <c r="B2047" s="871"/>
      <c r="C2047" s="872" t="s">
        <v>2385</v>
      </c>
      <c r="D2047" s="873" t="s">
        <v>2386</v>
      </c>
      <c r="E2047" s="874">
        <v>125</v>
      </c>
      <c r="F2047" s="874" t="s">
        <v>2374</v>
      </c>
      <c r="G2047" s="875">
        <v>178914550</v>
      </c>
      <c r="H2047" s="874">
        <v>213</v>
      </c>
      <c r="I2047" s="875">
        <v>48268000</v>
      </c>
      <c r="J2047" s="874">
        <v>80</v>
      </c>
      <c r="K2047" s="875">
        <v>28294500</v>
      </c>
      <c r="L2047" s="876">
        <v>0</v>
      </c>
      <c r="M2047" s="875">
        <v>0</v>
      </c>
      <c r="N2047" s="877">
        <v>0</v>
      </c>
      <c r="O2047" s="875">
        <v>12850000</v>
      </c>
      <c r="P2047" s="877">
        <v>0</v>
      </c>
      <c r="Q2047" s="875">
        <v>0</v>
      </c>
      <c r="R2047" s="877">
        <v>57</v>
      </c>
      <c r="S2047" s="875">
        <v>12600000</v>
      </c>
      <c r="T2047" s="878">
        <f t="shared" si="562"/>
        <v>57</v>
      </c>
      <c r="U2047" s="880">
        <f t="shared" si="566"/>
        <v>71.25</v>
      </c>
      <c r="V2047" s="880" t="s">
        <v>58</v>
      </c>
      <c r="W2047" s="879">
        <f t="shared" si="574"/>
        <v>25450000</v>
      </c>
      <c r="X2047" s="880">
        <f>W2047/K2047*100</f>
        <v>89.946809450599943</v>
      </c>
      <c r="Y2047" s="880" t="s">
        <v>58</v>
      </c>
      <c r="Z2047" s="878">
        <f t="shared" si="569"/>
        <v>270</v>
      </c>
      <c r="AA2047" s="879">
        <f>SUM(I2047,W2047)</f>
        <v>73718000</v>
      </c>
      <c r="AB2047" s="877"/>
      <c r="AC2047" s="877"/>
      <c r="AD2047" s="874"/>
      <c r="AE2047" s="866"/>
      <c r="AH2047" s="25"/>
    </row>
    <row r="2048" spans="1:34" s="78" customFormat="1" ht="75">
      <c r="A2048" s="870"/>
      <c r="B2048" s="871"/>
      <c r="C2048" s="872" t="s">
        <v>2387</v>
      </c>
      <c r="D2048" s="873" t="s">
        <v>2388</v>
      </c>
      <c r="E2048" s="874">
        <v>200</v>
      </c>
      <c r="F2048" s="874" t="s">
        <v>2374</v>
      </c>
      <c r="G2048" s="875">
        <v>127617000</v>
      </c>
      <c r="H2048" s="874">
        <v>200</v>
      </c>
      <c r="I2048" s="875">
        <v>49800000</v>
      </c>
      <c r="J2048" s="874">
        <v>200</v>
      </c>
      <c r="K2048" s="875">
        <v>97949900</v>
      </c>
      <c r="L2048" s="876">
        <v>0</v>
      </c>
      <c r="M2048" s="875">
        <v>8500000</v>
      </c>
      <c r="N2048" s="877">
        <v>89</v>
      </c>
      <c r="O2048" s="875">
        <v>17725000</v>
      </c>
      <c r="P2048" s="877">
        <v>0</v>
      </c>
      <c r="Q2048" s="875">
        <v>0</v>
      </c>
      <c r="R2048" s="877">
        <v>111</v>
      </c>
      <c r="S2048" s="875">
        <v>32758800</v>
      </c>
      <c r="T2048" s="878">
        <f t="shared" si="562"/>
        <v>200</v>
      </c>
      <c r="U2048" s="880">
        <f t="shared" si="566"/>
        <v>100</v>
      </c>
      <c r="V2048" s="880" t="s">
        <v>58</v>
      </c>
      <c r="W2048" s="879">
        <f t="shared" si="574"/>
        <v>58983800</v>
      </c>
      <c r="X2048" s="880">
        <f>W2048/K2048*100</f>
        <v>60.218336108561623</v>
      </c>
      <c r="Y2048" s="880" t="s">
        <v>58</v>
      </c>
      <c r="Z2048" s="878">
        <f t="shared" si="569"/>
        <v>400</v>
      </c>
      <c r="AA2048" s="879">
        <f>SUM(I2048,W2048)</f>
        <v>108783800</v>
      </c>
      <c r="AB2048" s="877"/>
      <c r="AC2048" s="877"/>
      <c r="AD2048" s="874"/>
      <c r="AE2048" s="866"/>
      <c r="AH2048" s="79"/>
    </row>
    <row r="2049" spans="1:34" ht="189">
      <c r="A2049" s="851"/>
      <c r="B2049" s="852" t="s">
        <v>2389</v>
      </c>
      <c r="C2049" s="852" t="s">
        <v>2390</v>
      </c>
      <c r="D2049" s="854" t="s">
        <v>2391</v>
      </c>
      <c r="E2049" s="855">
        <v>100</v>
      </c>
      <c r="F2049" s="855" t="s">
        <v>58</v>
      </c>
      <c r="G2049" s="1159">
        <f>G2051+G2053</f>
        <v>2408772000</v>
      </c>
      <c r="H2049" s="855">
        <v>72.73</v>
      </c>
      <c r="I2049" s="1159">
        <f>I2051+I2053</f>
        <v>1931375962</v>
      </c>
      <c r="J2049" s="855">
        <v>67.569999999999993</v>
      </c>
      <c r="K2049" s="1159">
        <f>K2051+K2053</f>
        <v>4287340450</v>
      </c>
      <c r="L2049" s="890">
        <v>53.86</v>
      </c>
      <c r="M2049" s="1160">
        <f>M2051+M2053</f>
        <v>68027000</v>
      </c>
      <c r="N2049" s="891">
        <v>60.69</v>
      </c>
      <c r="O2049" s="1160">
        <f>O2051+O2053</f>
        <v>1009840100</v>
      </c>
      <c r="P2049" s="891">
        <v>62.69</v>
      </c>
      <c r="Q2049" s="1160">
        <f>Q2051+Q2053</f>
        <v>1726791697</v>
      </c>
      <c r="R2049" s="891">
        <v>63.32</v>
      </c>
      <c r="S2049" s="1160">
        <f>S2051+S2053</f>
        <v>900854743</v>
      </c>
      <c r="T2049" s="861">
        <f>N2049/J2049*100</f>
        <v>89.817966553204087</v>
      </c>
      <c r="U2049" s="861">
        <f t="shared" si="566"/>
        <v>132.92580516975596</v>
      </c>
      <c r="V2049" s="861" t="s">
        <v>58</v>
      </c>
      <c r="W2049" s="1156">
        <f t="shared" si="574"/>
        <v>3705513540</v>
      </c>
      <c r="X2049" s="1153">
        <f>W2049/K2049*100</f>
        <v>86.429188052933839</v>
      </c>
      <c r="Y2049" s="1153" t="s">
        <v>58</v>
      </c>
      <c r="Z2049" s="861">
        <f t="shared" si="569"/>
        <v>162.54796655320411</v>
      </c>
      <c r="AA2049" s="1156">
        <f>SUM(I2049,W2049)</f>
        <v>5636889502</v>
      </c>
      <c r="AB2049" s="857"/>
      <c r="AC2049" s="857"/>
      <c r="AD2049" s="855"/>
      <c r="AE2049" s="866"/>
      <c r="AH2049" s="25"/>
    </row>
    <row r="2050" spans="1:34" s="78" customFormat="1" ht="157.5">
      <c r="A2050" s="851"/>
      <c r="B2050" s="853"/>
      <c r="C2050" s="853"/>
      <c r="D2050" s="854" t="s">
        <v>2392</v>
      </c>
      <c r="E2050" s="855">
        <v>100</v>
      </c>
      <c r="F2050" s="855" t="s">
        <v>58</v>
      </c>
      <c r="G2050" s="1159"/>
      <c r="H2050" s="855">
        <v>73.38</v>
      </c>
      <c r="I2050" s="1159"/>
      <c r="J2050" s="855">
        <v>91.22</v>
      </c>
      <c r="K2050" s="1159"/>
      <c r="L2050" s="892">
        <v>76.2</v>
      </c>
      <c r="M2050" s="1161"/>
      <c r="N2050" s="893">
        <v>79.08</v>
      </c>
      <c r="O2050" s="1161"/>
      <c r="P2050" s="893">
        <v>90.84</v>
      </c>
      <c r="Q2050" s="1161"/>
      <c r="R2050" s="893">
        <v>90.84</v>
      </c>
      <c r="S2050" s="1161"/>
      <c r="T2050" s="861">
        <f>N2050</f>
        <v>79.08</v>
      </c>
      <c r="U2050" s="861">
        <f t="shared" si="566"/>
        <v>86.691515018636267</v>
      </c>
      <c r="V2050" s="861" t="s">
        <v>58</v>
      </c>
      <c r="W2050" s="1157"/>
      <c r="X2050" s="1154"/>
      <c r="Y2050" s="1154" t="s">
        <v>58</v>
      </c>
      <c r="Z2050" s="861">
        <f t="shared" si="569"/>
        <v>152.45999999999998</v>
      </c>
      <c r="AA2050" s="1157"/>
      <c r="AB2050" s="857"/>
      <c r="AC2050" s="857"/>
      <c r="AD2050" s="855"/>
      <c r="AE2050" s="866"/>
      <c r="AH2050" s="79"/>
    </row>
    <row r="2051" spans="1:34" ht="189">
      <c r="A2051" s="851"/>
      <c r="B2051" s="853"/>
      <c r="C2051" s="881" t="s">
        <v>2393</v>
      </c>
      <c r="D2051" s="854" t="s">
        <v>2394</v>
      </c>
      <c r="E2051" s="855">
        <v>7</v>
      </c>
      <c r="F2051" s="855" t="s">
        <v>1091</v>
      </c>
      <c r="G2051" s="882">
        <f>SUM(G2052:G2052)</f>
        <v>1835272000</v>
      </c>
      <c r="H2051" s="855">
        <v>6</v>
      </c>
      <c r="I2051" s="882">
        <f>SUM(I2052:I2052)</f>
        <v>181025750</v>
      </c>
      <c r="J2051" s="855">
        <v>7</v>
      </c>
      <c r="K2051" s="882">
        <f>SUM(K2052:K2052)</f>
        <v>1016556000</v>
      </c>
      <c r="L2051" s="868">
        <v>2</v>
      </c>
      <c r="M2051" s="882">
        <f>SUM(M2052:M2052)</f>
        <v>68027000</v>
      </c>
      <c r="N2051" s="857">
        <v>1</v>
      </c>
      <c r="O2051" s="882">
        <f>SUM(O2052:O2052)</f>
        <v>305315100</v>
      </c>
      <c r="P2051" s="857">
        <v>3</v>
      </c>
      <c r="Q2051" s="882">
        <f>SUM(Q2052:Q2052)</f>
        <v>92866697</v>
      </c>
      <c r="R2051" s="857">
        <v>1</v>
      </c>
      <c r="S2051" s="882">
        <f>SUM(S2052:S2052)</f>
        <v>157130743</v>
      </c>
      <c r="T2051" s="858">
        <f t="shared" si="562"/>
        <v>7</v>
      </c>
      <c r="U2051" s="861">
        <f t="shared" si="566"/>
        <v>100</v>
      </c>
      <c r="V2051" s="861" t="s">
        <v>58</v>
      </c>
      <c r="W2051" s="869">
        <f t="shared" ref="W2051:W2055" si="575">SUM(M2051,O2051,Q2051,S2051)</f>
        <v>623339540</v>
      </c>
      <c r="X2051" s="861">
        <f>W2051/K2051*100</f>
        <v>61.318760599514441</v>
      </c>
      <c r="Y2051" s="861" t="s">
        <v>58</v>
      </c>
      <c r="Z2051" s="858">
        <f t="shared" si="569"/>
        <v>13</v>
      </c>
      <c r="AA2051" s="869">
        <f>SUM(I2051,W2051)</f>
        <v>804365290</v>
      </c>
      <c r="AB2051" s="857"/>
      <c r="AC2051" s="857"/>
      <c r="AD2051" s="855"/>
      <c r="AE2051" s="866"/>
      <c r="AH2051" s="25"/>
    </row>
    <row r="2052" spans="1:34" ht="300">
      <c r="A2052" s="870"/>
      <c r="B2052" s="871"/>
      <c r="C2052" s="871" t="s">
        <v>2395</v>
      </c>
      <c r="D2052" s="873" t="s">
        <v>2396</v>
      </c>
      <c r="E2052" s="874">
        <v>480</v>
      </c>
      <c r="F2052" s="874" t="s">
        <v>2374</v>
      </c>
      <c r="G2052" s="875">
        <v>1835272000</v>
      </c>
      <c r="H2052" s="874">
        <v>45</v>
      </c>
      <c r="I2052" s="875">
        <v>181025750</v>
      </c>
      <c r="J2052" s="874">
        <v>410</v>
      </c>
      <c r="K2052" s="875">
        <v>1016556000</v>
      </c>
      <c r="L2052" s="876">
        <v>81</v>
      </c>
      <c r="M2052" s="875">
        <v>68027000</v>
      </c>
      <c r="N2052" s="877">
        <v>164</v>
      </c>
      <c r="O2052" s="875">
        <v>305315100</v>
      </c>
      <c r="P2052" s="877">
        <v>48</v>
      </c>
      <c r="Q2052" s="875">
        <v>92866697</v>
      </c>
      <c r="R2052" s="877">
        <v>15</v>
      </c>
      <c r="S2052" s="875">
        <v>157130743</v>
      </c>
      <c r="T2052" s="878">
        <f t="shared" si="562"/>
        <v>308</v>
      </c>
      <c r="U2052" s="880">
        <f t="shared" si="566"/>
        <v>75.121951219512198</v>
      </c>
      <c r="V2052" s="880" t="s">
        <v>58</v>
      </c>
      <c r="W2052" s="879">
        <f t="shared" si="575"/>
        <v>623339540</v>
      </c>
      <c r="X2052" s="880">
        <f>W2052/K2052*100</f>
        <v>61.318760599514441</v>
      </c>
      <c r="Y2052" s="880" t="s">
        <v>58</v>
      </c>
      <c r="Z2052" s="878">
        <f t="shared" si="569"/>
        <v>353</v>
      </c>
      <c r="AA2052" s="879">
        <f>SUM(I2052,W2052)</f>
        <v>804365290</v>
      </c>
      <c r="AB2052" s="877"/>
      <c r="AC2052" s="877"/>
      <c r="AD2052" s="874"/>
      <c r="AE2052" s="866"/>
      <c r="AH2052" s="25"/>
    </row>
    <row r="2053" spans="1:34" ht="173.25">
      <c r="A2053" s="851"/>
      <c r="B2053" s="852" t="s">
        <v>2397</v>
      </c>
      <c r="C2053" s="852" t="s">
        <v>2398</v>
      </c>
      <c r="D2053" s="854" t="s">
        <v>2399</v>
      </c>
      <c r="E2053" s="855">
        <v>1</v>
      </c>
      <c r="F2053" s="855" t="s">
        <v>1091</v>
      </c>
      <c r="G2053" s="882">
        <f>SUM(G2054:G2055)</f>
        <v>573500000</v>
      </c>
      <c r="H2053" s="855">
        <v>1</v>
      </c>
      <c r="I2053" s="882">
        <f>SUM(I2054:I2055)</f>
        <v>1750350212</v>
      </c>
      <c r="J2053" s="855">
        <v>1</v>
      </c>
      <c r="K2053" s="882">
        <f>SUM(K2054:K2055)</f>
        <v>3270784450</v>
      </c>
      <c r="L2053" s="868">
        <v>1</v>
      </c>
      <c r="M2053" s="882">
        <f>SUM(M2054:M2055)</f>
        <v>0</v>
      </c>
      <c r="N2053" s="857">
        <v>0</v>
      </c>
      <c r="O2053" s="882">
        <f>SUM(O2054:O2055)</f>
        <v>704525000</v>
      </c>
      <c r="P2053" s="857">
        <v>0</v>
      </c>
      <c r="Q2053" s="882">
        <f>SUM(Q2054:Q2055)</f>
        <v>1633925000</v>
      </c>
      <c r="R2053" s="857">
        <v>1</v>
      </c>
      <c r="S2053" s="882">
        <f>SUM(S2054:S2055)</f>
        <v>743724000</v>
      </c>
      <c r="T2053" s="858">
        <f t="shared" si="562"/>
        <v>2</v>
      </c>
      <c r="U2053" s="861">
        <f t="shared" si="566"/>
        <v>200</v>
      </c>
      <c r="V2053" s="861" t="s">
        <v>58</v>
      </c>
      <c r="W2053" s="869">
        <f t="shared" si="575"/>
        <v>3082174000</v>
      </c>
      <c r="X2053" s="861">
        <f>W2053/K2053*100</f>
        <v>94.233479677940863</v>
      </c>
      <c r="Y2053" s="861" t="s">
        <v>58</v>
      </c>
      <c r="Z2053" s="858">
        <f t="shared" si="569"/>
        <v>3</v>
      </c>
      <c r="AA2053" s="869">
        <f>SUM(I2053,W2053)</f>
        <v>4832524212</v>
      </c>
      <c r="AB2053" s="857"/>
      <c r="AC2053" s="857"/>
      <c r="AD2053" s="855"/>
      <c r="AE2053" s="866"/>
      <c r="AH2053" s="25"/>
    </row>
    <row r="2054" spans="1:34" s="78" customFormat="1" ht="409.5">
      <c r="A2054" s="870"/>
      <c r="B2054" s="871"/>
      <c r="C2054" s="872" t="s">
        <v>2400</v>
      </c>
      <c r="D2054" s="873" t="s">
        <v>2401</v>
      </c>
      <c r="E2054" s="874">
        <v>3</v>
      </c>
      <c r="F2054" s="874" t="s">
        <v>55</v>
      </c>
      <c r="G2054" s="875">
        <v>573500000</v>
      </c>
      <c r="H2054" s="874">
        <v>3</v>
      </c>
      <c r="I2054" s="875">
        <v>718646000</v>
      </c>
      <c r="J2054" s="874">
        <v>3</v>
      </c>
      <c r="K2054" s="875">
        <v>893365200</v>
      </c>
      <c r="L2054" s="876">
        <v>0</v>
      </c>
      <c r="M2054" s="875">
        <v>0</v>
      </c>
      <c r="N2054" s="877">
        <v>1</v>
      </c>
      <c r="O2054" s="875">
        <v>376125000</v>
      </c>
      <c r="P2054" s="877">
        <v>2</v>
      </c>
      <c r="Q2054" s="875">
        <v>416125000</v>
      </c>
      <c r="R2054" s="877">
        <v>0</v>
      </c>
      <c r="S2054" s="875">
        <v>38260000</v>
      </c>
      <c r="T2054" s="878">
        <f t="shared" si="562"/>
        <v>3</v>
      </c>
      <c r="U2054" s="880">
        <f t="shared" si="566"/>
        <v>100</v>
      </c>
      <c r="V2054" s="880" t="s">
        <v>58</v>
      </c>
      <c r="W2054" s="879">
        <f t="shared" si="575"/>
        <v>830510000</v>
      </c>
      <c r="X2054" s="880">
        <f>W2054/K2054*100</f>
        <v>92.964221127037405</v>
      </c>
      <c r="Y2054" s="880" t="s">
        <v>58</v>
      </c>
      <c r="Z2054" s="878">
        <f t="shared" si="569"/>
        <v>6</v>
      </c>
      <c r="AA2054" s="879">
        <f>SUM(I2054,W2054)</f>
        <v>1549156000</v>
      </c>
      <c r="AB2054" s="877"/>
      <c r="AC2054" s="877"/>
      <c r="AD2054" s="874"/>
      <c r="AE2054" s="866"/>
      <c r="AH2054" s="79"/>
    </row>
    <row r="2055" spans="1:34" ht="285">
      <c r="A2055" s="870"/>
      <c r="B2055" s="871"/>
      <c r="C2055" s="872" t="s">
        <v>2402</v>
      </c>
      <c r="D2055" s="873" t="s">
        <v>2403</v>
      </c>
      <c r="E2055" s="874">
        <v>2</v>
      </c>
      <c r="F2055" s="874" t="s">
        <v>173</v>
      </c>
      <c r="G2055" s="875">
        <v>0</v>
      </c>
      <c r="H2055" s="874">
        <v>2</v>
      </c>
      <c r="I2055" s="875">
        <v>1031704212</v>
      </c>
      <c r="J2055" s="874">
        <v>2</v>
      </c>
      <c r="K2055" s="875">
        <v>2377419250</v>
      </c>
      <c r="L2055" s="876">
        <v>1</v>
      </c>
      <c r="M2055" s="875">
        <v>0</v>
      </c>
      <c r="N2055" s="877">
        <v>0</v>
      </c>
      <c r="O2055" s="875">
        <v>328400000</v>
      </c>
      <c r="P2055" s="877">
        <v>1</v>
      </c>
      <c r="Q2055" s="875">
        <v>1217800000</v>
      </c>
      <c r="R2055" s="877">
        <v>0</v>
      </c>
      <c r="S2055" s="875">
        <v>705464000</v>
      </c>
      <c r="T2055" s="878">
        <f t="shared" si="562"/>
        <v>2</v>
      </c>
      <c r="U2055" s="880">
        <f t="shared" si="566"/>
        <v>100</v>
      </c>
      <c r="V2055" s="880" t="s">
        <v>58</v>
      </c>
      <c r="W2055" s="879">
        <f t="shared" si="575"/>
        <v>2251664000</v>
      </c>
      <c r="X2055" s="880">
        <f>W2055/K2055*100</f>
        <v>94.710430228071885</v>
      </c>
      <c r="Y2055" s="880" t="s">
        <v>58</v>
      </c>
      <c r="Z2055" s="878">
        <f t="shared" si="569"/>
        <v>4</v>
      </c>
      <c r="AA2055" s="879">
        <f>SUM(I2055,W2055)</f>
        <v>3283368212</v>
      </c>
      <c r="AB2055" s="877"/>
      <c r="AC2055" s="877"/>
      <c r="AD2055" s="874"/>
      <c r="AE2055" s="866"/>
      <c r="AH2055" s="25"/>
    </row>
    <row r="2056" spans="1:34" ht="110.25">
      <c r="A2056" s="48">
        <v>1</v>
      </c>
      <c r="B2056" s="17" t="s">
        <v>29</v>
      </c>
      <c r="C2056" s="19" t="s">
        <v>68</v>
      </c>
      <c r="D2056" s="358" t="s">
        <v>143</v>
      </c>
      <c r="E2056" s="45">
        <v>100</v>
      </c>
      <c r="F2056" s="46" t="s">
        <v>58</v>
      </c>
      <c r="G2056" s="42">
        <f>SUM(G2057,G2060,G2065,G2069,G2076,G2078,G2082)</f>
        <v>24201405436</v>
      </c>
      <c r="H2056" s="45">
        <v>100</v>
      </c>
      <c r="I2056" s="42">
        <f>SUM(I2057,I2060,I2065,I2069,I2076,I2078,I2082)</f>
        <v>6192793187</v>
      </c>
      <c r="J2056" s="45">
        <v>100</v>
      </c>
      <c r="K2056" s="42">
        <f>SUM(K2057,K2060,K2065,K2069,K2076,K2078,K2082)</f>
        <v>8304297224</v>
      </c>
      <c r="L2056" s="108">
        <v>100</v>
      </c>
      <c r="M2056" s="42">
        <f>SUM(M2057,M2060,M2065,M2069,M2076,M2078,M2082)</f>
        <v>2072411431</v>
      </c>
      <c r="N2056" s="108">
        <v>100</v>
      </c>
      <c r="O2056" s="42">
        <f>SUM(O2057,O2060,O2065,O2069,O2076,O2078,O2082)</f>
        <v>1064667384</v>
      </c>
      <c r="P2056" s="108">
        <v>100</v>
      </c>
      <c r="Q2056" s="42">
        <f>SUM(Q2057,Q2060,Q2065,Q2069,Q2076,Q2078,Q2082)</f>
        <v>2109528579</v>
      </c>
      <c r="R2056" s="42">
        <v>100</v>
      </c>
      <c r="S2056" s="42">
        <f>SUM(S2057,S2060,S2065,S2069,S2076,S2078,S2082)</f>
        <v>2104773707</v>
      </c>
      <c r="T2056" s="57">
        <f>AVERAGE(L2056,N2056,P2056,R2056)</f>
        <v>100</v>
      </c>
      <c r="U2056" s="57">
        <f t="shared" ref="U2056:U2079" si="576">T2056/J2056*100</f>
        <v>100</v>
      </c>
      <c r="V2056" s="58" t="s">
        <v>58</v>
      </c>
      <c r="W2056" s="59">
        <f>SUM(M2056,O2056,Q2056,S2056)</f>
        <v>7351381101</v>
      </c>
      <c r="X2056" s="57">
        <f t="shared" ref="X2056:X2086" si="577">W2056/K2056*100</f>
        <v>88.525023884670148</v>
      </c>
      <c r="Y2056" s="58" t="s">
        <v>58</v>
      </c>
      <c r="Z2056" s="57">
        <f>H2056+T2056</f>
        <v>200</v>
      </c>
      <c r="AA2056" s="59">
        <f t="shared" ref="AA2056:AA2105" si="578">I2056+W2056</f>
        <v>13544174288</v>
      </c>
      <c r="AB2056" s="57">
        <f t="shared" ref="AB2056:AB2105" si="579">(Z2056/E2056)*100</f>
        <v>200</v>
      </c>
      <c r="AC2056" s="58" t="str">
        <f t="shared" ref="AC2056:AC2085" si="580">Y2056</f>
        <v>%</v>
      </c>
      <c r="AD2056" s="894">
        <f t="shared" ref="AD2056:AD2086" si="581">(AA2056/G2056)</f>
        <v>0.55964412165306776</v>
      </c>
      <c r="AE2056" s="24" t="s">
        <v>2404</v>
      </c>
      <c r="AH2056" s="25"/>
    </row>
    <row r="2057" spans="1:34" s="78" customFormat="1" ht="204" customHeight="1">
      <c r="A2057" s="48">
        <v>2</v>
      </c>
      <c r="B2057" s="49" t="s">
        <v>30</v>
      </c>
      <c r="C2057" s="19" t="s">
        <v>1276</v>
      </c>
      <c r="D2057" s="19" t="s">
        <v>2405</v>
      </c>
      <c r="E2057" s="45">
        <v>15</v>
      </c>
      <c r="F2057" s="75" t="s">
        <v>55</v>
      </c>
      <c r="G2057" s="42">
        <f>SUM(G2058:G2059)</f>
        <v>25026000</v>
      </c>
      <c r="H2057" s="386">
        <v>30</v>
      </c>
      <c r="I2057" s="42">
        <f>SUM(I2058:I2059)</f>
        <v>4328375</v>
      </c>
      <c r="J2057" s="386">
        <f>SUM(J2058:J2059)</f>
        <v>10</v>
      </c>
      <c r="K2057" s="42">
        <f>SUM(K2058:K2059)</f>
        <v>7763350</v>
      </c>
      <c r="L2057" s="386">
        <f>SUM(L2058:L2059)</f>
        <v>1</v>
      </c>
      <c r="M2057" s="42">
        <f>SUM(M2058:M2059)</f>
        <v>0</v>
      </c>
      <c r="N2057" s="386"/>
      <c r="O2057" s="42">
        <f>SUM(O2058:O2059)</f>
        <v>0</v>
      </c>
      <c r="P2057" s="386">
        <f>SUM(P2058:P2059)</f>
        <v>5</v>
      </c>
      <c r="Q2057" s="42">
        <f>SUM(Q2058:Q2059)</f>
        <v>0</v>
      </c>
      <c r="R2057" s="42">
        <f>SUM(R2058:R2059)</f>
        <v>5</v>
      </c>
      <c r="S2057" s="42">
        <f t="shared" ref="S2057" si="582">SUM(S2058:S2059)</f>
        <v>4800750</v>
      </c>
      <c r="T2057" s="55">
        <f>SUM(L2057,N2057,P2057,R2057)</f>
        <v>11</v>
      </c>
      <c r="U2057" s="57">
        <f t="shared" si="576"/>
        <v>110.00000000000001</v>
      </c>
      <c r="V2057" s="58" t="s">
        <v>58</v>
      </c>
      <c r="W2057" s="59">
        <f t="shared" ref="W2057:W2086" si="583">SUM(M2057,O2057,Q2057,S2057)</f>
        <v>4800750</v>
      </c>
      <c r="X2057" s="57">
        <f t="shared" si="577"/>
        <v>61.838639247232187</v>
      </c>
      <c r="Y2057" s="58" t="s">
        <v>58</v>
      </c>
      <c r="Z2057" s="57">
        <f>H2057+T2057</f>
        <v>41</v>
      </c>
      <c r="AA2057" s="59">
        <f t="shared" si="578"/>
        <v>9129125</v>
      </c>
      <c r="AB2057" s="57">
        <f t="shared" si="579"/>
        <v>273.33333333333331</v>
      </c>
      <c r="AC2057" s="58" t="str">
        <f t="shared" si="580"/>
        <v>%</v>
      </c>
      <c r="AD2057" s="895">
        <f t="shared" si="581"/>
        <v>0.3647856229521298</v>
      </c>
      <c r="AE2057" s="24"/>
      <c r="AH2057" s="79"/>
    </row>
    <row r="2058" spans="1:34" s="78" customFormat="1" ht="182.25" customHeight="1">
      <c r="A2058" s="16"/>
      <c r="B2058" s="17"/>
      <c r="C2058" s="29" t="s">
        <v>69</v>
      </c>
      <c r="D2058" s="29" t="s">
        <v>211</v>
      </c>
      <c r="E2058" s="20">
        <v>15</v>
      </c>
      <c r="F2058" s="21" t="s">
        <v>55</v>
      </c>
      <c r="G2058" s="23">
        <v>20315400</v>
      </c>
      <c r="H2058" s="20">
        <v>10</v>
      </c>
      <c r="I2058" s="23">
        <v>3488750</v>
      </c>
      <c r="J2058" s="20">
        <v>6</v>
      </c>
      <c r="K2058" s="23">
        <v>6158000</v>
      </c>
      <c r="L2058" s="20">
        <v>0</v>
      </c>
      <c r="M2058" s="23">
        <v>0</v>
      </c>
      <c r="N2058" s="20"/>
      <c r="O2058" s="23">
        <v>0</v>
      </c>
      <c r="P2058" s="20">
        <v>5</v>
      </c>
      <c r="Q2058" s="23">
        <v>0</v>
      </c>
      <c r="R2058" s="20">
        <v>1</v>
      </c>
      <c r="S2058" s="23">
        <v>3587500</v>
      </c>
      <c r="T2058" s="54">
        <f>SUM(L2058,N2058,P2058,R2058)</f>
        <v>6</v>
      </c>
      <c r="U2058" s="54">
        <f t="shared" si="576"/>
        <v>100</v>
      </c>
      <c r="V2058" s="35" t="s">
        <v>58</v>
      </c>
      <c r="W2058" s="40">
        <f t="shared" si="583"/>
        <v>3587500</v>
      </c>
      <c r="X2058" s="53">
        <f t="shared" si="577"/>
        <v>58.257551152971743</v>
      </c>
      <c r="Y2058" s="35" t="s">
        <v>58</v>
      </c>
      <c r="Z2058" s="54">
        <f>H2058+T2058</f>
        <v>16</v>
      </c>
      <c r="AA2058" s="40">
        <f t="shared" si="578"/>
        <v>7076250</v>
      </c>
      <c r="AB2058" s="53">
        <f t="shared" si="579"/>
        <v>106.66666666666667</v>
      </c>
      <c r="AC2058" s="35" t="str">
        <f t="shared" si="580"/>
        <v>%</v>
      </c>
      <c r="AD2058" s="895">
        <f t="shared" si="581"/>
        <v>0.34831950146194512</v>
      </c>
      <c r="AE2058" s="11"/>
      <c r="AH2058" s="79"/>
    </row>
    <row r="2059" spans="1:34" ht="90">
      <c r="A2059" s="16"/>
      <c r="B2059" s="17"/>
      <c r="C2059" s="29" t="s">
        <v>70</v>
      </c>
      <c r="D2059" s="29" t="s">
        <v>212</v>
      </c>
      <c r="E2059" s="20">
        <v>30</v>
      </c>
      <c r="F2059" s="21" t="s">
        <v>173</v>
      </c>
      <c r="G2059" s="23">
        <v>4710600</v>
      </c>
      <c r="H2059" s="20">
        <v>20</v>
      </c>
      <c r="I2059" s="23">
        <v>839625</v>
      </c>
      <c r="J2059" s="20">
        <v>4</v>
      </c>
      <c r="K2059" s="23">
        <v>1605350</v>
      </c>
      <c r="L2059" s="20">
        <v>1</v>
      </c>
      <c r="M2059" s="23">
        <v>0</v>
      </c>
      <c r="N2059" s="20"/>
      <c r="O2059" s="23">
        <v>0</v>
      </c>
      <c r="P2059" s="20">
        <v>0</v>
      </c>
      <c r="Q2059" s="23">
        <v>0</v>
      </c>
      <c r="R2059" s="20">
        <v>4</v>
      </c>
      <c r="S2059" s="23">
        <v>1213250</v>
      </c>
      <c r="T2059" s="54">
        <f>SUM(L2059,N2059,P2059,R2059)</f>
        <v>5</v>
      </c>
      <c r="U2059" s="54">
        <f t="shared" si="576"/>
        <v>125</v>
      </c>
      <c r="V2059" s="35" t="s">
        <v>58</v>
      </c>
      <c r="W2059" s="40">
        <f t="shared" si="583"/>
        <v>1213250</v>
      </c>
      <c r="X2059" s="53">
        <f t="shared" si="577"/>
        <v>75.5754196904102</v>
      </c>
      <c r="Y2059" s="35" t="s">
        <v>58</v>
      </c>
      <c r="Z2059" s="54">
        <f>H2059+T2059</f>
        <v>25</v>
      </c>
      <c r="AA2059" s="40">
        <f t="shared" si="578"/>
        <v>2052875</v>
      </c>
      <c r="AB2059" s="53">
        <f>(Z2059/E2059)*100</f>
        <v>83.333333333333343</v>
      </c>
      <c r="AC2059" s="35" t="str">
        <f t="shared" si="580"/>
        <v>%</v>
      </c>
      <c r="AD2059" s="895">
        <f t="shared" si="581"/>
        <v>0.4357990489534242</v>
      </c>
      <c r="AE2059" s="11"/>
      <c r="AH2059" s="25"/>
    </row>
    <row r="2060" spans="1:34" ht="110.25">
      <c r="A2060" s="16"/>
      <c r="B2060" s="17"/>
      <c r="C2060" s="19" t="s">
        <v>71</v>
      </c>
      <c r="D2060" s="19" t="s">
        <v>2406</v>
      </c>
      <c r="E2060" s="45">
        <v>14</v>
      </c>
      <c r="F2060" s="75" t="s">
        <v>55</v>
      </c>
      <c r="G2060" s="42">
        <f>SUM(G2061:G2064)</f>
        <v>18826157404</v>
      </c>
      <c r="H2060" s="74">
        <v>28</v>
      </c>
      <c r="I2060" s="42">
        <f>SUM(I2061:I2064)</f>
        <v>5180668614</v>
      </c>
      <c r="J2060" s="74">
        <f>SUM(J2062:J2064)</f>
        <v>18</v>
      </c>
      <c r="K2060" s="42">
        <f>SUM(K2061:K2064)</f>
        <v>6432811113</v>
      </c>
      <c r="L2060" s="74">
        <f>SUM(L2062:L2064)</f>
        <v>4</v>
      </c>
      <c r="M2060" s="42">
        <f>SUM(M2061:M2064)</f>
        <v>1933860524</v>
      </c>
      <c r="N2060" s="74">
        <f>SUM(N2062:N2064)</f>
        <v>5</v>
      </c>
      <c r="O2060" s="42">
        <f>SUM(O2061:O2064)</f>
        <v>985724295</v>
      </c>
      <c r="P2060" s="74">
        <f>SUM(P2062:P2064)</f>
        <v>4</v>
      </c>
      <c r="Q2060" s="42">
        <f>SUM(Q2061:Q2064)</f>
        <v>1729644644</v>
      </c>
      <c r="R2060" s="42">
        <f>SUM(R2062:R2064)</f>
        <v>5</v>
      </c>
      <c r="S2060" s="42">
        <f t="shared" ref="S2060" si="584">SUM(S2061:S2064)</f>
        <v>1448114739</v>
      </c>
      <c r="T2060" s="55">
        <f>SUM(L2060,N2060,P2060,R2060)</f>
        <v>18</v>
      </c>
      <c r="U2060" s="57">
        <f t="shared" si="576"/>
        <v>100</v>
      </c>
      <c r="V2060" s="58" t="s">
        <v>58</v>
      </c>
      <c r="W2060" s="59">
        <f t="shared" si="583"/>
        <v>6097344202</v>
      </c>
      <c r="X2060" s="57">
        <f t="shared" si="577"/>
        <v>94.785065112170656</v>
      </c>
      <c r="Y2060" s="58" t="s">
        <v>58</v>
      </c>
      <c r="Z2060" s="55">
        <f t="shared" ref="Z2060:Z2105" si="585">H2060+T2060</f>
        <v>46</v>
      </c>
      <c r="AA2060" s="59">
        <f t="shared" si="578"/>
        <v>11278012816</v>
      </c>
      <c r="AB2060" s="53">
        <f t="shared" si="579"/>
        <v>328.57142857142856</v>
      </c>
      <c r="AC2060" s="58" t="str">
        <f t="shared" si="580"/>
        <v>%</v>
      </c>
      <c r="AD2060" s="895">
        <f t="shared" si="581"/>
        <v>0.59906079472190943</v>
      </c>
      <c r="AE2060" s="11"/>
      <c r="AH2060" s="25"/>
    </row>
    <row r="2061" spans="1:34" s="78" customFormat="1" ht="90">
      <c r="A2061" s="16"/>
      <c r="B2061" s="17"/>
      <c r="C2061" s="29" t="s">
        <v>1173</v>
      </c>
      <c r="D2061" s="26" t="s">
        <v>213</v>
      </c>
      <c r="E2061" s="20">
        <v>52</v>
      </c>
      <c r="F2061" s="27" t="s">
        <v>57</v>
      </c>
      <c r="G2061" s="23">
        <v>18811121304</v>
      </c>
      <c r="H2061" s="44">
        <v>90</v>
      </c>
      <c r="I2061" s="23">
        <v>5175853414</v>
      </c>
      <c r="J2061" s="44">
        <v>51</v>
      </c>
      <c r="K2061" s="23">
        <v>6427792913</v>
      </c>
      <c r="L2061" s="44">
        <v>45</v>
      </c>
      <c r="M2061" s="23">
        <v>1933860524</v>
      </c>
      <c r="N2061" s="44">
        <v>51</v>
      </c>
      <c r="O2061" s="23">
        <v>985724295</v>
      </c>
      <c r="P2061" s="44">
        <v>51</v>
      </c>
      <c r="Q2061" s="23">
        <v>1727897644</v>
      </c>
      <c r="R2061" s="44">
        <v>51</v>
      </c>
      <c r="S2061" s="23">
        <v>1447195839</v>
      </c>
      <c r="T2061" s="54">
        <f>AVERAGE(L2061,N2061,P2061,R2061)</f>
        <v>49.5</v>
      </c>
      <c r="U2061" s="54">
        <f t="shared" si="576"/>
        <v>97.058823529411768</v>
      </c>
      <c r="V2061" s="35" t="s">
        <v>58</v>
      </c>
      <c r="W2061" s="40">
        <f t="shared" si="583"/>
        <v>6094678302</v>
      </c>
      <c r="X2061" s="53">
        <f t="shared" si="577"/>
        <v>94.817589559764954</v>
      </c>
      <c r="Y2061" s="35" t="s">
        <v>58</v>
      </c>
      <c r="Z2061" s="54">
        <f t="shared" si="585"/>
        <v>139.5</v>
      </c>
      <c r="AA2061" s="40">
        <f t="shared" si="578"/>
        <v>11270531716</v>
      </c>
      <c r="AB2061" s="53">
        <f t="shared" si="579"/>
        <v>268.26923076923077</v>
      </c>
      <c r="AC2061" s="35" t="str">
        <f t="shared" si="580"/>
        <v>%</v>
      </c>
      <c r="AD2061" s="895">
        <f t="shared" si="581"/>
        <v>0.59914194023103939</v>
      </c>
      <c r="AE2061" s="30"/>
      <c r="AH2061" s="79"/>
    </row>
    <row r="2062" spans="1:34" s="78" customFormat="1" ht="349.5" customHeight="1">
      <c r="A2062" s="16"/>
      <c r="B2062" s="17"/>
      <c r="C2062" s="29" t="s">
        <v>73</v>
      </c>
      <c r="D2062" s="29" t="s">
        <v>214</v>
      </c>
      <c r="E2062" s="20">
        <v>1</v>
      </c>
      <c r="F2062" s="27" t="s">
        <v>173</v>
      </c>
      <c r="G2062" s="23">
        <v>6317800</v>
      </c>
      <c r="H2062" s="44">
        <v>2</v>
      </c>
      <c r="I2062" s="23">
        <v>2265900</v>
      </c>
      <c r="J2062" s="44">
        <v>1</v>
      </c>
      <c r="K2062" s="23">
        <v>2159000</v>
      </c>
      <c r="L2062" s="44">
        <v>0</v>
      </c>
      <c r="M2062" s="23">
        <v>0</v>
      </c>
      <c r="N2062" s="44">
        <v>0</v>
      </c>
      <c r="O2062" s="23">
        <v>0</v>
      </c>
      <c r="P2062" s="44">
        <v>0</v>
      </c>
      <c r="Q2062" s="23">
        <v>925000</v>
      </c>
      <c r="R2062" s="44">
        <v>1</v>
      </c>
      <c r="S2062" s="23">
        <v>0</v>
      </c>
      <c r="T2062" s="54">
        <f t="shared" ref="T2062:T2068" si="586">SUM(L2062,N2062,P2062,R2062)</f>
        <v>1</v>
      </c>
      <c r="U2062" s="54">
        <f t="shared" si="576"/>
        <v>100</v>
      </c>
      <c r="V2062" s="35" t="s">
        <v>58</v>
      </c>
      <c r="W2062" s="40">
        <f t="shared" si="583"/>
        <v>925000</v>
      </c>
      <c r="X2062" s="53">
        <f t="shared" si="577"/>
        <v>42.843909217230198</v>
      </c>
      <c r="Y2062" s="35" t="s">
        <v>58</v>
      </c>
      <c r="Z2062" s="54">
        <f t="shared" si="585"/>
        <v>3</v>
      </c>
      <c r="AA2062" s="40">
        <f t="shared" si="578"/>
        <v>3190900</v>
      </c>
      <c r="AB2062" s="53">
        <f t="shared" si="579"/>
        <v>300</v>
      </c>
      <c r="AC2062" s="35" t="str">
        <f t="shared" si="580"/>
        <v>%</v>
      </c>
      <c r="AD2062" s="895">
        <f t="shared" si="581"/>
        <v>0.50506505429105064</v>
      </c>
      <c r="AE2062" s="11"/>
      <c r="AH2062" s="79"/>
    </row>
    <row r="2063" spans="1:34" ht="369.75" customHeight="1">
      <c r="A2063" s="16"/>
      <c r="B2063" s="17"/>
      <c r="C2063" s="29" t="s">
        <v>1174</v>
      </c>
      <c r="D2063" s="29" t="s">
        <v>215</v>
      </c>
      <c r="E2063" s="44">
        <f>J2063*3</f>
        <v>48</v>
      </c>
      <c r="F2063" s="27" t="s">
        <v>173</v>
      </c>
      <c r="G2063" s="23">
        <v>5000200</v>
      </c>
      <c r="H2063" s="44">
        <v>24</v>
      </c>
      <c r="I2063" s="23">
        <v>1191000</v>
      </c>
      <c r="J2063" s="44">
        <v>16</v>
      </c>
      <c r="K2063" s="23">
        <v>1750100</v>
      </c>
      <c r="L2063" s="44">
        <v>4</v>
      </c>
      <c r="M2063" s="23">
        <v>0</v>
      </c>
      <c r="N2063" s="44">
        <v>4</v>
      </c>
      <c r="O2063" s="23">
        <v>0</v>
      </c>
      <c r="P2063" s="44">
        <v>4</v>
      </c>
      <c r="Q2063" s="23">
        <v>199500</v>
      </c>
      <c r="R2063" s="44">
        <v>4</v>
      </c>
      <c r="S2063" s="23">
        <v>918900</v>
      </c>
      <c r="T2063" s="54">
        <f>SUM(L2063,N2063,P2063,R2063)</f>
        <v>16</v>
      </c>
      <c r="U2063" s="54">
        <f t="shared" si="576"/>
        <v>100</v>
      </c>
      <c r="V2063" s="35" t="s">
        <v>58</v>
      </c>
      <c r="W2063" s="40">
        <f t="shared" si="583"/>
        <v>1118400</v>
      </c>
      <c r="X2063" s="53">
        <f t="shared" si="577"/>
        <v>63.904919718873209</v>
      </c>
      <c r="Y2063" s="35" t="s">
        <v>58</v>
      </c>
      <c r="Z2063" s="54">
        <f t="shared" si="585"/>
        <v>40</v>
      </c>
      <c r="AA2063" s="40">
        <f t="shared" si="578"/>
        <v>2309400</v>
      </c>
      <c r="AB2063" s="53">
        <f t="shared" si="579"/>
        <v>83.333333333333343</v>
      </c>
      <c r="AC2063" s="35" t="str">
        <f t="shared" si="580"/>
        <v>%</v>
      </c>
      <c r="AD2063" s="895">
        <f t="shared" si="581"/>
        <v>0.46186152553897847</v>
      </c>
      <c r="AE2063" s="11"/>
      <c r="AH2063" s="25"/>
    </row>
    <row r="2064" spans="1:34" ht="381.75" customHeight="1">
      <c r="A2064" s="16"/>
      <c r="B2064" s="17"/>
      <c r="C2064" s="29" t="s">
        <v>75</v>
      </c>
      <c r="D2064" s="29" t="s">
        <v>216</v>
      </c>
      <c r="E2064" s="44">
        <v>3</v>
      </c>
      <c r="F2064" s="27" t="s">
        <v>55</v>
      </c>
      <c r="G2064" s="23">
        <v>3718100</v>
      </c>
      <c r="H2064" s="44">
        <v>2</v>
      </c>
      <c r="I2064" s="23">
        <v>1358300</v>
      </c>
      <c r="J2064" s="44">
        <v>1</v>
      </c>
      <c r="K2064" s="23">
        <v>1109100</v>
      </c>
      <c r="L2064" s="44">
        <v>0</v>
      </c>
      <c r="M2064" s="23">
        <v>0</v>
      </c>
      <c r="N2064" s="44">
        <v>1</v>
      </c>
      <c r="O2064" s="23">
        <v>0</v>
      </c>
      <c r="P2064" s="44">
        <v>0</v>
      </c>
      <c r="Q2064" s="23">
        <v>622500</v>
      </c>
      <c r="R2064" s="44">
        <v>0</v>
      </c>
      <c r="S2064" s="23">
        <v>0</v>
      </c>
      <c r="T2064" s="54">
        <f t="shared" si="586"/>
        <v>1</v>
      </c>
      <c r="U2064" s="54">
        <f t="shared" si="576"/>
        <v>100</v>
      </c>
      <c r="V2064" s="35" t="s">
        <v>58</v>
      </c>
      <c r="W2064" s="40">
        <f>SUM(M2064,O2064,Q2064,S2064)</f>
        <v>622500</v>
      </c>
      <c r="X2064" s="53">
        <f t="shared" si="577"/>
        <v>56.126589126318635</v>
      </c>
      <c r="Y2064" s="35" t="s">
        <v>58</v>
      </c>
      <c r="Z2064" s="54">
        <f t="shared" si="585"/>
        <v>3</v>
      </c>
      <c r="AA2064" s="40">
        <f t="shared" si="578"/>
        <v>1980800</v>
      </c>
      <c r="AB2064" s="53">
        <f t="shared" si="579"/>
        <v>100</v>
      </c>
      <c r="AC2064" s="35" t="str">
        <f t="shared" si="580"/>
        <v>%</v>
      </c>
      <c r="AD2064" s="895">
        <f t="shared" si="581"/>
        <v>0.53274521933245478</v>
      </c>
      <c r="AE2064" s="11"/>
      <c r="AH2064" s="25"/>
    </row>
    <row r="2065" spans="1:34" s="78" customFormat="1" ht="220.5" customHeight="1">
      <c r="A2065" s="16"/>
      <c r="B2065" s="17"/>
      <c r="C2065" s="19" t="s">
        <v>1595</v>
      </c>
      <c r="D2065" s="19" t="s">
        <v>2407</v>
      </c>
      <c r="E2065" s="45">
        <v>100</v>
      </c>
      <c r="F2065" s="75" t="s">
        <v>58</v>
      </c>
      <c r="G2065" s="42">
        <f>SUM(G2066:G2068)</f>
        <v>1714116800</v>
      </c>
      <c r="H2065" s="74">
        <v>100</v>
      </c>
      <c r="I2065" s="42">
        <f>SUM(I2066:I2068)</f>
        <v>81965000</v>
      </c>
      <c r="J2065" s="74">
        <v>100</v>
      </c>
      <c r="K2065" s="42">
        <f>SUM(K2066:K2068)</f>
        <v>593195300</v>
      </c>
      <c r="L2065" s="74">
        <v>100</v>
      </c>
      <c r="M2065" s="42">
        <f>SUM(M2066:M2068)</f>
        <v>0</v>
      </c>
      <c r="N2065" s="45">
        <v>100</v>
      </c>
      <c r="O2065" s="42">
        <f>SUM(O2066:O2068)</f>
        <v>39618440</v>
      </c>
      <c r="P2065" s="45">
        <v>100</v>
      </c>
      <c r="Q2065" s="42">
        <f>SUM(Q2066:Q2068)</f>
        <v>167744456</v>
      </c>
      <c r="R2065" s="42">
        <f>SUM(R2066:R2068)</f>
        <v>50</v>
      </c>
      <c r="S2065" s="42">
        <f t="shared" ref="S2065" si="587">SUM(S2066:S2068)</f>
        <v>65585768</v>
      </c>
      <c r="T2065" s="55">
        <f>AVERAGE(L2065,N2065,P2065,R2065)</f>
        <v>87.5</v>
      </c>
      <c r="U2065" s="57">
        <f t="shared" si="576"/>
        <v>87.5</v>
      </c>
      <c r="V2065" s="58" t="s">
        <v>58</v>
      </c>
      <c r="W2065" s="59">
        <f t="shared" si="583"/>
        <v>272948664</v>
      </c>
      <c r="X2065" s="57">
        <f t="shared" si="577"/>
        <v>46.013288372311784</v>
      </c>
      <c r="Y2065" s="58" t="s">
        <v>58</v>
      </c>
      <c r="Z2065" s="55">
        <f t="shared" si="585"/>
        <v>187.5</v>
      </c>
      <c r="AA2065" s="59">
        <f t="shared" si="578"/>
        <v>354913664</v>
      </c>
      <c r="AB2065" s="53">
        <f t="shared" si="579"/>
        <v>187.5</v>
      </c>
      <c r="AC2065" s="58" t="str">
        <f t="shared" si="580"/>
        <v>%</v>
      </c>
      <c r="AD2065" s="895">
        <f t="shared" si="581"/>
        <v>0.20705337232561982</v>
      </c>
      <c r="AE2065" s="11"/>
      <c r="AH2065" s="79"/>
    </row>
    <row r="2066" spans="1:34" s="78" customFormat="1" ht="212.25" customHeight="1">
      <c r="A2066" s="16"/>
      <c r="B2066" s="17"/>
      <c r="C2066" s="29" t="s">
        <v>2408</v>
      </c>
      <c r="D2066" s="29" t="s">
        <v>1598</v>
      </c>
      <c r="E2066" s="20">
        <v>50</v>
      </c>
      <c r="F2066" s="21" t="s">
        <v>59</v>
      </c>
      <c r="G2066" s="23">
        <v>88800000</v>
      </c>
      <c r="H2066" s="20">
        <v>90</v>
      </c>
      <c r="I2066" s="23">
        <v>27000000</v>
      </c>
      <c r="J2066" s="20">
        <v>50</v>
      </c>
      <c r="K2066" s="23">
        <v>30000000</v>
      </c>
      <c r="L2066" s="20">
        <v>0</v>
      </c>
      <c r="M2066" s="23">
        <v>0</v>
      </c>
      <c r="N2066" s="20">
        <v>50</v>
      </c>
      <c r="O2066" s="23">
        <v>0</v>
      </c>
      <c r="P2066" s="20">
        <v>0</v>
      </c>
      <c r="Q2066" s="23">
        <v>30000000</v>
      </c>
      <c r="R2066" s="20">
        <v>0</v>
      </c>
      <c r="S2066" s="23">
        <v>0</v>
      </c>
      <c r="T2066" s="54">
        <f t="shared" si="586"/>
        <v>50</v>
      </c>
      <c r="U2066" s="54">
        <f t="shared" si="576"/>
        <v>100</v>
      </c>
      <c r="V2066" s="35" t="s">
        <v>58</v>
      </c>
      <c r="W2066" s="40">
        <f t="shared" si="583"/>
        <v>30000000</v>
      </c>
      <c r="X2066" s="53">
        <f t="shared" si="577"/>
        <v>100</v>
      </c>
      <c r="Y2066" s="35" t="s">
        <v>58</v>
      </c>
      <c r="Z2066" s="54">
        <f t="shared" si="585"/>
        <v>140</v>
      </c>
      <c r="AA2066" s="40">
        <f t="shared" si="578"/>
        <v>57000000</v>
      </c>
      <c r="AB2066" s="53">
        <f t="shared" si="579"/>
        <v>280</v>
      </c>
      <c r="AC2066" s="35" t="str">
        <f t="shared" si="580"/>
        <v>%</v>
      </c>
      <c r="AD2066" s="895">
        <f t="shared" si="581"/>
        <v>0.64189189189189189</v>
      </c>
      <c r="AE2066" s="11"/>
      <c r="AH2066" s="79"/>
    </row>
    <row r="2067" spans="1:34" ht="120">
      <c r="A2067" s="16"/>
      <c r="B2067" s="17"/>
      <c r="C2067" s="29" t="s">
        <v>2409</v>
      </c>
      <c r="D2067" s="29" t="s">
        <v>2410</v>
      </c>
      <c r="E2067" s="20">
        <v>32</v>
      </c>
      <c r="F2067" s="21" t="s">
        <v>57</v>
      </c>
      <c r="G2067" s="23">
        <v>1384000000</v>
      </c>
      <c r="H2067" s="44">
        <v>75</v>
      </c>
      <c r="I2067" s="23">
        <v>29900000</v>
      </c>
      <c r="J2067" s="44">
        <v>25</v>
      </c>
      <c r="K2067" s="23">
        <v>473000000</v>
      </c>
      <c r="L2067" s="44">
        <v>0</v>
      </c>
      <c r="M2067" s="23">
        <v>0</v>
      </c>
      <c r="N2067" s="44">
        <v>0</v>
      </c>
      <c r="O2067" s="23">
        <v>39618440</v>
      </c>
      <c r="P2067" s="44">
        <v>8</v>
      </c>
      <c r="Q2067" s="23">
        <v>110444456</v>
      </c>
      <c r="R2067" s="44">
        <v>0</v>
      </c>
      <c r="S2067" s="23">
        <v>53420768</v>
      </c>
      <c r="T2067" s="54">
        <f t="shared" si="586"/>
        <v>8</v>
      </c>
      <c r="U2067" s="54">
        <f t="shared" si="576"/>
        <v>32</v>
      </c>
      <c r="V2067" s="35" t="s">
        <v>58</v>
      </c>
      <c r="W2067" s="40">
        <f t="shared" si="583"/>
        <v>203483664</v>
      </c>
      <c r="X2067" s="53">
        <f t="shared" si="577"/>
        <v>43.019802114164904</v>
      </c>
      <c r="Y2067" s="35" t="s">
        <v>58</v>
      </c>
      <c r="Z2067" s="54">
        <f t="shared" si="585"/>
        <v>83</v>
      </c>
      <c r="AA2067" s="40">
        <f t="shared" si="578"/>
        <v>233383664</v>
      </c>
      <c r="AB2067" s="53">
        <f t="shared" si="579"/>
        <v>259.375</v>
      </c>
      <c r="AC2067" s="35" t="str">
        <f t="shared" si="580"/>
        <v>%</v>
      </c>
      <c r="AD2067" s="895">
        <f t="shared" si="581"/>
        <v>0.16862981502890173</v>
      </c>
      <c r="AE2067" s="11"/>
      <c r="AH2067" s="25"/>
    </row>
    <row r="2068" spans="1:34" s="78" customFormat="1" ht="153.75" customHeight="1">
      <c r="A2068" s="16"/>
      <c r="B2068" s="17"/>
      <c r="C2068" s="29" t="s">
        <v>2411</v>
      </c>
      <c r="D2068" s="29" t="s">
        <v>2211</v>
      </c>
      <c r="E2068" s="44">
        <v>50</v>
      </c>
      <c r="F2068" s="21" t="s">
        <v>57</v>
      </c>
      <c r="G2068" s="23">
        <v>241316800</v>
      </c>
      <c r="H2068" s="44">
        <v>5</v>
      </c>
      <c r="I2068" s="23">
        <v>25065000</v>
      </c>
      <c r="J2068" s="44">
        <v>50</v>
      </c>
      <c r="K2068" s="23">
        <v>90195300</v>
      </c>
      <c r="L2068" s="44">
        <v>0</v>
      </c>
      <c r="M2068" s="23">
        <v>0</v>
      </c>
      <c r="N2068" s="44">
        <v>0</v>
      </c>
      <c r="O2068" s="23">
        <v>0</v>
      </c>
      <c r="P2068" s="44">
        <v>50</v>
      </c>
      <c r="Q2068" s="23">
        <v>27300000</v>
      </c>
      <c r="R2068" s="44">
        <v>50</v>
      </c>
      <c r="S2068" s="23">
        <v>12165000</v>
      </c>
      <c r="T2068" s="54">
        <f t="shared" si="586"/>
        <v>100</v>
      </c>
      <c r="U2068" s="54">
        <f t="shared" si="576"/>
        <v>200</v>
      </c>
      <c r="V2068" s="35" t="s">
        <v>58</v>
      </c>
      <c r="W2068" s="40">
        <f t="shared" si="583"/>
        <v>39465000</v>
      </c>
      <c r="X2068" s="53">
        <f t="shared" si="577"/>
        <v>43.755051538162185</v>
      </c>
      <c r="Y2068" s="35" t="s">
        <v>58</v>
      </c>
      <c r="Z2068" s="54">
        <f t="shared" si="585"/>
        <v>105</v>
      </c>
      <c r="AA2068" s="40">
        <f t="shared" si="578"/>
        <v>64530000</v>
      </c>
      <c r="AB2068" s="53">
        <f t="shared" si="579"/>
        <v>210</v>
      </c>
      <c r="AC2068" s="35" t="str">
        <f t="shared" si="580"/>
        <v>%</v>
      </c>
      <c r="AD2068" s="895">
        <f t="shared" si="581"/>
        <v>0.26740782241435324</v>
      </c>
      <c r="AE2068" s="11"/>
      <c r="AH2068" s="79"/>
    </row>
    <row r="2069" spans="1:34" s="78" customFormat="1" ht="166.5" customHeight="1">
      <c r="A2069" s="16"/>
      <c r="B2069" s="17"/>
      <c r="C2069" s="19" t="s">
        <v>76</v>
      </c>
      <c r="D2069" s="19" t="s">
        <v>2412</v>
      </c>
      <c r="E2069" s="45">
        <v>100</v>
      </c>
      <c r="F2069" s="75" t="s">
        <v>58</v>
      </c>
      <c r="G2069" s="42">
        <f>SUM(G2070:G2075)</f>
        <v>1585852636</v>
      </c>
      <c r="H2069" s="74">
        <v>200</v>
      </c>
      <c r="I2069" s="42">
        <f>SUM(I2070:I2075)</f>
        <v>264608383</v>
      </c>
      <c r="J2069" s="74">
        <v>100</v>
      </c>
      <c r="K2069" s="42">
        <f>SUM(K2070:K2075)</f>
        <v>588300675</v>
      </c>
      <c r="L2069" s="74">
        <v>100</v>
      </c>
      <c r="M2069" s="42">
        <f>SUM(M2070:M2075)</f>
        <v>104217471</v>
      </c>
      <c r="N2069" s="108">
        <v>100</v>
      </c>
      <c r="O2069" s="42">
        <f>SUM(O2070:O2075)</f>
        <v>26101450</v>
      </c>
      <c r="P2069" s="108">
        <v>100</v>
      </c>
      <c r="Q2069" s="42">
        <f>SUM(Q2070:Q2075)</f>
        <v>62639687</v>
      </c>
      <c r="R2069" s="42">
        <f>SUM(R2070:R2075)</f>
        <v>12</v>
      </c>
      <c r="S2069" s="42">
        <f t="shared" ref="S2069" si="588">SUM(S2070:S2075)</f>
        <v>259561162</v>
      </c>
      <c r="T2069" s="55">
        <f>AVERAGE(L2069,N2069,P2069,R2069)</f>
        <v>78</v>
      </c>
      <c r="U2069" s="57">
        <f t="shared" si="576"/>
        <v>78</v>
      </c>
      <c r="V2069" s="58" t="s">
        <v>58</v>
      </c>
      <c r="W2069" s="59">
        <f t="shared" si="583"/>
        <v>452519770</v>
      </c>
      <c r="X2069" s="57">
        <f t="shared" si="577"/>
        <v>76.91981145525628</v>
      </c>
      <c r="Y2069" s="58" t="s">
        <v>58</v>
      </c>
      <c r="Z2069" s="55">
        <f t="shared" si="585"/>
        <v>278</v>
      </c>
      <c r="AA2069" s="59">
        <f t="shared" si="578"/>
        <v>717128153</v>
      </c>
      <c r="AB2069" s="53">
        <f t="shared" si="579"/>
        <v>278</v>
      </c>
      <c r="AC2069" s="58" t="str">
        <f t="shared" si="580"/>
        <v>%</v>
      </c>
      <c r="AD2069" s="895">
        <f t="shared" si="581"/>
        <v>0.45220352554876353</v>
      </c>
      <c r="AE2069" s="11"/>
      <c r="AH2069" s="79"/>
    </row>
    <row r="2070" spans="1:34" ht="120">
      <c r="A2070" s="16"/>
      <c r="B2070" s="17"/>
      <c r="C2070" s="29" t="s">
        <v>1177</v>
      </c>
      <c r="D2070" s="29" t="s">
        <v>343</v>
      </c>
      <c r="E2070" s="20">
        <f>J2070*3</f>
        <v>3</v>
      </c>
      <c r="F2070" s="21" t="s">
        <v>59</v>
      </c>
      <c r="G2070" s="23">
        <v>18060125</v>
      </c>
      <c r="H2070" s="44">
        <v>24</v>
      </c>
      <c r="I2070" s="23">
        <v>8276000</v>
      </c>
      <c r="J2070" s="44">
        <v>1</v>
      </c>
      <c r="K2070" s="23">
        <v>4874000</v>
      </c>
      <c r="L2070" s="44">
        <v>1</v>
      </c>
      <c r="M2070" s="23">
        <v>0</v>
      </c>
      <c r="N2070" s="44">
        <v>1</v>
      </c>
      <c r="O2070" s="23">
        <v>1914000</v>
      </c>
      <c r="P2070" s="44">
        <v>1</v>
      </c>
      <c r="Q2070" s="23">
        <v>1122000</v>
      </c>
      <c r="R2070" s="44">
        <v>1</v>
      </c>
      <c r="S2070" s="23">
        <v>1192000</v>
      </c>
      <c r="T2070" s="54">
        <f t="shared" ref="T2070:T2120" si="589">SUM(L2070,N2070,P2070,R2070)</f>
        <v>4</v>
      </c>
      <c r="U2070" s="54">
        <f t="shared" si="576"/>
        <v>400</v>
      </c>
      <c r="V2070" s="35" t="s">
        <v>58</v>
      </c>
      <c r="W2070" s="40">
        <f t="shared" si="583"/>
        <v>4228000</v>
      </c>
      <c r="X2070" s="53">
        <f t="shared" si="577"/>
        <v>86.745999179318829</v>
      </c>
      <c r="Y2070" s="35" t="s">
        <v>58</v>
      </c>
      <c r="Z2070" s="54">
        <f t="shared" si="585"/>
        <v>28</v>
      </c>
      <c r="AA2070" s="40">
        <f t="shared" si="578"/>
        <v>12504000</v>
      </c>
      <c r="AB2070" s="53">
        <f>(Z2070/E2070)*100</f>
        <v>933.33333333333337</v>
      </c>
      <c r="AC2070" s="35" t="str">
        <f t="shared" si="580"/>
        <v>%</v>
      </c>
      <c r="AD2070" s="895">
        <f t="shared" si="581"/>
        <v>0.69235401194620749</v>
      </c>
      <c r="AE2070" s="11"/>
      <c r="AH2070" s="25"/>
    </row>
    <row r="2071" spans="1:34" ht="90">
      <c r="A2071" s="16"/>
      <c r="B2071" s="17"/>
      <c r="C2071" s="29" t="s">
        <v>285</v>
      </c>
      <c r="D2071" s="29" t="s">
        <v>217</v>
      </c>
      <c r="E2071" s="20">
        <f t="shared" ref="E2071:E2081" si="590">J2071*3</f>
        <v>3</v>
      </c>
      <c r="F2071" s="21" t="s">
        <v>59</v>
      </c>
      <c r="G2071" s="23">
        <v>318960911</v>
      </c>
      <c r="H2071" s="44">
        <v>24</v>
      </c>
      <c r="I2071" s="23">
        <v>84361000</v>
      </c>
      <c r="J2071" s="44">
        <v>1</v>
      </c>
      <c r="K2071" s="23">
        <v>113223375</v>
      </c>
      <c r="L2071" s="44">
        <v>1</v>
      </c>
      <c r="M2071" s="23">
        <v>10345000</v>
      </c>
      <c r="N2071" s="44">
        <v>1</v>
      </c>
      <c r="O2071" s="23">
        <v>13558200</v>
      </c>
      <c r="P2071" s="44">
        <v>1</v>
      </c>
      <c r="Q2071" s="23">
        <v>3054200</v>
      </c>
      <c r="R2071" s="44">
        <v>1</v>
      </c>
      <c r="S2071" s="23">
        <v>61868600</v>
      </c>
      <c r="T2071" s="54">
        <f t="shared" si="589"/>
        <v>4</v>
      </c>
      <c r="U2071" s="54">
        <f t="shared" si="576"/>
        <v>400</v>
      </c>
      <c r="V2071" s="35" t="s">
        <v>58</v>
      </c>
      <c r="W2071" s="40">
        <f t="shared" si="583"/>
        <v>88826000</v>
      </c>
      <c r="X2071" s="53">
        <f t="shared" si="577"/>
        <v>78.451998096682772</v>
      </c>
      <c r="Y2071" s="35" t="s">
        <v>58</v>
      </c>
      <c r="Z2071" s="54">
        <f t="shared" si="585"/>
        <v>28</v>
      </c>
      <c r="AA2071" s="40">
        <f t="shared" si="578"/>
        <v>173187000</v>
      </c>
      <c r="AB2071" s="53">
        <f t="shared" si="579"/>
        <v>933.33333333333337</v>
      </c>
      <c r="AC2071" s="35" t="str">
        <f t="shared" si="580"/>
        <v>%</v>
      </c>
      <c r="AD2071" s="895">
        <f t="shared" si="581"/>
        <v>0.54297248981709867</v>
      </c>
      <c r="AE2071" s="11"/>
      <c r="AH2071" s="25"/>
    </row>
    <row r="2072" spans="1:34" s="78" customFormat="1" ht="183" customHeight="1">
      <c r="A2072" s="16"/>
      <c r="B2072" s="17"/>
      <c r="C2072" s="29" t="s">
        <v>287</v>
      </c>
      <c r="D2072" s="26" t="s">
        <v>218</v>
      </c>
      <c r="E2072" s="20">
        <f t="shared" si="590"/>
        <v>9</v>
      </c>
      <c r="F2072" s="21" t="s">
        <v>59</v>
      </c>
      <c r="G2072" s="23">
        <v>129666000</v>
      </c>
      <c r="H2072" s="44">
        <v>24</v>
      </c>
      <c r="I2072" s="23">
        <v>24213000</v>
      </c>
      <c r="J2072" s="44">
        <v>3</v>
      </c>
      <c r="K2072" s="23">
        <v>43026800</v>
      </c>
      <c r="L2072" s="44">
        <v>0</v>
      </c>
      <c r="M2072" s="23">
        <v>862500</v>
      </c>
      <c r="N2072" s="44">
        <v>1</v>
      </c>
      <c r="O2072" s="23">
        <v>900000</v>
      </c>
      <c r="P2072" s="44">
        <v>0</v>
      </c>
      <c r="Q2072" s="23">
        <v>2076000</v>
      </c>
      <c r="R2072" s="44">
        <v>2</v>
      </c>
      <c r="S2072" s="23">
        <v>31269600</v>
      </c>
      <c r="T2072" s="54">
        <f t="shared" si="589"/>
        <v>3</v>
      </c>
      <c r="U2072" s="54">
        <f t="shared" si="576"/>
        <v>100</v>
      </c>
      <c r="V2072" s="35" t="s">
        <v>58</v>
      </c>
      <c r="W2072" s="40">
        <f t="shared" si="583"/>
        <v>35108100</v>
      </c>
      <c r="X2072" s="53">
        <f t="shared" si="577"/>
        <v>81.595889073786566</v>
      </c>
      <c r="Y2072" s="35" t="s">
        <v>58</v>
      </c>
      <c r="Z2072" s="54">
        <f t="shared" si="585"/>
        <v>27</v>
      </c>
      <c r="AA2072" s="40">
        <f t="shared" si="578"/>
        <v>59321100</v>
      </c>
      <c r="AB2072" s="53">
        <f t="shared" si="579"/>
        <v>300</v>
      </c>
      <c r="AC2072" s="35" t="str">
        <f t="shared" si="580"/>
        <v>%</v>
      </c>
      <c r="AD2072" s="895">
        <f t="shared" si="581"/>
        <v>0.45749155522650503</v>
      </c>
      <c r="AE2072" s="11"/>
      <c r="AH2072" s="79"/>
    </row>
    <row r="2073" spans="1:34" s="78" customFormat="1" ht="192.75" customHeight="1">
      <c r="A2073" s="16"/>
      <c r="B2073" s="17"/>
      <c r="C2073" s="29" t="s">
        <v>2413</v>
      </c>
      <c r="D2073" s="26" t="s">
        <v>219</v>
      </c>
      <c r="E2073" s="20">
        <f t="shared" si="590"/>
        <v>9</v>
      </c>
      <c r="F2073" s="21" t="s">
        <v>59</v>
      </c>
      <c r="G2073" s="23">
        <v>106950600</v>
      </c>
      <c r="H2073" s="44">
        <v>24</v>
      </c>
      <c r="I2073" s="23">
        <v>21678750</v>
      </c>
      <c r="J2073" s="44">
        <v>3</v>
      </c>
      <c r="K2073" s="23">
        <v>44221500</v>
      </c>
      <c r="L2073" s="44">
        <v>3</v>
      </c>
      <c r="M2073" s="23">
        <v>4893000</v>
      </c>
      <c r="N2073" s="44">
        <v>3</v>
      </c>
      <c r="O2073" s="23">
        <v>2419250</v>
      </c>
      <c r="P2073" s="44">
        <v>3</v>
      </c>
      <c r="Q2073" s="23">
        <v>795000</v>
      </c>
      <c r="R2073" s="44">
        <v>3</v>
      </c>
      <c r="S2073" s="23">
        <v>24208200</v>
      </c>
      <c r="T2073" s="54">
        <f t="shared" si="589"/>
        <v>12</v>
      </c>
      <c r="U2073" s="54">
        <f t="shared" si="576"/>
        <v>400</v>
      </c>
      <c r="V2073" s="35" t="s">
        <v>58</v>
      </c>
      <c r="W2073" s="40">
        <f t="shared" si="583"/>
        <v>32315450</v>
      </c>
      <c r="X2073" s="53">
        <f t="shared" si="577"/>
        <v>73.076331648632447</v>
      </c>
      <c r="Y2073" s="35" t="s">
        <v>58</v>
      </c>
      <c r="Z2073" s="53">
        <f t="shared" si="585"/>
        <v>36</v>
      </c>
      <c r="AA2073" s="40">
        <f t="shared" si="578"/>
        <v>53994200</v>
      </c>
      <c r="AB2073" s="53">
        <f t="shared" si="579"/>
        <v>400</v>
      </c>
      <c r="AC2073" s="35" t="str">
        <f t="shared" si="580"/>
        <v>%</v>
      </c>
      <c r="AD2073" s="895">
        <f t="shared" si="581"/>
        <v>0.5048517726875773</v>
      </c>
      <c r="AE2073" s="11"/>
      <c r="AH2073" s="79"/>
    </row>
    <row r="2074" spans="1:34" ht="378" customHeight="1">
      <c r="A2074" s="16"/>
      <c r="B2074" s="17"/>
      <c r="C2074" s="29" t="s">
        <v>963</v>
      </c>
      <c r="D2074" s="360" t="s">
        <v>1179</v>
      </c>
      <c r="E2074" s="20">
        <f t="shared" si="590"/>
        <v>6</v>
      </c>
      <c r="F2074" s="21" t="s">
        <v>59</v>
      </c>
      <c r="G2074" s="23">
        <v>16800000</v>
      </c>
      <c r="H2074" s="44">
        <v>24</v>
      </c>
      <c r="I2074" s="23">
        <v>4920000</v>
      </c>
      <c r="J2074" s="44">
        <v>2</v>
      </c>
      <c r="K2074" s="23">
        <v>5400000</v>
      </c>
      <c r="L2074" s="44">
        <v>2</v>
      </c>
      <c r="M2074" s="23">
        <v>1640000</v>
      </c>
      <c r="N2074" s="44">
        <v>2</v>
      </c>
      <c r="O2074" s="23">
        <v>0</v>
      </c>
      <c r="P2074" s="44">
        <v>2</v>
      </c>
      <c r="Q2074" s="23">
        <v>860000</v>
      </c>
      <c r="R2074" s="44">
        <v>2</v>
      </c>
      <c r="S2074" s="23">
        <v>2900000</v>
      </c>
      <c r="T2074" s="54">
        <f t="shared" si="589"/>
        <v>8</v>
      </c>
      <c r="U2074" s="54">
        <f t="shared" si="576"/>
        <v>400</v>
      </c>
      <c r="V2074" s="35" t="s">
        <v>58</v>
      </c>
      <c r="W2074" s="40">
        <f t="shared" si="583"/>
        <v>5400000</v>
      </c>
      <c r="X2074" s="53">
        <f t="shared" si="577"/>
        <v>100</v>
      </c>
      <c r="Y2074" s="35" t="s">
        <v>58</v>
      </c>
      <c r="Z2074" s="53">
        <f t="shared" si="585"/>
        <v>32</v>
      </c>
      <c r="AA2074" s="40">
        <f t="shared" si="578"/>
        <v>10320000</v>
      </c>
      <c r="AB2074" s="53">
        <f t="shared" si="579"/>
        <v>533.33333333333326</v>
      </c>
      <c r="AC2074" s="35" t="str">
        <f t="shared" si="580"/>
        <v>%</v>
      </c>
      <c r="AD2074" s="895">
        <f t="shared" si="581"/>
        <v>0.61428571428571432</v>
      </c>
      <c r="AE2074" s="11"/>
      <c r="AH2074" s="25"/>
    </row>
    <row r="2075" spans="1:34" ht="396.75" customHeight="1">
      <c r="A2075" s="16"/>
      <c r="B2075" s="17"/>
      <c r="C2075" s="29" t="s">
        <v>77</v>
      </c>
      <c r="D2075" s="360" t="s">
        <v>220</v>
      </c>
      <c r="E2075" s="20">
        <f t="shared" si="590"/>
        <v>36</v>
      </c>
      <c r="F2075" s="21" t="s">
        <v>173</v>
      </c>
      <c r="G2075" s="23">
        <v>995415000</v>
      </c>
      <c r="H2075" s="44">
        <v>24</v>
      </c>
      <c r="I2075" s="23">
        <v>121159633</v>
      </c>
      <c r="J2075" s="44">
        <v>12</v>
      </c>
      <c r="K2075" s="23">
        <v>377555000</v>
      </c>
      <c r="L2075" s="44">
        <v>3</v>
      </c>
      <c r="M2075" s="23">
        <v>86476971</v>
      </c>
      <c r="N2075" s="44">
        <v>3</v>
      </c>
      <c r="O2075" s="23">
        <v>7310000</v>
      </c>
      <c r="P2075" s="44">
        <v>3</v>
      </c>
      <c r="Q2075" s="23">
        <v>54732487</v>
      </c>
      <c r="R2075" s="44">
        <v>3</v>
      </c>
      <c r="S2075" s="23">
        <v>138122762</v>
      </c>
      <c r="T2075" s="54">
        <f t="shared" si="589"/>
        <v>12</v>
      </c>
      <c r="U2075" s="54">
        <f t="shared" si="576"/>
        <v>100</v>
      </c>
      <c r="V2075" s="35" t="s">
        <v>58</v>
      </c>
      <c r="W2075" s="40">
        <f t="shared" si="583"/>
        <v>286642220</v>
      </c>
      <c r="X2075" s="53">
        <f t="shared" si="577"/>
        <v>75.920652620148061</v>
      </c>
      <c r="Y2075" s="35" t="s">
        <v>58</v>
      </c>
      <c r="Z2075" s="53">
        <f t="shared" si="585"/>
        <v>36</v>
      </c>
      <c r="AA2075" s="40">
        <f t="shared" si="578"/>
        <v>407801853</v>
      </c>
      <c r="AB2075" s="53">
        <f t="shared" si="579"/>
        <v>100</v>
      </c>
      <c r="AC2075" s="35" t="str">
        <f t="shared" si="580"/>
        <v>%</v>
      </c>
      <c r="AD2075" s="895">
        <f t="shared" si="581"/>
        <v>0.40968023688612287</v>
      </c>
      <c r="AE2075" s="11"/>
      <c r="AH2075" s="25"/>
    </row>
    <row r="2076" spans="1:34" ht="126">
      <c r="A2076" s="16"/>
      <c r="B2076" s="17"/>
      <c r="C2076" s="19" t="s">
        <v>78</v>
      </c>
      <c r="D2076" s="19" t="s">
        <v>2414</v>
      </c>
      <c r="E2076" s="45">
        <f t="shared" si="590"/>
        <v>36</v>
      </c>
      <c r="F2076" s="75" t="s">
        <v>2119</v>
      </c>
      <c r="G2076" s="42">
        <f>SUM(G2077)</f>
        <v>341429224</v>
      </c>
      <c r="H2076" s="74">
        <v>24</v>
      </c>
      <c r="I2076" s="42">
        <f>SUM(I2077)</f>
        <v>150434240</v>
      </c>
      <c r="J2076" s="74">
        <v>12</v>
      </c>
      <c r="K2076" s="42">
        <f>SUM(K2077)</f>
        <v>196176300</v>
      </c>
      <c r="L2076" s="74">
        <v>3</v>
      </c>
      <c r="M2076" s="42">
        <f>SUM(M2077)</f>
        <v>0</v>
      </c>
      <c r="N2076" s="108">
        <v>3</v>
      </c>
      <c r="O2076" s="42">
        <f>SUM(O2077)</f>
        <v>0</v>
      </c>
      <c r="P2076" s="108">
        <v>3</v>
      </c>
      <c r="Q2076" s="42">
        <f>SUM(Q2077)</f>
        <v>63045000</v>
      </c>
      <c r="R2076" s="42">
        <f>SUM(R2077)</f>
        <v>8</v>
      </c>
      <c r="S2076" s="42">
        <f t="shared" ref="S2076" si="591">SUM(S2077)</f>
        <v>118472869</v>
      </c>
      <c r="T2076" s="55">
        <f t="shared" si="589"/>
        <v>17</v>
      </c>
      <c r="U2076" s="55">
        <f t="shared" si="576"/>
        <v>141.66666666666669</v>
      </c>
      <c r="V2076" s="58" t="s">
        <v>58</v>
      </c>
      <c r="W2076" s="59">
        <f t="shared" si="583"/>
        <v>181517869</v>
      </c>
      <c r="X2076" s="57">
        <f t="shared" si="577"/>
        <v>92.527929724436646</v>
      </c>
      <c r="Y2076" s="58" t="s">
        <v>58</v>
      </c>
      <c r="Z2076" s="57">
        <f t="shared" si="585"/>
        <v>41</v>
      </c>
      <c r="AA2076" s="59">
        <f t="shared" si="578"/>
        <v>331952109</v>
      </c>
      <c r="AB2076" s="53">
        <f t="shared" si="579"/>
        <v>113.88888888888889</v>
      </c>
      <c r="AC2076" s="58" t="str">
        <f t="shared" si="580"/>
        <v>%</v>
      </c>
      <c r="AD2076" s="895">
        <f t="shared" si="581"/>
        <v>0.97224281246645716</v>
      </c>
      <c r="AE2076" s="11"/>
    </row>
    <row r="2077" spans="1:34" ht="75">
      <c r="A2077" s="16"/>
      <c r="B2077" s="17"/>
      <c r="C2077" s="29" t="s">
        <v>1600</v>
      </c>
      <c r="D2077" s="29" t="s">
        <v>2053</v>
      </c>
      <c r="E2077" s="20">
        <f t="shared" si="590"/>
        <v>24</v>
      </c>
      <c r="F2077" s="21" t="s">
        <v>138</v>
      </c>
      <c r="G2077" s="23">
        <v>341429224</v>
      </c>
      <c r="H2077" s="44"/>
      <c r="I2077" s="23">
        <v>150434240</v>
      </c>
      <c r="J2077" s="44">
        <v>8</v>
      </c>
      <c r="K2077" s="23">
        <v>196176300</v>
      </c>
      <c r="L2077" s="44"/>
      <c r="M2077" s="23">
        <v>0</v>
      </c>
      <c r="N2077" s="20"/>
      <c r="O2077" s="23">
        <v>0</v>
      </c>
      <c r="P2077" s="20"/>
      <c r="Q2077" s="23">
        <v>63045000</v>
      </c>
      <c r="R2077" s="20">
        <v>8</v>
      </c>
      <c r="S2077" s="23">
        <v>118472869</v>
      </c>
      <c r="T2077" s="54">
        <f t="shared" si="589"/>
        <v>8</v>
      </c>
      <c r="U2077" s="54">
        <f t="shared" si="576"/>
        <v>100</v>
      </c>
      <c r="V2077" s="35" t="s">
        <v>58</v>
      </c>
      <c r="W2077" s="40">
        <f t="shared" si="583"/>
        <v>181517869</v>
      </c>
      <c r="X2077" s="53">
        <f t="shared" si="577"/>
        <v>92.527929724436646</v>
      </c>
      <c r="Y2077" s="35" t="s">
        <v>58</v>
      </c>
      <c r="Z2077" s="54">
        <f t="shared" si="585"/>
        <v>8</v>
      </c>
      <c r="AA2077" s="40">
        <f t="shared" si="578"/>
        <v>331952109</v>
      </c>
      <c r="AB2077" s="53">
        <f t="shared" si="579"/>
        <v>33.333333333333329</v>
      </c>
      <c r="AC2077" s="35" t="str">
        <f t="shared" si="580"/>
        <v>%</v>
      </c>
      <c r="AD2077" s="895">
        <f t="shared" si="581"/>
        <v>0.97224281246645716</v>
      </c>
      <c r="AE2077" s="11"/>
    </row>
    <row r="2078" spans="1:34" ht="141.75">
      <c r="A2078" s="16"/>
      <c r="B2078" s="17"/>
      <c r="C2078" s="19" t="s">
        <v>79</v>
      </c>
      <c r="D2078" s="19" t="s">
        <v>1180</v>
      </c>
      <c r="E2078" s="45">
        <f t="shared" si="590"/>
        <v>36</v>
      </c>
      <c r="F2078" s="75" t="s">
        <v>1176</v>
      </c>
      <c r="G2078" s="42">
        <f>SUM(G2079:G2081)</f>
        <v>278091772</v>
      </c>
      <c r="H2078" s="74">
        <v>24</v>
      </c>
      <c r="I2078" s="42">
        <f>SUM(I2079:I2081)</f>
        <v>60521030</v>
      </c>
      <c r="J2078" s="74">
        <v>12</v>
      </c>
      <c r="K2078" s="42">
        <f>SUM(K2079:K2081)</f>
        <v>93138886</v>
      </c>
      <c r="L2078" s="74">
        <v>3</v>
      </c>
      <c r="M2078" s="42">
        <f>SUM(M2079:M2081)</f>
        <v>16886786</v>
      </c>
      <c r="N2078" s="45">
        <v>3</v>
      </c>
      <c r="O2078" s="42">
        <f>SUM(O2079:O2081)</f>
        <v>3053599</v>
      </c>
      <c r="P2078" s="45">
        <v>3</v>
      </c>
      <c r="Q2078" s="42">
        <f>SUM(Q2079:Q2081)</f>
        <v>13182328</v>
      </c>
      <c r="R2078" s="42">
        <f>SUM(R2079:R2081)</f>
        <v>9</v>
      </c>
      <c r="S2078" s="42">
        <f t="shared" ref="S2078" si="592">SUM(S2079:S2081)</f>
        <v>17561800</v>
      </c>
      <c r="T2078" s="55">
        <f t="shared" si="589"/>
        <v>18</v>
      </c>
      <c r="U2078" s="57">
        <f t="shared" si="576"/>
        <v>150</v>
      </c>
      <c r="V2078" s="58" t="s">
        <v>58</v>
      </c>
      <c r="W2078" s="59">
        <f t="shared" si="583"/>
        <v>50684513</v>
      </c>
      <c r="X2078" s="57">
        <f t="shared" si="577"/>
        <v>54.418208308826024</v>
      </c>
      <c r="Y2078" s="58" t="s">
        <v>58</v>
      </c>
      <c r="Z2078" s="55">
        <f t="shared" si="585"/>
        <v>42</v>
      </c>
      <c r="AA2078" s="59">
        <f t="shared" si="578"/>
        <v>111205543</v>
      </c>
      <c r="AB2078" s="53">
        <f t="shared" si="579"/>
        <v>116.66666666666667</v>
      </c>
      <c r="AC2078" s="58" t="str">
        <f t="shared" si="580"/>
        <v>%</v>
      </c>
      <c r="AD2078" s="895">
        <f t="shared" si="581"/>
        <v>0.39988792980182097</v>
      </c>
      <c r="AE2078" s="11"/>
    </row>
    <row r="2079" spans="1:34" ht="75">
      <c r="A2079" s="16"/>
      <c r="B2079" s="17"/>
      <c r="C2079" s="29" t="s">
        <v>86</v>
      </c>
      <c r="D2079" s="29" t="s">
        <v>222</v>
      </c>
      <c r="E2079" s="20">
        <f t="shared" si="590"/>
        <v>36</v>
      </c>
      <c r="F2079" s="21" t="s">
        <v>173</v>
      </c>
      <c r="G2079" s="896">
        <v>1320000</v>
      </c>
      <c r="H2079" s="44">
        <v>24</v>
      </c>
      <c r="I2079" s="23">
        <v>207500</v>
      </c>
      <c r="J2079" s="44">
        <v>12</v>
      </c>
      <c r="K2079" s="896">
        <v>440000</v>
      </c>
      <c r="L2079" s="44">
        <v>3</v>
      </c>
      <c r="M2079" s="23">
        <v>0</v>
      </c>
      <c r="N2079" s="44">
        <v>3</v>
      </c>
      <c r="O2079" s="23">
        <v>0</v>
      </c>
      <c r="P2079" s="44">
        <v>3</v>
      </c>
      <c r="Q2079" s="23">
        <v>0</v>
      </c>
      <c r="R2079" s="44">
        <v>3</v>
      </c>
      <c r="S2079" s="23">
        <v>126800</v>
      </c>
      <c r="T2079" s="54">
        <f t="shared" si="589"/>
        <v>12</v>
      </c>
      <c r="U2079" s="54">
        <f t="shared" si="576"/>
        <v>100</v>
      </c>
      <c r="V2079" s="35" t="s">
        <v>58</v>
      </c>
      <c r="W2079" s="40">
        <f t="shared" si="583"/>
        <v>126800</v>
      </c>
      <c r="X2079" s="53">
        <f t="shared" si="577"/>
        <v>28.81818181818182</v>
      </c>
      <c r="Y2079" s="35" t="s">
        <v>58</v>
      </c>
      <c r="Z2079" s="54">
        <f t="shared" si="585"/>
        <v>36</v>
      </c>
      <c r="AA2079" s="40">
        <f t="shared" si="578"/>
        <v>334300</v>
      </c>
      <c r="AB2079" s="53">
        <f t="shared" si="579"/>
        <v>100</v>
      </c>
      <c r="AC2079" s="35" t="str">
        <f t="shared" si="580"/>
        <v>%</v>
      </c>
      <c r="AD2079" s="895">
        <f t="shared" si="581"/>
        <v>0.25325757575757574</v>
      </c>
      <c r="AE2079" s="11"/>
    </row>
    <row r="2080" spans="1:34" ht="135">
      <c r="A2080" s="16"/>
      <c r="B2080" s="17"/>
      <c r="C2080" s="29" t="s">
        <v>357</v>
      </c>
      <c r="D2080" s="29" t="s">
        <v>223</v>
      </c>
      <c r="E2080" s="20">
        <f t="shared" si="590"/>
        <v>36</v>
      </c>
      <c r="F2080" s="21" t="s">
        <v>173</v>
      </c>
      <c r="G2080" s="23">
        <v>254093772</v>
      </c>
      <c r="H2080" s="44">
        <v>24</v>
      </c>
      <c r="I2080" s="23">
        <v>59764930</v>
      </c>
      <c r="J2080" s="44">
        <v>12</v>
      </c>
      <c r="K2080" s="23">
        <v>81266886</v>
      </c>
      <c r="L2080" s="44">
        <v>3</v>
      </c>
      <c r="M2080" s="23">
        <v>16886786</v>
      </c>
      <c r="N2080" s="44">
        <v>3</v>
      </c>
      <c r="O2080" s="23">
        <v>3053599</v>
      </c>
      <c r="P2080" s="44">
        <v>3</v>
      </c>
      <c r="Q2080" s="23">
        <v>12182328</v>
      </c>
      <c r="R2080" s="44">
        <v>3</v>
      </c>
      <c r="S2080" s="23">
        <v>15990600</v>
      </c>
      <c r="T2080" s="54">
        <f t="shared" si="589"/>
        <v>12</v>
      </c>
      <c r="U2080" s="54">
        <f t="shared" ref="U2080:U2104" si="593">T2080/J2080*100</f>
        <v>100</v>
      </c>
      <c r="V2080" s="35" t="s">
        <v>58</v>
      </c>
      <c r="W2080" s="40">
        <f t="shared" si="583"/>
        <v>48113313</v>
      </c>
      <c r="X2080" s="53">
        <f t="shared" si="577"/>
        <v>59.204080983243287</v>
      </c>
      <c r="Y2080" s="35" t="s">
        <v>58</v>
      </c>
      <c r="Z2080" s="54">
        <f t="shared" si="585"/>
        <v>36</v>
      </c>
      <c r="AA2080" s="40">
        <f t="shared" si="578"/>
        <v>107878243</v>
      </c>
      <c r="AB2080" s="53">
        <f t="shared" si="579"/>
        <v>100</v>
      </c>
      <c r="AC2080" s="35" t="str">
        <f t="shared" si="580"/>
        <v>%</v>
      </c>
      <c r="AD2080" s="895">
        <f t="shared" si="581"/>
        <v>0.42456075231942325</v>
      </c>
      <c r="AE2080" s="11"/>
    </row>
    <row r="2081" spans="1:32" ht="120">
      <c r="A2081" s="16"/>
      <c r="B2081" s="17"/>
      <c r="C2081" s="29" t="s">
        <v>80</v>
      </c>
      <c r="D2081" s="29" t="s">
        <v>224</v>
      </c>
      <c r="E2081" s="20">
        <f t="shared" si="590"/>
        <v>36</v>
      </c>
      <c r="F2081" s="21" t="s">
        <v>173</v>
      </c>
      <c r="G2081" s="23">
        <v>22678000</v>
      </c>
      <c r="H2081" s="44">
        <v>24</v>
      </c>
      <c r="I2081" s="23">
        <v>548600</v>
      </c>
      <c r="J2081" s="44">
        <v>12</v>
      </c>
      <c r="K2081" s="23">
        <v>11432000</v>
      </c>
      <c r="L2081" s="44">
        <v>3</v>
      </c>
      <c r="M2081" s="23">
        <v>0</v>
      </c>
      <c r="N2081" s="44">
        <v>3</v>
      </c>
      <c r="O2081" s="23">
        <v>0</v>
      </c>
      <c r="P2081" s="44">
        <v>3</v>
      </c>
      <c r="Q2081" s="23">
        <v>1000000</v>
      </c>
      <c r="R2081" s="44">
        <v>3</v>
      </c>
      <c r="S2081" s="23">
        <v>1444400</v>
      </c>
      <c r="T2081" s="54">
        <f t="shared" si="589"/>
        <v>12</v>
      </c>
      <c r="U2081" s="54">
        <f t="shared" si="593"/>
        <v>100</v>
      </c>
      <c r="V2081" s="35" t="s">
        <v>58</v>
      </c>
      <c r="W2081" s="40">
        <f t="shared" si="583"/>
        <v>2444400</v>
      </c>
      <c r="X2081" s="53">
        <f t="shared" si="577"/>
        <v>21.382085374387682</v>
      </c>
      <c r="Y2081" s="35" t="s">
        <v>58</v>
      </c>
      <c r="Z2081" s="54">
        <f t="shared" si="585"/>
        <v>36</v>
      </c>
      <c r="AA2081" s="40">
        <f t="shared" si="578"/>
        <v>2993000</v>
      </c>
      <c r="AB2081" s="53">
        <f t="shared" si="579"/>
        <v>100</v>
      </c>
      <c r="AC2081" s="35" t="str">
        <f t="shared" si="580"/>
        <v>%</v>
      </c>
      <c r="AD2081" s="895">
        <f t="shared" si="581"/>
        <v>0.13197812858276745</v>
      </c>
      <c r="AE2081" s="11"/>
    </row>
    <row r="2082" spans="1:32" ht="110.25">
      <c r="A2082" s="16"/>
      <c r="B2082" s="17"/>
      <c r="C2082" s="567" t="s">
        <v>1181</v>
      </c>
      <c r="D2082" s="19" t="s">
        <v>2415</v>
      </c>
      <c r="E2082" s="45">
        <v>100</v>
      </c>
      <c r="F2082" s="75" t="s">
        <v>58</v>
      </c>
      <c r="G2082" s="42">
        <f>SUM(G2083:G2085)</f>
        <v>1430731600</v>
      </c>
      <c r="H2082" s="74">
        <v>100</v>
      </c>
      <c r="I2082" s="42">
        <f>SUM(I2083:I2085)</f>
        <v>450267545</v>
      </c>
      <c r="J2082" s="74">
        <v>100</v>
      </c>
      <c r="K2082" s="42">
        <f>SUM(K2083:K2085)</f>
        <v>392911600</v>
      </c>
      <c r="L2082" s="74">
        <v>100</v>
      </c>
      <c r="M2082" s="42">
        <f>SUM(M2083:M2085)</f>
        <v>17446650</v>
      </c>
      <c r="N2082" s="74">
        <v>100</v>
      </c>
      <c r="O2082" s="42">
        <f>SUM(O2083:O2085)</f>
        <v>10169600</v>
      </c>
      <c r="P2082" s="74">
        <v>100</v>
      </c>
      <c r="Q2082" s="42">
        <f>SUM(Q2083:Q2085)</f>
        <v>73272464</v>
      </c>
      <c r="R2082" s="42">
        <f>SUM(R2083:R2085)</f>
        <v>16</v>
      </c>
      <c r="S2082" s="42">
        <f t="shared" ref="S2082" si="594">SUM(S2083:S2085)</f>
        <v>190676619</v>
      </c>
      <c r="T2082" s="55">
        <f>AVERAGE(L2082,N2082,P2082,R2082)</f>
        <v>79</v>
      </c>
      <c r="U2082" s="57">
        <f t="shared" si="593"/>
        <v>79</v>
      </c>
      <c r="V2082" s="58" t="s">
        <v>58</v>
      </c>
      <c r="W2082" s="59">
        <f t="shared" si="583"/>
        <v>291565333</v>
      </c>
      <c r="X2082" s="57">
        <f t="shared" si="577"/>
        <v>74.206343869715212</v>
      </c>
      <c r="Y2082" s="58" t="s">
        <v>58</v>
      </c>
      <c r="Z2082" s="55">
        <f t="shared" si="585"/>
        <v>179</v>
      </c>
      <c r="AA2082" s="59">
        <f t="shared" si="578"/>
        <v>741832878</v>
      </c>
      <c r="AB2082" s="53">
        <f t="shared" si="579"/>
        <v>179</v>
      </c>
      <c r="AC2082" s="58" t="str">
        <f t="shared" si="580"/>
        <v>%</v>
      </c>
      <c r="AD2082" s="895">
        <f t="shared" si="581"/>
        <v>0.51849898191945998</v>
      </c>
      <c r="AE2082" s="11"/>
    </row>
    <row r="2083" spans="1:32" ht="180">
      <c r="A2083" s="16"/>
      <c r="B2083" s="17"/>
      <c r="C2083" s="29" t="s">
        <v>2046</v>
      </c>
      <c r="D2083" s="29" t="s">
        <v>226</v>
      </c>
      <c r="E2083" s="20">
        <f>J2083*3</f>
        <v>84</v>
      </c>
      <c r="F2083" s="21" t="s">
        <v>138</v>
      </c>
      <c r="G2083" s="23">
        <v>423600000</v>
      </c>
      <c r="H2083" s="44">
        <v>28</v>
      </c>
      <c r="I2083" s="23">
        <v>46191545</v>
      </c>
      <c r="J2083" s="44">
        <v>28</v>
      </c>
      <c r="K2083" s="23">
        <v>125250000</v>
      </c>
      <c r="L2083" s="44">
        <v>1</v>
      </c>
      <c r="M2083" s="23">
        <v>11301650</v>
      </c>
      <c r="N2083" s="44">
        <v>13</v>
      </c>
      <c r="O2083" s="23">
        <v>6089600</v>
      </c>
      <c r="P2083" s="44">
        <v>0</v>
      </c>
      <c r="Q2083" s="23">
        <v>13805140</v>
      </c>
      <c r="R2083" s="44">
        <v>14</v>
      </c>
      <c r="S2083" s="23">
        <v>30547800</v>
      </c>
      <c r="T2083" s="54">
        <f t="shared" si="589"/>
        <v>28</v>
      </c>
      <c r="U2083" s="54">
        <f t="shared" si="593"/>
        <v>100</v>
      </c>
      <c r="V2083" s="35" t="s">
        <v>58</v>
      </c>
      <c r="W2083" s="40">
        <f t="shared" si="583"/>
        <v>61744190</v>
      </c>
      <c r="X2083" s="53">
        <f t="shared" si="577"/>
        <v>49.296758483033933</v>
      </c>
      <c r="Y2083" s="35" t="s">
        <v>58</v>
      </c>
      <c r="Z2083" s="54">
        <f t="shared" si="585"/>
        <v>56</v>
      </c>
      <c r="AA2083" s="40">
        <f t="shared" si="578"/>
        <v>107935735</v>
      </c>
      <c r="AB2083" s="53">
        <f t="shared" si="579"/>
        <v>66.666666666666657</v>
      </c>
      <c r="AC2083" s="35" t="str">
        <f t="shared" si="580"/>
        <v>%</v>
      </c>
      <c r="AD2083" s="895">
        <f t="shared" si="581"/>
        <v>0.25480579556185079</v>
      </c>
      <c r="AE2083" s="11"/>
      <c r="AF2083" s="34"/>
    </row>
    <row r="2084" spans="1:32" ht="105">
      <c r="A2084" s="16"/>
      <c r="B2084" s="17"/>
      <c r="C2084" s="29" t="s">
        <v>83</v>
      </c>
      <c r="D2084" s="29" t="s">
        <v>365</v>
      </c>
      <c r="E2084" s="20">
        <f>J2084*3</f>
        <v>3</v>
      </c>
      <c r="F2084" s="21" t="s">
        <v>138</v>
      </c>
      <c r="G2084" s="23">
        <v>930290000</v>
      </c>
      <c r="H2084" s="44">
        <v>1</v>
      </c>
      <c r="I2084" s="23">
        <v>394166000</v>
      </c>
      <c r="J2084" s="44">
        <v>1</v>
      </c>
      <c r="K2084" s="23">
        <v>240850000</v>
      </c>
      <c r="L2084" s="44">
        <v>0</v>
      </c>
      <c r="M2084" s="23">
        <v>6000000</v>
      </c>
      <c r="N2084" s="44">
        <v>0</v>
      </c>
      <c r="O2084" s="23">
        <v>3000000</v>
      </c>
      <c r="P2084" s="44">
        <v>0</v>
      </c>
      <c r="Q2084" s="23">
        <v>56624324</v>
      </c>
      <c r="R2084" s="44">
        <v>1</v>
      </c>
      <c r="S2084" s="23">
        <v>152743819</v>
      </c>
      <c r="T2084" s="54">
        <f t="shared" si="589"/>
        <v>1</v>
      </c>
      <c r="U2084" s="54">
        <f t="shared" si="593"/>
        <v>100</v>
      </c>
      <c r="V2084" s="35" t="s">
        <v>58</v>
      </c>
      <c r="W2084" s="40">
        <f t="shared" si="583"/>
        <v>218368143</v>
      </c>
      <c r="X2084" s="53">
        <f t="shared" si="577"/>
        <v>90.665618849906579</v>
      </c>
      <c r="Y2084" s="35" t="s">
        <v>58</v>
      </c>
      <c r="Z2084" s="54">
        <f t="shared" si="585"/>
        <v>2</v>
      </c>
      <c r="AA2084" s="40">
        <f t="shared" si="578"/>
        <v>612534143</v>
      </c>
      <c r="AB2084" s="53">
        <f t="shared" si="579"/>
        <v>66.666666666666657</v>
      </c>
      <c r="AC2084" s="35" t="str">
        <f t="shared" si="580"/>
        <v>%</v>
      </c>
      <c r="AD2084" s="895">
        <f t="shared" si="581"/>
        <v>0.65843354545356825</v>
      </c>
      <c r="AE2084" s="11"/>
      <c r="AF2084" s="34"/>
    </row>
    <row r="2085" spans="1:32" ht="135">
      <c r="A2085" s="16"/>
      <c r="B2085" s="17"/>
      <c r="C2085" s="61" t="s">
        <v>84</v>
      </c>
      <c r="D2085" s="360" t="s">
        <v>228</v>
      </c>
      <c r="E2085" s="20">
        <f>J2085*3</f>
        <v>3</v>
      </c>
      <c r="F2085" s="21" t="s">
        <v>138</v>
      </c>
      <c r="G2085" s="62">
        <v>76841600</v>
      </c>
      <c r="H2085" s="44"/>
      <c r="I2085" s="62">
        <v>9910000</v>
      </c>
      <c r="J2085" s="44">
        <v>1</v>
      </c>
      <c r="K2085" s="62">
        <v>26811600</v>
      </c>
      <c r="L2085" s="44">
        <v>0</v>
      </c>
      <c r="M2085" s="23">
        <v>145000</v>
      </c>
      <c r="N2085" s="20">
        <v>0</v>
      </c>
      <c r="O2085" s="23">
        <v>1080000</v>
      </c>
      <c r="P2085" s="20">
        <v>0</v>
      </c>
      <c r="Q2085" s="23">
        <v>2843000</v>
      </c>
      <c r="R2085" s="20">
        <v>1</v>
      </c>
      <c r="S2085" s="23">
        <v>7385000</v>
      </c>
      <c r="T2085" s="54">
        <f t="shared" si="589"/>
        <v>1</v>
      </c>
      <c r="U2085" s="54">
        <f t="shared" si="593"/>
        <v>100</v>
      </c>
      <c r="V2085" s="35" t="s">
        <v>58</v>
      </c>
      <c r="W2085" s="80">
        <f t="shared" si="583"/>
        <v>11453000</v>
      </c>
      <c r="X2085" s="53">
        <f t="shared" si="577"/>
        <v>42.71658535857614</v>
      </c>
      <c r="Y2085" s="35" t="s">
        <v>58</v>
      </c>
      <c r="Z2085" s="54">
        <f t="shared" si="585"/>
        <v>1</v>
      </c>
      <c r="AA2085" s="80">
        <f t="shared" si="578"/>
        <v>21363000</v>
      </c>
      <c r="AB2085" s="53">
        <f t="shared" si="579"/>
        <v>33.333333333333329</v>
      </c>
      <c r="AC2085" s="35" t="str">
        <f t="shared" si="580"/>
        <v>%</v>
      </c>
      <c r="AD2085" s="895">
        <f t="shared" si="581"/>
        <v>0.27801347186940406</v>
      </c>
      <c r="AE2085" s="11"/>
      <c r="AF2085" s="34"/>
    </row>
    <row r="2086" spans="1:32" ht="157.5">
      <c r="A2086" s="48">
        <v>19</v>
      </c>
      <c r="B2086" s="49" t="s">
        <v>30</v>
      </c>
      <c r="C2086" s="49" t="s">
        <v>2416</v>
      </c>
      <c r="D2086" s="19" t="s">
        <v>2417</v>
      </c>
      <c r="E2086" s="45">
        <v>18</v>
      </c>
      <c r="F2086" s="46" t="s">
        <v>58</v>
      </c>
      <c r="G2086" s="52">
        <f>SUM(G2090,G2097)</f>
        <v>3277374700</v>
      </c>
      <c r="H2086" s="107">
        <v>0</v>
      </c>
      <c r="I2086" s="52">
        <f>SUM(I2090,I2097)</f>
        <v>884845000</v>
      </c>
      <c r="J2086" s="45">
        <v>100</v>
      </c>
      <c r="K2086" s="52">
        <f>SUM(K2090,K2097)</f>
        <v>1177682500</v>
      </c>
      <c r="L2086" s="108">
        <v>0</v>
      </c>
      <c r="M2086" s="52">
        <f>SUM(M2090,M2097)</f>
        <v>151505000</v>
      </c>
      <c r="N2086" s="108">
        <v>0</v>
      </c>
      <c r="O2086" s="52">
        <f>SUM(O2090,O2097)</f>
        <v>60367500</v>
      </c>
      <c r="P2086" s="108">
        <v>0</v>
      </c>
      <c r="Q2086" s="52">
        <f>SUM(Q2090,Q2097)</f>
        <v>329080350</v>
      </c>
      <c r="R2086" s="52">
        <v>100</v>
      </c>
      <c r="S2086" s="52">
        <f t="shared" ref="S2086" si="595">SUM(S2090,S2097)</f>
        <v>513284650</v>
      </c>
      <c r="T2086" s="57">
        <f t="shared" si="589"/>
        <v>100</v>
      </c>
      <c r="U2086" s="57">
        <f t="shared" si="593"/>
        <v>100</v>
      </c>
      <c r="V2086" s="58" t="s">
        <v>58</v>
      </c>
      <c r="W2086" s="56">
        <f t="shared" si="583"/>
        <v>1054237500</v>
      </c>
      <c r="X2086" s="60">
        <f t="shared" si="577"/>
        <v>89.517972798271188</v>
      </c>
      <c r="Y2086" s="48" t="s">
        <v>58</v>
      </c>
      <c r="Z2086" s="57">
        <f t="shared" si="585"/>
        <v>100</v>
      </c>
      <c r="AA2086" s="56">
        <f t="shared" si="578"/>
        <v>1939082500</v>
      </c>
      <c r="AB2086" s="57">
        <f t="shared" si="579"/>
        <v>555.55555555555554</v>
      </c>
      <c r="AC2086" s="46" t="e">
        <f>#REF!</f>
        <v>#REF!</v>
      </c>
      <c r="AD2086" s="897">
        <f t="shared" si="581"/>
        <v>0.59165724932214803</v>
      </c>
      <c r="AE2086" s="11"/>
      <c r="AF2086" s="34"/>
    </row>
    <row r="2087" spans="1:32" ht="173.25">
      <c r="A2087" s="16"/>
      <c r="B2087" s="17"/>
      <c r="C2087" s="17"/>
      <c r="D2087" s="19" t="s">
        <v>2418</v>
      </c>
      <c r="E2087" s="45">
        <v>100</v>
      </c>
      <c r="F2087" s="46" t="s">
        <v>58</v>
      </c>
      <c r="G2087" s="97"/>
      <c r="H2087" s="108">
        <v>100</v>
      </c>
      <c r="I2087" s="97">
        <v>0</v>
      </c>
      <c r="J2087" s="45">
        <v>100</v>
      </c>
      <c r="K2087" s="97"/>
      <c r="L2087" s="108">
        <v>0</v>
      </c>
      <c r="M2087" s="97"/>
      <c r="N2087" s="108">
        <v>0</v>
      </c>
      <c r="O2087" s="97"/>
      <c r="P2087" s="108">
        <v>0</v>
      </c>
      <c r="Q2087" s="97"/>
      <c r="R2087" s="107">
        <v>0</v>
      </c>
      <c r="S2087" s="97">
        <v>0</v>
      </c>
      <c r="T2087" s="57">
        <f t="shared" si="589"/>
        <v>0</v>
      </c>
      <c r="U2087" s="55">
        <f t="shared" si="593"/>
        <v>0</v>
      </c>
      <c r="V2087" s="58" t="s">
        <v>58</v>
      </c>
      <c r="W2087" s="276"/>
      <c r="X2087" s="241"/>
      <c r="Y2087" s="16"/>
      <c r="Z2087" s="57">
        <f t="shared" si="585"/>
        <v>100</v>
      </c>
      <c r="AA2087" s="276">
        <f t="shared" si="578"/>
        <v>0</v>
      </c>
      <c r="AB2087" s="57">
        <f t="shared" si="579"/>
        <v>100</v>
      </c>
      <c r="AC2087" s="46" t="e">
        <f>#REF!</f>
        <v>#REF!</v>
      </c>
      <c r="AD2087" s="898"/>
      <c r="AE2087" s="11"/>
    </row>
    <row r="2088" spans="1:32" ht="173.25">
      <c r="A2088" s="16"/>
      <c r="B2088" s="17"/>
      <c r="C2088" s="17"/>
      <c r="D2088" s="19" t="s">
        <v>2419</v>
      </c>
      <c r="E2088" s="45">
        <v>72</v>
      </c>
      <c r="F2088" s="46" t="s">
        <v>58</v>
      </c>
      <c r="G2088" s="97"/>
      <c r="H2088" s="108">
        <v>199.49</v>
      </c>
      <c r="I2088" s="97">
        <v>0</v>
      </c>
      <c r="J2088" s="45">
        <v>100</v>
      </c>
      <c r="K2088" s="97"/>
      <c r="L2088" s="108">
        <v>100</v>
      </c>
      <c r="M2088" s="97"/>
      <c r="N2088" s="107">
        <v>0</v>
      </c>
      <c r="O2088" s="97"/>
      <c r="P2088" s="107">
        <v>0</v>
      </c>
      <c r="Q2088" s="97"/>
      <c r="R2088" s="107">
        <v>100</v>
      </c>
      <c r="S2088" s="97">
        <v>0</v>
      </c>
      <c r="T2088" s="57">
        <f t="shared" si="589"/>
        <v>200</v>
      </c>
      <c r="U2088" s="57">
        <f t="shared" si="593"/>
        <v>200</v>
      </c>
      <c r="V2088" s="58" t="s">
        <v>58</v>
      </c>
      <c r="W2088" s="276"/>
      <c r="X2088" s="241"/>
      <c r="Y2088" s="16"/>
      <c r="Z2088" s="57">
        <f t="shared" si="585"/>
        <v>399.49</v>
      </c>
      <c r="AA2088" s="276">
        <f t="shared" si="578"/>
        <v>0</v>
      </c>
      <c r="AB2088" s="57">
        <f t="shared" si="579"/>
        <v>554.84722222222217</v>
      </c>
      <c r="AC2088" s="46" t="e">
        <f>#REF!</f>
        <v>#REF!</v>
      </c>
      <c r="AD2088" s="898"/>
      <c r="AE2088" s="11"/>
      <c r="AF2088" s="124"/>
    </row>
    <row r="2089" spans="1:32" ht="173.25">
      <c r="A2089" s="16"/>
      <c r="B2089" s="18"/>
      <c r="C2089" s="18"/>
      <c r="D2089" s="19" t="s">
        <v>2420</v>
      </c>
      <c r="E2089" s="45">
        <v>100</v>
      </c>
      <c r="F2089" s="46" t="s">
        <v>58</v>
      </c>
      <c r="G2089" s="41"/>
      <c r="H2089" s="107">
        <v>23.68</v>
      </c>
      <c r="I2089" s="41">
        <v>0</v>
      </c>
      <c r="J2089" s="45">
        <v>100</v>
      </c>
      <c r="K2089" s="41"/>
      <c r="L2089" s="107">
        <v>23.68</v>
      </c>
      <c r="M2089" s="41"/>
      <c r="N2089" s="108">
        <v>0</v>
      </c>
      <c r="O2089" s="41"/>
      <c r="P2089" s="108">
        <v>0</v>
      </c>
      <c r="Q2089" s="41"/>
      <c r="R2089" s="107">
        <v>98.86</v>
      </c>
      <c r="S2089" s="41">
        <v>0</v>
      </c>
      <c r="T2089" s="57">
        <f t="shared" si="589"/>
        <v>122.53999999999999</v>
      </c>
      <c r="U2089" s="57">
        <f t="shared" si="593"/>
        <v>122.53999999999998</v>
      </c>
      <c r="V2089" s="58" t="s">
        <v>58</v>
      </c>
      <c r="W2089" s="94"/>
      <c r="X2089" s="239"/>
      <c r="Y2089" s="240"/>
      <c r="Z2089" s="57">
        <f t="shared" si="585"/>
        <v>146.22</v>
      </c>
      <c r="AA2089" s="94">
        <f t="shared" si="578"/>
        <v>0</v>
      </c>
      <c r="AB2089" s="57">
        <f t="shared" si="579"/>
        <v>146.22</v>
      </c>
      <c r="AC2089" s="46" t="e">
        <f>#REF!</f>
        <v>#REF!</v>
      </c>
      <c r="AD2089" s="899"/>
      <c r="AE2089" s="11"/>
      <c r="AF2089" s="125"/>
    </row>
    <row r="2090" spans="1:32" ht="126">
      <c r="A2090" s="16"/>
      <c r="B2090" s="17"/>
      <c r="C2090" s="18" t="s">
        <v>2421</v>
      </c>
      <c r="D2090" s="19" t="s">
        <v>2422</v>
      </c>
      <c r="E2090" s="45">
        <v>100</v>
      </c>
      <c r="F2090" s="46" t="s">
        <v>58</v>
      </c>
      <c r="G2090" s="42">
        <f>SUM(G2091:G2096)</f>
        <v>2709304700</v>
      </c>
      <c r="H2090" s="45">
        <v>29.409999999999997</v>
      </c>
      <c r="I2090" s="42">
        <f>SUM(I2091:I2096)</f>
        <v>726755000</v>
      </c>
      <c r="J2090" s="45">
        <v>100</v>
      </c>
      <c r="K2090" s="42">
        <f>SUM(K2091:K2096)</f>
        <v>910202500</v>
      </c>
      <c r="L2090" s="45">
        <v>11.03</v>
      </c>
      <c r="M2090" s="42">
        <f>SUM(M2091:M2096)</f>
        <v>72290000</v>
      </c>
      <c r="N2090" s="45">
        <f>(41/116)*100</f>
        <v>35.344827586206897</v>
      </c>
      <c r="O2090" s="42">
        <f>SUM(O2091:O2096)</f>
        <v>49712500</v>
      </c>
      <c r="P2090" s="45">
        <v>0</v>
      </c>
      <c r="Q2090" s="42">
        <f>SUM(Q2091:Q2096)</f>
        <v>233330350</v>
      </c>
      <c r="R2090" s="42">
        <f>SUM(R2091:R2096)</f>
        <v>14</v>
      </c>
      <c r="S2090" s="42">
        <f t="shared" ref="S2090" si="596">SUM(S2091:S2096)</f>
        <v>439932150</v>
      </c>
      <c r="T2090" s="57">
        <f t="shared" si="589"/>
        <v>60.374827586206898</v>
      </c>
      <c r="U2090" s="57">
        <f t="shared" si="593"/>
        <v>60.374827586206905</v>
      </c>
      <c r="V2090" s="58" t="s">
        <v>58</v>
      </c>
      <c r="W2090" s="59">
        <f t="shared" ref="W2090:W2120" si="597">SUM(M2090,O2090,Q2090,S2090)</f>
        <v>795265000</v>
      </c>
      <c r="X2090" s="57">
        <f t="shared" ref="X2090:X2120" si="598">W2090/K2090*100</f>
        <v>87.372315501220882</v>
      </c>
      <c r="Y2090" s="58" t="s">
        <v>58</v>
      </c>
      <c r="Z2090" s="55">
        <f t="shared" si="585"/>
        <v>89.784827586206887</v>
      </c>
      <c r="AA2090" s="59">
        <f t="shared" si="578"/>
        <v>1522020000</v>
      </c>
      <c r="AB2090" s="57">
        <f t="shared" si="579"/>
        <v>89.784827586206887</v>
      </c>
      <c r="AC2090" s="58" t="str">
        <f t="shared" ref="AC2090:AC2105" si="599">Y2090</f>
        <v>%</v>
      </c>
      <c r="AD2090" s="894">
        <f t="shared" ref="AD2090:AD2105" si="600">(AA2090/G2090)</f>
        <v>0.56177512998076595</v>
      </c>
      <c r="AE2090" s="77"/>
    </row>
    <row r="2091" spans="1:32" ht="105">
      <c r="A2091" s="16"/>
      <c r="B2091" s="17"/>
      <c r="C2091" s="29" t="s">
        <v>2423</v>
      </c>
      <c r="D2091" s="29" t="s">
        <v>2424</v>
      </c>
      <c r="E2091" s="20">
        <v>13</v>
      </c>
      <c r="F2091" s="21" t="s">
        <v>173</v>
      </c>
      <c r="G2091" s="23">
        <v>931080000</v>
      </c>
      <c r="H2091" s="20">
        <v>6</v>
      </c>
      <c r="I2091" s="23">
        <v>307195000</v>
      </c>
      <c r="J2091" s="20">
        <v>13</v>
      </c>
      <c r="K2091" s="23">
        <v>79165000</v>
      </c>
      <c r="L2091" s="20">
        <v>6</v>
      </c>
      <c r="M2091" s="23">
        <v>0</v>
      </c>
      <c r="N2091" s="20">
        <v>0</v>
      </c>
      <c r="O2091" s="23">
        <v>2845000</v>
      </c>
      <c r="P2091" s="20">
        <v>7</v>
      </c>
      <c r="Q2091" s="23">
        <v>11840000</v>
      </c>
      <c r="R2091" s="20">
        <v>0</v>
      </c>
      <c r="S2091" s="23">
        <v>55865000</v>
      </c>
      <c r="T2091" s="54">
        <f t="shared" si="589"/>
        <v>13</v>
      </c>
      <c r="U2091" s="54">
        <f t="shared" si="593"/>
        <v>100</v>
      </c>
      <c r="V2091" s="35" t="s">
        <v>58</v>
      </c>
      <c r="W2091" s="40">
        <f t="shared" si="597"/>
        <v>70550000</v>
      </c>
      <c r="X2091" s="53">
        <f t="shared" si="598"/>
        <v>89.117665635066004</v>
      </c>
      <c r="Y2091" s="35" t="s">
        <v>58</v>
      </c>
      <c r="Z2091" s="54">
        <f t="shared" si="585"/>
        <v>19</v>
      </c>
      <c r="AA2091" s="40">
        <f t="shared" si="578"/>
        <v>377745000</v>
      </c>
      <c r="AB2091" s="53">
        <f t="shared" si="579"/>
        <v>146.15384615384613</v>
      </c>
      <c r="AC2091" s="35" t="str">
        <f t="shared" si="599"/>
        <v>%</v>
      </c>
      <c r="AD2091" s="895">
        <f t="shared" si="600"/>
        <v>0.40570627658203379</v>
      </c>
      <c r="AE2091" s="11"/>
    </row>
    <row r="2092" spans="1:32" ht="105">
      <c r="A2092" s="16"/>
      <c r="B2092" s="17"/>
      <c r="C2092" s="29" t="s">
        <v>2425</v>
      </c>
      <c r="D2092" s="29" t="s">
        <v>2426</v>
      </c>
      <c r="E2092" s="20">
        <v>36</v>
      </c>
      <c r="F2092" s="21" t="s">
        <v>173</v>
      </c>
      <c r="G2092" s="23">
        <v>77480000</v>
      </c>
      <c r="H2092" s="20"/>
      <c r="I2092" s="23"/>
      <c r="J2092" s="20">
        <v>36</v>
      </c>
      <c r="K2092" s="23">
        <v>221245000</v>
      </c>
      <c r="L2092" s="20">
        <v>6</v>
      </c>
      <c r="M2092" s="23">
        <v>17750000</v>
      </c>
      <c r="N2092" s="20">
        <v>0</v>
      </c>
      <c r="O2092" s="23">
        <v>20000000</v>
      </c>
      <c r="P2092" s="20">
        <v>0</v>
      </c>
      <c r="Q2092" s="23">
        <v>15000000</v>
      </c>
      <c r="R2092" s="20">
        <v>0</v>
      </c>
      <c r="S2092" s="23">
        <v>130770000</v>
      </c>
      <c r="T2092" s="54">
        <f t="shared" si="589"/>
        <v>6</v>
      </c>
      <c r="U2092" s="54">
        <f t="shared" si="593"/>
        <v>16.666666666666664</v>
      </c>
      <c r="V2092" s="35" t="s">
        <v>58</v>
      </c>
      <c r="W2092" s="40">
        <f t="shared" si="597"/>
        <v>183520000</v>
      </c>
      <c r="X2092" s="53">
        <f t="shared" si="598"/>
        <v>82.948767203778615</v>
      </c>
      <c r="Y2092" s="35" t="s">
        <v>58</v>
      </c>
      <c r="Z2092" s="54">
        <f t="shared" si="585"/>
        <v>6</v>
      </c>
      <c r="AA2092" s="40">
        <f t="shared" si="578"/>
        <v>183520000</v>
      </c>
      <c r="AB2092" s="53">
        <f>(Z2092/E2092)*100</f>
        <v>16.666666666666664</v>
      </c>
      <c r="AC2092" s="35" t="str">
        <f t="shared" si="599"/>
        <v>%</v>
      </c>
      <c r="AD2092" s="895">
        <f t="shared" si="600"/>
        <v>2.3686112545172948</v>
      </c>
      <c r="AE2092" s="11"/>
    </row>
    <row r="2093" spans="1:32" ht="75">
      <c r="A2093" s="16"/>
      <c r="B2093" s="17"/>
      <c r="C2093" s="29" t="s">
        <v>2427</v>
      </c>
      <c r="D2093" s="29" t="s">
        <v>2428</v>
      </c>
      <c r="E2093" s="20">
        <v>3</v>
      </c>
      <c r="F2093" s="21" t="s">
        <v>173</v>
      </c>
      <c r="G2093" s="23">
        <v>1026464700</v>
      </c>
      <c r="H2093" s="20">
        <v>49</v>
      </c>
      <c r="I2093" s="23">
        <v>419560000</v>
      </c>
      <c r="J2093" s="20">
        <v>3</v>
      </c>
      <c r="K2093" s="23">
        <v>142945000</v>
      </c>
      <c r="L2093" s="20">
        <v>49</v>
      </c>
      <c r="M2093" s="23">
        <v>4905000</v>
      </c>
      <c r="N2093" s="20">
        <v>0</v>
      </c>
      <c r="O2093" s="23">
        <v>3260000</v>
      </c>
      <c r="P2093" s="20">
        <v>0</v>
      </c>
      <c r="Q2093" s="23">
        <v>10270000</v>
      </c>
      <c r="R2093" s="20">
        <v>0</v>
      </c>
      <c r="S2093" s="23">
        <v>122710000</v>
      </c>
      <c r="T2093" s="54">
        <f t="shared" si="589"/>
        <v>49</v>
      </c>
      <c r="U2093" s="54">
        <f t="shared" si="593"/>
        <v>1633.3333333333333</v>
      </c>
      <c r="V2093" s="35" t="s">
        <v>58</v>
      </c>
      <c r="W2093" s="40">
        <f t="shared" si="597"/>
        <v>141145000</v>
      </c>
      <c r="X2093" s="53">
        <f t="shared" si="598"/>
        <v>98.740774423729405</v>
      </c>
      <c r="Y2093" s="35" t="s">
        <v>58</v>
      </c>
      <c r="Z2093" s="54">
        <f t="shared" si="585"/>
        <v>98</v>
      </c>
      <c r="AA2093" s="40">
        <f t="shared" si="578"/>
        <v>560705000</v>
      </c>
      <c r="AB2093" s="54">
        <f t="shared" si="579"/>
        <v>3266.6666666666665</v>
      </c>
      <c r="AC2093" s="35" t="str">
        <f t="shared" si="599"/>
        <v>%</v>
      </c>
      <c r="AD2093" s="895">
        <f t="shared" si="600"/>
        <v>0.54624869223461847</v>
      </c>
      <c r="AE2093" s="11"/>
    </row>
    <row r="2094" spans="1:32" ht="75">
      <c r="A2094" s="16"/>
      <c r="B2094" s="17"/>
      <c r="C2094" s="29" t="s">
        <v>2429</v>
      </c>
      <c r="D2094" s="29" t="s">
        <v>2430</v>
      </c>
      <c r="E2094" s="20">
        <v>20</v>
      </c>
      <c r="F2094" s="21" t="s">
        <v>173</v>
      </c>
      <c r="G2094" s="23">
        <v>290190000</v>
      </c>
      <c r="H2094" s="20"/>
      <c r="I2094" s="23"/>
      <c r="J2094" s="20">
        <v>20</v>
      </c>
      <c r="K2094" s="23">
        <v>120210000</v>
      </c>
      <c r="L2094" s="20">
        <v>49</v>
      </c>
      <c r="M2094" s="23">
        <v>0</v>
      </c>
      <c r="N2094" s="20">
        <v>0</v>
      </c>
      <c r="O2094" s="23">
        <v>0</v>
      </c>
      <c r="P2094" s="20">
        <v>0</v>
      </c>
      <c r="Q2094" s="23">
        <v>4945000</v>
      </c>
      <c r="R2094" s="20">
        <v>0</v>
      </c>
      <c r="S2094" s="23">
        <v>89900000</v>
      </c>
      <c r="T2094" s="54">
        <f t="shared" si="589"/>
        <v>49</v>
      </c>
      <c r="U2094" s="54">
        <f t="shared" si="593"/>
        <v>245.00000000000003</v>
      </c>
      <c r="V2094" s="35" t="s">
        <v>58</v>
      </c>
      <c r="W2094" s="40">
        <f t="shared" si="597"/>
        <v>94845000</v>
      </c>
      <c r="X2094" s="53">
        <f t="shared" si="598"/>
        <v>78.899426004492142</v>
      </c>
      <c r="Y2094" s="35" t="s">
        <v>58</v>
      </c>
      <c r="Z2094" s="54">
        <f t="shared" si="585"/>
        <v>49</v>
      </c>
      <c r="AA2094" s="40">
        <f t="shared" si="578"/>
        <v>94845000</v>
      </c>
      <c r="AB2094" s="54">
        <f t="shared" si="579"/>
        <v>245.00000000000003</v>
      </c>
      <c r="AC2094" s="35" t="str">
        <f t="shared" si="599"/>
        <v>%</v>
      </c>
      <c r="AD2094" s="895">
        <f>(AA2094/G2094)</f>
        <v>0.32683758916571903</v>
      </c>
      <c r="AE2094" s="11"/>
    </row>
    <row r="2095" spans="1:32" ht="75">
      <c r="A2095" s="16"/>
      <c r="B2095" s="17"/>
      <c r="C2095" s="29" t="s">
        <v>2431</v>
      </c>
      <c r="D2095" s="29" t="s">
        <v>2432</v>
      </c>
      <c r="E2095" s="20">
        <v>47</v>
      </c>
      <c r="F2095" s="21" t="s">
        <v>173</v>
      </c>
      <c r="G2095" s="23">
        <v>375540000</v>
      </c>
      <c r="H2095" s="20"/>
      <c r="I2095" s="23"/>
      <c r="J2095" s="20">
        <v>47</v>
      </c>
      <c r="K2095" s="23">
        <v>334590000</v>
      </c>
      <c r="L2095" s="20">
        <v>3</v>
      </c>
      <c r="M2095" s="23">
        <v>49635000</v>
      </c>
      <c r="N2095" s="20">
        <v>25</v>
      </c>
      <c r="O2095" s="23">
        <v>22745000</v>
      </c>
      <c r="P2095" s="20">
        <v>8</v>
      </c>
      <c r="Q2095" s="23">
        <v>188325350</v>
      </c>
      <c r="R2095" s="20">
        <v>11</v>
      </c>
      <c r="S2095" s="23">
        <v>38274650</v>
      </c>
      <c r="T2095" s="54">
        <f t="shared" si="589"/>
        <v>47</v>
      </c>
      <c r="U2095" s="54">
        <f t="shared" si="593"/>
        <v>100</v>
      </c>
      <c r="V2095" s="35" t="s">
        <v>58</v>
      </c>
      <c r="W2095" s="40">
        <f t="shared" si="597"/>
        <v>298980000</v>
      </c>
      <c r="X2095" s="53">
        <f t="shared" si="598"/>
        <v>89.357123643862636</v>
      </c>
      <c r="Y2095" s="35" t="s">
        <v>58</v>
      </c>
      <c r="Z2095" s="54">
        <f t="shared" si="585"/>
        <v>47</v>
      </c>
      <c r="AA2095" s="40">
        <f t="shared" si="578"/>
        <v>298980000</v>
      </c>
      <c r="AB2095" s="54">
        <f t="shared" si="579"/>
        <v>100</v>
      </c>
      <c r="AC2095" s="35" t="str">
        <f t="shared" si="599"/>
        <v>%</v>
      </c>
      <c r="AD2095" s="895">
        <f t="shared" si="600"/>
        <v>0.79613356766256593</v>
      </c>
      <c r="AE2095" s="11"/>
    </row>
    <row r="2096" spans="1:32" ht="195">
      <c r="A2096" s="16"/>
      <c r="B2096" s="17"/>
      <c r="C2096" s="29" t="s">
        <v>2433</v>
      </c>
      <c r="D2096" s="29" t="s">
        <v>2434</v>
      </c>
      <c r="E2096" s="20">
        <v>12</v>
      </c>
      <c r="F2096" s="21" t="s">
        <v>173</v>
      </c>
      <c r="G2096" s="23">
        <v>8550000</v>
      </c>
      <c r="H2096" s="20"/>
      <c r="I2096" s="23"/>
      <c r="J2096" s="20">
        <v>12</v>
      </c>
      <c r="K2096" s="23">
        <v>12047500</v>
      </c>
      <c r="L2096" s="20">
        <v>3</v>
      </c>
      <c r="M2096" s="23">
        <v>0</v>
      </c>
      <c r="N2096" s="20">
        <v>3</v>
      </c>
      <c r="O2096" s="23">
        <v>862500</v>
      </c>
      <c r="P2096" s="20">
        <v>3</v>
      </c>
      <c r="Q2096" s="23">
        <v>2950000</v>
      </c>
      <c r="R2096" s="20">
        <v>3</v>
      </c>
      <c r="S2096" s="23">
        <v>2412500</v>
      </c>
      <c r="T2096" s="54">
        <f t="shared" si="589"/>
        <v>12</v>
      </c>
      <c r="U2096" s="54">
        <f t="shared" si="593"/>
        <v>100</v>
      </c>
      <c r="V2096" s="35" t="s">
        <v>58</v>
      </c>
      <c r="W2096" s="40">
        <f t="shared" si="597"/>
        <v>6225000</v>
      </c>
      <c r="X2096" s="53">
        <f t="shared" si="598"/>
        <v>51.670471052085496</v>
      </c>
      <c r="Y2096" s="35" t="s">
        <v>58</v>
      </c>
      <c r="Z2096" s="54">
        <f t="shared" si="585"/>
        <v>12</v>
      </c>
      <c r="AA2096" s="40">
        <f t="shared" si="578"/>
        <v>6225000</v>
      </c>
      <c r="AB2096" s="54">
        <f t="shared" si="579"/>
        <v>100</v>
      </c>
      <c r="AC2096" s="35" t="str">
        <f t="shared" si="599"/>
        <v>%</v>
      </c>
      <c r="AD2096" s="895">
        <f t="shared" si="600"/>
        <v>0.72807017543859653</v>
      </c>
      <c r="AE2096" s="11"/>
    </row>
    <row r="2097" spans="1:31" ht="110.25">
      <c r="A2097" s="16"/>
      <c r="B2097" s="17"/>
      <c r="C2097" s="19" t="s">
        <v>2435</v>
      </c>
      <c r="D2097" s="19" t="s">
        <v>2436</v>
      </c>
      <c r="E2097" s="45">
        <v>100</v>
      </c>
      <c r="F2097" s="46" t="s">
        <v>58</v>
      </c>
      <c r="G2097" s="42">
        <f>SUM(G2098:G2099)</f>
        <v>568070000</v>
      </c>
      <c r="H2097" s="45">
        <v>100</v>
      </c>
      <c r="I2097" s="42">
        <f>SUM(I2098:I2099)</f>
        <v>158090000</v>
      </c>
      <c r="J2097" s="45">
        <v>100</v>
      </c>
      <c r="K2097" s="42">
        <f>SUM(K2098:K2099)</f>
        <v>267480000</v>
      </c>
      <c r="L2097" s="45">
        <v>100</v>
      </c>
      <c r="M2097" s="42">
        <f>SUM(M2099)</f>
        <v>79215000</v>
      </c>
      <c r="N2097" s="45">
        <v>100</v>
      </c>
      <c r="O2097" s="42">
        <f>SUM(O2099)</f>
        <v>10655000</v>
      </c>
      <c r="P2097" s="45">
        <v>0</v>
      </c>
      <c r="Q2097" s="42">
        <f>SUM(Q2099)</f>
        <v>95750000</v>
      </c>
      <c r="R2097" s="42">
        <f>SUM(R2098:R2099)</f>
        <v>4</v>
      </c>
      <c r="S2097" s="42">
        <f>SUM(S2098:S2099)</f>
        <v>73352500</v>
      </c>
      <c r="T2097" s="55">
        <f>AVERAGE(L2097,N2097,P2097,R2097)</f>
        <v>51</v>
      </c>
      <c r="U2097" s="55">
        <f t="shared" si="593"/>
        <v>51</v>
      </c>
      <c r="V2097" s="58" t="s">
        <v>58</v>
      </c>
      <c r="W2097" s="59">
        <f t="shared" si="597"/>
        <v>258972500</v>
      </c>
      <c r="X2097" s="57">
        <f t="shared" si="598"/>
        <v>96.819388365485267</v>
      </c>
      <c r="Y2097" s="58" t="s">
        <v>58</v>
      </c>
      <c r="Z2097" s="55">
        <f t="shared" si="585"/>
        <v>151</v>
      </c>
      <c r="AA2097" s="59">
        <f t="shared" si="578"/>
        <v>417062500</v>
      </c>
      <c r="AB2097" s="54">
        <f t="shared" si="579"/>
        <v>151</v>
      </c>
      <c r="AC2097" s="58" t="str">
        <f t="shared" si="599"/>
        <v>%</v>
      </c>
      <c r="AD2097" s="895">
        <f t="shared" si="600"/>
        <v>0.73417448553875397</v>
      </c>
      <c r="AE2097" s="11"/>
    </row>
    <row r="2098" spans="1:31" ht="105">
      <c r="A2098" s="16"/>
      <c r="B2098" s="17"/>
      <c r="C2098" s="29" t="s">
        <v>2437</v>
      </c>
      <c r="D2098" s="29" t="s">
        <v>2438</v>
      </c>
      <c r="E2098" s="20">
        <v>2</v>
      </c>
      <c r="F2098" s="21" t="s">
        <v>173</v>
      </c>
      <c r="G2098" s="23">
        <v>8900000</v>
      </c>
      <c r="H2098" s="20"/>
      <c r="I2098" s="23"/>
      <c r="J2098" s="20">
        <v>2</v>
      </c>
      <c r="K2098" s="23">
        <v>8750000</v>
      </c>
      <c r="L2098" s="20">
        <v>1</v>
      </c>
      <c r="M2098" s="23">
        <v>0</v>
      </c>
      <c r="N2098" s="20">
        <v>1</v>
      </c>
      <c r="O2098" s="23">
        <v>0</v>
      </c>
      <c r="P2098" s="20">
        <v>1</v>
      </c>
      <c r="Q2098" s="23">
        <v>0</v>
      </c>
      <c r="R2098" s="20">
        <v>1</v>
      </c>
      <c r="S2098" s="23">
        <v>312500</v>
      </c>
      <c r="T2098" s="54">
        <f>AVERAGE(L2098,N2098,P2098,R2098)</f>
        <v>1</v>
      </c>
      <c r="U2098" s="54">
        <f t="shared" si="593"/>
        <v>50</v>
      </c>
      <c r="V2098" s="35" t="s">
        <v>58</v>
      </c>
      <c r="W2098" s="40">
        <f t="shared" si="597"/>
        <v>312500</v>
      </c>
      <c r="X2098" s="53">
        <f t="shared" si="598"/>
        <v>3.5714285714285712</v>
      </c>
      <c r="Y2098" s="35" t="s">
        <v>58</v>
      </c>
      <c r="Z2098" s="54">
        <f t="shared" si="585"/>
        <v>1</v>
      </c>
      <c r="AA2098" s="40">
        <f t="shared" si="578"/>
        <v>312500</v>
      </c>
      <c r="AB2098" s="53">
        <f t="shared" si="579"/>
        <v>50</v>
      </c>
      <c r="AC2098" s="35" t="str">
        <f t="shared" si="599"/>
        <v>%</v>
      </c>
      <c r="AD2098" s="895">
        <f t="shared" si="600"/>
        <v>3.51123595505618E-2</v>
      </c>
      <c r="AE2098" s="11"/>
    </row>
    <row r="2099" spans="1:31" ht="105">
      <c r="A2099" s="16"/>
      <c r="B2099" s="17"/>
      <c r="C2099" s="29" t="s">
        <v>2439</v>
      </c>
      <c r="D2099" s="29" t="s">
        <v>2440</v>
      </c>
      <c r="E2099" s="20">
        <v>12</v>
      </c>
      <c r="F2099" s="21" t="s">
        <v>173</v>
      </c>
      <c r="G2099" s="23">
        <v>559170000</v>
      </c>
      <c r="H2099" s="20">
        <v>1</v>
      </c>
      <c r="I2099" s="23">
        <v>158090000</v>
      </c>
      <c r="J2099" s="20">
        <v>12</v>
      </c>
      <c r="K2099" s="23">
        <v>258730000</v>
      </c>
      <c r="L2099" s="20">
        <v>3</v>
      </c>
      <c r="M2099" s="23">
        <v>79215000</v>
      </c>
      <c r="N2099" s="20">
        <v>3</v>
      </c>
      <c r="O2099" s="23">
        <v>10655000</v>
      </c>
      <c r="P2099" s="20">
        <v>3</v>
      </c>
      <c r="Q2099" s="23">
        <v>95750000</v>
      </c>
      <c r="R2099" s="20">
        <v>3</v>
      </c>
      <c r="S2099" s="23">
        <v>73040000</v>
      </c>
      <c r="T2099" s="54">
        <f t="shared" si="589"/>
        <v>12</v>
      </c>
      <c r="U2099" s="54">
        <f t="shared" si="593"/>
        <v>100</v>
      </c>
      <c r="V2099" s="35" t="s">
        <v>58</v>
      </c>
      <c r="W2099" s="40">
        <f t="shared" si="597"/>
        <v>258660000</v>
      </c>
      <c r="X2099" s="53">
        <f t="shared" si="598"/>
        <v>99.972944768677777</v>
      </c>
      <c r="Y2099" s="35" t="s">
        <v>58</v>
      </c>
      <c r="Z2099" s="54">
        <f t="shared" si="585"/>
        <v>13</v>
      </c>
      <c r="AA2099" s="40">
        <f t="shared" si="578"/>
        <v>416750000</v>
      </c>
      <c r="AB2099" s="53">
        <f t="shared" si="579"/>
        <v>108.33333333333333</v>
      </c>
      <c r="AC2099" s="35" t="str">
        <f t="shared" si="599"/>
        <v>%</v>
      </c>
      <c r="AD2099" s="895">
        <f t="shared" si="600"/>
        <v>0.74530107123057387</v>
      </c>
      <c r="AE2099" s="11"/>
    </row>
    <row r="2100" spans="1:31" ht="173.25">
      <c r="A2100" s="16"/>
      <c r="B2100" s="17"/>
      <c r="C2100" s="19" t="s">
        <v>2441</v>
      </c>
      <c r="D2100" s="19" t="s">
        <v>2442</v>
      </c>
      <c r="E2100" s="45">
        <v>100</v>
      </c>
      <c r="F2100" s="46" t="s">
        <v>58</v>
      </c>
      <c r="G2100" s="42">
        <f>SUM(G2101)</f>
        <v>2806552750</v>
      </c>
      <c r="H2100" s="45">
        <v>100</v>
      </c>
      <c r="I2100" s="42">
        <f>SUM(I2101)</f>
        <v>757838500</v>
      </c>
      <c r="J2100" s="45">
        <v>100</v>
      </c>
      <c r="K2100" s="42">
        <f>SUM(K2101)</f>
        <v>1154339100</v>
      </c>
      <c r="L2100" s="45">
        <v>100</v>
      </c>
      <c r="M2100" s="42">
        <f>SUM(M2101)</f>
        <v>135275000</v>
      </c>
      <c r="N2100" s="45">
        <v>100</v>
      </c>
      <c r="O2100" s="42">
        <f>SUM(O2101)</f>
        <v>178835250</v>
      </c>
      <c r="P2100" s="45">
        <v>0</v>
      </c>
      <c r="Q2100" s="42">
        <f>SUM(Q2101)</f>
        <v>212998000</v>
      </c>
      <c r="R2100" s="42">
        <f>SUM(R2101)</f>
        <v>40</v>
      </c>
      <c r="S2100" s="42">
        <f t="shared" ref="S2100" si="601">SUM(S2101)</f>
        <v>413434681</v>
      </c>
      <c r="T2100" s="55">
        <f>AVERAGE(L2100,N2100,P2100,R2100)</f>
        <v>60</v>
      </c>
      <c r="U2100" s="55">
        <f t="shared" si="593"/>
        <v>60</v>
      </c>
      <c r="V2100" s="58" t="s">
        <v>58</v>
      </c>
      <c r="W2100" s="59">
        <f t="shared" si="597"/>
        <v>940542931</v>
      </c>
      <c r="X2100" s="57">
        <f t="shared" si="598"/>
        <v>81.478911266195524</v>
      </c>
      <c r="Y2100" s="58" t="s">
        <v>58</v>
      </c>
      <c r="Z2100" s="55">
        <f t="shared" si="585"/>
        <v>160</v>
      </c>
      <c r="AA2100" s="59">
        <f t="shared" si="578"/>
        <v>1698381431</v>
      </c>
      <c r="AB2100" s="54">
        <f t="shared" si="579"/>
        <v>160</v>
      </c>
      <c r="AC2100" s="58" t="str">
        <f t="shared" si="599"/>
        <v>%</v>
      </c>
      <c r="AD2100" s="895">
        <f t="shared" si="600"/>
        <v>0.60514858699876561</v>
      </c>
      <c r="AE2100" s="77"/>
    </row>
    <row r="2101" spans="1:31" ht="110.25">
      <c r="A2101" s="16"/>
      <c r="B2101" s="17"/>
      <c r="C2101" s="19" t="s">
        <v>2443</v>
      </c>
      <c r="D2101" s="19" t="s">
        <v>2444</v>
      </c>
      <c r="E2101" s="45">
        <v>100</v>
      </c>
      <c r="F2101" s="46" t="s">
        <v>58</v>
      </c>
      <c r="G2101" s="42">
        <f>SUM(G2102:G2105)</f>
        <v>2806552750</v>
      </c>
      <c r="H2101" s="45">
        <v>100</v>
      </c>
      <c r="I2101" s="42">
        <f>SUM(I2102:I2105)</f>
        <v>757838500</v>
      </c>
      <c r="J2101" s="45">
        <v>100</v>
      </c>
      <c r="K2101" s="42">
        <f>SUM(K2102:K2105)</f>
        <v>1154339100</v>
      </c>
      <c r="L2101" s="45">
        <v>100</v>
      </c>
      <c r="M2101" s="42">
        <f>SUM(M2102,M2105)</f>
        <v>135275000</v>
      </c>
      <c r="N2101" s="45">
        <v>100</v>
      </c>
      <c r="O2101" s="42">
        <f>SUM(O2102,O2103,O2104,O2105)</f>
        <v>178835250</v>
      </c>
      <c r="P2101" s="45">
        <v>0</v>
      </c>
      <c r="Q2101" s="42">
        <f>SUM(Q2102,Q2103,Q2104,Q2105)</f>
        <v>212998000</v>
      </c>
      <c r="R2101" s="42">
        <f>SUM(R2102:R2105)</f>
        <v>40</v>
      </c>
      <c r="S2101" s="42">
        <f t="shared" ref="S2101" si="602">SUM(S2102,S2103,S2104,S2105)</f>
        <v>413434681</v>
      </c>
      <c r="T2101" s="55">
        <f>AVERAGE(L2101,N2101,P2101,R2101)</f>
        <v>60</v>
      </c>
      <c r="U2101" s="55">
        <f t="shared" si="593"/>
        <v>60</v>
      </c>
      <c r="V2101" s="58" t="s">
        <v>58</v>
      </c>
      <c r="W2101" s="59">
        <f t="shared" si="597"/>
        <v>940542931</v>
      </c>
      <c r="X2101" s="57">
        <f t="shared" si="598"/>
        <v>81.478911266195524</v>
      </c>
      <c r="Y2101" s="58" t="s">
        <v>58</v>
      </c>
      <c r="Z2101" s="55">
        <f t="shared" si="585"/>
        <v>160</v>
      </c>
      <c r="AA2101" s="59">
        <f t="shared" si="578"/>
        <v>1698381431</v>
      </c>
      <c r="AB2101" s="54">
        <f t="shared" si="579"/>
        <v>160</v>
      </c>
      <c r="AC2101" s="58" t="str">
        <f t="shared" si="599"/>
        <v>%</v>
      </c>
      <c r="AD2101" s="895">
        <f t="shared" si="600"/>
        <v>0.60514858699876561</v>
      </c>
      <c r="AE2101" s="11"/>
    </row>
    <row r="2102" spans="1:31" ht="150">
      <c r="A2102" s="72"/>
      <c r="B2102" s="73"/>
      <c r="C2102" s="29" t="s">
        <v>2445</v>
      </c>
      <c r="D2102" s="29" t="s">
        <v>2446</v>
      </c>
      <c r="E2102" s="20">
        <v>6</v>
      </c>
      <c r="F2102" s="21" t="s">
        <v>1307</v>
      </c>
      <c r="G2102" s="23">
        <v>1911230250</v>
      </c>
      <c r="H2102" s="20">
        <v>3</v>
      </c>
      <c r="I2102" s="23">
        <v>747213500</v>
      </c>
      <c r="J2102" s="20">
        <v>6</v>
      </c>
      <c r="K2102" s="23">
        <v>492776600</v>
      </c>
      <c r="L2102" s="20">
        <v>3</v>
      </c>
      <c r="M2102" s="23">
        <v>135275000</v>
      </c>
      <c r="N2102" s="20">
        <v>0</v>
      </c>
      <c r="O2102" s="23">
        <v>57250000</v>
      </c>
      <c r="P2102" s="20">
        <v>3</v>
      </c>
      <c r="Q2102" s="23">
        <v>90250000</v>
      </c>
      <c r="R2102" s="20">
        <v>0</v>
      </c>
      <c r="S2102" s="23">
        <v>124049681</v>
      </c>
      <c r="T2102" s="54">
        <f t="shared" si="589"/>
        <v>6</v>
      </c>
      <c r="U2102" s="54">
        <f t="shared" si="593"/>
        <v>100</v>
      </c>
      <c r="V2102" s="35" t="s">
        <v>58</v>
      </c>
      <c r="W2102" s="40">
        <f t="shared" si="597"/>
        <v>406824681</v>
      </c>
      <c r="X2102" s="53">
        <f t="shared" si="598"/>
        <v>82.557629765699104</v>
      </c>
      <c r="Y2102" s="35" t="s">
        <v>58</v>
      </c>
      <c r="Z2102" s="54">
        <f t="shared" si="585"/>
        <v>9</v>
      </c>
      <c r="AA2102" s="40">
        <f t="shared" si="578"/>
        <v>1154038181</v>
      </c>
      <c r="AB2102" s="54">
        <f t="shared" si="579"/>
        <v>150</v>
      </c>
      <c r="AC2102" s="35" t="str">
        <f t="shared" si="599"/>
        <v>%</v>
      </c>
      <c r="AD2102" s="895">
        <f t="shared" si="600"/>
        <v>0.60381954555187689</v>
      </c>
      <c r="AE2102" s="11"/>
    </row>
    <row r="2103" spans="1:31" ht="150">
      <c r="A2103" s="240"/>
      <c r="B2103" s="18"/>
      <c r="C2103" s="29" t="s">
        <v>2447</v>
      </c>
      <c r="D2103" s="29" t="s">
        <v>2448</v>
      </c>
      <c r="E2103" s="900">
        <v>39</v>
      </c>
      <c r="F2103" s="21" t="s">
        <v>1307</v>
      </c>
      <c r="G2103" s="23">
        <v>32750000</v>
      </c>
      <c r="H2103" s="20"/>
      <c r="I2103" s="23"/>
      <c r="J2103" s="20">
        <v>39</v>
      </c>
      <c r="K2103" s="23">
        <v>8550000</v>
      </c>
      <c r="L2103" s="20">
        <v>0</v>
      </c>
      <c r="M2103" s="23">
        <v>0</v>
      </c>
      <c r="N2103" s="20">
        <v>0</v>
      </c>
      <c r="O2103" s="23">
        <v>0</v>
      </c>
      <c r="P2103" s="20">
        <v>39</v>
      </c>
      <c r="Q2103" s="23">
        <v>1925000</v>
      </c>
      <c r="R2103" s="20">
        <v>0</v>
      </c>
      <c r="S2103" s="23">
        <v>4375000</v>
      </c>
      <c r="T2103" s="54">
        <f t="shared" si="589"/>
        <v>39</v>
      </c>
      <c r="U2103" s="53">
        <f t="shared" si="593"/>
        <v>100</v>
      </c>
      <c r="V2103" s="35" t="s">
        <v>58</v>
      </c>
      <c r="W2103" s="40">
        <f t="shared" si="597"/>
        <v>6300000</v>
      </c>
      <c r="X2103" s="53">
        <f t="shared" si="598"/>
        <v>73.68421052631578</v>
      </c>
      <c r="Y2103" s="35" t="s">
        <v>58</v>
      </c>
      <c r="Z2103" s="54">
        <f t="shared" si="585"/>
        <v>39</v>
      </c>
      <c r="AA2103" s="40">
        <f t="shared" si="578"/>
        <v>6300000</v>
      </c>
      <c r="AB2103" s="54">
        <f>(Z2103/E2103)*100</f>
        <v>100</v>
      </c>
      <c r="AC2103" s="35" t="str">
        <f t="shared" si="599"/>
        <v>%</v>
      </c>
      <c r="AD2103" s="895">
        <f t="shared" si="600"/>
        <v>0.19236641221374046</v>
      </c>
      <c r="AE2103" s="11"/>
    </row>
    <row r="2104" spans="1:31" ht="165">
      <c r="A2104" s="240"/>
      <c r="B2104" s="18"/>
      <c r="C2104" s="29" t="s">
        <v>2449</v>
      </c>
      <c r="D2104" s="29" t="s">
        <v>2450</v>
      </c>
      <c r="E2104" s="20">
        <v>1</v>
      </c>
      <c r="F2104" s="21" t="s">
        <v>56</v>
      </c>
      <c r="G2104" s="23">
        <v>559200000</v>
      </c>
      <c r="H2104" s="20"/>
      <c r="I2104" s="23"/>
      <c r="J2104" s="20">
        <v>1</v>
      </c>
      <c r="K2104" s="23">
        <v>640912500</v>
      </c>
      <c r="L2104" s="20">
        <v>1</v>
      </c>
      <c r="M2104" s="23">
        <v>0</v>
      </c>
      <c r="N2104" s="20">
        <v>1</v>
      </c>
      <c r="O2104" s="23">
        <v>121585250</v>
      </c>
      <c r="P2104" s="20">
        <v>1</v>
      </c>
      <c r="Q2104" s="23">
        <v>120823000</v>
      </c>
      <c r="R2104" s="20">
        <v>1</v>
      </c>
      <c r="S2104" s="23">
        <v>284360000</v>
      </c>
      <c r="T2104" s="54">
        <f t="shared" si="589"/>
        <v>4</v>
      </c>
      <c r="U2104" s="53">
        <f t="shared" si="593"/>
        <v>400</v>
      </c>
      <c r="V2104" s="35" t="s">
        <v>58</v>
      </c>
      <c r="W2104" s="40">
        <f t="shared" si="597"/>
        <v>526768250</v>
      </c>
      <c r="X2104" s="53">
        <f t="shared" si="598"/>
        <v>82.190353597409938</v>
      </c>
      <c r="Y2104" s="35" t="s">
        <v>58</v>
      </c>
      <c r="Z2104" s="54">
        <f t="shared" si="585"/>
        <v>4</v>
      </c>
      <c r="AA2104" s="40">
        <f t="shared" si="578"/>
        <v>526768250</v>
      </c>
      <c r="AB2104" s="54">
        <f t="shared" si="579"/>
        <v>400</v>
      </c>
      <c r="AC2104" s="35" t="str">
        <f t="shared" si="599"/>
        <v>%</v>
      </c>
      <c r="AD2104" s="895">
        <f t="shared" si="600"/>
        <v>0.94200330829756795</v>
      </c>
      <c r="AE2104" s="11"/>
    </row>
    <row r="2105" spans="1:31" ht="150">
      <c r="A2105" s="240"/>
      <c r="B2105" s="18"/>
      <c r="C2105" s="29" t="s">
        <v>2451</v>
      </c>
      <c r="D2105" s="29" t="s">
        <v>2452</v>
      </c>
      <c r="E2105" s="20">
        <v>3</v>
      </c>
      <c r="F2105" s="21" t="s">
        <v>1307</v>
      </c>
      <c r="G2105" s="23">
        <v>303372500</v>
      </c>
      <c r="H2105" s="20">
        <v>0</v>
      </c>
      <c r="I2105" s="23">
        <v>10625000</v>
      </c>
      <c r="J2105" s="20">
        <v>39</v>
      </c>
      <c r="K2105" s="23">
        <v>12100000</v>
      </c>
      <c r="L2105" s="20">
        <v>0</v>
      </c>
      <c r="M2105" s="23">
        <v>0</v>
      </c>
      <c r="N2105" s="20">
        <v>0</v>
      </c>
      <c r="O2105" s="23">
        <v>0</v>
      </c>
      <c r="P2105" s="20">
        <v>0</v>
      </c>
      <c r="Q2105" s="23">
        <v>0</v>
      </c>
      <c r="R2105" s="20">
        <v>39</v>
      </c>
      <c r="S2105" s="23">
        <v>650000</v>
      </c>
      <c r="T2105" s="54">
        <f t="shared" si="589"/>
        <v>39</v>
      </c>
      <c r="U2105" s="53">
        <f>T2105/J2105*100</f>
        <v>100</v>
      </c>
      <c r="V2105" s="35" t="s">
        <v>58</v>
      </c>
      <c r="W2105" s="40">
        <f t="shared" si="597"/>
        <v>650000</v>
      </c>
      <c r="X2105" s="53">
        <f t="shared" si="598"/>
        <v>5.3719008264462813</v>
      </c>
      <c r="Y2105" s="35" t="s">
        <v>58</v>
      </c>
      <c r="Z2105" s="54">
        <f t="shared" si="585"/>
        <v>39</v>
      </c>
      <c r="AA2105" s="40">
        <f t="shared" si="578"/>
        <v>11275000</v>
      </c>
      <c r="AB2105" s="54">
        <f t="shared" si="579"/>
        <v>1300</v>
      </c>
      <c r="AC2105" s="35" t="str">
        <f t="shared" si="599"/>
        <v>%</v>
      </c>
      <c r="AD2105" s="895">
        <f t="shared" si="600"/>
        <v>3.7165530824316638E-2</v>
      </c>
      <c r="AE2105" s="11"/>
    </row>
    <row r="2106" spans="1:31" ht="110.25">
      <c r="A2106" s="48">
        <v>1</v>
      </c>
      <c r="B2106" s="17" t="s">
        <v>29</v>
      </c>
      <c r="C2106" s="49" t="s">
        <v>68</v>
      </c>
      <c r="D2106" s="19" t="s">
        <v>143</v>
      </c>
      <c r="E2106" s="45">
        <v>100</v>
      </c>
      <c r="F2106" s="46" t="s">
        <v>58</v>
      </c>
      <c r="G2106" s="52"/>
      <c r="H2106" s="45">
        <v>100</v>
      </c>
      <c r="I2106" s="52">
        <f>I2107+I2110+I2115+I2123+I2127</f>
        <v>3464640147</v>
      </c>
      <c r="J2106" s="45">
        <v>100</v>
      </c>
      <c r="K2106" s="52">
        <f>K2107+K2110+K2115+K2123+K2127</f>
        <v>2828493440</v>
      </c>
      <c r="L2106" s="45">
        <v>0</v>
      </c>
      <c r="M2106" s="52"/>
      <c r="N2106" s="45"/>
      <c r="O2106" s="52"/>
      <c r="P2106" s="45"/>
      <c r="Q2106" s="52"/>
      <c r="R2106" s="45">
        <v>100</v>
      </c>
      <c r="S2106" s="52">
        <f>S2107+S2110+S2115+S2123+S2127</f>
        <v>2680460625</v>
      </c>
      <c r="T2106" s="55">
        <f t="shared" si="589"/>
        <v>100</v>
      </c>
      <c r="U2106" s="55">
        <f t="shared" ref="U2106:U2120" si="603">T2106/J2106*100</f>
        <v>100</v>
      </c>
      <c r="V2106" s="58" t="s">
        <v>58</v>
      </c>
      <c r="W2106" s="56">
        <f t="shared" si="597"/>
        <v>2680460625</v>
      </c>
      <c r="X2106" s="60">
        <f t="shared" si="598"/>
        <v>94.766372341312561</v>
      </c>
      <c r="Y2106" s="48" t="s">
        <v>58</v>
      </c>
      <c r="Z2106" s="55">
        <f t="shared" ref="Z2106:Z2129" si="604">SUM(H2106,T2106)</f>
        <v>200</v>
      </c>
      <c r="AA2106" s="56">
        <f t="shared" ref="AA2106:AA2148" si="605">SUM(I2106,W2106)</f>
        <v>6145100772</v>
      </c>
      <c r="AB2106" s="57"/>
      <c r="AC2106" s="48" t="s">
        <v>58</v>
      </c>
      <c r="AD2106" s="60"/>
      <c r="AE2106" s="397" t="s">
        <v>2549</v>
      </c>
    </row>
    <row r="2107" spans="1:31" ht="126">
      <c r="A2107" s="48">
        <v>2</v>
      </c>
      <c r="B2107" s="49" t="s">
        <v>30</v>
      </c>
      <c r="C2107" s="19" t="s">
        <v>309</v>
      </c>
      <c r="D2107" s="19" t="s">
        <v>139</v>
      </c>
      <c r="E2107" s="45">
        <f>SUM(E2108:E2109)</f>
        <v>45</v>
      </c>
      <c r="F2107" s="46" t="s">
        <v>55</v>
      </c>
      <c r="G2107" s="42"/>
      <c r="H2107" s="45">
        <f t="shared" ref="H2107:L2107" si="606">SUM(H2108:H2109)</f>
        <v>15</v>
      </c>
      <c r="I2107" s="42">
        <f t="shared" si="606"/>
        <v>8000000</v>
      </c>
      <c r="J2107" s="45">
        <f t="shared" si="606"/>
        <v>15</v>
      </c>
      <c r="K2107" s="42">
        <f t="shared" si="606"/>
        <v>7999700</v>
      </c>
      <c r="L2107" s="45">
        <f t="shared" si="606"/>
        <v>0</v>
      </c>
      <c r="M2107" s="42"/>
      <c r="N2107" s="45"/>
      <c r="O2107" s="42"/>
      <c r="P2107" s="45"/>
      <c r="Q2107" s="42"/>
      <c r="R2107" s="45">
        <f t="shared" ref="R2107:S2107" si="607">SUM(R2108:R2109)</f>
        <v>15</v>
      </c>
      <c r="S2107" s="42">
        <f t="shared" si="607"/>
        <v>7999700</v>
      </c>
      <c r="T2107" s="55">
        <f t="shared" si="589"/>
        <v>15</v>
      </c>
      <c r="U2107" s="55">
        <f t="shared" si="603"/>
        <v>100</v>
      </c>
      <c r="V2107" s="58" t="s">
        <v>58</v>
      </c>
      <c r="W2107" s="59">
        <f t="shared" si="597"/>
        <v>7999700</v>
      </c>
      <c r="X2107" s="57">
        <f t="shared" si="598"/>
        <v>100</v>
      </c>
      <c r="Y2107" s="58" t="s">
        <v>58</v>
      </c>
      <c r="Z2107" s="55">
        <f t="shared" si="604"/>
        <v>30</v>
      </c>
      <c r="AA2107" s="59">
        <f t="shared" si="605"/>
        <v>15999700</v>
      </c>
      <c r="AB2107" s="57"/>
      <c r="AC2107" s="58" t="s">
        <v>58</v>
      </c>
      <c r="AD2107" s="57"/>
      <c r="AE2107" s="77"/>
    </row>
    <row r="2108" spans="1:31" ht="75">
      <c r="A2108" s="16"/>
      <c r="B2108" s="17"/>
      <c r="C2108" s="26" t="s">
        <v>69</v>
      </c>
      <c r="D2108" s="29" t="s">
        <v>211</v>
      </c>
      <c r="E2108" s="20">
        <f>5*3</f>
        <v>15</v>
      </c>
      <c r="F2108" s="21" t="s">
        <v>55</v>
      </c>
      <c r="G2108" s="23"/>
      <c r="H2108" s="20">
        <v>5</v>
      </c>
      <c r="I2108" s="23">
        <v>6500000</v>
      </c>
      <c r="J2108" s="20">
        <v>5</v>
      </c>
      <c r="K2108" s="23">
        <v>7999700</v>
      </c>
      <c r="L2108" s="20">
        <v>0</v>
      </c>
      <c r="M2108" s="23"/>
      <c r="N2108" s="20"/>
      <c r="O2108" s="23"/>
      <c r="P2108" s="20"/>
      <c r="Q2108" s="23"/>
      <c r="R2108" s="20">
        <v>5</v>
      </c>
      <c r="S2108" s="23">
        <v>7999700</v>
      </c>
      <c r="T2108" s="54">
        <f t="shared" si="589"/>
        <v>5</v>
      </c>
      <c r="U2108" s="54">
        <f t="shared" si="603"/>
        <v>100</v>
      </c>
      <c r="V2108" s="35" t="s">
        <v>58</v>
      </c>
      <c r="W2108" s="40">
        <f t="shared" si="597"/>
        <v>7999700</v>
      </c>
      <c r="X2108" s="53">
        <f t="shared" si="598"/>
        <v>100</v>
      </c>
      <c r="Y2108" s="35" t="s">
        <v>58</v>
      </c>
      <c r="Z2108" s="54">
        <f t="shared" si="604"/>
        <v>10</v>
      </c>
      <c r="AA2108" s="40">
        <f t="shared" si="605"/>
        <v>14499700</v>
      </c>
      <c r="AB2108" s="53"/>
      <c r="AC2108" s="35" t="s">
        <v>58</v>
      </c>
      <c r="AD2108" s="53"/>
      <c r="AE2108" s="11"/>
    </row>
    <row r="2109" spans="1:31" ht="90">
      <c r="A2109" s="16"/>
      <c r="B2109" s="17"/>
      <c r="C2109" s="26" t="s">
        <v>70</v>
      </c>
      <c r="D2109" s="29" t="s">
        <v>212</v>
      </c>
      <c r="E2109" s="20">
        <f>10*3</f>
        <v>30</v>
      </c>
      <c r="F2109" s="21" t="s">
        <v>173</v>
      </c>
      <c r="G2109" s="41"/>
      <c r="H2109" s="20">
        <v>10</v>
      </c>
      <c r="I2109" s="28">
        <v>1500000</v>
      </c>
      <c r="J2109" s="20">
        <v>10</v>
      </c>
      <c r="K2109" s="28">
        <v>0</v>
      </c>
      <c r="L2109" s="20"/>
      <c r="M2109" s="28"/>
      <c r="N2109" s="20"/>
      <c r="O2109" s="28"/>
      <c r="P2109" s="20"/>
      <c r="Q2109" s="41"/>
      <c r="R2109" s="20">
        <v>10</v>
      </c>
      <c r="S2109" s="41">
        <v>0</v>
      </c>
      <c r="T2109" s="54">
        <f t="shared" si="589"/>
        <v>10</v>
      </c>
      <c r="U2109" s="54">
        <f t="shared" si="603"/>
        <v>100</v>
      </c>
      <c r="V2109" s="35" t="s">
        <v>58</v>
      </c>
      <c r="W2109" s="40">
        <f t="shared" si="597"/>
        <v>0</v>
      </c>
      <c r="X2109" s="53"/>
      <c r="Y2109" s="35" t="s">
        <v>58</v>
      </c>
      <c r="Z2109" s="54">
        <f t="shared" si="604"/>
        <v>20</v>
      </c>
      <c r="AA2109" s="40">
        <f t="shared" si="605"/>
        <v>1500000</v>
      </c>
      <c r="AB2109" s="53"/>
      <c r="AC2109" s="35" t="s">
        <v>58</v>
      </c>
      <c r="AD2109" s="53"/>
      <c r="AE2109" s="11"/>
    </row>
    <row r="2110" spans="1:31" ht="94.5">
      <c r="A2110" s="16"/>
      <c r="B2110" s="17"/>
      <c r="C2110" s="18" t="s">
        <v>71</v>
      </c>
      <c r="D2110" s="19" t="s">
        <v>140</v>
      </c>
      <c r="E2110" s="74">
        <f>SUM(E2112:E2114)</f>
        <v>42</v>
      </c>
      <c r="F2110" s="75" t="s">
        <v>55</v>
      </c>
      <c r="G2110" s="41"/>
      <c r="H2110" s="74">
        <f>SUM(H2112:H2114)</f>
        <v>14</v>
      </c>
      <c r="I2110" s="41">
        <f>SUM(I2111:I2114)</f>
        <v>3023789119</v>
      </c>
      <c r="J2110" s="74">
        <f>SUM(J2112:J2114)</f>
        <v>14</v>
      </c>
      <c r="K2110" s="41">
        <f>SUM(K2111:K2114)</f>
        <v>2235136440</v>
      </c>
      <c r="L2110" s="74">
        <f>SUM(L2112:L2114)</f>
        <v>0</v>
      </c>
      <c r="M2110" s="41"/>
      <c r="N2110" s="74"/>
      <c r="O2110" s="41"/>
      <c r="P2110" s="74"/>
      <c r="Q2110" s="41"/>
      <c r="R2110" s="74">
        <f>SUM(R2112:R2114)</f>
        <v>14</v>
      </c>
      <c r="S2110" s="41">
        <f>SUM(S2111:S2114)</f>
        <v>2126869519</v>
      </c>
      <c r="T2110" s="55">
        <f t="shared" si="589"/>
        <v>14</v>
      </c>
      <c r="U2110" s="55">
        <f t="shared" si="603"/>
        <v>100</v>
      </c>
      <c r="V2110" s="58" t="s">
        <v>58</v>
      </c>
      <c r="W2110" s="59">
        <f t="shared" si="597"/>
        <v>2126869519</v>
      </c>
      <c r="X2110" s="57">
        <f t="shared" si="598"/>
        <v>95.1561381639861</v>
      </c>
      <c r="Y2110" s="58" t="s">
        <v>58</v>
      </c>
      <c r="Z2110" s="55">
        <f t="shared" si="604"/>
        <v>28</v>
      </c>
      <c r="AA2110" s="59">
        <f t="shared" si="605"/>
        <v>5150658638</v>
      </c>
      <c r="AB2110" s="57"/>
      <c r="AC2110" s="58" t="s">
        <v>58</v>
      </c>
      <c r="AD2110" s="57"/>
      <c r="AE2110" s="24"/>
    </row>
    <row r="2111" spans="1:31" ht="90">
      <c r="A2111" s="16"/>
      <c r="B2111" s="17"/>
      <c r="C2111" s="26" t="s">
        <v>72</v>
      </c>
      <c r="D2111" s="26" t="s">
        <v>213</v>
      </c>
      <c r="E2111" s="43"/>
      <c r="F2111" s="27" t="s">
        <v>57</v>
      </c>
      <c r="G2111" s="23"/>
      <c r="H2111" s="43"/>
      <c r="I2111" s="23">
        <v>3018789119</v>
      </c>
      <c r="J2111" s="43">
        <v>20</v>
      </c>
      <c r="K2111" s="23">
        <v>2230137140</v>
      </c>
      <c r="L2111" s="43"/>
      <c r="M2111" s="23"/>
      <c r="N2111" s="43"/>
      <c r="O2111" s="23"/>
      <c r="P2111" s="43"/>
      <c r="Q2111" s="23"/>
      <c r="R2111" s="43">
        <v>20</v>
      </c>
      <c r="S2111" s="23">
        <v>2122369919</v>
      </c>
      <c r="T2111" s="54">
        <f t="shared" si="589"/>
        <v>20</v>
      </c>
      <c r="U2111" s="54">
        <f t="shared" si="603"/>
        <v>100</v>
      </c>
      <c r="V2111" s="35" t="s">
        <v>58</v>
      </c>
      <c r="W2111" s="40">
        <f t="shared" si="597"/>
        <v>2122369919</v>
      </c>
      <c r="X2111" s="53">
        <f t="shared" si="598"/>
        <v>95.167686369278613</v>
      </c>
      <c r="Y2111" s="35" t="s">
        <v>58</v>
      </c>
      <c r="Z2111" s="54">
        <f t="shared" si="604"/>
        <v>20</v>
      </c>
      <c r="AA2111" s="40">
        <f t="shared" si="605"/>
        <v>5141159038</v>
      </c>
      <c r="AB2111" s="53"/>
      <c r="AC2111" s="35" t="s">
        <v>58</v>
      </c>
      <c r="AD2111" s="53"/>
      <c r="AE2111" s="11"/>
    </row>
    <row r="2112" spans="1:31" ht="195">
      <c r="A2112" s="16"/>
      <c r="B2112" s="17"/>
      <c r="C2112" s="26" t="s">
        <v>73</v>
      </c>
      <c r="D2112" s="29" t="s">
        <v>214</v>
      </c>
      <c r="E2112" s="43">
        <f>1*3</f>
        <v>3</v>
      </c>
      <c r="F2112" s="27" t="s">
        <v>173</v>
      </c>
      <c r="G2112" s="23"/>
      <c r="H2112" s="43">
        <v>1</v>
      </c>
      <c r="I2112" s="23">
        <v>2000000</v>
      </c>
      <c r="J2112" s="43">
        <v>1</v>
      </c>
      <c r="K2112" s="23">
        <v>1999700</v>
      </c>
      <c r="L2112" s="43"/>
      <c r="M2112" s="23"/>
      <c r="N2112" s="43"/>
      <c r="O2112" s="23"/>
      <c r="P2112" s="43"/>
      <c r="Q2112" s="23"/>
      <c r="R2112" s="43">
        <v>1</v>
      </c>
      <c r="S2112" s="23">
        <v>1500000</v>
      </c>
      <c r="T2112" s="54">
        <f t="shared" si="589"/>
        <v>1</v>
      </c>
      <c r="U2112" s="54">
        <f t="shared" si="603"/>
        <v>100</v>
      </c>
      <c r="V2112" s="35" t="s">
        <v>58</v>
      </c>
      <c r="W2112" s="40">
        <f t="shared" si="597"/>
        <v>1500000</v>
      </c>
      <c r="X2112" s="53">
        <f t="shared" si="598"/>
        <v>75.011251687753173</v>
      </c>
      <c r="Y2112" s="35" t="s">
        <v>58</v>
      </c>
      <c r="Z2112" s="54">
        <f t="shared" si="604"/>
        <v>2</v>
      </c>
      <c r="AA2112" s="40">
        <f t="shared" si="605"/>
        <v>3500000</v>
      </c>
      <c r="AB2112" s="53"/>
      <c r="AC2112" s="35" t="s">
        <v>58</v>
      </c>
      <c r="AD2112" s="53"/>
      <c r="AE2112" s="11"/>
    </row>
    <row r="2113" spans="1:31" ht="210">
      <c r="A2113" s="16"/>
      <c r="B2113" s="17"/>
      <c r="C2113" s="26" t="s">
        <v>74</v>
      </c>
      <c r="D2113" s="29" t="s">
        <v>215</v>
      </c>
      <c r="E2113" s="43">
        <f>12*3</f>
        <v>36</v>
      </c>
      <c r="F2113" s="27" t="s">
        <v>173</v>
      </c>
      <c r="G2113" s="23"/>
      <c r="H2113" s="43">
        <v>12</v>
      </c>
      <c r="I2113" s="23">
        <v>1500000</v>
      </c>
      <c r="J2113" s="43">
        <v>12</v>
      </c>
      <c r="K2113" s="23">
        <v>1499800</v>
      </c>
      <c r="L2113" s="43"/>
      <c r="M2113" s="23"/>
      <c r="N2113" s="43"/>
      <c r="O2113" s="23"/>
      <c r="P2113" s="43"/>
      <c r="Q2113" s="23"/>
      <c r="R2113" s="43">
        <v>12</v>
      </c>
      <c r="S2113" s="23">
        <v>1499800</v>
      </c>
      <c r="T2113" s="54">
        <f t="shared" si="589"/>
        <v>12</v>
      </c>
      <c r="U2113" s="54">
        <f t="shared" si="603"/>
        <v>100</v>
      </c>
      <c r="V2113" s="35" t="s">
        <v>58</v>
      </c>
      <c r="W2113" s="40">
        <f t="shared" si="597"/>
        <v>1499800</v>
      </c>
      <c r="X2113" s="53">
        <f t="shared" si="598"/>
        <v>100</v>
      </c>
      <c r="Y2113" s="35" t="s">
        <v>58</v>
      </c>
      <c r="Z2113" s="54">
        <f t="shared" si="604"/>
        <v>24</v>
      </c>
      <c r="AA2113" s="40">
        <f t="shared" si="605"/>
        <v>2999800</v>
      </c>
      <c r="AB2113" s="53"/>
      <c r="AC2113" s="35" t="s">
        <v>58</v>
      </c>
      <c r="AD2113" s="53"/>
      <c r="AE2113" s="11"/>
    </row>
    <row r="2114" spans="1:31" ht="105">
      <c r="A2114" s="16"/>
      <c r="B2114" s="17"/>
      <c r="C2114" s="26" t="s">
        <v>75</v>
      </c>
      <c r="D2114" s="29" t="s">
        <v>216</v>
      </c>
      <c r="E2114" s="43">
        <f>1*3</f>
        <v>3</v>
      </c>
      <c r="F2114" s="27" t="s">
        <v>55</v>
      </c>
      <c r="G2114" s="23"/>
      <c r="H2114" s="43">
        <v>1</v>
      </c>
      <c r="I2114" s="23">
        <v>1500000</v>
      </c>
      <c r="J2114" s="43">
        <v>1</v>
      </c>
      <c r="K2114" s="23">
        <v>1499800</v>
      </c>
      <c r="L2114" s="43"/>
      <c r="M2114" s="23"/>
      <c r="N2114" s="43"/>
      <c r="O2114" s="23"/>
      <c r="P2114" s="43"/>
      <c r="Q2114" s="23"/>
      <c r="R2114" s="43">
        <v>1</v>
      </c>
      <c r="S2114" s="23">
        <v>1499800</v>
      </c>
      <c r="T2114" s="54">
        <f t="shared" si="589"/>
        <v>1</v>
      </c>
      <c r="U2114" s="54">
        <f t="shared" si="603"/>
        <v>100</v>
      </c>
      <c r="V2114" s="35" t="s">
        <v>58</v>
      </c>
      <c r="W2114" s="40">
        <f t="shared" si="597"/>
        <v>1499800</v>
      </c>
      <c r="X2114" s="53">
        <f t="shared" si="598"/>
        <v>100</v>
      </c>
      <c r="Y2114" s="35" t="s">
        <v>58</v>
      </c>
      <c r="Z2114" s="54">
        <f t="shared" si="604"/>
        <v>2</v>
      </c>
      <c r="AA2114" s="40">
        <f t="shared" si="605"/>
        <v>2999800</v>
      </c>
      <c r="AB2114" s="53"/>
      <c r="AC2114" s="35" t="s">
        <v>58</v>
      </c>
      <c r="AD2114" s="53"/>
      <c r="AE2114" s="11"/>
    </row>
    <row r="2115" spans="1:31" ht="94.5">
      <c r="A2115" s="16"/>
      <c r="B2115" s="17"/>
      <c r="C2115" s="17" t="s">
        <v>76</v>
      </c>
      <c r="D2115" s="19" t="s">
        <v>141</v>
      </c>
      <c r="E2115" s="74">
        <f>1*3</f>
        <v>3</v>
      </c>
      <c r="F2115" s="75" t="s">
        <v>55</v>
      </c>
      <c r="G2115" s="42"/>
      <c r="H2115" s="74">
        <v>1</v>
      </c>
      <c r="I2115" s="41">
        <f>SUM(I2116:I2120)</f>
        <v>284688798</v>
      </c>
      <c r="J2115" s="74">
        <v>1</v>
      </c>
      <c r="K2115" s="41">
        <f>SUM(K2116:K2120)</f>
        <v>408797700</v>
      </c>
      <c r="L2115" s="74">
        <v>0</v>
      </c>
      <c r="M2115" s="41"/>
      <c r="N2115" s="74"/>
      <c r="O2115" s="41"/>
      <c r="P2115" s="74"/>
      <c r="Q2115" s="41"/>
      <c r="R2115" s="74">
        <v>1</v>
      </c>
      <c r="S2115" s="41">
        <f>SUM(S2116:S2120)</f>
        <v>383402660</v>
      </c>
      <c r="T2115" s="55">
        <f t="shared" si="589"/>
        <v>1</v>
      </c>
      <c r="U2115" s="55">
        <f t="shared" si="603"/>
        <v>100</v>
      </c>
      <c r="V2115" s="58" t="s">
        <v>58</v>
      </c>
      <c r="W2115" s="59">
        <f t="shared" si="597"/>
        <v>383402660</v>
      </c>
      <c r="X2115" s="57">
        <f t="shared" si="598"/>
        <v>93.78787111571323</v>
      </c>
      <c r="Y2115" s="58" t="s">
        <v>58</v>
      </c>
      <c r="Z2115" s="55">
        <f t="shared" si="604"/>
        <v>2</v>
      </c>
      <c r="AA2115" s="59">
        <f t="shared" si="605"/>
        <v>668091458</v>
      </c>
      <c r="AB2115" s="57"/>
      <c r="AC2115" s="58" t="s">
        <v>58</v>
      </c>
      <c r="AD2115" s="57"/>
      <c r="AE2115" s="77"/>
    </row>
    <row r="2116" spans="1:31" ht="120">
      <c r="A2116" s="16"/>
      <c r="B2116" s="17"/>
      <c r="C2116" s="29" t="s">
        <v>342</v>
      </c>
      <c r="D2116" s="29" t="s">
        <v>343</v>
      </c>
      <c r="E2116" s="20">
        <f t="shared" ref="E2116:E2120" si="608">12*3</f>
        <v>36</v>
      </c>
      <c r="F2116" s="21" t="s">
        <v>59</v>
      </c>
      <c r="G2116" s="42"/>
      <c r="H2116" s="20">
        <v>12</v>
      </c>
      <c r="I2116" s="23">
        <v>5450000</v>
      </c>
      <c r="J2116" s="20">
        <v>12</v>
      </c>
      <c r="K2116" s="23">
        <v>5499300</v>
      </c>
      <c r="L2116" s="20"/>
      <c r="M2116" s="23"/>
      <c r="N2116" s="20"/>
      <c r="O2116" s="23"/>
      <c r="P2116" s="20"/>
      <c r="Q2116" s="23"/>
      <c r="R2116" s="20">
        <v>12</v>
      </c>
      <c r="S2116" s="23">
        <v>5400000</v>
      </c>
      <c r="T2116" s="54">
        <f t="shared" si="589"/>
        <v>12</v>
      </c>
      <c r="U2116" s="54">
        <f t="shared" si="603"/>
        <v>100</v>
      </c>
      <c r="V2116" s="35" t="s">
        <v>58</v>
      </c>
      <c r="W2116" s="40">
        <f t="shared" si="597"/>
        <v>5400000</v>
      </c>
      <c r="X2116" s="53">
        <f t="shared" si="598"/>
        <v>98.194315640172377</v>
      </c>
      <c r="Y2116" s="35" t="s">
        <v>58</v>
      </c>
      <c r="Z2116" s="54">
        <f t="shared" si="604"/>
        <v>24</v>
      </c>
      <c r="AA2116" s="40">
        <f t="shared" si="605"/>
        <v>10850000</v>
      </c>
      <c r="AB2116" s="53"/>
      <c r="AC2116" s="35" t="s">
        <v>58</v>
      </c>
      <c r="AD2116" s="53"/>
      <c r="AE2116" s="11"/>
    </row>
    <row r="2117" spans="1:31" ht="90">
      <c r="A2117" s="16"/>
      <c r="B2117" s="17"/>
      <c r="C2117" s="29" t="s">
        <v>345</v>
      </c>
      <c r="D2117" s="29" t="s">
        <v>217</v>
      </c>
      <c r="E2117" s="20">
        <f t="shared" si="608"/>
        <v>36</v>
      </c>
      <c r="F2117" s="21" t="s">
        <v>59</v>
      </c>
      <c r="G2117" s="23"/>
      <c r="H2117" s="20">
        <v>12</v>
      </c>
      <c r="I2117" s="23">
        <v>29798000</v>
      </c>
      <c r="J2117" s="20">
        <v>12</v>
      </c>
      <c r="K2117" s="23">
        <v>216373500</v>
      </c>
      <c r="L2117" s="20"/>
      <c r="M2117" s="23"/>
      <c r="N2117" s="20"/>
      <c r="O2117" s="23"/>
      <c r="P2117" s="20"/>
      <c r="Q2117" s="23"/>
      <c r="R2117" s="20">
        <v>12</v>
      </c>
      <c r="S2117" s="23">
        <v>216072700</v>
      </c>
      <c r="T2117" s="54">
        <f t="shared" si="589"/>
        <v>12</v>
      </c>
      <c r="U2117" s="54">
        <f t="shared" si="603"/>
        <v>100</v>
      </c>
      <c r="V2117" s="35" t="s">
        <v>58</v>
      </c>
      <c r="W2117" s="40">
        <f t="shared" si="597"/>
        <v>216072700</v>
      </c>
      <c r="X2117" s="53">
        <f t="shared" si="598"/>
        <v>99.860981127541038</v>
      </c>
      <c r="Y2117" s="35" t="s">
        <v>58</v>
      </c>
      <c r="Z2117" s="54">
        <f t="shared" si="604"/>
        <v>24</v>
      </c>
      <c r="AA2117" s="40">
        <f t="shared" si="605"/>
        <v>245870700</v>
      </c>
      <c r="AB2117" s="53"/>
      <c r="AC2117" s="35" t="s">
        <v>58</v>
      </c>
      <c r="AD2117" s="53"/>
      <c r="AE2117" s="11"/>
    </row>
    <row r="2118" spans="1:31" ht="75">
      <c r="A2118" s="16"/>
      <c r="B2118" s="17"/>
      <c r="C2118" s="29" t="s">
        <v>347</v>
      </c>
      <c r="D2118" s="26" t="s">
        <v>218</v>
      </c>
      <c r="E2118" s="20">
        <f t="shared" si="608"/>
        <v>36</v>
      </c>
      <c r="F2118" s="21" t="s">
        <v>59</v>
      </c>
      <c r="G2118" s="23"/>
      <c r="H2118" s="20">
        <v>12</v>
      </c>
      <c r="I2118" s="23">
        <v>43750000</v>
      </c>
      <c r="J2118" s="20">
        <v>12</v>
      </c>
      <c r="K2118" s="23">
        <v>31900000</v>
      </c>
      <c r="L2118" s="20"/>
      <c r="M2118" s="23"/>
      <c r="N2118" s="20"/>
      <c r="O2118" s="23"/>
      <c r="P2118" s="20"/>
      <c r="Q2118" s="23"/>
      <c r="R2118" s="20">
        <v>12</v>
      </c>
      <c r="S2118" s="23">
        <v>30280000</v>
      </c>
      <c r="T2118" s="54">
        <f t="shared" si="589"/>
        <v>12</v>
      </c>
      <c r="U2118" s="54">
        <f t="shared" si="603"/>
        <v>100</v>
      </c>
      <c r="V2118" s="35" t="s">
        <v>58</v>
      </c>
      <c r="W2118" s="40">
        <f t="shared" si="597"/>
        <v>30280000</v>
      </c>
      <c r="X2118" s="53">
        <f t="shared" si="598"/>
        <v>94.921630094043891</v>
      </c>
      <c r="Y2118" s="35" t="s">
        <v>58</v>
      </c>
      <c r="Z2118" s="54">
        <f t="shared" si="604"/>
        <v>24</v>
      </c>
      <c r="AA2118" s="40">
        <f t="shared" si="605"/>
        <v>74030000</v>
      </c>
      <c r="AB2118" s="53"/>
      <c r="AC2118" s="35" t="s">
        <v>58</v>
      </c>
      <c r="AD2118" s="53"/>
      <c r="AE2118" s="11"/>
    </row>
    <row r="2119" spans="1:31" ht="90">
      <c r="A2119" s="16"/>
      <c r="B2119" s="17"/>
      <c r="C2119" s="29" t="s">
        <v>349</v>
      </c>
      <c r="D2119" s="26" t="s">
        <v>219</v>
      </c>
      <c r="E2119" s="20">
        <f t="shared" si="608"/>
        <v>36</v>
      </c>
      <c r="F2119" s="21" t="s">
        <v>59</v>
      </c>
      <c r="G2119" s="23"/>
      <c r="H2119" s="20">
        <v>12</v>
      </c>
      <c r="I2119" s="23">
        <v>19921100</v>
      </c>
      <c r="J2119" s="20">
        <v>12</v>
      </c>
      <c r="K2119" s="23">
        <v>21024900</v>
      </c>
      <c r="L2119" s="20"/>
      <c r="M2119" s="23"/>
      <c r="N2119" s="20"/>
      <c r="O2119" s="23"/>
      <c r="P2119" s="20"/>
      <c r="Q2119" s="23"/>
      <c r="R2119" s="20">
        <v>12</v>
      </c>
      <c r="S2119" s="23">
        <v>16317350</v>
      </c>
      <c r="T2119" s="54">
        <f t="shared" si="589"/>
        <v>12</v>
      </c>
      <c r="U2119" s="54">
        <f t="shared" si="603"/>
        <v>100</v>
      </c>
      <c r="V2119" s="35" t="s">
        <v>58</v>
      </c>
      <c r="W2119" s="40">
        <f t="shared" si="597"/>
        <v>16317350</v>
      </c>
      <c r="X2119" s="53">
        <f t="shared" si="598"/>
        <v>77.609643803299903</v>
      </c>
      <c r="Y2119" s="35" t="s">
        <v>58</v>
      </c>
      <c r="Z2119" s="54">
        <f t="shared" si="604"/>
        <v>24</v>
      </c>
      <c r="AA2119" s="40">
        <f t="shared" si="605"/>
        <v>36238450</v>
      </c>
      <c r="AB2119" s="53"/>
      <c r="AC2119" s="35" t="s">
        <v>58</v>
      </c>
      <c r="AD2119" s="53"/>
      <c r="AE2119" s="11"/>
    </row>
    <row r="2120" spans="1:31" ht="120">
      <c r="A2120" s="16"/>
      <c r="B2120" s="17"/>
      <c r="C2120" s="29" t="s">
        <v>77</v>
      </c>
      <c r="D2120" s="26" t="s">
        <v>220</v>
      </c>
      <c r="E2120" s="20">
        <f t="shared" si="608"/>
        <v>36</v>
      </c>
      <c r="F2120" s="21" t="s">
        <v>173</v>
      </c>
      <c r="G2120" s="23"/>
      <c r="H2120" s="20">
        <v>12</v>
      </c>
      <c r="I2120" s="23">
        <v>185769698</v>
      </c>
      <c r="J2120" s="20">
        <v>12</v>
      </c>
      <c r="K2120" s="23">
        <v>134000000</v>
      </c>
      <c r="L2120" s="20"/>
      <c r="M2120" s="23"/>
      <c r="N2120" s="20"/>
      <c r="O2120" s="23"/>
      <c r="P2120" s="20"/>
      <c r="Q2120" s="23"/>
      <c r="R2120" s="20">
        <v>12</v>
      </c>
      <c r="S2120" s="23">
        <v>115332610</v>
      </c>
      <c r="T2120" s="54">
        <f t="shared" si="589"/>
        <v>12</v>
      </c>
      <c r="U2120" s="54">
        <f t="shared" si="603"/>
        <v>100</v>
      </c>
      <c r="V2120" s="35" t="s">
        <v>58</v>
      </c>
      <c r="W2120" s="40">
        <f t="shared" si="597"/>
        <v>115332610</v>
      </c>
      <c r="X2120" s="53">
        <f t="shared" si="598"/>
        <v>86.069111940298498</v>
      </c>
      <c r="Y2120" s="35" t="s">
        <v>58</v>
      </c>
      <c r="Z2120" s="54">
        <f t="shared" si="604"/>
        <v>24</v>
      </c>
      <c r="AA2120" s="40">
        <f t="shared" si="605"/>
        <v>301102308</v>
      </c>
      <c r="AB2120" s="53"/>
      <c r="AC2120" s="35" t="s">
        <v>58</v>
      </c>
      <c r="AD2120" s="53"/>
      <c r="AE2120" s="11"/>
    </row>
    <row r="2121" spans="1:31" ht="110.25">
      <c r="A2121" s="16"/>
      <c r="B2121" s="17"/>
      <c r="C2121" s="19" t="s">
        <v>78</v>
      </c>
      <c r="D2121" s="19" t="s">
        <v>142</v>
      </c>
      <c r="E2121" s="74">
        <v>100</v>
      </c>
      <c r="F2121" s="75" t="s">
        <v>58</v>
      </c>
      <c r="G2121" s="42"/>
      <c r="H2121" s="74">
        <v>100</v>
      </c>
      <c r="I2121" s="41">
        <f>SUM(I2122)</f>
        <v>800000</v>
      </c>
      <c r="J2121" s="74"/>
      <c r="K2121" s="41"/>
      <c r="L2121" s="74"/>
      <c r="M2121" s="41"/>
      <c r="N2121" s="74"/>
      <c r="O2121" s="41"/>
      <c r="P2121" s="74"/>
      <c r="Q2121" s="41"/>
      <c r="R2121" s="74"/>
      <c r="S2121" s="41"/>
      <c r="T2121" s="55"/>
      <c r="U2121" s="55"/>
      <c r="V2121" s="58"/>
      <c r="W2121" s="59"/>
      <c r="X2121" s="57"/>
      <c r="Y2121" s="58"/>
      <c r="Z2121" s="55">
        <f t="shared" si="604"/>
        <v>100</v>
      </c>
      <c r="AA2121" s="59">
        <f t="shared" si="605"/>
        <v>800000</v>
      </c>
      <c r="AB2121" s="57"/>
      <c r="AC2121" s="58" t="s">
        <v>58</v>
      </c>
      <c r="AD2121" s="57"/>
      <c r="AE2121" s="77"/>
    </row>
    <row r="2122" spans="1:31" ht="120">
      <c r="A2122" s="16"/>
      <c r="B2122" s="17"/>
      <c r="C2122" s="29" t="s">
        <v>1283</v>
      </c>
      <c r="D2122" s="29" t="s">
        <v>1284</v>
      </c>
      <c r="E2122" s="20">
        <f>12*3</f>
        <v>36</v>
      </c>
      <c r="F2122" s="21" t="s">
        <v>138</v>
      </c>
      <c r="G2122" s="23"/>
      <c r="H2122" s="20">
        <v>12</v>
      </c>
      <c r="I2122" s="23">
        <v>800000</v>
      </c>
      <c r="J2122" s="20"/>
      <c r="K2122" s="23"/>
      <c r="L2122" s="20"/>
      <c r="M2122" s="23"/>
      <c r="N2122" s="20"/>
      <c r="O2122" s="23"/>
      <c r="P2122" s="20"/>
      <c r="Q2122" s="23"/>
      <c r="R2122" s="20"/>
      <c r="S2122" s="23"/>
      <c r="T2122" s="54"/>
      <c r="U2122" s="54"/>
      <c r="V2122" s="35"/>
      <c r="W2122" s="40"/>
      <c r="X2122" s="53"/>
      <c r="Y2122" s="35"/>
      <c r="Z2122" s="54">
        <f t="shared" si="604"/>
        <v>12</v>
      </c>
      <c r="AA2122" s="40">
        <f t="shared" si="605"/>
        <v>800000</v>
      </c>
      <c r="AB2122" s="53"/>
      <c r="AC2122" s="35" t="s">
        <v>58</v>
      </c>
      <c r="AD2122" s="53"/>
      <c r="AE2122" s="11"/>
    </row>
    <row r="2123" spans="1:31" ht="94.5">
      <c r="A2123" s="16"/>
      <c r="B2123" s="17"/>
      <c r="C2123" s="19" t="s">
        <v>79</v>
      </c>
      <c r="D2123" s="19" t="s">
        <v>142</v>
      </c>
      <c r="E2123" s="74">
        <v>100</v>
      </c>
      <c r="F2123" s="75" t="s">
        <v>58</v>
      </c>
      <c r="G2123" s="42"/>
      <c r="H2123" s="74">
        <v>100</v>
      </c>
      <c r="I2123" s="41">
        <f>SUM(I2124:I2126)</f>
        <v>55559330</v>
      </c>
      <c r="J2123" s="74">
        <v>100</v>
      </c>
      <c r="K2123" s="41">
        <f>SUM(K2124:K2126)</f>
        <v>127359600</v>
      </c>
      <c r="L2123" s="74">
        <v>0</v>
      </c>
      <c r="M2123" s="41"/>
      <c r="N2123" s="74"/>
      <c r="O2123" s="41"/>
      <c r="P2123" s="74"/>
      <c r="Q2123" s="41"/>
      <c r="R2123" s="74">
        <v>100</v>
      </c>
      <c r="S2123" s="41">
        <f>SUM(S2124:S2126)</f>
        <v>117324946</v>
      </c>
      <c r="T2123" s="55">
        <f t="shared" ref="T2123:T2128" si="609">SUM(L2123,N2123,P2123,R2123)</f>
        <v>100</v>
      </c>
      <c r="U2123" s="55">
        <f t="shared" ref="U2123:U2128" si="610">T2123/J2123*100</f>
        <v>100</v>
      </c>
      <c r="V2123" s="58" t="s">
        <v>58</v>
      </c>
      <c r="W2123" s="59">
        <f t="shared" ref="W2123:W2128" si="611">SUM(M2123,O2123,Q2123,S2123)</f>
        <v>117324946</v>
      </c>
      <c r="X2123" s="57">
        <f t="shared" ref="X2123:X2128" si="612">W2123/K2123*100</f>
        <v>92.121006975524423</v>
      </c>
      <c r="Y2123" s="58" t="s">
        <v>58</v>
      </c>
      <c r="Z2123" s="55">
        <f t="shared" si="604"/>
        <v>200</v>
      </c>
      <c r="AA2123" s="59">
        <f t="shared" si="605"/>
        <v>172884276</v>
      </c>
      <c r="AB2123" s="57"/>
      <c r="AC2123" s="58" t="s">
        <v>58</v>
      </c>
      <c r="AD2123" s="57"/>
      <c r="AE2123" s="77"/>
    </row>
    <row r="2124" spans="1:31" ht="75">
      <c r="A2124" s="16"/>
      <c r="B2124" s="17"/>
      <c r="C2124" s="29" t="s">
        <v>86</v>
      </c>
      <c r="D2124" s="29" t="s">
        <v>222</v>
      </c>
      <c r="E2124" s="20">
        <f t="shared" ref="E2124:E2126" si="613">12*3</f>
        <v>36</v>
      </c>
      <c r="F2124" s="21" t="s">
        <v>173</v>
      </c>
      <c r="G2124" s="23"/>
      <c r="H2124" s="20">
        <v>12</v>
      </c>
      <c r="I2124" s="23">
        <v>6820000</v>
      </c>
      <c r="J2124" s="20">
        <v>12</v>
      </c>
      <c r="K2124" s="23">
        <v>1359600</v>
      </c>
      <c r="L2124" s="20"/>
      <c r="M2124" s="23"/>
      <c r="N2124" s="20"/>
      <c r="O2124" s="23"/>
      <c r="P2124" s="20"/>
      <c r="Q2124" s="23"/>
      <c r="R2124" s="20">
        <v>12</v>
      </c>
      <c r="S2124" s="23">
        <v>1350000</v>
      </c>
      <c r="T2124" s="54">
        <f t="shared" si="609"/>
        <v>12</v>
      </c>
      <c r="U2124" s="54">
        <f t="shared" si="610"/>
        <v>100</v>
      </c>
      <c r="V2124" s="35" t="s">
        <v>58</v>
      </c>
      <c r="W2124" s="40">
        <f t="shared" si="611"/>
        <v>1350000</v>
      </c>
      <c r="X2124" s="53">
        <f t="shared" si="612"/>
        <v>99.293909973521622</v>
      </c>
      <c r="Y2124" s="35" t="s">
        <v>58</v>
      </c>
      <c r="Z2124" s="54">
        <f t="shared" si="604"/>
        <v>24</v>
      </c>
      <c r="AA2124" s="40">
        <f t="shared" si="605"/>
        <v>8170000</v>
      </c>
      <c r="AB2124" s="53"/>
      <c r="AC2124" s="35" t="s">
        <v>58</v>
      </c>
      <c r="AD2124" s="53"/>
      <c r="AE2124" s="11"/>
    </row>
    <row r="2125" spans="1:31" ht="135">
      <c r="A2125" s="16"/>
      <c r="B2125" s="17"/>
      <c r="C2125" s="29" t="s">
        <v>357</v>
      </c>
      <c r="D2125" s="29" t="s">
        <v>223</v>
      </c>
      <c r="E2125" s="382">
        <f t="shared" si="613"/>
        <v>36</v>
      </c>
      <c r="F2125" s="21" t="s">
        <v>173</v>
      </c>
      <c r="G2125" s="42"/>
      <c r="H2125" s="382">
        <v>12</v>
      </c>
      <c r="I2125" s="23">
        <v>34147180</v>
      </c>
      <c r="J2125" s="382">
        <v>12</v>
      </c>
      <c r="K2125" s="23">
        <v>17050000</v>
      </c>
      <c r="L2125" s="382"/>
      <c r="M2125" s="23"/>
      <c r="N2125" s="382"/>
      <c r="O2125" s="23"/>
      <c r="P2125" s="382"/>
      <c r="Q2125" s="23"/>
      <c r="R2125" s="382">
        <v>12</v>
      </c>
      <c r="S2125" s="23">
        <v>13613546</v>
      </c>
      <c r="T2125" s="54">
        <f t="shared" si="609"/>
        <v>12</v>
      </c>
      <c r="U2125" s="54">
        <f t="shared" si="610"/>
        <v>100</v>
      </c>
      <c r="V2125" s="35" t="s">
        <v>58</v>
      </c>
      <c r="W2125" s="40">
        <f t="shared" si="611"/>
        <v>13613546</v>
      </c>
      <c r="X2125" s="53">
        <f t="shared" si="612"/>
        <v>79.844844574780055</v>
      </c>
      <c r="Y2125" s="35" t="s">
        <v>58</v>
      </c>
      <c r="Z2125" s="54">
        <f t="shared" si="604"/>
        <v>24</v>
      </c>
      <c r="AA2125" s="40">
        <f t="shared" si="605"/>
        <v>47760726</v>
      </c>
      <c r="AB2125" s="53"/>
      <c r="AC2125" s="35" t="s">
        <v>58</v>
      </c>
      <c r="AD2125" s="53"/>
      <c r="AE2125" s="11"/>
    </row>
    <row r="2126" spans="1:31" ht="120">
      <c r="A2126" s="16"/>
      <c r="B2126" s="17"/>
      <c r="C2126" s="29" t="s">
        <v>80</v>
      </c>
      <c r="D2126" s="29" t="s">
        <v>224</v>
      </c>
      <c r="E2126" s="20">
        <f t="shared" si="613"/>
        <v>36</v>
      </c>
      <c r="F2126" s="21" t="s">
        <v>173</v>
      </c>
      <c r="G2126" s="23"/>
      <c r="H2126" s="20">
        <v>12</v>
      </c>
      <c r="I2126" s="23">
        <v>14592150</v>
      </c>
      <c r="J2126" s="20">
        <v>12</v>
      </c>
      <c r="K2126" s="23">
        <v>108950000</v>
      </c>
      <c r="L2126" s="20"/>
      <c r="M2126" s="23"/>
      <c r="N2126" s="20"/>
      <c r="O2126" s="23"/>
      <c r="P2126" s="20"/>
      <c r="Q2126" s="23"/>
      <c r="R2126" s="20">
        <v>12</v>
      </c>
      <c r="S2126" s="23">
        <v>102361400</v>
      </c>
      <c r="T2126" s="54">
        <f t="shared" si="609"/>
        <v>12</v>
      </c>
      <c r="U2126" s="54">
        <f t="shared" si="610"/>
        <v>100</v>
      </c>
      <c r="V2126" s="35" t="s">
        <v>58</v>
      </c>
      <c r="W2126" s="40">
        <f t="shared" si="611"/>
        <v>102361400</v>
      </c>
      <c r="X2126" s="53">
        <f t="shared" si="612"/>
        <v>93.952638825149151</v>
      </c>
      <c r="Y2126" s="35" t="s">
        <v>58</v>
      </c>
      <c r="Z2126" s="54">
        <f t="shared" si="604"/>
        <v>24</v>
      </c>
      <c r="AA2126" s="40">
        <f t="shared" si="605"/>
        <v>116953550</v>
      </c>
      <c r="AB2126" s="53"/>
      <c r="AC2126" s="35" t="s">
        <v>58</v>
      </c>
      <c r="AD2126" s="53"/>
      <c r="AE2126" s="11"/>
    </row>
    <row r="2127" spans="1:31" ht="110.25">
      <c r="A2127" s="16"/>
      <c r="B2127" s="17"/>
      <c r="C2127" s="19" t="s">
        <v>81</v>
      </c>
      <c r="D2127" s="19" t="s">
        <v>142</v>
      </c>
      <c r="E2127" s="74">
        <v>100</v>
      </c>
      <c r="F2127" s="75" t="s">
        <v>58</v>
      </c>
      <c r="G2127" s="42"/>
      <c r="H2127" s="74">
        <v>100</v>
      </c>
      <c r="I2127" s="41">
        <f>SUM(I2128:I2128)</f>
        <v>92602900</v>
      </c>
      <c r="J2127" s="74">
        <v>100</v>
      </c>
      <c r="K2127" s="41">
        <f>SUM(K2128:K2128)</f>
        <v>49200000</v>
      </c>
      <c r="L2127" s="74">
        <v>25</v>
      </c>
      <c r="M2127" s="41"/>
      <c r="N2127" s="74"/>
      <c r="O2127" s="41"/>
      <c r="P2127" s="74"/>
      <c r="Q2127" s="41"/>
      <c r="R2127" s="74">
        <v>100</v>
      </c>
      <c r="S2127" s="41">
        <f>SUM(S2128:S2128)</f>
        <v>44863800</v>
      </c>
      <c r="T2127" s="55">
        <f t="shared" si="609"/>
        <v>125</v>
      </c>
      <c r="U2127" s="55">
        <f t="shared" si="610"/>
        <v>125</v>
      </c>
      <c r="V2127" s="58" t="s">
        <v>58</v>
      </c>
      <c r="W2127" s="59">
        <f t="shared" si="611"/>
        <v>44863800</v>
      </c>
      <c r="X2127" s="57">
        <f t="shared" si="612"/>
        <v>91.186585365853659</v>
      </c>
      <c r="Y2127" s="58" t="s">
        <v>58</v>
      </c>
      <c r="Z2127" s="55">
        <f t="shared" si="604"/>
        <v>225</v>
      </c>
      <c r="AA2127" s="59">
        <f t="shared" si="605"/>
        <v>137466700</v>
      </c>
      <c r="AB2127" s="57"/>
      <c r="AC2127" s="58" t="s">
        <v>58</v>
      </c>
      <c r="AD2127" s="57"/>
      <c r="AE2127" s="77"/>
    </row>
    <row r="2128" spans="1:31" ht="180">
      <c r="A2128" s="16"/>
      <c r="B2128" s="17"/>
      <c r="C2128" s="29" t="s">
        <v>82</v>
      </c>
      <c r="D2128" s="29" t="s">
        <v>226</v>
      </c>
      <c r="E2128" s="20">
        <f t="shared" ref="E2128" si="614">12*3</f>
        <v>36</v>
      </c>
      <c r="F2128" s="21" t="s">
        <v>138</v>
      </c>
      <c r="G2128" s="23"/>
      <c r="H2128" s="20">
        <v>12</v>
      </c>
      <c r="I2128" s="23">
        <v>92602900</v>
      </c>
      <c r="J2128" s="20">
        <v>12</v>
      </c>
      <c r="K2128" s="23">
        <v>49200000</v>
      </c>
      <c r="L2128" s="20">
        <v>3</v>
      </c>
      <c r="M2128" s="23"/>
      <c r="N2128" s="20"/>
      <c r="O2128" s="23"/>
      <c r="P2128" s="20"/>
      <c r="Q2128" s="23"/>
      <c r="R2128" s="20">
        <v>12</v>
      </c>
      <c r="S2128" s="23">
        <v>44863800</v>
      </c>
      <c r="T2128" s="54">
        <f t="shared" si="609"/>
        <v>15</v>
      </c>
      <c r="U2128" s="54">
        <f t="shared" si="610"/>
        <v>125</v>
      </c>
      <c r="V2128" s="35" t="s">
        <v>58</v>
      </c>
      <c r="W2128" s="40">
        <f t="shared" si="611"/>
        <v>44863800</v>
      </c>
      <c r="X2128" s="53">
        <f t="shared" si="612"/>
        <v>91.186585365853659</v>
      </c>
      <c r="Y2128" s="35" t="s">
        <v>58</v>
      </c>
      <c r="Z2128" s="54">
        <f t="shared" si="604"/>
        <v>27</v>
      </c>
      <c r="AA2128" s="40">
        <f t="shared" si="605"/>
        <v>137466700</v>
      </c>
      <c r="AB2128" s="53"/>
      <c r="AC2128" s="35" t="s">
        <v>58</v>
      </c>
      <c r="AD2128" s="53"/>
      <c r="AE2128" s="11"/>
    </row>
    <row r="2129" spans="1:31" ht="120">
      <c r="A2129" s="16"/>
      <c r="B2129" s="17"/>
      <c r="C2129" s="26" t="s">
        <v>83</v>
      </c>
      <c r="D2129" s="29" t="s">
        <v>2550</v>
      </c>
      <c r="E2129" s="20">
        <v>1</v>
      </c>
      <c r="F2129" s="21" t="s">
        <v>138</v>
      </c>
      <c r="G2129" s="23"/>
      <c r="H2129" s="20">
        <v>1</v>
      </c>
      <c r="I2129" s="23">
        <v>116614360</v>
      </c>
      <c r="J2129" s="20"/>
      <c r="K2129" s="23"/>
      <c r="L2129" s="20"/>
      <c r="M2129" s="23"/>
      <c r="N2129" s="20"/>
      <c r="O2129" s="23"/>
      <c r="P2129" s="20"/>
      <c r="Q2129" s="23"/>
      <c r="R2129" s="20"/>
      <c r="S2129" s="23"/>
      <c r="T2129" s="54"/>
      <c r="U2129" s="54"/>
      <c r="V2129" s="35"/>
      <c r="W2129" s="40"/>
      <c r="X2129" s="53"/>
      <c r="Y2129" s="35"/>
      <c r="Z2129" s="54">
        <f t="shared" si="604"/>
        <v>1</v>
      </c>
      <c r="AA2129" s="40">
        <f t="shared" si="605"/>
        <v>116614360</v>
      </c>
      <c r="AB2129" s="53"/>
      <c r="AC2129" s="35" t="s">
        <v>58</v>
      </c>
      <c r="AD2129" s="53"/>
      <c r="AE2129" s="11"/>
    </row>
    <row r="2130" spans="1:31" ht="157.5">
      <c r="A2130" s="16"/>
      <c r="B2130" s="17"/>
      <c r="C2130" s="18" t="s">
        <v>2551</v>
      </c>
      <c r="D2130" s="19" t="s">
        <v>2552</v>
      </c>
      <c r="E2130" s="45"/>
      <c r="F2130" s="46"/>
      <c r="G2130" s="42"/>
      <c r="H2130" s="45">
        <v>0</v>
      </c>
      <c r="I2130" s="42">
        <f>I2131</f>
        <v>486685000</v>
      </c>
      <c r="J2130" s="45"/>
      <c r="K2130" s="42"/>
      <c r="L2130" s="45"/>
      <c r="M2130" s="42"/>
      <c r="N2130" s="45"/>
      <c r="O2130" s="42"/>
      <c r="P2130" s="45"/>
      <c r="Q2130" s="42"/>
      <c r="R2130" s="45"/>
      <c r="S2130" s="42"/>
      <c r="T2130" s="55"/>
      <c r="U2130" s="55"/>
      <c r="V2130" s="58"/>
      <c r="W2130" s="59"/>
      <c r="X2130" s="57"/>
      <c r="Y2130" s="58"/>
      <c r="Z2130" s="55">
        <f>H2130</f>
        <v>0</v>
      </c>
      <c r="AA2130" s="59">
        <f t="shared" si="605"/>
        <v>486685000</v>
      </c>
      <c r="AB2130" s="57"/>
      <c r="AC2130" s="58" t="s">
        <v>58</v>
      </c>
      <c r="AD2130" s="57"/>
      <c r="AE2130" s="77"/>
    </row>
    <row r="2131" spans="1:31" ht="204.75">
      <c r="A2131" s="16"/>
      <c r="B2131" s="17"/>
      <c r="C2131" s="18" t="s">
        <v>2553</v>
      </c>
      <c r="D2131" s="19"/>
      <c r="E2131" s="45"/>
      <c r="F2131" s="46"/>
      <c r="G2131" s="42"/>
      <c r="H2131" s="45">
        <v>0</v>
      </c>
      <c r="I2131" s="42">
        <f>SUM(I2132:I2133)</f>
        <v>486685000</v>
      </c>
      <c r="J2131" s="45"/>
      <c r="K2131" s="42"/>
      <c r="L2131" s="45"/>
      <c r="M2131" s="42"/>
      <c r="N2131" s="45"/>
      <c r="O2131" s="42"/>
      <c r="P2131" s="45"/>
      <c r="Q2131" s="42"/>
      <c r="R2131" s="45"/>
      <c r="S2131" s="42"/>
      <c r="T2131" s="55"/>
      <c r="U2131" s="55"/>
      <c r="V2131" s="58"/>
      <c r="W2131" s="59"/>
      <c r="X2131" s="57"/>
      <c r="Y2131" s="58"/>
      <c r="Z2131" s="55">
        <f t="shared" ref="Z2131:Z2133" si="615">H2131</f>
        <v>0</v>
      </c>
      <c r="AA2131" s="59">
        <f t="shared" si="605"/>
        <v>486685000</v>
      </c>
      <c r="AB2131" s="57"/>
      <c r="AC2131" s="58" t="s">
        <v>58</v>
      </c>
      <c r="AD2131" s="57"/>
      <c r="AE2131" s="77"/>
    </row>
    <row r="2132" spans="1:31" ht="270">
      <c r="A2132" s="16"/>
      <c r="B2132" s="17"/>
      <c r="C2132" s="26" t="s">
        <v>2554</v>
      </c>
      <c r="D2132" s="29" t="s">
        <v>2555</v>
      </c>
      <c r="E2132" s="20"/>
      <c r="F2132" s="21" t="s">
        <v>55</v>
      </c>
      <c r="G2132" s="23"/>
      <c r="H2132" s="20">
        <v>0</v>
      </c>
      <c r="I2132" s="23">
        <v>406685000</v>
      </c>
      <c r="J2132" s="20"/>
      <c r="K2132" s="23"/>
      <c r="L2132" s="20"/>
      <c r="M2132" s="23"/>
      <c r="N2132" s="20"/>
      <c r="O2132" s="23"/>
      <c r="P2132" s="20"/>
      <c r="Q2132" s="23"/>
      <c r="R2132" s="20"/>
      <c r="S2132" s="23"/>
      <c r="T2132" s="54"/>
      <c r="U2132" s="54"/>
      <c r="V2132" s="35"/>
      <c r="W2132" s="40"/>
      <c r="X2132" s="53"/>
      <c r="Y2132" s="35"/>
      <c r="Z2132" s="54">
        <f t="shared" si="615"/>
        <v>0</v>
      </c>
      <c r="AA2132" s="40">
        <f t="shared" si="605"/>
        <v>406685000</v>
      </c>
      <c r="AB2132" s="53"/>
      <c r="AC2132" s="35" t="s">
        <v>58</v>
      </c>
      <c r="AD2132" s="53"/>
      <c r="AE2132" s="11"/>
    </row>
    <row r="2133" spans="1:31" ht="285">
      <c r="A2133" s="16"/>
      <c r="B2133" s="17"/>
      <c r="C2133" s="26" t="s">
        <v>2556</v>
      </c>
      <c r="D2133" s="29" t="s">
        <v>2557</v>
      </c>
      <c r="E2133" s="20"/>
      <c r="F2133" s="21" t="s">
        <v>173</v>
      </c>
      <c r="G2133" s="23"/>
      <c r="H2133" s="20"/>
      <c r="I2133" s="23">
        <v>80000000</v>
      </c>
      <c r="J2133" s="20"/>
      <c r="K2133" s="23"/>
      <c r="L2133" s="20"/>
      <c r="M2133" s="23"/>
      <c r="N2133" s="20"/>
      <c r="O2133" s="23"/>
      <c r="P2133" s="20"/>
      <c r="Q2133" s="23"/>
      <c r="R2133" s="20"/>
      <c r="S2133" s="23"/>
      <c r="T2133" s="54"/>
      <c r="U2133" s="54"/>
      <c r="V2133" s="35"/>
      <c r="W2133" s="40"/>
      <c r="X2133" s="53"/>
      <c r="Y2133" s="35"/>
      <c r="Z2133" s="54">
        <f t="shared" si="615"/>
        <v>0</v>
      </c>
      <c r="AA2133" s="40">
        <f t="shared" si="605"/>
        <v>80000000</v>
      </c>
      <c r="AB2133" s="53"/>
      <c r="AC2133" s="35" t="s">
        <v>58</v>
      </c>
      <c r="AD2133" s="53"/>
      <c r="AE2133" s="11"/>
    </row>
    <row r="2134" spans="1:31" ht="236.25">
      <c r="A2134" s="16"/>
      <c r="B2134" s="17"/>
      <c r="C2134" s="18" t="s">
        <v>2558</v>
      </c>
      <c r="D2134" s="19" t="s">
        <v>2559</v>
      </c>
      <c r="E2134" s="45"/>
      <c r="F2134" s="46"/>
      <c r="G2134" s="42"/>
      <c r="H2134" s="45"/>
      <c r="I2134" s="42">
        <f>I2135</f>
        <v>700846620</v>
      </c>
      <c r="J2134" s="45">
        <v>9</v>
      </c>
      <c r="K2134" s="42">
        <f>K2135</f>
        <v>1058950220</v>
      </c>
      <c r="L2134" s="45"/>
      <c r="M2134" s="42"/>
      <c r="N2134" s="45"/>
      <c r="O2134" s="42"/>
      <c r="P2134" s="45"/>
      <c r="Q2134" s="42"/>
      <c r="R2134" s="45">
        <v>9</v>
      </c>
      <c r="S2134" s="42">
        <f>S2135</f>
        <v>1058950220</v>
      </c>
      <c r="T2134" s="55">
        <f t="shared" ref="T2134:T2143" si="616">SUM(L2134,N2134,P2134,R2134)</f>
        <v>9</v>
      </c>
      <c r="U2134" s="55">
        <f t="shared" ref="U2134:U2143" si="617">T2134/J2134*100</f>
        <v>100</v>
      </c>
      <c r="V2134" s="58" t="s">
        <v>58</v>
      </c>
      <c r="W2134" s="59">
        <f t="shared" ref="W2134:W2143" si="618">SUM(M2134,O2134,Q2134,S2134)</f>
        <v>1058950220</v>
      </c>
      <c r="X2134" s="57">
        <f t="shared" ref="X2134:X2143" si="619">W2134/K2134*100</f>
        <v>100</v>
      </c>
      <c r="Y2134" s="58" t="s">
        <v>58</v>
      </c>
      <c r="Z2134" s="55">
        <f t="shared" ref="Z2134:Z2148" si="620">SUM(H2134,T2134)</f>
        <v>9</v>
      </c>
      <c r="AA2134" s="59">
        <f t="shared" si="605"/>
        <v>1759796840</v>
      </c>
      <c r="AB2134" s="57"/>
      <c r="AC2134" s="58" t="s">
        <v>58</v>
      </c>
      <c r="AD2134" s="57"/>
      <c r="AE2134" s="77"/>
    </row>
    <row r="2135" spans="1:31" ht="306">
      <c r="A2135" s="16"/>
      <c r="B2135" s="17"/>
      <c r="C2135" s="453" t="s">
        <v>2560</v>
      </c>
      <c r="D2135" s="19"/>
      <c r="E2135" s="45"/>
      <c r="F2135" s="46"/>
      <c r="G2135" s="42"/>
      <c r="H2135" s="45"/>
      <c r="I2135" s="42">
        <f>SUM(I2136:I2137)</f>
        <v>700846620</v>
      </c>
      <c r="J2135" s="45">
        <v>1</v>
      </c>
      <c r="K2135" s="42">
        <f>SUM(K2136:K2137)</f>
        <v>1058950220</v>
      </c>
      <c r="L2135" s="45"/>
      <c r="M2135" s="42"/>
      <c r="N2135" s="45"/>
      <c r="O2135" s="42"/>
      <c r="P2135" s="45"/>
      <c r="Q2135" s="42"/>
      <c r="R2135" s="45"/>
      <c r="S2135" s="42">
        <f>SUM(S2136:S2137)</f>
        <v>1058950220</v>
      </c>
      <c r="T2135" s="55">
        <f t="shared" si="616"/>
        <v>0</v>
      </c>
      <c r="U2135" s="55">
        <f t="shared" si="617"/>
        <v>0</v>
      </c>
      <c r="V2135" s="58" t="s">
        <v>58</v>
      </c>
      <c r="W2135" s="59">
        <f t="shared" si="618"/>
        <v>1058950220</v>
      </c>
      <c r="X2135" s="57">
        <f t="shared" si="619"/>
        <v>100</v>
      </c>
      <c r="Y2135" s="58" t="s">
        <v>58</v>
      </c>
      <c r="Z2135" s="55">
        <f t="shared" si="620"/>
        <v>0</v>
      </c>
      <c r="AA2135" s="59">
        <f t="shared" si="605"/>
        <v>1759796840</v>
      </c>
      <c r="AB2135" s="57"/>
      <c r="AC2135" s="58" t="s">
        <v>58</v>
      </c>
      <c r="AD2135" s="57"/>
      <c r="AE2135" s="77"/>
    </row>
    <row r="2136" spans="1:31" ht="405">
      <c r="A2136" s="16"/>
      <c r="B2136" s="17"/>
      <c r="C2136" s="26" t="s">
        <v>2561</v>
      </c>
      <c r="D2136" s="29" t="s">
        <v>2562</v>
      </c>
      <c r="E2136" s="20"/>
      <c r="F2136" s="21" t="s">
        <v>55</v>
      </c>
      <c r="G2136" s="23"/>
      <c r="H2136" s="20"/>
      <c r="I2136" s="23">
        <v>683950320</v>
      </c>
      <c r="J2136" s="20">
        <v>1</v>
      </c>
      <c r="K2136" s="23">
        <v>1033950320</v>
      </c>
      <c r="L2136" s="20"/>
      <c r="M2136" s="23"/>
      <c r="N2136" s="20"/>
      <c r="O2136" s="23"/>
      <c r="P2136" s="20"/>
      <c r="Q2136" s="23"/>
      <c r="R2136" s="20"/>
      <c r="S2136" s="23">
        <v>1033950320</v>
      </c>
      <c r="T2136" s="54">
        <f t="shared" si="616"/>
        <v>0</v>
      </c>
      <c r="U2136" s="54">
        <f t="shared" si="617"/>
        <v>0</v>
      </c>
      <c r="V2136" s="35" t="s">
        <v>58</v>
      </c>
      <c r="W2136" s="40">
        <f t="shared" si="618"/>
        <v>1033950320</v>
      </c>
      <c r="X2136" s="53">
        <f t="shared" si="619"/>
        <v>100</v>
      </c>
      <c r="Y2136" s="35" t="s">
        <v>58</v>
      </c>
      <c r="Z2136" s="54">
        <f t="shared" si="620"/>
        <v>0</v>
      </c>
      <c r="AA2136" s="40">
        <f t="shared" si="605"/>
        <v>1717900640</v>
      </c>
      <c r="AB2136" s="53"/>
      <c r="AC2136" s="35" t="s">
        <v>58</v>
      </c>
      <c r="AD2136" s="53"/>
      <c r="AE2136" s="11"/>
    </row>
    <row r="2137" spans="1:31" ht="409.5">
      <c r="A2137" s="16"/>
      <c r="B2137" s="17"/>
      <c r="C2137" s="26" t="s">
        <v>2563</v>
      </c>
      <c r="D2137" s="29" t="s">
        <v>2564</v>
      </c>
      <c r="E2137" s="20"/>
      <c r="F2137" s="21" t="s">
        <v>173</v>
      </c>
      <c r="G2137" s="23"/>
      <c r="H2137" s="20"/>
      <c r="I2137" s="23">
        <v>16896300</v>
      </c>
      <c r="J2137" s="20">
        <v>1</v>
      </c>
      <c r="K2137" s="23">
        <v>24999900</v>
      </c>
      <c r="L2137" s="20"/>
      <c r="M2137" s="23"/>
      <c r="N2137" s="20"/>
      <c r="O2137" s="23"/>
      <c r="P2137" s="20"/>
      <c r="Q2137" s="23"/>
      <c r="R2137" s="20"/>
      <c r="S2137" s="23">
        <v>24999900</v>
      </c>
      <c r="T2137" s="54">
        <f t="shared" si="616"/>
        <v>0</v>
      </c>
      <c r="U2137" s="54">
        <f t="shared" si="617"/>
        <v>0</v>
      </c>
      <c r="V2137" s="35" t="s">
        <v>58</v>
      </c>
      <c r="W2137" s="40">
        <f t="shared" si="618"/>
        <v>24999900</v>
      </c>
      <c r="X2137" s="53">
        <f t="shared" si="619"/>
        <v>100</v>
      </c>
      <c r="Y2137" s="35" t="s">
        <v>58</v>
      </c>
      <c r="Z2137" s="54">
        <f t="shared" si="620"/>
        <v>0</v>
      </c>
      <c r="AA2137" s="40">
        <f t="shared" si="605"/>
        <v>41896200</v>
      </c>
      <c r="AB2137" s="53"/>
      <c r="AC2137" s="35" t="s">
        <v>58</v>
      </c>
      <c r="AD2137" s="53"/>
      <c r="AE2137" s="11"/>
    </row>
    <row r="2138" spans="1:31" ht="204.75">
      <c r="A2138" s="16"/>
      <c r="B2138" s="17"/>
      <c r="C2138" s="18" t="s">
        <v>2565</v>
      </c>
      <c r="D2138" s="19" t="s">
        <v>2566</v>
      </c>
      <c r="E2138" s="45"/>
      <c r="F2138" s="46"/>
      <c r="G2138" s="42"/>
      <c r="H2138" s="45"/>
      <c r="I2138" s="42">
        <f>I2139</f>
        <v>38090000</v>
      </c>
      <c r="J2138" s="45">
        <v>51</v>
      </c>
      <c r="K2138" s="42">
        <f>K2139</f>
        <v>31588850</v>
      </c>
      <c r="L2138" s="45"/>
      <c r="M2138" s="42"/>
      <c r="N2138" s="45"/>
      <c r="O2138" s="42"/>
      <c r="P2138" s="45"/>
      <c r="Q2138" s="42"/>
      <c r="R2138" s="45">
        <v>51</v>
      </c>
      <c r="S2138" s="42">
        <f>S2139</f>
        <v>31228850</v>
      </c>
      <c r="T2138" s="55">
        <f t="shared" si="616"/>
        <v>51</v>
      </c>
      <c r="U2138" s="55">
        <f t="shared" si="617"/>
        <v>100</v>
      </c>
      <c r="V2138" s="58" t="s">
        <v>58</v>
      </c>
      <c r="W2138" s="59">
        <f t="shared" si="618"/>
        <v>31228850</v>
      </c>
      <c r="X2138" s="57">
        <f t="shared" si="619"/>
        <v>98.860357372933805</v>
      </c>
      <c r="Y2138" s="58" t="s">
        <v>58</v>
      </c>
      <c r="Z2138" s="55">
        <f t="shared" si="620"/>
        <v>51</v>
      </c>
      <c r="AA2138" s="59">
        <f t="shared" si="605"/>
        <v>69318850</v>
      </c>
      <c r="AB2138" s="57"/>
      <c r="AC2138" s="58" t="s">
        <v>58</v>
      </c>
      <c r="AD2138" s="57"/>
      <c r="AE2138" s="77"/>
    </row>
    <row r="2139" spans="1:31" ht="220.5">
      <c r="A2139" s="16"/>
      <c r="B2139" s="17"/>
      <c r="C2139" s="18" t="s">
        <v>2567</v>
      </c>
      <c r="D2139" s="19" t="s">
        <v>2568</v>
      </c>
      <c r="E2139" s="45"/>
      <c r="F2139" s="46"/>
      <c r="G2139" s="42"/>
      <c r="H2139" s="45"/>
      <c r="I2139" s="42">
        <f>SUM(I2140)</f>
        <v>38090000</v>
      </c>
      <c r="J2139" s="45">
        <v>1</v>
      </c>
      <c r="K2139" s="42">
        <f>SUM(K2140)</f>
        <v>31588850</v>
      </c>
      <c r="L2139" s="45"/>
      <c r="M2139" s="42"/>
      <c r="N2139" s="45"/>
      <c r="O2139" s="42"/>
      <c r="P2139" s="45"/>
      <c r="Q2139" s="42"/>
      <c r="R2139" s="45"/>
      <c r="S2139" s="42">
        <f>SUM(S2140)</f>
        <v>31228850</v>
      </c>
      <c r="T2139" s="55">
        <f t="shared" si="616"/>
        <v>0</v>
      </c>
      <c r="U2139" s="55">
        <f t="shared" si="617"/>
        <v>0</v>
      </c>
      <c r="V2139" s="58" t="s">
        <v>58</v>
      </c>
      <c r="W2139" s="59">
        <f t="shared" si="618"/>
        <v>31228850</v>
      </c>
      <c r="X2139" s="57">
        <f t="shared" si="619"/>
        <v>98.860357372933805</v>
      </c>
      <c r="Y2139" s="58" t="s">
        <v>58</v>
      </c>
      <c r="Z2139" s="55">
        <f t="shared" si="620"/>
        <v>0</v>
      </c>
      <c r="AA2139" s="59">
        <f t="shared" si="605"/>
        <v>69318850</v>
      </c>
      <c r="AB2139" s="57"/>
      <c r="AC2139" s="58" t="s">
        <v>58</v>
      </c>
      <c r="AD2139" s="57"/>
      <c r="AE2139" s="77"/>
    </row>
    <row r="2140" spans="1:31" ht="270">
      <c r="A2140" s="16"/>
      <c r="B2140" s="17"/>
      <c r="C2140" s="26" t="s">
        <v>2569</v>
      </c>
      <c r="D2140" s="29" t="s">
        <v>2570</v>
      </c>
      <c r="E2140" s="20">
        <v>55</v>
      </c>
      <c r="F2140" s="21" t="s">
        <v>55</v>
      </c>
      <c r="G2140" s="23"/>
      <c r="H2140" s="20">
        <v>52</v>
      </c>
      <c r="I2140" s="23">
        <v>38090000</v>
      </c>
      <c r="J2140" s="20">
        <v>55</v>
      </c>
      <c r="K2140" s="23">
        <v>31588850</v>
      </c>
      <c r="L2140" s="20">
        <v>0</v>
      </c>
      <c r="M2140" s="23"/>
      <c r="N2140" s="20"/>
      <c r="O2140" s="23"/>
      <c r="P2140" s="20"/>
      <c r="Q2140" s="23"/>
      <c r="R2140" s="20">
        <v>55</v>
      </c>
      <c r="S2140" s="23">
        <v>31228850</v>
      </c>
      <c r="T2140" s="54">
        <f t="shared" si="616"/>
        <v>55</v>
      </c>
      <c r="U2140" s="54">
        <f t="shared" si="617"/>
        <v>100</v>
      </c>
      <c r="V2140" s="35" t="s">
        <v>58</v>
      </c>
      <c r="W2140" s="40">
        <f t="shared" si="618"/>
        <v>31228850</v>
      </c>
      <c r="X2140" s="53">
        <f t="shared" si="619"/>
        <v>98.860357372933805</v>
      </c>
      <c r="Y2140" s="35" t="s">
        <v>58</v>
      </c>
      <c r="Z2140" s="54">
        <f t="shared" si="620"/>
        <v>107</v>
      </c>
      <c r="AA2140" s="40">
        <f t="shared" si="605"/>
        <v>69318850</v>
      </c>
      <c r="AB2140" s="53"/>
      <c r="AC2140" s="35" t="s">
        <v>58</v>
      </c>
      <c r="AD2140" s="53"/>
      <c r="AE2140" s="11"/>
    </row>
    <row r="2141" spans="1:31" ht="141.75">
      <c r="A2141" s="16"/>
      <c r="B2141" s="17"/>
      <c r="C2141" s="18" t="s">
        <v>2571</v>
      </c>
      <c r="D2141" s="19" t="s">
        <v>2572</v>
      </c>
      <c r="E2141" s="45">
        <v>74</v>
      </c>
      <c r="F2141" s="46" t="s">
        <v>58</v>
      </c>
      <c r="G2141" s="42">
        <f>G2142</f>
        <v>0</v>
      </c>
      <c r="H2141" s="45">
        <v>71</v>
      </c>
      <c r="I2141" s="42">
        <f>I2142</f>
        <v>28400000</v>
      </c>
      <c r="J2141" s="45">
        <v>72</v>
      </c>
      <c r="K2141" s="42">
        <f>K2142</f>
        <v>82590000</v>
      </c>
      <c r="L2141" s="45">
        <v>0</v>
      </c>
      <c r="M2141" s="42"/>
      <c r="N2141" s="45"/>
      <c r="O2141" s="42"/>
      <c r="P2141" s="45"/>
      <c r="Q2141" s="42"/>
      <c r="R2141" s="45">
        <v>72</v>
      </c>
      <c r="S2141" s="42">
        <f>S2142</f>
        <v>37850000</v>
      </c>
      <c r="T2141" s="55">
        <f t="shared" si="616"/>
        <v>72</v>
      </c>
      <c r="U2141" s="55">
        <f t="shared" si="617"/>
        <v>100</v>
      </c>
      <c r="V2141" s="58" t="s">
        <v>58</v>
      </c>
      <c r="W2141" s="59">
        <f t="shared" si="618"/>
        <v>37850000</v>
      </c>
      <c r="X2141" s="57">
        <f t="shared" si="619"/>
        <v>45.828792832061993</v>
      </c>
      <c r="Y2141" s="58" t="s">
        <v>58</v>
      </c>
      <c r="Z2141" s="55">
        <f t="shared" si="620"/>
        <v>143</v>
      </c>
      <c r="AA2141" s="59">
        <f t="shared" si="605"/>
        <v>66250000</v>
      </c>
      <c r="AB2141" s="57"/>
      <c r="AC2141" s="58" t="s">
        <v>58</v>
      </c>
      <c r="AD2141" s="57"/>
      <c r="AE2141" s="77"/>
    </row>
    <row r="2142" spans="1:31" ht="173.25">
      <c r="A2142" s="16"/>
      <c r="B2142" s="17"/>
      <c r="C2142" s="18" t="s">
        <v>2573</v>
      </c>
      <c r="D2142" s="19" t="s">
        <v>2574</v>
      </c>
      <c r="E2142" s="45" t="e">
        <f>#REF!</f>
        <v>#REF!</v>
      </c>
      <c r="F2142" s="76" t="s">
        <v>2575</v>
      </c>
      <c r="G2142" s="42">
        <f>SUM(G2143:G2143)</f>
        <v>0</v>
      </c>
      <c r="H2142" s="45">
        <f>H2143</f>
        <v>7</v>
      </c>
      <c r="I2142" s="42">
        <f>SUM(I2143:I2143)</f>
        <v>28400000</v>
      </c>
      <c r="J2142" s="45">
        <f>J2143</f>
        <v>7</v>
      </c>
      <c r="K2142" s="42">
        <f>SUM(K2143:K2143)</f>
        <v>82590000</v>
      </c>
      <c r="L2142" s="45">
        <f>L2143</f>
        <v>0</v>
      </c>
      <c r="M2142" s="42"/>
      <c r="N2142" s="45"/>
      <c r="O2142" s="42"/>
      <c r="P2142" s="45"/>
      <c r="Q2142" s="42"/>
      <c r="R2142" s="45">
        <f>R2143</f>
        <v>7</v>
      </c>
      <c r="S2142" s="42">
        <f>SUM(S2143:S2143)</f>
        <v>37850000</v>
      </c>
      <c r="T2142" s="55">
        <f t="shared" si="616"/>
        <v>7</v>
      </c>
      <c r="U2142" s="55">
        <f t="shared" si="617"/>
        <v>100</v>
      </c>
      <c r="V2142" s="58" t="s">
        <v>58</v>
      </c>
      <c r="W2142" s="59">
        <f t="shared" si="618"/>
        <v>37850000</v>
      </c>
      <c r="X2142" s="57">
        <f t="shared" si="619"/>
        <v>45.828792832061993</v>
      </c>
      <c r="Y2142" s="58" t="s">
        <v>58</v>
      </c>
      <c r="Z2142" s="55">
        <f t="shared" si="620"/>
        <v>14</v>
      </c>
      <c r="AA2142" s="59">
        <f t="shared" si="605"/>
        <v>66250000</v>
      </c>
      <c r="AB2142" s="57"/>
      <c r="AC2142" s="58" t="s">
        <v>58</v>
      </c>
      <c r="AD2142" s="57"/>
      <c r="AE2142" s="77"/>
    </row>
    <row r="2143" spans="1:31" ht="315">
      <c r="A2143" s="16"/>
      <c r="B2143" s="17"/>
      <c r="C2143" s="26" t="s">
        <v>2576</v>
      </c>
      <c r="D2143" s="29" t="s">
        <v>2577</v>
      </c>
      <c r="E2143" s="20">
        <v>7</v>
      </c>
      <c r="F2143" s="47" t="s">
        <v>57</v>
      </c>
      <c r="G2143" s="23"/>
      <c r="H2143" s="20">
        <v>7</v>
      </c>
      <c r="I2143" s="23">
        <v>28400000</v>
      </c>
      <c r="J2143" s="20">
        <v>7</v>
      </c>
      <c r="K2143" s="23">
        <v>82590000</v>
      </c>
      <c r="L2143" s="20"/>
      <c r="M2143" s="23"/>
      <c r="N2143" s="20"/>
      <c r="O2143" s="23"/>
      <c r="P2143" s="20"/>
      <c r="Q2143" s="23"/>
      <c r="R2143" s="20">
        <v>7</v>
      </c>
      <c r="S2143" s="23">
        <v>37850000</v>
      </c>
      <c r="T2143" s="54">
        <f t="shared" si="616"/>
        <v>7</v>
      </c>
      <c r="U2143" s="54">
        <f t="shared" si="617"/>
        <v>100</v>
      </c>
      <c r="V2143" s="35" t="s">
        <v>58</v>
      </c>
      <c r="W2143" s="40">
        <f t="shared" si="618"/>
        <v>37850000</v>
      </c>
      <c r="X2143" s="53">
        <f t="shared" si="619"/>
        <v>45.828792832061993</v>
      </c>
      <c r="Y2143" s="35" t="s">
        <v>58</v>
      </c>
      <c r="Z2143" s="54">
        <f t="shared" si="620"/>
        <v>14</v>
      </c>
      <c r="AA2143" s="40">
        <f t="shared" si="605"/>
        <v>66250000</v>
      </c>
      <c r="AB2143" s="53"/>
      <c r="AC2143" s="35" t="s">
        <v>58</v>
      </c>
      <c r="AD2143" s="53"/>
      <c r="AE2143" s="11"/>
    </row>
    <row r="2144" spans="1:31" ht="330">
      <c r="A2144" s="16"/>
      <c r="B2144" s="17"/>
      <c r="C2144" s="26" t="s">
        <v>2578</v>
      </c>
      <c r="D2144" s="29" t="s">
        <v>2579</v>
      </c>
      <c r="E2144" s="20">
        <v>7</v>
      </c>
      <c r="F2144" s="47" t="s">
        <v>55</v>
      </c>
      <c r="G2144" s="23"/>
      <c r="H2144" s="20">
        <v>7</v>
      </c>
      <c r="I2144" s="23">
        <v>146850000</v>
      </c>
      <c r="J2144" s="20"/>
      <c r="K2144" s="23"/>
      <c r="L2144" s="20"/>
      <c r="M2144" s="23"/>
      <c r="N2144" s="20"/>
      <c r="O2144" s="23"/>
      <c r="P2144" s="20"/>
      <c r="Q2144" s="23"/>
      <c r="R2144" s="20"/>
      <c r="S2144" s="23"/>
      <c r="T2144" s="54"/>
      <c r="U2144" s="54"/>
      <c r="V2144" s="35"/>
      <c r="W2144" s="40"/>
      <c r="X2144" s="53"/>
      <c r="Y2144" s="35"/>
      <c r="Z2144" s="54">
        <f t="shared" si="620"/>
        <v>7</v>
      </c>
      <c r="AA2144" s="40">
        <f t="shared" si="605"/>
        <v>146850000</v>
      </c>
      <c r="AB2144" s="53"/>
      <c r="AC2144" s="35" t="s">
        <v>58</v>
      </c>
      <c r="AD2144" s="53"/>
      <c r="AE2144" s="11"/>
    </row>
    <row r="2145" spans="1:31" ht="204.75">
      <c r="A2145" s="16"/>
      <c r="B2145" s="17"/>
      <c r="C2145" s="18" t="s">
        <v>2580</v>
      </c>
      <c r="D2145" s="19" t="s">
        <v>2581</v>
      </c>
      <c r="E2145" s="45">
        <f>E2146/E2146*100</f>
        <v>100</v>
      </c>
      <c r="F2145" s="76" t="s">
        <v>58</v>
      </c>
      <c r="G2145" s="42">
        <f>G2146</f>
        <v>0</v>
      </c>
      <c r="H2145" s="45">
        <f>H2146/H2146*100</f>
        <v>100</v>
      </c>
      <c r="I2145" s="42">
        <f>I2146</f>
        <v>2391735000</v>
      </c>
      <c r="J2145" s="45">
        <f>J2146/J2146*100</f>
        <v>100</v>
      </c>
      <c r="K2145" s="42">
        <f>K2146</f>
        <v>2743914248</v>
      </c>
      <c r="L2145" s="45">
        <v>0</v>
      </c>
      <c r="M2145" s="42"/>
      <c r="N2145" s="45"/>
      <c r="O2145" s="42"/>
      <c r="P2145" s="45"/>
      <c r="Q2145" s="42"/>
      <c r="R2145" s="45">
        <f>R2146/R2146*100</f>
        <v>100</v>
      </c>
      <c r="S2145" s="42">
        <f>S2146</f>
        <v>2681680979</v>
      </c>
      <c r="T2145" s="55">
        <f>SUM(L2145,N2145,P2145,R2145)</f>
        <v>100</v>
      </c>
      <c r="U2145" s="55">
        <f>T2145/J2145*100</f>
        <v>100</v>
      </c>
      <c r="V2145" s="58" t="s">
        <v>58</v>
      </c>
      <c r="W2145" s="59">
        <f>SUM(M2145,O2145,Q2145,S2145)</f>
        <v>2681680979</v>
      </c>
      <c r="X2145" s="57">
        <f>W2145/K2145*100</f>
        <v>97.731952846363143</v>
      </c>
      <c r="Y2145" s="58" t="s">
        <v>58</v>
      </c>
      <c r="Z2145" s="55">
        <f t="shared" si="620"/>
        <v>200</v>
      </c>
      <c r="AA2145" s="59">
        <f t="shared" si="605"/>
        <v>5073415979</v>
      </c>
      <c r="AB2145" s="57"/>
      <c r="AC2145" s="58" t="s">
        <v>58</v>
      </c>
      <c r="AD2145" s="57"/>
      <c r="AE2145" s="77"/>
    </row>
    <row r="2146" spans="1:31" ht="204.75">
      <c r="A2146" s="16"/>
      <c r="B2146" s="17"/>
      <c r="C2146" s="18" t="s">
        <v>2582</v>
      </c>
      <c r="D2146" s="19" t="s">
        <v>2574</v>
      </c>
      <c r="E2146" s="45">
        <f>E2147</f>
        <v>6</v>
      </c>
      <c r="F2146" s="76" t="s">
        <v>2575</v>
      </c>
      <c r="G2146" s="42">
        <f>SUM(G2147:G2148)</f>
        <v>0</v>
      </c>
      <c r="H2146" s="45">
        <f>H2147</f>
        <v>6</v>
      </c>
      <c r="I2146" s="42">
        <f>SUM(I2147:I2148)</f>
        <v>2391735000</v>
      </c>
      <c r="J2146" s="45">
        <f>J2147</f>
        <v>6</v>
      </c>
      <c r="K2146" s="42">
        <f>SUM(K2147:K2148)</f>
        <v>2743914248</v>
      </c>
      <c r="L2146" s="45">
        <f>L2147</f>
        <v>0</v>
      </c>
      <c r="M2146" s="42"/>
      <c r="N2146" s="45"/>
      <c r="O2146" s="42"/>
      <c r="P2146" s="45"/>
      <c r="Q2146" s="42"/>
      <c r="R2146" s="45">
        <f>R2147</f>
        <v>6</v>
      </c>
      <c r="S2146" s="42">
        <f>SUM(S2147:S2148)</f>
        <v>2681680979</v>
      </c>
      <c r="T2146" s="55">
        <f>SUM(L2146,N2146,P2146,R2146)</f>
        <v>6</v>
      </c>
      <c r="U2146" s="55">
        <f>T2146/J2146*100</f>
        <v>100</v>
      </c>
      <c r="V2146" s="58" t="s">
        <v>58</v>
      </c>
      <c r="W2146" s="59">
        <f>SUM(M2146,O2146,Q2146,S2146)</f>
        <v>2681680979</v>
      </c>
      <c r="X2146" s="57">
        <f>W2146/K2146*100</f>
        <v>97.731952846363143</v>
      </c>
      <c r="Y2146" s="58" t="s">
        <v>58</v>
      </c>
      <c r="Z2146" s="55">
        <f t="shared" si="620"/>
        <v>12</v>
      </c>
      <c r="AA2146" s="59">
        <f t="shared" si="605"/>
        <v>5073415979</v>
      </c>
      <c r="AB2146" s="57"/>
      <c r="AC2146" s="58" t="s">
        <v>58</v>
      </c>
      <c r="AD2146" s="57"/>
      <c r="AE2146" s="77"/>
    </row>
    <row r="2147" spans="1:31" ht="390">
      <c r="A2147" s="16"/>
      <c r="B2147" s="17"/>
      <c r="C2147" s="26" t="s">
        <v>2583</v>
      </c>
      <c r="D2147" s="29" t="s">
        <v>2584</v>
      </c>
      <c r="E2147" s="20">
        <v>6</v>
      </c>
      <c r="F2147" s="47" t="s">
        <v>57</v>
      </c>
      <c r="G2147" s="23"/>
      <c r="H2147" s="20">
        <v>6</v>
      </c>
      <c r="I2147" s="23">
        <v>2389260000</v>
      </c>
      <c r="J2147" s="20">
        <v>6</v>
      </c>
      <c r="K2147" s="23">
        <v>2713962248</v>
      </c>
      <c r="L2147" s="20"/>
      <c r="M2147" s="23"/>
      <c r="N2147" s="20"/>
      <c r="O2147" s="23"/>
      <c r="P2147" s="20"/>
      <c r="Q2147" s="23"/>
      <c r="R2147" s="20">
        <v>6</v>
      </c>
      <c r="S2147" s="23">
        <v>2652930979</v>
      </c>
      <c r="T2147" s="54">
        <f>SUM(L2147,N2147,P2147,R2147)</f>
        <v>6</v>
      </c>
      <c r="U2147" s="54">
        <f>T2147/J2147*100</f>
        <v>100</v>
      </c>
      <c r="V2147" s="35" t="s">
        <v>58</v>
      </c>
      <c r="W2147" s="40">
        <f>SUM(M2147,O2147,Q2147,S2147)</f>
        <v>2652930979</v>
      </c>
      <c r="X2147" s="53">
        <f>W2147/K2147*100</f>
        <v>97.751211571016654</v>
      </c>
      <c r="Y2147" s="35" t="s">
        <v>58</v>
      </c>
      <c r="Z2147" s="54">
        <f t="shared" si="620"/>
        <v>12</v>
      </c>
      <c r="AA2147" s="40">
        <f t="shared" si="605"/>
        <v>5042190979</v>
      </c>
      <c r="AB2147" s="53"/>
      <c r="AC2147" s="35" t="s">
        <v>58</v>
      </c>
      <c r="AD2147" s="53"/>
      <c r="AE2147" s="11"/>
    </row>
    <row r="2148" spans="1:31" ht="409.5">
      <c r="A2148" s="16"/>
      <c r="B2148" s="17"/>
      <c r="C2148" s="26" t="s">
        <v>2585</v>
      </c>
      <c r="D2148" s="29" t="s">
        <v>2586</v>
      </c>
      <c r="E2148" s="20">
        <v>6</v>
      </c>
      <c r="F2148" s="47" t="s">
        <v>173</v>
      </c>
      <c r="G2148" s="23"/>
      <c r="H2148" s="20">
        <v>6</v>
      </c>
      <c r="I2148" s="23">
        <v>2475000</v>
      </c>
      <c r="J2148" s="20">
        <v>6</v>
      </c>
      <c r="K2148" s="23">
        <v>29952000</v>
      </c>
      <c r="L2148" s="20"/>
      <c r="M2148" s="23"/>
      <c r="N2148" s="20"/>
      <c r="O2148" s="23"/>
      <c r="P2148" s="20"/>
      <c r="Q2148" s="23"/>
      <c r="R2148" s="20">
        <v>6</v>
      </c>
      <c r="S2148" s="23">
        <v>28750000</v>
      </c>
      <c r="T2148" s="54">
        <f>SUM(L2148,N2148,P2148,R2148)</f>
        <v>6</v>
      </c>
      <c r="U2148" s="54">
        <f>T2148/J2148*100</f>
        <v>100</v>
      </c>
      <c r="V2148" s="35" t="s">
        <v>58</v>
      </c>
      <c r="W2148" s="40">
        <f>SUM(M2148,O2148,Q2148,S2148)</f>
        <v>28750000</v>
      </c>
      <c r="X2148" s="53">
        <f>W2148/K2148*100</f>
        <v>95.986912393162399</v>
      </c>
      <c r="Y2148" s="35" t="s">
        <v>58</v>
      </c>
      <c r="Z2148" s="54">
        <f t="shared" si="620"/>
        <v>12</v>
      </c>
      <c r="AA2148" s="40">
        <f t="shared" si="605"/>
        <v>31225000</v>
      </c>
      <c r="AB2148" s="53"/>
      <c r="AC2148" s="35" t="s">
        <v>58</v>
      </c>
      <c r="AD2148" s="53"/>
      <c r="AE2148" s="11"/>
    </row>
    <row r="2149" spans="1:31" ht="15">
      <c r="A2149" s="1090" t="s">
        <v>31</v>
      </c>
      <c r="B2149" s="1091"/>
      <c r="C2149" s="1091"/>
      <c r="D2149" s="1091"/>
      <c r="E2149" s="1091"/>
      <c r="F2149" s="1091"/>
      <c r="G2149" s="1091"/>
      <c r="H2149" s="1091"/>
      <c r="I2149" s="1091"/>
      <c r="J2149" s="1091"/>
      <c r="K2149" s="1091"/>
      <c r="L2149" s="1091"/>
      <c r="M2149" s="1091"/>
      <c r="N2149" s="1091"/>
      <c r="O2149" s="1091"/>
      <c r="P2149" s="1091"/>
      <c r="Q2149" s="1091"/>
      <c r="R2149" s="1091"/>
      <c r="S2149" s="1091"/>
      <c r="T2149" s="1091"/>
      <c r="U2149" s="71">
        <v>96.42</v>
      </c>
      <c r="V2149" s="70"/>
      <c r="W2149" s="64"/>
      <c r="X2149" s="71">
        <f>AVERAGE(X16,X42,X104,X113,X123)</f>
        <v>94.908616139491343</v>
      </c>
      <c r="Y2149" s="70"/>
      <c r="Z2149" s="67"/>
      <c r="AA2149" s="67"/>
      <c r="AB2149" s="67"/>
      <c r="AC2149" s="66"/>
      <c r="AD2149" s="64"/>
      <c r="AE2149" s="11"/>
    </row>
    <row r="2150" spans="1:31" ht="15">
      <c r="A2150" s="1090" t="s">
        <v>32</v>
      </c>
      <c r="B2150" s="1091"/>
      <c r="C2150" s="1091"/>
      <c r="D2150" s="1091"/>
      <c r="E2150" s="1091"/>
      <c r="F2150" s="1091"/>
      <c r="G2150" s="1091"/>
      <c r="H2150" s="1091"/>
      <c r="I2150" s="1091"/>
      <c r="J2150" s="1091"/>
      <c r="K2150" s="1091"/>
      <c r="L2150" s="1091"/>
      <c r="M2150" s="1091"/>
      <c r="N2150" s="1091"/>
      <c r="O2150" s="1091"/>
      <c r="P2150" s="1091"/>
      <c r="Q2150" s="1091"/>
      <c r="R2150" s="1091"/>
      <c r="S2150" s="1091"/>
      <c r="T2150" s="1091"/>
      <c r="U2150" s="31" t="str">
        <f>IF(U2149&gt;=91,"Sangat Tinggi",IF(U2149&gt;=76,"Tinggi",IF(U2149&gt;=66,"Sedang",IF(U2149&gt;=51,"Rendah",IF(U2149&lt;=50,"Sangat Rendah")))))</f>
        <v>Sangat Tinggi</v>
      </c>
      <c r="V2150" s="70"/>
      <c r="W2150" s="65"/>
      <c r="X2150" s="31" t="str">
        <f>IF(X2149&gt;=91,"Sangat Tinggi",IF(X2149&gt;=76,"Tinggi",IF(X2149&gt;=66,"Sedang",IF(X2149&gt;=51,"Rendah",IF(X2149&lt;=50,"Sangat Rendah")))))</f>
        <v>Sangat Tinggi</v>
      </c>
      <c r="Y2150" s="70"/>
      <c r="Z2150" s="69"/>
      <c r="AA2150" s="68"/>
      <c r="AB2150" s="69"/>
      <c r="AC2150" s="66"/>
      <c r="AD2150" s="65"/>
      <c r="AE2150" s="11"/>
    </row>
    <row r="2151" spans="1:31" ht="15">
      <c r="A2151" s="1068" t="s">
        <v>33</v>
      </c>
      <c r="B2151" s="1069"/>
      <c r="C2151" s="1069"/>
      <c r="D2151" s="1069"/>
      <c r="E2151" s="1069"/>
      <c r="F2151" s="1069"/>
      <c r="G2151" s="1069"/>
      <c r="H2151" s="1069"/>
      <c r="I2151" s="1069"/>
      <c r="J2151" s="1069"/>
      <c r="K2151" s="1069"/>
      <c r="L2151" s="1069"/>
      <c r="M2151" s="1069"/>
      <c r="N2151" s="1069"/>
      <c r="O2151" s="1069"/>
      <c r="P2151" s="1069"/>
      <c r="Q2151" s="1069"/>
      <c r="R2151" s="1069"/>
      <c r="S2151" s="1069"/>
      <c r="T2151" s="1069"/>
      <c r="U2151" s="1069"/>
      <c r="V2151" s="1069"/>
      <c r="W2151" s="1069"/>
      <c r="X2151" s="1069"/>
      <c r="Y2151" s="1069"/>
      <c r="Z2151" s="1069"/>
      <c r="AA2151" s="1069"/>
      <c r="AB2151" s="1069"/>
      <c r="AC2151" s="1069"/>
      <c r="AD2151" s="1070"/>
      <c r="AE2151" s="11"/>
    </row>
    <row r="2152" spans="1:31" ht="15">
      <c r="A2152" s="1068" t="s">
        <v>34</v>
      </c>
      <c r="B2152" s="1069"/>
      <c r="C2152" s="1069"/>
      <c r="D2152" s="1069"/>
      <c r="E2152" s="1069"/>
      <c r="F2152" s="1069"/>
      <c r="G2152" s="1069"/>
      <c r="H2152" s="1069"/>
      <c r="I2152" s="1069"/>
      <c r="J2152" s="1069"/>
      <c r="K2152" s="1069"/>
      <c r="L2152" s="1069"/>
      <c r="M2152" s="1069"/>
      <c r="N2152" s="1069"/>
      <c r="O2152" s="1069"/>
      <c r="P2152" s="1069"/>
      <c r="Q2152" s="1069"/>
      <c r="R2152" s="1069"/>
      <c r="S2152" s="1069"/>
      <c r="T2152" s="1069"/>
      <c r="U2152" s="1069"/>
      <c r="V2152" s="1069"/>
      <c r="W2152" s="1069"/>
      <c r="X2152" s="1069"/>
      <c r="Y2152" s="1069"/>
      <c r="Z2152" s="1069"/>
      <c r="AA2152" s="1069"/>
      <c r="AB2152" s="1069"/>
      <c r="AC2152" s="1069"/>
      <c r="AD2152" s="1070"/>
      <c r="AE2152" s="11"/>
    </row>
    <row r="2153" spans="1:31" ht="15">
      <c r="A2153" s="1068" t="s">
        <v>35</v>
      </c>
      <c r="B2153" s="1069"/>
      <c r="C2153" s="1069"/>
      <c r="D2153" s="1069"/>
      <c r="E2153" s="1069"/>
      <c r="F2153" s="1069"/>
      <c r="G2153" s="1069"/>
      <c r="H2153" s="1069"/>
      <c r="I2153" s="1069"/>
      <c r="J2153" s="1069"/>
      <c r="K2153" s="1069"/>
      <c r="L2153" s="1069"/>
      <c r="M2153" s="1069"/>
      <c r="N2153" s="1069"/>
      <c r="O2153" s="1069"/>
      <c r="P2153" s="1069"/>
      <c r="Q2153" s="1069"/>
      <c r="R2153" s="1069"/>
      <c r="S2153" s="1069"/>
      <c r="T2153" s="1069"/>
      <c r="U2153" s="1069"/>
      <c r="V2153" s="1069"/>
      <c r="W2153" s="1069"/>
      <c r="X2153" s="1069"/>
      <c r="Y2153" s="1069"/>
      <c r="Z2153" s="1069"/>
      <c r="AA2153" s="1069"/>
      <c r="AB2153" s="1069"/>
      <c r="AC2153" s="1069"/>
      <c r="AD2153" s="1070"/>
      <c r="AE2153" s="11"/>
    </row>
    <row r="2154" spans="1:31" ht="15">
      <c r="A2154" s="1068" t="s">
        <v>36</v>
      </c>
      <c r="B2154" s="1069"/>
      <c r="C2154" s="1069"/>
      <c r="D2154" s="1069"/>
      <c r="E2154" s="1069"/>
      <c r="F2154" s="1069"/>
      <c r="G2154" s="1069"/>
      <c r="H2154" s="1069"/>
      <c r="I2154" s="1069"/>
      <c r="J2154" s="1069"/>
      <c r="K2154" s="1069"/>
      <c r="L2154" s="1069"/>
      <c r="M2154" s="1069"/>
      <c r="N2154" s="1069"/>
      <c r="O2154" s="1069"/>
      <c r="P2154" s="1069"/>
      <c r="Q2154" s="1069"/>
      <c r="R2154" s="1069"/>
      <c r="S2154" s="1069"/>
      <c r="T2154" s="1069"/>
      <c r="U2154" s="1069"/>
      <c r="V2154" s="1069"/>
      <c r="W2154" s="1069"/>
      <c r="X2154" s="1069"/>
      <c r="Y2154" s="1069"/>
      <c r="Z2154" s="1069"/>
      <c r="AA2154" s="1069"/>
      <c r="AB2154" s="1069"/>
      <c r="AC2154" s="1069"/>
      <c r="AD2154" s="1070"/>
      <c r="AE2154" s="32"/>
    </row>
    <row r="2155" spans="1:31" ht="15">
      <c r="A2155" s="33"/>
      <c r="B2155" s="33"/>
      <c r="C2155" s="33"/>
      <c r="D2155" s="33"/>
      <c r="E2155" s="33"/>
      <c r="F2155" s="33"/>
      <c r="G2155" s="33"/>
      <c r="H2155" s="33"/>
      <c r="I2155" s="33"/>
      <c r="J2155" s="33"/>
      <c r="K2155" s="33"/>
      <c r="L2155" s="33"/>
      <c r="M2155" s="33"/>
      <c r="N2155" s="33"/>
      <c r="O2155" s="33"/>
      <c r="P2155" s="33"/>
      <c r="Q2155" s="33"/>
      <c r="R2155" s="33"/>
      <c r="S2155" s="33"/>
      <c r="T2155" s="33"/>
      <c r="U2155" s="33"/>
      <c r="V2155" s="34"/>
      <c r="W2155" s="33"/>
      <c r="X2155" s="33"/>
      <c r="Y2155" s="34"/>
      <c r="Z2155" s="33"/>
      <c r="AA2155" s="33"/>
      <c r="AB2155" s="33"/>
      <c r="AC2155" s="34"/>
      <c r="AD2155" s="33"/>
    </row>
    <row r="2156" spans="1:31" ht="15">
      <c r="A2156" s="33"/>
      <c r="B2156" s="33"/>
      <c r="C2156" s="33"/>
      <c r="D2156" s="33"/>
      <c r="E2156" s="33"/>
      <c r="F2156" s="33"/>
      <c r="G2156" s="33"/>
      <c r="H2156" s="33"/>
      <c r="I2156" s="33"/>
      <c r="J2156" s="33"/>
      <c r="K2156" s="33"/>
      <c r="L2156" s="33"/>
      <c r="M2156" s="33"/>
      <c r="N2156" s="33"/>
      <c r="O2156" s="33"/>
      <c r="P2156" s="33"/>
      <c r="Q2156" s="33"/>
      <c r="R2156" s="33"/>
      <c r="S2156" s="33"/>
      <c r="T2156" s="1071"/>
      <c r="U2156" s="1071"/>
      <c r="V2156" s="1071"/>
      <c r="W2156" s="1071"/>
      <c r="X2156" s="1071"/>
      <c r="Y2156" s="34"/>
      <c r="Z2156" s="33"/>
      <c r="AA2156" s="34" t="s">
        <v>65</v>
      </c>
      <c r="AB2156" s="34"/>
      <c r="AC2156" s="34"/>
      <c r="AD2156" s="34"/>
      <c r="AE2156" s="34"/>
    </row>
    <row r="2157" spans="1:31" ht="15.75">
      <c r="A2157" s="39"/>
      <c r="B2157" s="33"/>
      <c r="C2157" s="33"/>
      <c r="D2157" s="33"/>
      <c r="E2157" s="33"/>
      <c r="F2157" s="33"/>
      <c r="G2157" s="33"/>
      <c r="H2157" s="33"/>
      <c r="I2157" s="33"/>
      <c r="J2157" s="33"/>
      <c r="K2157" s="33"/>
      <c r="L2157" s="33"/>
      <c r="M2157" s="33"/>
      <c r="N2157" s="33"/>
      <c r="O2157" s="33"/>
      <c r="P2157" s="33"/>
      <c r="Q2157" s="33"/>
      <c r="R2157" s="33"/>
      <c r="S2157" s="33"/>
      <c r="T2157" s="1071"/>
      <c r="U2157" s="1071"/>
      <c r="V2157" s="1071"/>
      <c r="W2157" s="1071"/>
      <c r="X2157" s="1071"/>
      <c r="Y2157" s="34"/>
      <c r="Z2157" s="33"/>
      <c r="AA2157" s="34" t="s">
        <v>2459</v>
      </c>
      <c r="AB2157" s="34"/>
      <c r="AC2157" s="34"/>
      <c r="AD2157" s="34"/>
      <c r="AE2157" s="34"/>
    </row>
    <row r="2158" spans="1:31" ht="15">
      <c r="T2158" s="1071"/>
      <c r="U2158" s="1071"/>
      <c r="V2158" s="1071"/>
      <c r="W2158" s="1071"/>
      <c r="X2158" s="1071"/>
      <c r="AA2158" s="34" t="s">
        <v>2456</v>
      </c>
      <c r="AB2158" s="34"/>
      <c r="AC2158" s="34"/>
      <c r="AD2158" s="34"/>
      <c r="AE2158" s="34"/>
    </row>
    <row r="2159" spans="1:31" ht="15">
      <c r="T2159" s="1071"/>
      <c r="U2159" s="1071"/>
      <c r="V2159" s="1071"/>
      <c r="W2159" s="1071"/>
      <c r="X2159" s="1071"/>
      <c r="AA2159" s="34" t="s">
        <v>66</v>
      </c>
      <c r="AB2159" s="34"/>
      <c r="AC2159" s="34"/>
      <c r="AD2159" s="34"/>
      <c r="AE2159" s="34"/>
    </row>
    <row r="2160" spans="1:31" ht="51">
      <c r="A2160" s="36" t="s">
        <v>37</v>
      </c>
      <c r="B2160" s="36" t="s">
        <v>38</v>
      </c>
      <c r="C2160" s="36" t="s">
        <v>39</v>
      </c>
      <c r="T2160" s="33"/>
      <c r="U2160" s="33"/>
      <c r="V2160" s="34"/>
      <c r="W2160" s="33"/>
      <c r="AA2160" s="901"/>
      <c r="AB2160" s="34"/>
      <c r="AC2160" s="33"/>
      <c r="AD2160" s="34"/>
      <c r="AE2160" s="33"/>
    </row>
    <row r="2161" spans="1:31" ht="25.5">
      <c r="A2161" s="37" t="s">
        <v>40</v>
      </c>
      <c r="B2161" s="37" t="s">
        <v>41</v>
      </c>
      <c r="C2161" s="37" t="s">
        <v>42</v>
      </c>
      <c r="T2161" s="1072"/>
      <c r="U2161" s="1072"/>
      <c r="V2161" s="1072"/>
      <c r="W2161" s="1072"/>
      <c r="X2161" s="1072"/>
      <c r="AA2161" s="124" t="s">
        <v>2457</v>
      </c>
      <c r="AB2161" s="124"/>
      <c r="AC2161" s="124"/>
      <c r="AD2161" s="124"/>
      <c r="AE2161" s="124"/>
    </row>
    <row r="2162" spans="1:31" ht="25.5">
      <c r="A2162" s="37" t="s">
        <v>43</v>
      </c>
      <c r="B2162" s="37" t="s">
        <v>44</v>
      </c>
      <c r="C2162" s="37" t="s">
        <v>45</v>
      </c>
      <c r="T2162" s="1064"/>
      <c r="U2162" s="1064"/>
      <c r="V2162" s="1064"/>
      <c r="W2162" s="1064"/>
      <c r="X2162" s="1064"/>
      <c r="AA2162" s="125" t="s">
        <v>2458</v>
      </c>
      <c r="AB2162" s="125"/>
      <c r="AC2162" s="125"/>
      <c r="AD2162" s="125"/>
      <c r="AE2162" s="125"/>
    </row>
    <row r="2163" spans="1:31" ht="25.5">
      <c r="A2163" s="37" t="s">
        <v>46</v>
      </c>
      <c r="B2163" s="37" t="s">
        <v>47</v>
      </c>
      <c r="C2163" s="37" t="s">
        <v>48</v>
      </c>
    </row>
    <row r="2164" spans="1:31" ht="25.5">
      <c r="A2164" s="37" t="s">
        <v>49</v>
      </c>
      <c r="B2164" s="37" t="s">
        <v>50</v>
      </c>
      <c r="C2164" s="37" t="s">
        <v>51</v>
      </c>
    </row>
    <row r="2165" spans="1:31" ht="25.5">
      <c r="A2165" s="37" t="s">
        <v>52</v>
      </c>
      <c r="B2165" s="38" t="s">
        <v>53</v>
      </c>
      <c r="C2165" s="37" t="s">
        <v>54</v>
      </c>
    </row>
  </sheetData>
  <mergeCells count="293">
    <mergeCell ref="W1555:W1556"/>
    <mergeCell ref="AA1555:AA1556"/>
    <mergeCell ref="AD1555:AD1556"/>
    <mergeCell ref="G1557:G1558"/>
    <mergeCell ref="I1557:I1558"/>
    <mergeCell ref="K1557:K1558"/>
    <mergeCell ref="M1557:M1558"/>
    <mergeCell ref="O1557:O1558"/>
    <mergeCell ref="Q1557:Q1558"/>
    <mergeCell ref="S1557:S1558"/>
    <mergeCell ref="W1557:W1558"/>
    <mergeCell ref="AA1557:AA1558"/>
    <mergeCell ref="B1768:B1771"/>
    <mergeCell ref="AE1839:AE1840"/>
    <mergeCell ref="Y2049:Y2050"/>
    <mergeCell ref="AA2049:AA2050"/>
    <mergeCell ref="G2049:G2050"/>
    <mergeCell ref="I2049:I2050"/>
    <mergeCell ref="K2049:K2050"/>
    <mergeCell ref="M2049:M2050"/>
    <mergeCell ref="O2049:O2050"/>
    <mergeCell ref="Q2049:Q2050"/>
    <mergeCell ref="S2049:S2050"/>
    <mergeCell ref="W2049:W2050"/>
    <mergeCell ref="X2049:X2050"/>
    <mergeCell ref="Y2036:Y2040"/>
    <mergeCell ref="AA2036:AA2040"/>
    <mergeCell ref="G2044:G2045"/>
    <mergeCell ref="I2044:I2045"/>
    <mergeCell ref="K2044:K2045"/>
    <mergeCell ref="M2044:M2045"/>
    <mergeCell ref="O2044:O2045"/>
    <mergeCell ref="Q2044:Q2045"/>
    <mergeCell ref="S2044:S2045"/>
    <mergeCell ref="W2044:W2045"/>
    <mergeCell ref="X2044:X2045"/>
    <mergeCell ref="Y2044:Y2045"/>
    <mergeCell ref="AA2044:AA2045"/>
    <mergeCell ref="G2036:G2040"/>
    <mergeCell ref="I2036:I2040"/>
    <mergeCell ref="K2036:K2040"/>
    <mergeCell ref="M2036:M2040"/>
    <mergeCell ref="O2036:O2040"/>
    <mergeCell ref="Q2036:Q2040"/>
    <mergeCell ref="S2036:S2040"/>
    <mergeCell ref="W2036:W2040"/>
    <mergeCell ref="X2036:X2040"/>
    <mergeCell ref="X2024:X2026"/>
    <mergeCell ref="Y2024:Y2026"/>
    <mergeCell ref="AA2024:AA2026"/>
    <mergeCell ref="G2027:G2029"/>
    <mergeCell ref="I2027:I2029"/>
    <mergeCell ref="K2027:K2029"/>
    <mergeCell ref="M2027:M2029"/>
    <mergeCell ref="O2027:O2029"/>
    <mergeCell ref="Q2027:Q2029"/>
    <mergeCell ref="S2027:S2029"/>
    <mergeCell ref="W2027:W2029"/>
    <mergeCell ref="X2027:X2029"/>
    <mergeCell ref="Y2027:Y2029"/>
    <mergeCell ref="AA2027:AA2029"/>
    <mergeCell ref="AE858:AE859"/>
    <mergeCell ref="C1410:C1411"/>
    <mergeCell ref="M1410:M1411"/>
    <mergeCell ref="O1410:O1411"/>
    <mergeCell ref="D1424:D1425"/>
    <mergeCell ref="C1453:C1455"/>
    <mergeCell ref="C1460:C1461"/>
    <mergeCell ref="A1737:A1739"/>
    <mergeCell ref="C1737:C1739"/>
    <mergeCell ref="AE1737:AE1739"/>
    <mergeCell ref="Q1253:Q1254"/>
    <mergeCell ref="B1273:B1274"/>
    <mergeCell ref="C1342:C1343"/>
    <mergeCell ref="C1195:C1197"/>
    <mergeCell ref="C1198:C1199"/>
    <mergeCell ref="B858:B864"/>
    <mergeCell ref="C1555:C1556"/>
    <mergeCell ref="G1555:G1556"/>
    <mergeCell ref="I1555:I1556"/>
    <mergeCell ref="K1555:K1556"/>
    <mergeCell ref="M1555:M1556"/>
    <mergeCell ref="O1555:O1556"/>
    <mergeCell ref="Q1555:Q1556"/>
    <mergeCell ref="S1555:S1556"/>
    <mergeCell ref="A10:A12"/>
    <mergeCell ref="B10:B12"/>
    <mergeCell ref="I13:I15"/>
    <mergeCell ref="J13:J15"/>
    <mergeCell ref="K13:K15"/>
    <mergeCell ref="L13:L15"/>
    <mergeCell ref="C10:C12"/>
    <mergeCell ref="D10:D12"/>
    <mergeCell ref="A13:A15"/>
    <mergeCell ref="B13:B15"/>
    <mergeCell ref="C13:C15"/>
    <mergeCell ref="D13:D15"/>
    <mergeCell ref="J11:J12"/>
    <mergeCell ref="AB11:AC11"/>
    <mergeCell ref="U11:V11"/>
    <mergeCell ref="U12:V12"/>
    <mergeCell ref="X11:Y11"/>
    <mergeCell ref="X12:Y12"/>
    <mergeCell ref="E13:F15"/>
    <mergeCell ref="G13:G15"/>
    <mergeCell ref="H13:H15"/>
    <mergeCell ref="N11:N12"/>
    <mergeCell ref="O11:O12"/>
    <mergeCell ref="AE7:AE8"/>
    <mergeCell ref="J9:K9"/>
    <mergeCell ref="L9:M9"/>
    <mergeCell ref="N9:O9"/>
    <mergeCell ref="P9:Q9"/>
    <mergeCell ref="R9:S9"/>
    <mergeCell ref="Z9:AA9"/>
    <mergeCell ref="AB9:AD9"/>
    <mergeCell ref="J7:K8"/>
    <mergeCell ref="L7:S8"/>
    <mergeCell ref="Z7:AA8"/>
    <mergeCell ref="AB7:AD8"/>
    <mergeCell ref="T7:Y8"/>
    <mergeCell ref="A1:AD1"/>
    <mergeCell ref="A7:A9"/>
    <mergeCell ref="B7:B9"/>
    <mergeCell ref="C7:C9"/>
    <mergeCell ref="D7:D9"/>
    <mergeCell ref="E7:G9"/>
    <mergeCell ref="H7:I9"/>
    <mergeCell ref="A3:AE3"/>
    <mergeCell ref="A4:AE4"/>
    <mergeCell ref="A5:AE5"/>
    <mergeCell ref="A6:AD6"/>
    <mergeCell ref="T9:Y9"/>
    <mergeCell ref="E10:G10"/>
    <mergeCell ref="H10:I10"/>
    <mergeCell ref="K11:K12"/>
    <mergeCell ref="L11:L12"/>
    <mergeCell ref="M11:M12"/>
    <mergeCell ref="Z10:AA10"/>
    <mergeCell ref="P11:P12"/>
    <mergeCell ref="Q11:Q12"/>
    <mergeCell ref="R11:R12"/>
    <mergeCell ref="S11:S12"/>
    <mergeCell ref="AB10:AD10"/>
    <mergeCell ref="J10:K10"/>
    <mergeCell ref="L10:M10"/>
    <mergeCell ref="N10:O10"/>
    <mergeCell ref="P10:Q10"/>
    <mergeCell ref="R10:S10"/>
    <mergeCell ref="T10:Y10"/>
    <mergeCell ref="AB12:AC12"/>
    <mergeCell ref="E11:F12"/>
    <mergeCell ref="G11:G12"/>
    <mergeCell ref="H11:H12"/>
    <mergeCell ref="I11:I12"/>
    <mergeCell ref="S134:S135"/>
    <mergeCell ref="W134:W135"/>
    <mergeCell ref="AA134:AA135"/>
    <mergeCell ref="C134:C135"/>
    <mergeCell ref="G134:G135"/>
    <mergeCell ref="I134:I135"/>
    <mergeCell ref="K134:K135"/>
    <mergeCell ref="M134:M135"/>
    <mergeCell ref="A2149:T2149"/>
    <mergeCell ref="X1994:X1998"/>
    <mergeCell ref="Y1994:Y1998"/>
    <mergeCell ref="AA1994:AA1998"/>
    <mergeCell ref="G2024:G2026"/>
    <mergeCell ref="I2024:I2026"/>
    <mergeCell ref="K2024:K2026"/>
    <mergeCell ref="M2024:M2026"/>
    <mergeCell ref="O2024:O2026"/>
    <mergeCell ref="C1839:C1840"/>
    <mergeCell ref="G1994:G1998"/>
    <mergeCell ref="I1994:I1998"/>
    <mergeCell ref="K1994:K1998"/>
    <mergeCell ref="M1994:M1998"/>
    <mergeCell ref="O1994:O1998"/>
    <mergeCell ref="Q1994:Q1998"/>
    <mergeCell ref="Y158:Y160"/>
    <mergeCell ref="AA158:AA160"/>
    <mergeCell ref="C145:C146"/>
    <mergeCell ref="G145:G146"/>
    <mergeCell ref="I145:I146"/>
    <mergeCell ref="K145:K146"/>
    <mergeCell ref="M145:M146"/>
    <mergeCell ref="AD134:AD135"/>
    <mergeCell ref="B139:B142"/>
    <mergeCell ref="C139:C143"/>
    <mergeCell ref="G139:G143"/>
    <mergeCell ref="I139:I143"/>
    <mergeCell ref="K139:K143"/>
    <mergeCell ref="M139:M143"/>
    <mergeCell ref="O139:O143"/>
    <mergeCell ref="Q139:Q143"/>
    <mergeCell ref="S139:S143"/>
    <mergeCell ref="W139:W143"/>
    <mergeCell ref="X139:X143"/>
    <mergeCell ref="Y139:Y143"/>
    <mergeCell ref="AA139:AA143"/>
    <mergeCell ref="AD139:AD143"/>
    <mergeCell ref="O134:O135"/>
    <mergeCell ref="Q134:Q135"/>
    <mergeCell ref="Y145:Y146"/>
    <mergeCell ref="AA145:AA146"/>
    <mergeCell ref="AD145:AD146"/>
    <mergeCell ref="G148:G152"/>
    <mergeCell ref="I148:I152"/>
    <mergeCell ref="K148:K152"/>
    <mergeCell ref="M148:M152"/>
    <mergeCell ref="O148:O152"/>
    <mergeCell ref="Q148:Q152"/>
    <mergeCell ref="S148:S152"/>
    <mergeCell ref="W148:W152"/>
    <mergeCell ref="X148:X152"/>
    <mergeCell ref="Y148:Y152"/>
    <mergeCell ref="AA148:AA152"/>
    <mergeCell ref="AD148:AD152"/>
    <mergeCell ref="O145:O146"/>
    <mergeCell ref="Q145:Q146"/>
    <mergeCell ref="S145:S146"/>
    <mergeCell ref="W145:W146"/>
    <mergeCell ref="X145:X146"/>
    <mergeCell ref="AD158:AD160"/>
    <mergeCell ref="C164:C166"/>
    <mergeCell ref="G164:G166"/>
    <mergeCell ref="I164:I166"/>
    <mergeCell ref="K164:K166"/>
    <mergeCell ref="M164:M166"/>
    <mergeCell ref="O164:O166"/>
    <mergeCell ref="Q164:Q166"/>
    <mergeCell ref="S164:S166"/>
    <mergeCell ref="W164:W166"/>
    <mergeCell ref="X164:X166"/>
    <mergeCell ref="Y164:Y166"/>
    <mergeCell ref="AA164:AA166"/>
    <mergeCell ref="AD164:AD166"/>
    <mergeCell ref="O158:O160"/>
    <mergeCell ref="Q158:Q160"/>
    <mergeCell ref="S158:S160"/>
    <mergeCell ref="W158:W160"/>
    <mergeCell ref="X158:X160"/>
    <mergeCell ref="C158:C160"/>
    <mergeCell ref="G158:G160"/>
    <mergeCell ref="I158:I160"/>
    <mergeCell ref="K158:K160"/>
    <mergeCell ref="M158:M160"/>
    <mergeCell ref="A743:A747"/>
    <mergeCell ref="B743:B747"/>
    <mergeCell ref="C743:C747"/>
    <mergeCell ref="C748:C749"/>
    <mergeCell ref="C752:C755"/>
    <mergeCell ref="AD173:AD181"/>
    <mergeCell ref="B176:B178"/>
    <mergeCell ref="B194:B195"/>
    <mergeCell ref="C194:C205"/>
    <mergeCell ref="B197:B198"/>
    <mergeCell ref="B200:B202"/>
    <mergeCell ref="C814:C815"/>
    <mergeCell ref="C821:C823"/>
    <mergeCell ref="C829:C831"/>
    <mergeCell ref="C832:C835"/>
    <mergeCell ref="A833:A835"/>
    <mergeCell ref="B833:B835"/>
    <mergeCell ref="C760:C764"/>
    <mergeCell ref="C771:C772"/>
    <mergeCell ref="C776:C777"/>
    <mergeCell ref="C788:C789"/>
    <mergeCell ref="C795:C796"/>
    <mergeCell ref="T2162:X2162"/>
    <mergeCell ref="C1931:C1933"/>
    <mergeCell ref="B1361:B1362"/>
    <mergeCell ref="C1361:C1364"/>
    <mergeCell ref="C1345:C1347"/>
    <mergeCell ref="C1348:C1355"/>
    <mergeCell ref="B1354:B1355"/>
    <mergeCell ref="B1359:B1360"/>
    <mergeCell ref="C1359:C1360"/>
    <mergeCell ref="A2154:AD2154"/>
    <mergeCell ref="A2153:AD2153"/>
    <mergeCell ref="A2152:AD2152"/>
    <mergeCell ref="A2151:AD2151"/>
    <mergeCell ref="T2156:X2156"/>
    <mergeCell ref="T2157:X2157"/>
    <mergeCell ref="T2158:X2158"/>
    <mergeCell ref="T2159:X2159"/>
    <mergeCell ref="T2161:X2161"/>
    <mergeCell ref="A2150:T2150"/>
    <mergeCell ref="S1994:S1998"/>
    <mergeCell ref="W1994:W1998"/>
    <mergeCell ref="Q2024:Q2026"/>
    <mergeCell ref="S2024:S2026"/>
    <mergeCell ref="W2024:W2026"/>
  </mergeCells>
  <printOptions horizontalCentered="1"/>
  <pageMargins left="0.23622047244094491" right="0.23622047244094491" top="0" bottom="0" header="0" footer="0"/>
  <pageSetup paperSize="9" scale="32" orientation="landscape"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Evaluasi RKPD</vt:lpstr>
      <vt:lpstr>'Evaluasi RKPD'!Print_Area</vt:lpstr>
      <vt:lpstr>'Evaluasi RKPD'!Print_Titles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PE</cp:lastModifiedBy>
  <cp:lastPrinted>2023-01-13T02:11:24Z</cp:lastPrinted>
  <dcterms:created xsi:type="dcterms:W3CDTF">2020-03-18T05:59:44Z</dcterms:created>
  <dcterms:modified xsi:type="dcterms:W3CDTF">2023-01-13T02:12:27Z</dcterms:modified>
</cp:coreProperties>
</file>