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snakerkop,UKP" sheetId="1" r:id="rId1"/>
  </sheets>
  <definedNames>
    <definedName name="_xlnm.Print_Area" localSheetId="0">'Disnakerkop,UKP'!$A$1:$AM$81</definedName>
    <definedName name="_xlnm.Print_Titles" localSheetId="0">'Disnakerkop,UKP'!$7:$12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M25" i="1"/>
  <c r="Y20" i="1"/>
  <c r="V20" i="1"/>
  <c r="S20" i="1"/>
  <c r="P20" i="1"/>
  <c r="M20" i="1"/>
  <c r="X63" i="1"/>
  <c r="Y62" i="1"/>
  <c r="X62" i="1"/>
  <c r="W62" i="1"/>
  <c r="Y61" i="1"/>
  <c r="X61" i="1"/>
  <c r="X60" i="1"/>
  <c r="Y59" i="1"/>
  <c r="Y58" i="1" s="1"/>
  <c r="X59" i="1"/>
  <c r="W59" i="1"/>
  <c r="X58" i="1"/>
  <c r="X57" i="1"/>
  <c r="Y56" i="1"/>
  <c r="X56" i="1"/>
  <c r="Y55" i="1"/>
  <c r="X55" i="1"/>
  <c r="X54" i="1"/>
  <c r="X53" i="1"/>
  <c r="Y52" i="1"/>
  <c r="Y51" i="1" s="1"/>
  <c r="X52" i="1"/>
  <c r="X51" i="1"/>
  <c r="W51" i="1"/>
  <c r="W48" i="1" s="1"/>
  <c r="X50" i="1"/>
  <c r="Y49" i="1"/>
  <c r="Y48" i="1" s="1"/>
  <c r="X49" i="1"/>
  <c r="X48" i="1"/>
  <c r="X47" i="1"/>
  <c r="Y46" i="1"/>
  <c r="X46" i="1"/>
  <c r="X45" i="1"/>
  <c r="Y44" i="1"/>
  <c r="Y43" i="1" s="1"/>
  <c r="X44" i="1"/>
  <c r="W44" i="1"/>
  <c r="X43" i="1"/>
  <c r="W43" i="1"/>
  <c r="W39" i="1" s="1"/>
  <c r="X42" i="1"/>
  <c r="X41" i="1"/>
  <c r="Y40" i="1"/>
  <c r="Y39" i="1" s="1"/>
  <c r="X40" i="1"/>
  <c r="X39" i="1"/>
  <c r="X38" i="1"/>
  <c r="X37" i="1"/>
  <c r="Y36" i="1"/>
  <c r="X36" i="1"/>
  <c r="X35" i="1"/>
  <c r="X34" i="1"/>
  <c r="Y33" i="1"/>
  <c r="X33" i="1"/>
  <c r="X32" i="1"/>
  <c r="Y31" i="1"/>
  <c r="X31" i="1"/>
  <c r="X30" i="1"/>
  <c r="X29" i="1"/>
  <c r="X28" i="1"/>
  <c r="X27" i="1"/>
  <c r="X26" i="1"/>
  <c r="X25" i="1"/>
  <c r="X24" i="1"/>
  <c r="X23" i="1"/>
  <c r="X22" i="1"/>
  <c r="X21" i="1"/>
  <c r="X20" i="1"/>
  <c r="W20" i="1"/>
  <c r="X19" i="1"/>
  <c r="X18" i="1"/>
  <c r="Y17" i="1"/>
  <c r="X17" i="1"/>
  <c r="W17" i="1"/>
  <c r="X16" i="1"/>
  <c r="Y16" i="1" l="1"/>
  <c r="E38" i="1"/>
  <c r="E37" i="1"/>
  <c r="E35" i="1"/>
  <c r="E34" i="1"/>
  <c r="E32" i="1"/>
  <c r="E30" i="1"/>
  <c r="E29" i="1"/>
  <c r="E28" i="1"/>
  <c r="E27" i="1"/>
  <c r="E26" i="1"/>
  <c r="E25" i="1"/>
  <c r="E24" i="1"/>
  <c r="E23" i="1"/>
  <c r="E22" i="1"/>
  <c r="E21" i="1"/>
  <c r="E19" i="1"/>
  <c r="E18" i="1"/>
  <c r="E20" i="1"/>
  <c r="E17" i="1"/>
  <c r="H20" i="1"/>
  <c r="H17" i="1"/>
  <c r="V46" i="1" l="1"/>
  <c r="S46" i="1"/>
  <c r="P46" i="1"/>
  <c r="M46" i="1"/>
  <c r="T59" i="1"/>
  <c r="Q59" i="1"/>
  <c r="N59" i="1"/>
  <c r="K62" i="1"/>
  <c r="H62" i="1"/>
  <c r="E63" i="1"/>
  <c r="T48" i="1"/>
  <c r="Q48" i="1"/>
  <c r="N48" i="1"/>
  <c r="Q52" i="1"/>
  <c r="T39" i="1"/>
  <c r="Q39" i="1"/>
  <c r="N39" i="1"/>
  <c r="T43" i="1"/>
  <c r="Q43" i="1"/>
  <c r="K39" i="1"/>
  <c r="H39" i="1"/>
  <c r="E39" i="1"/>
  <c r="K43" i="1"/>
  <c r="H43" i="1"/>
  <c r="E43" i="1"/>
  <c r="E47" i="1"/>
  <c r="G47" i="1"/>
  <c r="T44" i="1" l="1"/>
  <c r="Q44" i="1"/>
  <c r="N44" i="1"/>
  <c r="G45" i="1"/>
  <c r="G44" i="1" s="1"/>
  <c r="G43" i="1" s="1"/>
  <c r="J44" i="1"/>
  <c r="J43" i="1" s="1"/>
  <c r="E44" i="1"/>
  <c r="H44" i="1"/>
  <c r="K44" i="1"/>
  <c r="E45" i="1"/>
  <c r="E41" i="1"/>
  <c r="E40" i="1" s="1"/>
  <c r="H40" i="1"/>
  <c r="K40" i="1"/>
  <c r="E42" i="1"/>
  <c r="G42" i="1"/>
  <c r="G41" i="1"/>
  <c r="J40" i="1"/>
  <c r="J39" i="1" s="1"/>
  <c r="E58" i="1"/>
  <c r="E59" i="1"/>
  <c r="H59" i="1"/>
  <c r="H58" i="1" s="1"/>
  <c r="K59" i="1"/>
  <c r="K58" i="1" s="1"/>
  <c r="V58" i="1"/>
  <c r="M59" i="1"/>
  <c r="M58" i="1" s="1"/>
  <c r="G59" i="1"/>
  <c r="G58" i="1" s="1"/>
  <c r="J59" i="1"/>
  <c r="J58" i="1" s="1"/>
  <c r="G60" i="1"/>
  <c r="J62" i="1"/>
  <c r="T61" i="1"/>
  <c r="E61" i="1"/>
  <c r="K61" i="1"/>
  <c r="H61" i="1"/>
  <c r="T62" i="1"/>
  <c r="Q62" i="1"/>
  <c r="N62" i="1"/>
  <c r="G63" i="1"/>
  <c r="G62" i="1" s="1"/>
  <c r="G61" i="1" s="1"/>
  <c r="J61" i="1"/>
  <c r="AA61" i="1"/>
  <c r="AH61" i="1" s="1"/>
  <c r="Z61" i="1"/>
  <c r="U61" i="1"/>
  <c r="R61" i="1"/>
  <c r="O61" i="1"/>
  <c r="J48" i="1"/>
  <c r="G50" i="1"/>
  <c r="G49" i="1" s="1"/>
  <c r="G48" i="1" s="1"/>
  <c r="E50" i="1"/>
  <c r="E49" i="1" s="1"/>
  <c r="J49" i="1"/>
  <c r="H49" i="1"/>
  <c r="K49" i="1"/>
  <c r="E53" i="1"/>
  <c r="Q51" i="1"/>
  <c r="G54" i="1"/>
  <c r="E54" i="1"/>
  <c r="G53" i="1"/>
  <c r="T51" i="1"/>
  <c r="N51" i="1"/>
  <c r="K52" i="1"/>
  <c r="K51" i="1" s="1"/>
  <c r="K48" i="1" s="1"/>
  <c r="E52" i="1"/>
  <c r="E51" i="1" s="1"/>
  <c r="E48" i="1" s="1"/>
  <c r="J52" i="1"/>
  <c r="J51" i="1" s="1"/>
  <c r="H52" i="1"/>
  <c r="H51" i="1" s="1"/>
  <c r="H48" i="1" s="1"/>
  <c r="M56" i="1"/>
  <c r="M55" i="1" s="1"/>
  <c r="E56" i="1"/>
  <c r="E55" i="1" s="1"/>
  <c r="AA55" i="1"/>
  <c r="AH55" i="1" s="1"/>
  <c r="Z55" i="1"/>
  <c r="AB55" i="1" s="1"/>
  <c r="U55" i="1"/>
  <c r="R55" i="1"/>
  <c r="O55" i="1"/>
  <c r="G57" i="1"/>
  <c r="G56" i="1" s="1"/>
  <c r="G55" i="1" s="1"/>
  <c r="H56" i="1"/>
  <c r="H55" i="1" s="1"/>
  <c r="K56" i="1"/>
  <c r="K55" i="1" s="1"/>
  <c r="J56" i="1"/>
  <c r="J55" i="1" s="1"/>
  <c r="E57" i="1"/>
  <c r="U57" i="1"/>
  <c r="U56" i="1"/>
  <c r="U63" i="1"/>
  <c r="U62" i="1"/>
  <c r="U60" i="1"/>
  <c r="U59" i="1"/>
  <c r="U58" i="1"/>
  <c r="U47" i="1"/>
  <c r="U46" i="1"/>
  <c r="U45" i="1"/>
  <c r="U44" i="1"/>
  <c r="U43" i="1"/>
  <c r="U54" i="1"/>
  <c r="U53" i="1"/>
  <c r="U52" i="1"/>
  <c r="U51" i="1"/>
  <c r="U50" i="1"/>
  <c r="U49" i="1"/>
  <c r="U48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R57" i="1"/>
  <c r="R56" i="1"/>
  <c r="R63" i="1"/>
  <c r="R62" i="1"/>
  <c r="R60" i="1"/>
  <c r="R59" i="1"/>
  <c r="R58" i="1"/>
  <c r="R47" i="1"/>
  <c r="R46" i="1"/>
  <c r="R45" i="1"/>
  <c r="R44" i="1"/>
  <c r="R43" i="1"/>
  <c r="R54" i="1"/>
  <c r="R53" i="1"/>
  <c r="R52" i="1"/>
  <c r="R51" i="1"/>
  <c r="R50" i="1"/>
  <c r="R49" i="1"/>
  <c r="R48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O57" i="1"/>
  <c r="O56" i="1"/>
  <c r="O63" i="1"/>
  <c r="O62" i="1"/>
  <c r="O60" i="1"/>
  <c r="O59" i="1"/>
  <c r="O58" i="1"/>
  <c r="O47" i="1"/>
  <c r="O46" i="1"/>
  <c r="O45" i="1"/>
  <c r="O44" i="1"/>
  <c r="O43" i="1"/>
  <c r="O54" i="1"/>
  <c r="O53" i="1"/>
  <c r="O52" i="1"/>
  <c r="O51" i="1"/>
  <c r="O50" i="1"/>
  <c r="O49" i="1"/>
  <c r="O48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U16" i="1"/>
  <c r="R16" i="1"/>
  <c r="O16" i="1"/>
  <c r="V59" i="1"/>
  <c r="V49" i="1"/>
  <c r="V48" i="1" s="1"/>
  <c r="V40" i="1"/>
  <c r="V39" i="1" s="1"/>
  <c r="V33" i="1"/>
  <c r="V56" i="1"/>
  <c r="V55" i="1" s="1"/>
  <c r="V62" i="1"/>
  <c r="V61" i="1" s="1"/>
  <c r="V44" i="1"/>
  <c r="V43" i="1" s="1"/>
  <c r="V52" i="1"/>
  <c r="V51" i="1" s="1"/>
  <c r="V36" i="1"/>
  <c r="V31" i="1"/>
  <c r="V25" i="1"/>
  <c r="T20" i="1"/>
  <c r="V17" i="1"/>
  <c r="T17" i="1"/>
  <c r="AG55" i="1" l="1"/>
  <c r="G52" i="1"/>
  <c r="G51" i="1" s="1"/>
  <c r="G40" i="1"/>
  <c r="G39" i="1" s="1"/>
  <c r="AG61" i="1"/>
  <c r="AB61" i="1" s="1"/>
  <c r="V16" i="1"/>
  <c r="S56" i="1" l="1"/>
  <c r="S55" i="1" s="1"/>
  <c r="S62" i="1"/>
  <c r="S61" i="1" s="1"/>
  <c r="S59" i="1"/>
  <c r="S58" i="1" s="1"/>
  <c r="S44" i="1"/>
  <c r="S43" i="1" s="1"/>
  <c r="S52" i="1"/>
  <c r="S51" i="1" s="1"/>
  <c r="S49" i="1"/>
  <c r="S48" i="1" s="1"/>
  <c r="S40" i="1"/>
  <c r="S39" i="1" s="1"/>
  <c r="S36" i="1"/>
  <c r="S33" i="1"/>
  <c r="S31" i="1"/>
  <c r="S25" i="1"/>
  <c r="Q20" i="1"/>
  <c r="S17" i="1"/>
  <c r="Q17" i="1"/>
  <c r="S16" i="1" l="1"/>
  <c r="M40" i="1" l="1"/>
  <c r="AA17" i="1"/>
  <c r="AH17" i="1" s="1"/>
  <c r="P17" i="1"/>
  <c r="N17" i="1"/>
  <c r="Z17" i="1" s="1"/>
  <c r="M17" i="1"/>
  <c r="K17" i="1"/>
  <c r="AB17" i="1" l="1"/>
  <c r="AD17" i="1"/>
  <c r="AE17" i="1" s="1"/>
  <c r="AG17" i="1"/>
  <c r="AI17" i="1" l="1"/>
  <c r="AD18" i="1" l="1"/>
  <c r="AD19" i="1"/>
  <c r="AD21" i="1"/>
  <c r="AD22" i="1"/>
  <c r="AD23" i="1"/>
  <c r="AD24" i="1"/>
  <c r="AD26" i="1"/>
  <c r="AD27" i="1"/>
  <c r="AD28" i="1"/>
  <c r="AD29" i="1"/>
  <c r="AD30" i="1"/>
  <c r="AD32" i="1"/>
  <c r="AD34" i="1"/>
  <c r="AD35" i="1"/>
  <c r="AD37" i="1"/>
  <c r="AD38" i="1"/>
  <c r="AD41" i="1"/>
  <c r="AD42" i="1"/>
  <c r="AD50" i="1"/>
  <c r="AD53" i="1"/>
  <c r="AD54" i="1"/>
  <c r="AD45" i="1"/>
  <c r="AD46" i="1"/>
  <c r="AD47" i="1"/>
  <c r="AD60" i="1"/>
  <c r="AD63" i="1"/>
  <c r="AD57" i="1"/>
  <c r="AA18" i="1"/>
  <c r="AH18" i="1" s="1"/>
  <c r="AA19" i="1"/>
  <c r="AH19" i="1" s="1"/>
  <c r="AA20" i="1"/>
  <c r="AH20" i="1" s="1"/>
  <c r="AA21" i="1"/>
  <c r="AH21" i="1" s="1"/>
  <c r="AA22" i="1"/>
  <c r="AH22" i="1" s="1"/>
  <c r="AA23" i="1"/>
  <c r="AH23" i="1" s="1"/>
  <c r="AA24" i="1"/>
  <c r="AH24" i="1" s="1"/>
  <c r="AA25" i="1"/>
  <c r="AH25" i="1" s="1"/>
  <c r="AA26" i="1"/>
  <c r="AH26" i="1" s="1"/>
  <c r="AA27" i="1"/>
  <c r="AH27" i="1" s="1"/>
  <c r="AA28" i="1"/>
  <c r="AH28" i="1" s="1"/>
  <c r="AA29" i="1"/>
  <c r="AH29" i="1" s="1"/>
  <c r="AA30" i="1"/>
  <c r="AH30" i="1" s="1"/>
  <c r="AA31" i="1"/>
  <c r="AH31" i="1" s="1"/>
  <c r="AA32" i="1"/>
  <c r="AH32" i="1" s="1"/>
  <c r="AA33" i="1"/>
  <c r="AH33" i="1" s="1"/>
  <c r="AA34" i="1"/>
  <c r="AH34" i="1" s="1"/>
  <c r="AA35" i="1"/>
  <c r="AH35" i="1" s="1"/>
  <c r="AA36" i="1"/>
  <c r="AH36" i="1" s="1"/>
  <c r="AA37" i="1"/>
  <c r="AH37" i="1" s="1"/>
  <c r="AA38" i="1"/>
  <c r="AH38" i="1" s="1"/>
  <c r="AA39" i="1"/>
  <c r="AH39" i="1" s="1"/>
  <c r="AA40" i="1"/>
  <c r="AH40" i="1" s="1"/>
  <c r="AA41" i="1"/>
  <c r="AH41" i="1" s="1"/>
  <c r="AA42" i="1"/>
  <c r="AH42" i="1" s="1"/>
  <c r="AA48" i="1"/>
  <c r="AH48" i="1" s="1"/>
  <c r="AA49" i="1"/>
  <c r="AH49" i="1" s="1"/>
  <c r="AA50" i="1"/>
  <c r="AH50" i="1" s="1"/>
  <c r="AA51" i="1"/>
  <c r="AH51" i="1" s="1"/>
  <c r="AA52" i="1"/>
  <c r="AH52" i="1" s="1"/>
  <c r="AA53" i="1"/>
  <c r="AH53" i="1" s="1"/>
  <c r="AA54" i="1"/>
  <c r="AH54" i="1" s="1"/>
  <c r="AA43" i="1"/>
  <c r="AH43" i="1" s="1"/>
  <c r="AA44" i="1"/>
  <c r="AH44" i="1" s="1"/>
  <c r="AA45" i="1"/>
  <c r="AH45" i="1" s="1"/>
  <c r="AA46" i="1"/>
  <c r="AH46" i="1" s="1"/>
  <c r="AA47" i="1"/>
  <c r="AH47" i="1" s="1"/>
  <c r="AA58" i="1"/>
  <c r="AH58" i="1" s="1"/>
  <c r="AA59" i="1"/>
  <c r="AH59" i="1" s="1"/>
  <c r="AA60" i="1"/>
  <c r="AH60" i="1" s="1"/>
  <c r="AA62" i="1"/>
  <c r="AH62" i="1" s="1"/>
  <c r="AA63" i="1"/>
  <c r="AH63" i="1" s="1"/>
  <c r="AA56" i="1"/>
  <c r="AH56" i="1" s="1"/>
  <c r="AA57" i="1"/>
  <c r="AH57" i="1" s="1"/>
  <c r="AA16" i="1"/>
  <c r="AH16" i="1" s="1"/>
  <c r="Z57" i="1"/>
  <c r="AB57" i="1" s="1"/>
  <c r="Z56" i="1"/>
  <c r="Z63" i="1"/>
  <c r="AB63" i="1" s="1"/>
  <c r="Z62" i="1"/>
  <c r="AG62" i="1" s="1"/>
  <c r="AB62" i="1" s="1"/>
  <c r="Z60" i="1"/>
  <c r="AB60" i="1" s="1"/>
  <c r="Z59" i="1"/>
  <c r="Z58" i="1"/>
  <c r="Z47" i="1"/>
  <c r="AB47" i="1" s="1"/>
  <c r="Z46" i="1"/>
  <c r="AB46" i="1" s="1"/>
  <c r="Z45" i="1"/>
  <c r="AB45" i="1" s="1"/>
  <c r="Z44" i="1"/>
  <c r="Z43" i="1"/>
  <c r="AG43" i="1" s="1"/>
  <c r="AB43" i="1" s="1"/>
  <c r="Z54" i="1"/>
  <c r="AB54" i="1" s="1"/>
  <c r="Z53" i="1"/>
  <c r="AB53" i="1" s="1"/>
  <c r="Z52" i="1"/>
  <c r="AG52" i="1" s="1"/>
  <c r="AB52" i="1" s="1"/>
  <c r="Z51" i="1"/>
  <c r="Z50" i="1"/>
  <c r="AB50" i="1" s="1"/>
  <c r="Z49" i="1"/>
  <c r="Z48" i="1"/>
  <c r="Z42" i="1"/>
  <c r="AB42" i="1" s="1"/>
  <c r="Z41" i="1"/>
  <c r="AB41" i="1" s="1"/>
  <c r="Z40" i="1"/>
  <c r="Z39" i="1"/>
  <c r="Z38" i="1"/>
  <c r="AB38" i="1" s="1"/>
  <c r="Z37" i="1"/>
  <c r="AB37" i="1" s="1"/>
  <c r="Z36" i="1"/>
  <c r="Z35" i="1"/>
  <c r="AB35" i="1" s="1"/>
  <c r="Z34" i="1"/>
  <c r="AB34" i="1" s="1"/>
  <c r="Z33" i="1"/>
  <c r="Z32" i="1"/>
  <c r="AB32" i="1" s="1"/>
  <c r="Z31" i="1"/>
  <c r="Z30" i="1"/>
  <c r="AB30" i="1" s="1"/>
  <c r="Z29" i="1"/>
  <c r="AB29" i="1" s="1"/>
  <c r="Z28" i="1"/>
  <c r="AB28" i="1" s="1"/>
  <c r="Z27" i="1"/>
  <c r="AB27" i="1" s="1"/>
  <c r="Z26" i="1"/>
  <c r="AB26" i="1" s="1"/>
  <c r="Z25" i="1"/>
  <c r="Z24" i="1"/>
  <c r="AB24" i="1" s="1"/>
  <c r="Z23" i="1"/>
  <c r="AB23" i="1" s="1"/>
  <c r="Z22" i="1"/>
  <c r="AB22" i="1" s="1"/>
  <c r="Z21" i="1"/>
  <c r="AB21" i="1" s="1"/>
  <c r="Z19" i="1"/>
  <c r="AB19" i="1" s="1"/>
  <c r="Z18" i="1"/>
  <c r="AB18" i="1" s="1"/>
  <c r="Z16" i="1"/>
  <c r="AG31" i="1" l="1"/>
  <c r="AB31" i="1"/>
  <c r="AG44" i="1"/>
  <c r="AB44" i="1"/>
  <c r="AG16" i="1"/>
  <c r="AB16" i="1"/>
  <c r="AG36" i="1"/>
  <c r="AB36" i="1"/>
  <c r="AG40" i="1"/>
  <c r="AB40" i="1"/>
  <c r="AG49" i="1"/>
  <c r="AB49" i="1"/>
  <c r="AG56" i="1"/>
  <c r="AB56" i="1"/>
  <c r="AG25" i="1"/>
  <c r="AB25" i="1"/>
  <c r="AG33" i="1"/>
  <c r="AB33" i="1"/>
  <c r="AG58" i="1"/>
  <c r="AB58" i="1" s="1"/>
  <c r="AG59" i="1"/>
  <c r="AB59" i="1"/>
  <c r="AG48" i="1"/>
  <c r="AB48" i="1" s="1"/>
  <c r="AG51" i="1"/>
  <c r="AB51" i="1" s="1"/>
  <c r="AG39" i="1"/>
  <c r="AB39" i="1" s="1"/>
  <c r="AG18" i="1"/>
  <c r="AG23" i="1"/>
  <c r="AG27" i="1"/>
  <c r="AG35" i="1"/>
  <c r="AG57" i="1"/>
  <c r="AE57" i="1"/>
  <c r="AI57" i="1"/>
  <c r="AE47" i="1"/>
  <c r="AI47" i="1"/>
  <c r="AE53" i="1"/>
  <c r="AI53" i="1"/>
  <c r="AE38" i="1"/>
  <c r="AI38" i="1"/>
  <c r="AE32" i="1"/>
  <c r="AI32" i="1"/>
  <c r="AE27" i="1"/>
  <c r="AI27" i="1"/>
  <c r="AE22" i="1"/>
  <c r="AI22" i="1"/>
  <c r="AG19" i="1"/>
  <c r="AG24" i="1"/>
  <c r="AG28" i="1"/>
  <c r="AG32" i="1"/>
  <c r="AG53" i="1"/>
  <c r="AG45" i="1"/>
  <c r="AE63" i="1"/>
  <c r="AI63" i="1"/>
  <c r="AE46" i="1"/>
  <c r="AI46" i="1"/>
  <c r="AE50" i="1"/>
  <c r="AI50" i="1"/>
  <c r="AE37" i="1"/>
  <c r="AI37" i="1"/>
  <c r="AE30" i="1"/>
  <c r="AI30" i="1"/>
  <c r="AE26" i="1"/>
  <c r="AI26" i="1"/>
  <c r="AE21" i="1"/>
  <c r="AI21" i="1"/>
  <c r="AG21" i="1"/>
  <c r="AG29" i="1"/>
  <c r="AG37" i="1"/>
  <c r="AG41" i="1"/>
  <c r="AG50" i="1"/>
  <c r="AG54" i="1"/>
  <c r="AG46" i="1"/>
  <c r="AG60" i="1"/>
  <c r="AG63" i="1"/>
  <c r="AE45" i="1"/>
  <c r="AI45" i="1"/>
  <c r="AE42" i="1"/>
  <c r="AI42" i="1"/>
  <c r="AE35" i="1"/>
  <c r="AI35" i="1"/>
  <c r="AE29" i="1"/>
  <c r="AI29" i="1"/>
  <c r="AE24" i="1"/>
  <c r="AI24" i="1"/>
  <c r="AE19" i="1"/>
  <c r="AI19" i="1"/>
  <c r="AG22" i="1"/>
  <c r="AG26" i="1"/>
  <c r="AG30" i="1"/>
  <c r="AG34" i="1"/>
  <c r="AG38" i="1"/>
  <c r="AG42" i="1"/>
  <c r="AG47" i="1"/>
  <c r="AE60" i="1"/>
  <c r="AI60" i="1"/>
  <c r="AE54" i="1"/>
  <c r="AI54" i="1"/>
  <c r="AE41" i="1"/>
  <c r="AI41" i="1"/>
  <c r="AE34" i="1"/>
  <c r="AI34" i="1"/>
  <c r="AE28" i="1"/>
  <c r="AI28" i="1"/>
  <c r="AE23" i="1"/>
  <c r="AI23" i="1"/>
  <c r="AE18" i="1"/>
  <c r="AI18" i="1"/>
  <c r="N20" i="1"/>
  <c r="Z20" i="1" s="1"/>
  <c r="K20" i="1"/>
  <c r="AG20" i="1" l="1"/>
  <c r="AB20" i="1"/>
  <c r="P49" i="1"/>
  <c r="M49" i="1"/>
  <c r="P44" i="1"/>
  <c r="M44" i="1"/>
  <c r="P56" i="1"/>
  <c r="P62" i="1"/>
  <c r="P59" i="1"/>
  <c r="P58" i="1" s="1"/>
  <c r="P52" i="1"/>
  <c r="P40" i="1"/>
  <c r="P36" i="1"/>
  <c r="AD36" i="1" s="1"/>
  <c r="AI36" i="1" s="1"/>
  <c r="P33" i="1"/>
  <c r="AD33" i="1" s="1"/>
  <c r="AI33" i="1" s="1"/>
  <c r="P31" i="1"/>
  <c r="AD31" i="1" s="1"/>
  <c r="AI31" i="1" s="1"/>
  <c r="P25" i="1"/>
  <c r="AD25" i="1" s="1"/>
  <c r="AI25" i="1" s="1"/>
  <c r="M62" i="1"/>
  <c r="M61" i="1" l="1"/>
  <c r="AD62" i="1"/>
  <c r="AI62" i="1" s="1"/>
  <c r="P61" i="1"/>
  <c r="AD61" i="1" s="1"/>
  <c r="AD56" i="1"/>
  <c r="AE56" i="1" s="1"/>
  <c r="P55" i="1"/>
  <c r="AD55" i="1" s="1"/>
  <c r="P16" i="1"/>
  <c r="AD16" i="1" s="1"/>
  <c r="AI16" i="1" s="1"/>
  <c r="AD20" i="1"/>
  <c r="AI20" i="1" s="1"/>
  <c r="P39" i="1"/>
  <c r="AD39" i="1" s="1"/>
  <c r="AI39" i="1" s="1"/>
  <c r="AD40" i="1"/>
  <c r="AI40" i="1" s="1"/>
  <c r="P51" i="1"/>
  <c r="AD51" i="1" s="1"/>
  <c r="AI51" i="1" s="1"/>
  <c r="AD52" i="1"/>
  <c r="AI52" i="1" s="1"/>
  <c r="P48" i="1"/>
  <c r="AD48" i="1" s="1"/>
  <c r="AI48" i="1" s="1"/>
  <c r="AD49" i="1"/>
  <c r="P43" i="1"/>
  <c r="AD43" i="1" s="1"/>
  <c r="AD44" i="1"/>
  <c r="M48" i="1"/>
  <c r="AD58" i="1"/>
  <c r="AI58" i="1" s="1"/>
  <c r="AD59" i="1"/>
  <c r="M43" i="1"/>
  <c r="AI43" i="1" l="1"/>
  <c r="AE43" i="1"/>
  <c r="AI56" i="1"/>
  <c r="AI61" i="1"/>
  <c r="AE61" i="1"/>
  <c r="AE62" i="1"/>
  <c r="AE55" i="1"/>
  <c r="AI55" i="1"/>
  <c r="AE49" i="1"/>
  <c r="AI49" i="1"/>
  <c r="AE59" i="1"/>
  <c r="AI59" i="1"/>
  <c r="AE44" i="1"/>
  <c r="AI44" i="1"/>
  <c r="AE58" i="1"/>
  <c r="AE48" i="1"/>
  <c r="M52" i="1"/>
  <c r="AE52" i="1" s="1"/>
  <c r="M36" i="1"/>
  <c r="M33" i="1"/>
  <c r="M31" i="1"/>
  <c r="M16" i="1" l="1"/>
  <c r="AE20" i="1"/>
  <c r="AE36" i="1"/>
  <c r="AE25" i="1"/>
  <c r="M39" i="1"/>
  <c r="AE31" i="1"/>
  <c r="M51" i="1"/>
  <c r="AE40" i="1"/>
  <c r="AE33" i="1"/>
  <c r="AP25" i="1"/>
  <c r="AP24" i="1"/>
  <c r="AP23" i="1"/>
  <c r="AP22" i="1"/>
  <c r="AP16" i="1"/>
  <c r="AE39" i="1" l="1"/>
  <c r="AE51" i="1"/>
  <c r="AE16" i="1"/>
  <c r="AE64" i="1" l="1"/>
  <c r="AE65" i="1" s="1"/>
  <c r="AB64" i="1"/>
  <c r="AB65" i="1" s="1"/>
</calcChain>
</file>

<file path=xl/comments1.xml><?xml version="1.0" encoding="utf-8"?>
<comments xmlns="http://schemas.openxmlformats.org/spreadsheetml/2006/main">
  <authors>
    <author>USER</author>
    <author>W10 PRO</author>
  </authors>
  <commentList>
    <comment ref="T41" authorId="0" shapeId="0">
      <text>
        <r>
          <rPr>
            <b/>
            <sz val="12"/>
            <color indexed="81"/>
            <rFont val="Tahoma"/>
            <family val="2"/>
          </rPr>
          <t>Rencana Realisasi Bulan Ini menunggu Anggaran Perubahan</t>
        </r>
      </text>
    </comment>
    <comment ref="H42" authorId="0" shapeId="0">
      <text>
        <r>
          <rPr>
            <b/>
            <sz val="12"/>
            <color indexed="81"/>
            <rFont val="Tahoma"/>
            <family val="2"/>
          </rPr>
          <t>Banjarmasin Sasirangan Festival</t>
        </r>
      </text>
    </comment>
    <comment ref="T42" authorId="0" shapeId="0">
      <text>
        <r>
          <rPr>
            <b/>
            <sz val="12"/>
            <color indexed="81"/>
            <rFont val="Tahoma"/>
            <family val="2"/>
          </rPr>
          <t>Rencana Realisasi Desember Kalsel Expo dan HSS Expo</t>
        </r>
      </text>
    </comment>
    <comment ref="Q45" authorId="0" shapeId="0">
      <text>
        <r>
          <rPr>
            <b/>
            <sz val="12"/>
            <color indexed="81"/>
            <rFont val="Tahoma"/>
            <family val="2"/>
          </rPr>
          <t>P IRT</t>
        </r>
      </text>
    </comment>
    <comment ref="T45" authorId="0" shapeId="0">
      <text>
        <r>
          <rPr>
            <b/>
            <sz val="12"/>
            <color indexed="81"/>
            <rFont val="Tahoma"/>
            <family val="2"/>
          </rPr>
          <t>IUI 40, P IRT 40</t>
        </r>
      </text>
    </comment>
    <comment ref="K48" authorId="1" shapeId="0">
      <text>
        <r>
          <rPr>
            <b/>
            <sz val="12"/>
            <color indexed="81"/>
            <rFont val="Tahoma"/>
            <family val="2"/>
          </rPr>
          <t>Jumlah lowongan kerja/jumlah pencari kerja terdaftarx100</t>
        </r>
      </text>
    </comment>
    <comment ref="K50" authorId="0" shapeId="0">
      <text>
        <r>
          <rPr>
            <b/>
            <sz val="12"/>
            <color indexed="81"/>
            <rFont val="Tahoma"/>
            <family val="2"/>
          </rPr>
          <t>Tidak terealisasi dana dialihkan ke pelatihan dinamo starter</t>
        </r>
      </text>
    </comment>
    <comment ref="E53" authorId="0" shapeId="0">
      <text>
        <r>
          <rPr>
            <b/>
            <sz val="12"/>
            <color indexed="81"/>
            <rFont val="Tahoma"/>
            <family val="2"/>
          </rPr>
          <t>2022 Pemagangan, Instalasi Listrik</t>
        </r>
      </text>
    </comment>
    <comment ref="K53" authorId="0" shapeId="0">
      <text>
        <r>
          <rPr>
            <b/>
            <sz val="12"/>
            <color indexed="81"/>
            <rFont val="Tahoma"/>
            <family val="2"/>
          </rPr>
          <t>Pelatihan mobil bensin 20, Sepeda Motor 20, Menjahit 16, Dinamo Starter 10</t>
        </r>
      </text>
    </comment>
    <comment ref="Q53" authorId="0" shapeId="0">
      <text>
        <r>
          <rPr>
            <b/>
            <sz val="12"/>
            <color indexed="81"/>
            <rFont val="Tahoma"/>
            <family val="2"/>
          </rPr>
          <t>Pelatihan Mobil Bensin</t>
        </r>
      </text>
    </comment>
    <comment ref="K54" authorId="0" shapeId="0">
      <text>
        <r>
          <rPr>
            <b/>
            <sz val="12"/>
            <color indexed="81"/>
            <rFont val="Tahoma"/>
            <family val="2"/>
          </rPr>
          <t>Pemagangan</t>
        </r>
      </text>
    </comment>
    <comment ref="T57" authorId="0" shapeId="0">
      <text>
        <r>
          <rPr>
            <b/>
            <sz val="12"/>
            <color indexed="81"/>
            <rFont val="Tahoma"/>
            <family val="2"/>
          </rPr>
          <t>tidak ada pengaduan kasus Hubungan Industrial</t>
        </r>
      </text>
    </comment>
    <comment ref="T61" authorId="0" shapeId="0">
      <text>
        <r>
          <rPr>
            <b/>
            <sz val="12"/>
            <color indexed="81"/>
            <rFont val="Tahoma"/>
            <family val="2"/>
          </rPr>
          <t>Total Ijin Usaha 402</t>
        </r>
      </text>
    </comment>
    <comment ref="T63" authorId="0" shapeId="0">
      <text>
        <r>
          <rPr>
            <b/>
            <sz val="12"/>
            <color indexed="81"/>
            <rFont val="Tahoma"/>
            <family val="2"/>
          </rPr>
          <t>DAK NON FISIK PROVINSI</t>
        </r>
      </text>
    </comment>
  </commentList>
</comments>
</file>

<file path=xl/sharedStrings.xml><?xml version="1.0" encoding="utf-8"?>
<sst xmlns="http://schemas.openxmlformats.org/spreadsheetml/2006/main" count="485" uniqueCount="170">
  <si>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</si>
  <si>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</si>
  <si>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</si>
  <si>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</si>
  <si>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</si>
  <si>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</si>
  <si>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</si>
  <si>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</si>
  <si>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Target Kinerja dan Anggaran Renja Perangkat Daerah Tahun Berjalan (Tahun 2020) yang Dievaluasi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</si>
  <si>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</si>
  <si>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</si>
  <si>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</si>
  <si>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</si>
  <si>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</si>
  <si>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</si>
  <si>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</si>
  <si>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</si>
  <si>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</si>
  <si>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</si>
  <si>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</si>
  <si>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</si>
  <si>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</si>
  <si>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</si>
  <si>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</si>
  <si>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</si>
  <si>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</si>
  <si>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</si>
  <si>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</si>
  <si>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</si>
  <si>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</si>
  <si>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</si>
  <si>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</si>
  <si>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</si>
  <si>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</si>
  <si>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</si>
  <si>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</si>
  <si>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</si>
  <si>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</si>
  <si>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</si>
  <si>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</si>
  <si>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</si>
  <si>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</si>
  <si>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</si>
  <si>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</si>
  <si>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</si>
  <si>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</si>
  <si>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</si>
  <si>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</si>
  <si>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</si>
  <si>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</si>
  <si>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</si>
  <si>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</si>
  <si>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</si>
  <si>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</si>
  <si>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</si>
  <si>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</si>
  <si>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Org</t>
  </si>
  <si>
    <t>Menurunnya Tingkat Pengangguran Terbuka</t>
  </si>
  <si>
    <t>Pelayanan Administrasi Sesuai Standar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</si>
  <si>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</si>
  <si>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</si>
  <si>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</si>
  <si>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</si>
  <si>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</si>
  <si>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</si>
  <si>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</si>
  <si>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</si>
  <si>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</si>
  <si>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 xml:space="preserve">Faktor pendorong keberhasilan pencapaian: </t>
  </si>
  <si>
    <t>Faktor penghambat pencapaian kinerja: Jadwal pelaksanaan terkendala pada refocusing anggaran covid-19 dan keterlambatan pengesahan Dokumen Pelaksanaan Anggaran (DPA)</t>
  </si>
  <si>
    <t>Tindak lanjut yang diperlukan dalam triwulan berikutnya*): Mempercepat pelaksanaan program kegiatan setelah pengesahan DPA</t>
  </si>
  <si>
    <t>Tindak lanjut yang diperlukan dalam Renja Perangkat Daerah Kabupaten berikutnya*): Perubahan waktu pelaksanaan dipercepat.</t>
  </si>
  <si>
    <t>Drs. HENDRO MARTONO, MT</t>
  </si>
  <si>
    <t>NIP. 19730309 199402 1 002</t>
  </si>
  <si>
    <t>DINAS TENAGA KERJA, KOPERASI, USAHA KECIL MENENGAH DAN PERINDUSTRIAN</t>
  </si>
  <si>
    <t>Dinas Tenaga Kerja, Koperasi, Usaha Kecil Menengah dan Perindustrian</t>
  </si>
  <si>
    <t>Kepala Dinas Tenaga Kerja, Koperasi, UKMP</t>
  </si>
  <si>
    <t>Realisasi Capaian Kinerja Renstra Perangkat Daerah sampai dengan Renja Perangkat Daerah Tahun Lalu (2020)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</si>
  <si>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</si>
  <si>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</si>
  <si>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</si>
  <si>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</si>
  <si>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</si>
  <si>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</si>
  <si>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</si>
  <si>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</si>
  <si>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</si>
  <si>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 xml:space="preserve">Laporan Keuangan Yang Memenuhi Aspek Kualitas 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</si>
  <si>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</si>
  <si>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</si>
  <si>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</si>
  <si>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</si>
  <si>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Penyediaan Bahan Bacaan dan Peraturan Perundang‑undangan</t>
  </si>
  <si>
    <t>Penyelenggaraan Rapat Koordinasi dan Konsultasi SKPD</t>
  </si>
  <si>
    <t xml:space="preserve">Pengadaan Barang Milik Daerah Penunjang Urusan Pemerintah Daerah </t>
  </si>
  <si>
    <t>Pengadaan Sarana dan Prasarana Gedung Kantor atau Bangunan Lainnya</t>
  </si>
  <si>
    <t>Peralatan dan Perlengkapan Kantor Dalam Kondisi Baik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</si>
  <si>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</si>
  <si>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</si>
  <si>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</si>
  <si>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</si>
  <si>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</si>
  <si>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</si>
  <si>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Kendaraan Dinas Operasional Dalam Kondisi Baik</t>
  </si>
  <si>
    <t>Program Perencanaan Dan Pembangunan Industri</t>
  </si>
  <si>
    <t>Penyusunan, Penerapan dan Evaluasi Rencana Pembangunan Industri Kabupaten/Kota</t>
  </si>
  <si>
    <t>Koordinasi, Sinkronisasi, dan Pelaksanaan Pembangunan Sumber Daya Industri</t>
  </si>
  <si>
    <t>Koordinasi, Sinkronisasi, dan Pelaksanaan Pemberdayaan Industri dan Peran Serta Masyarakat</t>
  </si>
  <si>
    <t>Program Pelatihan Kerja Dan Produktivitas Tenaga Kerja</t>
  </si>
  <si>
    <t>Pelaksanaan Pelatihan berdasarkan Unit Kompetensi</t>
  </si>
  <si>
    <t>Proses Pelaksanaan Pendidikan dan Pelatihan Keterampilan bagi Pencari Kerja berdasarkan Klaster Kompetensi</t>
  </si>
  <si>
    <t>Koordinasi Lintas Lembaga dan Kerja Sama dengan Sektor Swasta untuk Penyediaan Instruktur serta Sarana dan Prasarana Lembaga Pelatihan Kerja</t>
  </si>
  <si>
    <t>Program Pengendalian Izin Usaha Industri Kabupaten/Kota</t>
  </si>
  <si>
    <t>Penerbitan Izin Usaha Industri (IUI), Izin Perluasan Usaha Industri (IPUI), Izin Usaha Kawasan Industri (IUKI) dan Izin Perluasan Kawasan Industri (IPKI) Kewenangan Kabupaten/Kota Berbasis Sistem Informasi Industri Nasional (SIINAS)</t>
  </si>
  <si>
    <t>Penyediaan Informasi Industri untuk Informasi Industri untuk IUI, IPUI, IUKI dan IPKI Kewenangan Kabupaten/Kota</t>
  </si>
  <si>
    <t>Fasilitasi Pengumpulan, Pengolahan dan Analisis Data Industri, Data Kawasan Industri serta Data Lain Lingkup Kabupaten/Kota melalui Sistem Informasi Industri Nasional (SIINas)</t>
  </si>
  <si>
    <t>Pendidikan dan Latihan Perkoperasian bagi Koperasi yang Wilayah Keanggotaan dalam Daerah Kabupaten/Kota</t>
  </si>
  <si>
    <t>Peningkatan Pemahaman dan Pengetahuan Perkoperasian serta Kapasitas dan Kompetensi SDM Koperasi</t>
  </si>
  <si>
    <t>Pelayanan Antarkerja di Daerah Kabupaten/Kota</t>
  </si>
  <si>
    <t>Pengembangan Usaha Mikro dengan Orientasi Peningkatan Skala Usaha menjadi Usaha Kecil</t>
  </si>
  <si>
    <t>Fasilitasi Usaha Mikro Menjadi Usaha Kecil dalam Pengembangan Produksi dan Pengolahan, Pemasaran, SDM, serta Desain dan Teknologi</t>
  </si>
  <si>
    <t>Pencegahan dan Penyelesaian Perselisihan Hubungan Industrial, Mogok Kerja dan Penutupan Perusahaan di Daerah Kabupaten/Kota</t>
  </si>
  <si>
    <t>Penyelesaian Perselisihan Hubungan Industrial, Mogok Kerja, dan Penutupan Perusahaan yang Berakibat/Berdampak pada Kepentingan di 1 (satu) Daerah Kabupaten/Kota</t>
  </si>
  <si>
    <t>Program Pendidikan dan Latihan Perkoperasian bagi Koperasi yang Wilayah Keanggotaan dalam Daerah Kabupaten/Kota</t>
  </si>
  <si>
    <t>Penyediaan Gaji dan Tunjangan ASN</t>
  </si>
  <si>
    <t>Program Penempatan Tenaga Kerja</t>
  </si>
  <si>
    <t xml:space="preserve">Penyediaan Sumber Daya Pelayanan antar Kerja </t>
  </si>
  <si>
    <t>Jumlah dokumen administrasi Keuangan sesuai standar</t>
  </si>
  <si>
    <t>Lap</t>
  </si>
  <si>
    <t>Jumlah dokumen administrasi umum sesuai standar</t>
  </si>
  <si>
    <t>Tingkat Pelayanan Adminstrasi Umum sesuai Standar</t>
  </si>
  <si>
    <t>%</t>
  </si>
  <si>
    <t>Tingkat kepuasan pelayanan</t>
  </si>
  <si>
    <t>Perencanaan, Pengangnggaran dan Evaluasi Kinerja Perangkat Daerah</t>
  </si>
  <si>
    <t>Jumlah dokumen Perencanaan dan Evaluasi Kinerja yang berkualitas</t>
  </si>
  <si>
    <t>Pameran</t>
  </si>
  <si>
    <t>Dokumen Perencanaan yang Memenuhi Aspek Kualitas</t>
  </si>
  <si>
    <t>Dokumen Evaluasi yang Memenuhi Aspek Kualitas</t>
  </si>
  <si>
    <t>Kasus</t>
  </si>
  <si>
    <t>Jumlah Penanganan Kasus Perselisihan Hubungan Industrial Yang Tersedia</t>
  </si>
  <si>
    <t>Program Hubungan Industrial</t>
  </si>
  <si>
    <t>Persentase Kasus yang diselesaikan melalui perjanjian bersama (PB)</t>
  </si>
  <si>
    <t>Persentase Kasus Yang Diselesaikan Melalui Perjanjian Bersama (PB)</t>
  </si>
  <si>
    <t>Jumlah Pencari Kerja Yang Diikutkan Dalam Pelatihan Kerja</t>
  </si>
  <si>
    <t>Jumlah Pencari Kerja Yang Dilatih Berdasarkan Klaster Kompetensi</t>
  </si>
  <si>
    <t>Persentase Tenaga Kerja Yang Mengikuti Pelatihan Berdasarkan Unit Kompetensi</t>
  </si>
  <si>
    <t>Persentase Tenaga Kerja Yang Kompeten</t>
  </si>
  <si>
    <t>Jumlah Penempatan Calon Peserta Seleksi</t>
  </si>
  <si>
    <t>Jumlah Calon Tenaga Kerja Yang Terseleksi</t>
  </si>
  <si>
    <t>Jumlah Wirausaha yang Terlatih</t>
  </si>
  <si>
    <t>Program Pengembangan UMKM</t>
  </si>
  <si>
    <t>Persentase SDM Usaha Kecil Menengah Yang Memiliki Ijin Usaha</t>
  </si>
  <si>
    <t>UMKM</t>
  </si>
  <si>
    <t>Jumlah Koperasi Yang Dibina</t>
  </si>
  <si>
    <t>Koperasi</t>
  </si>
  <si>
    <t>Jumlah Koperasi Aktif</t>
  </si>
  <si>
    <t>Persentase Koperasi Aktif</t>
  </si>
  <si>
    <t>Jumlah Peserta Pelatihan Pembangunan Industri Yg Dilaksanakan</t>
  </si>
  <si>
    <t>Jumlah Pameran Yang Diikuti</t>
  </si>
  <si>
    <t>Jumlah Peserta Pelatihan Kerajinan Industri</t>
  </si>
  <si>
    <t>Persentase Produk Industri Yang Bersertifikasi Mutu</t>
  </si>
  <si>
    <t>Jumlah Pemenuhan Sertifikasi Ikm Pangan</t>
  </si>
  <si>
    <t>Jumlah IKM Pangan Yang Dilatih</t>
  </si>
  <si>
    <t>IKM</t>
  </si>
  <si>
    <t>Fasilitasi Pemenuhan Komitmen Perolehan IUI, IPUI, IUKI dan IPKI Kewenangan Kabupaten/Kota dalam Sistem Informasi Industri Nasional (SIINas) yang Terintegrasi dengan Sistem Pelayanan Perizinan Berusaha Terintegrasi secara Elektronik</t>
  </si>
  <si>
    <t>Jumlah Informasi Industri Kecil Menengah yang terdokumentasi dengan baik</t>
  </si>
  <si>
    <t>Data</t>
  </si>
  <si>
    <t>Jumlah Peserta yang Mengikuti Sosialisasi</t>
  </si>
  <si>
    <t>PERIODE PELAKSANAAN TRIWULAN IV TAHUN 2021</t>
  </si>
  <si>
    <t>Kandangan,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</si>
</sst>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indexed="81"/>
      <name val="Tahoma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7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/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top"/>
    </xf>
    <xf numFmtId="3" fontId="15" fillId="0" borderId="0" xfId="0" applyNumberFormat="1" applyFont="1" applyBorder="1" applyAlignment="1">
      <alignment horizontal="right" vertical="top" wrapText="1"/>
    </xf>
    <xf numFmtId="3" fontId="6" fillId="0" borderId="2" xfId="1" quotePrefix="1" applyNumberFormat="1" applyFont="1" applyFill="1" applyBorder="1" applyAlignment="1">
      <alignment horizontal="right" vertical="top"/>
    </xf>
    <xf numFmtId="3" fontId="8" fillId="0" borderId="2" xfId="1" quotePrefix="1" applyNumberFormat="1" applyFont="1" applyFill="1" applyBorder="1" applyAlignment="1">
      <alignment horizontal="right" vertical="top"/>
    </xf>
    <xf numFmtId="9" fontId="6" fillId="0" borderId="15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17" fillId="0" borderId="11" xfId="0" applyFont="1" applyFill="1" applyBorder="1"/>
    <xf numFmtId="0" fontId="17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3" fontId="15" fillId="0" borderId="0" xfId="0" applyNumberFormat="1" applyFont="1" applyFill="1" applyAlignment="1">
      <alignment horizontal="right" vertical="top" wrapText="1"/>
    </xf>
    <xf numFmtId="3" fontId="14" fillId="0" borderId="2" xfId="0" applyNumberFormat="1" applyFont="1" applyFill="1" applyBorder="1" applyAlignment="1">
      <alignment horizontal="right" vertical="top" wrapText="1"/>
    </xf>
    <xf numFmtId="3" fontId="15" fillId="0" borderId="2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164" fontId="6" fillId="0" borderId="2" xfId="2" quotePrefix="1" applyFont="1" applyFill="1" applyBorder="1" applyAlignment="1">
      <alignment horizontal="right" vertical="top"/>
    </xf>
    <xf numFmtId="166" fontId="6" fillId="0" borderId="2" xfId="2" quotePrefix="1" applyNumberFormat="1" applyFont="1" applyFill="1" applyBorder="1" applyAlignment="1">
      <alignment vertical="top"/>
    </xf>
    <xf numFmtId="166" fontId="6" fillId="0" borderId="2" xfId="2" quotePrefix="1" applyNumberFormat="1" applyFont="1" applyFill="1" applyBorder="1" applyAlignment="1">
      <alignment horizontal="right" vertical="top"/>
    </xf>
    <xf numFmtId="166" fontId="15" fillId="0" borderId="0" xfId="2" applyNumberFormat="1" applyFont="1" applyFill="1" applyBorder="1" applyAlignment="1">
      <alignment horizontal="right" vertical="top"/>
    </xf>
    <xf numFmtId="166" fontId="15" fillId="0" borderId="2" xfId="2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166" fontId="6" fillId="0" borderId="2" xfId="1" quotePrefix="1" applyNumberFormat="1" applyFont="1" applyFill="1" applyBorder="1" applyAlignment="1">
      <alignment horizontal="right" vertical="top"/>
    </xf>
    <xf numFmtId="166" fontId="15" fillId="0" borderId="0" xfId="0" applyNumberFormat="1" applyFont="1" applyFill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0"/>
  <sheetViews>
    <sheetView tabSelected="1" showRuler="0" view="pageBreakPreview" topLeftCell="B1" zoomScale="70" zoomScaleNormal="40" zoomScaleSheetLayoutView="70" zoomScalePageLayoutView="55" workbookViewId="0">
      <selection activeCell="V61" sqref="V61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9.42578125" style="2" customWidth="1"/>
    <col min="4" max="4" width="15" style="2" customWidth="1"/>
    <col min="5" max="6" width="7.7109375" style="2" customWidth="1"/>
    <col min="7" max="7" width="18.28515625" style="2" customWidth="1"/>
    <col min="8" max="8" width="8.28515625" style="2" bestFit="1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23.710937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9.42578125" style="2" customWidth="1"/>
    <col min="29" max="29" width="5.5703125" style="4" customWidth="1"/>
    <col min="30" max="30" width="18.5703125" style="2" bestFit="1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8.5703125" style="2" bestFit="1" customWidth="1"/>
    <col min="36" max="36" width="8" style="2" customWidth="1"/>
    <col min="37" max="37" width="5.5703125" style="4" customWidth="1"/>
    <col min="38" max="38" width="9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"/>
    </row>
    <row r="2" spans="1:45" ht="23.25" x14ac:dyDescent="0.3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3"/>
    </row>
    <row r="3" spans="1:45" ht="23.25" x14ac:dyDescent="0.35">
      <c r="A3" s="115" t="s">
        <v>74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3"/>
    </row>
    <row r="4" spans="1:45" ht="23.25" x14ac:dyDescent="0.35">
      <c r="A4" s="116" t="s">
        <v>168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"/>
    </row>
    <row r="5" spans="1:45" ht="18" x14ac:dyDescent="0.2">
      <c r="A5" s="117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</row>
    <row r="6" spans="1:45" ht="18" x14ac:dyDescent="0.25">
      <c r="A6" s="118" t="s">
        <v>74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</row>
    <row r="7" spans="1:45" ht="81" customHeight="1" x14ac:dyDescent="0.2">
      <c r="A7" s="122" t="s">
        <v>3</v>
      </c>
      <c r="B7" s="122" t="s">
        <v>4</v>
      </c>
      <c r="C7" s="123" t="s">
        <v>5</v>
      </c>
      <c r="D7" s="123" t="s">
        <v>6</v>
      </c>
      <c r="E7" s="106" t="s">
        <v>7</v>
      </c>
      <c r="F7" s="107"/>
      <c r="G7" s="108"/>
      <c r="H7" s="106" t="s">
        <v>77</v>
      </c>
      <c r="I7" s="107"/>
      <c r="J7" s="108"/>
      <c r="K7" s="106" t="s">
        <v>8</v>
      </c>
      <c r="L7" s="107"/>
      <c r="M7" s="107"/>
      <c r="N7" s="106" t="s">
        <v>9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8"/>
      <c r="Z7" s="106" t="s">
        <v>61</v>
      </c>
      <c r="AA7" s="107"/>
      <c r="AB7" s="107"/>
      <c r="AC7" s="107"/>
      <c r="AD7" s="107"/>
      <c r="AE7" s="107"/>
      <c r="AF7" s="108"/>
      <c r="AG7" s="106" t="s">
        <v>78</v>
      </c>
      <c r="AH7" s="107"/>
      <c r="AI7" s="108"/>
      <c r="AJ7" s="106" t="s">
        <v>79</v>
      </c>
      <c r="AK7" s="107"/>
      <c r="AL7" s="107"/>
      <c r="AM7" s="130" t="s">
        <v>10</v>
      </c>
      <c r="AO7" s="4"/>
      <c r="AP7" s="4"/>
      <c r="AQ7" s="4"/>
      <c r="AR7" s="4"/>
      <c r="AS7" s="4"/>
    </row>
    <row r="8" spans="1:45" ht="18" customHeight="1" x14ac:dyDescent="0.2">
      <c r="A8" s="122"/>
      <c r="B8" s="122"/>
      <c r="C8" s="123"/>
      <c r="D8" s="123"/>
      <c r="E8" s="109"/>
      <c r="F8" s="110"/>
      <c r="G8" s="111"/>
      <c r="H8" s="109"/>
      <c r="I8" s="110"/>
      <c r="J8" s="111"/>
      <c r="K8" s="112"/>
      <c r="L8" s="113"/>
      <c r="M8" s="113"/>
      <c r="N8" s="112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2"/>
      <c r="AA8" s="113"/>
      <c r="AB8" s="113"/>
      <c r="AC8" s="113"/>
      <c r="AD8" s="113"/>
      <c r="AE8" s="113"/>
      <c r="AF8" s="114"/>
      <c r="AG8" s="112"/>
      <c r="AH8" s="113"/>
      <c r="AI8" s="114"/>
      <c r="AJ8" s="112"/>
      <c r="AK8" s="113"/>
      <c r="AL8" s="113"/>
      <c r="AM8" s="131"/>
    </row>
    <row r="9" spans="1:45" ht="15.75" customHeight="1" x14ac:dyDescent="0.2">
      <c r="A9" s="122"/>
      <c r="B9" s="122"/>
      <c r="C9" s="123"/>
      <c r="D9" s="123"/>
      <c r="E9" s="112"/>
      <c r="F9" s="113"/>
      <c r="G9" s="114"/>
      <c r="H9" s="112"/>
      <c r="I9" s="113"/>
      <c r="J9" s="114"/>
      <c r="K9" s="132">
        <v>2021</v>
      </c>
      <c r="L9" s="133"/>
      <c r="M9" s="134"/>
      <c r="N9" s="119" t="s">
        <v>11</v>
      </c>
      <c r="O9" s="120"/>
      <c r="P9" s="121"/>
      <c r="Q9" s="119" t="s">
        <v>12</v>
      </c>
      <c r="R9" s="120"/>
      <c r="S9" s="121"/>
      <c r="T9" s="119" t="s">
        <v>13</v>
      </c>
      <c r="U9" s="120"/>
      <c r="V9" s="121"/>
      <c r="W9" s="119" t="s">
        <v>14</v>
      </c>
      <c r="X9" s="120"/>
      <c r="Y9" s="121"/>
      <c r="Z9" s="119">
        <v>2021</v>
      </c>
      <c r="AA9" s="120"/>
      <c r="AB9" s="120"/>
      <c r="AC9" s="120"/>
      <c r="AD9" s="120"/>
      <c r="AE9" s="120"/>
      <c r="AF9" s="121"/>
      <c r="AG9" s="119">
        <v>2021</v>
      </c>
      <c r="AH9" s="120"/>
      <c r="AI9" s="121"/>
      <c r="AJ9" s="119">
        <v>2021</v>
      </c>
      <c r="AK9" s="120"/>
      <c r="AL9" s="121"/>
      <c r="AM9" s="5"/>
    </row>
    <row r="10" spans="1:45" s="7" customFormat="1" ht="15.75" x14ac:dyDescent="0.25">
      <c r="A10" s="144">
        <v>1</v>
      </c>
      <c r="B10" s="144">
        <v>2</v>
      </c>
      <c r="C10" s="144">
        <v>3</v>
      </c>
      <c r="D10" s="144">
        <v>4</v>
      </c>
      <c r="E10" s="127">
        <v>5</v>
      </c>
      <c r="F10" s="128"/>
      <c r="G10" s="129"/>
      <c r="H10" s="127">
        <v>6</v>
      </c>
      <c r="I10" s="128"/>
      <c r="J10" s="129"/>
      <c r="K10" s="124">
        <v>7</v>
      </c>
      <c r="L10" s="125"/>
      <c r="M10" s="126"/>
      <c r="N10" s="124">
        <v>8</v>
      </c>
      <c r="O10" s="125"/>
      <c r="P10" s="126"/>
      <c r="Q10" s="124">
        <v>9</v>
      </c>
      <c r="R10" s="125"/>
      <c r="S10" s="126"/>
      <c r="T10" s="124">
        <v>10</v>
      </c>
      <c r="U10" s="125"/>
      <c r="V10" s="126"/>
      <c r="W10" s="124">
        <v>11</v>
      </c>
      <c r="X10" s="125"/>
      <c r="Y10" s="126"/>
      <c r="Z10" s="135">
        <v>12</v>
      </c>
      <c r="AA10" s="136"/>
      <c r="AB10" s="136"/>
      <c r="AC10" s="136"/>
      <c r="AD10" s="136"/>
      <c r="AE10" s="136"/>
      <c r="AF10" s="137"/>
      <c r="AG10" s="135">
        <v>13</v>
      </c>
      <c r="AH10" s="136"/>
      <c r="AI10" s="137"/>
      <c r="AJ10" s="135">
        <v>14</v>
      </c>
      <c r="AK10" s="136"/>
      <c r="AL10" s="137"/>
      <c r="AM10" s="6">
        <v>15</v>
      </c>
    </row>
    <row r="11" spans="1:45" s="7" customFormat="1" ht="87" customHeight="1" x14ac:dyDescent="0.2">
      <c r="A11" s="145"/>
      <c r="B11" s="145"/>
      <c r="C11" s="145"/>
      <c r="D11" s="145"/>
      <c r="E11" s="138" t="s">
        <v>15</v>
      </c>
      <c r="F11" s="139"/>
      <c r="G11" s="142" t="s">
        <v>16</v>
      </c>
      <c r="H11" s="138" t="s">
        <v>15</v>
      </c>
      <c r="I11" s="139"/>
      <c r="J11" s="142" t="s">
        <v>16</v>
      </c>
      <c r="K11" s="138" t="s">
        <v>15</v>
      </c>
      <c r="L11" s="139"/>
      <c r="M11" s="144" t="s">
        <v>16</v>
      </c>
      <c r="N11" s="138" t="s">
        <v>15</v>
      </c>
      <c r="O11" s="139"/>
      <c r="P11" s="144" t="s">
        <v>16</v>
      </c>
      <c r="Q11" s="138" t="s">
        <v>15</v>
      </c>
      <c r="R11" s="139"/>
      <c r="S11" s="144" t="s">
        <v>16</v>
      </c>
      <c r="T11" s="138" t="s">
        <v>15</v>
      </c>
      <c r="U11" s="139"/>
      <c r="V11" s="144" t="s">
        <v>16</v>
      </c>
      <c r="W11" s="138" t="s">
        <v>15</v>
      </c>
      <c r="X11" s="139"/>
      <c r="Y11" s="144" t="s">
        <v>16</v>
      </c>
      <c r="Z11" s="127" t="s">
        <v>17</v>
      </c>
      <c r="AA11" s="129"/>
      <c r="AB11" s="127" t="s">
        <v>59</v>
      </c>
      <c r="AC11" s="129"/>
      <c r="AD11" s="8" t="s">
        <v>18</v>
      </c>
      <c r="AE11" s="127" t="s">
        <v>60</v>
      </c>
      <c r="AF11" s="129"/>
      <c r="AG11" s="127" t="s">
        <v>19</v>
      </c>
      <c r="AH11" s="129"/>
      <c r="AI11" s="8" t="s">
        <v>20</v>
      </c>
      <c r="AJ11" s="127" t="s">
        <v>21</v>
      </c>
      <c r="AK11" s="129"/>
      <c r="AL11" s="8" t="s">
        <v>22</v>
      </c>
      <c r="AM11" s="9"/>
    </row>
    <row r="12" spans="1:45" s="7" customFormat="1" ht="15.75" x14ac:dyDescent="0.2">
      <c r="A12" s="142"/>
      <c r="B12" s="142"/>
      <c r="C12" s="142"/>
      <c r="D12" s="142"/>
      <c r="E12" s="140"/>
      <c r="F12" s="141"/>
      <c r="G12" s="143"/>
      <c r="H12" s="140"/>
      <c r="I12" s="141"/>
      <c r="J12" s="143"/>
      <c r="K12" s="140"/>
      <c r="L12" s="141"/>
      <c r="M12" s="142"/>
      <c r="N12" s="140"/>
      <c r="O12" s="141"/>
      <c r="P12" s="142"/>
      <c r="Q12" s="140"/>
      <c r="R12" s="141"/>
      <c r="S12" s="142"/>
      <c r="T12" s="140"/>
      <c r="U12" s="141"/>
      <c r="V12" s="142"/>
      <c r="W12" s="140"/>
      <c r="X12" s="141"/>
      <c r="Y12" s="142"/>
      <c r="Z12" s="140" t="s">
        <v>15</v>
      </c>
      <c r="AA12" s="141"/>
      <c r="AB12" s="140" t="s">
        <v>15</v>
      </c>
      <c r="AC12" s="141"/>
      <c r="AD12" s="10" t="s">
        <v>16</v>
      </c>
      <c r="AE12" s="140" t="s">
        <v>16</v>
      </c>
      <c r="AF12" s="141"/>
      <c r="AG12" s="140" t="s">
        <v>15</v>
      </c>
      <c r="AH12" s="141"/>
      <c r="AI12" s="10" t="s">
        <v>16</v>
      </c>
      <c r="AJ12" s="140" t="s">
        <v>15</v>
      </c>
      <c r="AK12" s="141"/>
      <c r="AL12" s="10" t="s">
        <v>16</v>
      </c>
      <c r="AM12" s="68"/>
    </row>
    <row r="13" spans="1:45" ht="15" hidden="1" customHeight="1" x14ac:dyDescent="0.2">
      <c r="A13" s="147"/>
      <c r="B13" s="150" t="s">
        <v>23</v>
      </c>
      <c r="C13" s="153" t="s">
        <v>24</v>
      </c>
      <c r="D13" s="150" t="s">
        <v>25</v>
      </c>
      <c r="E13" s="156" t="s">
        <v>26</v>
      </c>
      <c r="F13" s="157"/>
      <c r="G13" s="147"/>
      <c r="H13" s="156" t="s">
        <v>27</v>
      </c>
      <c r="I13" s="157"/>
      <c r="J13" s="153" t="s">
        <v>28</v>
      </c>
      <c r="K13" s="162" t="s">
        <v>29</v>
      </c>
      <c r="L13" s="163"/>
      <c r="M13" s="153" t="s">
        <v>30</v>
      </c>
      <c r="N13" s="162" t="s">
        <v>31</v>
      </c>
      <c r="O13" s="16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65"/>
      <c r="AD13" s="11"/>
      <c r="AE13" s="11"/>
      <c r="AF13" s="65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48"/>
      <c r="B14" s="151"/>
      <c r="C14" s="154"/>
      <c r="D14" s="151"/>
      <c r="E14" s="158"/>
      <c r="F14" s="159"/>
      <c r="G14" s="148"/>
      <c r="H14" s="158"/>
      <c r="I14" s="159"/>
      <c r="J14" s="154"/>
      <c r="K14" s="164"/>
      <c r="L14" s="165"/>
      <c r="M14" s="154"/>
      <c r="N14" s="164"/>
      <c r="O14" s="16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66"/>
      <c r="AD14" s="14"/>
      <c r="AE14" s="14"/>
      <c r="AF14" s="66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49"/>
      <c r="B15" s="152"/>
      <c r="C15" s="155"/>
      <c r="D15" s="152"/>
      <c r="E15" s="160"/>
      <c r="F15" s="161"/>
      <c r="G15" s="149"/>
      <c r="H15" s="160"/>
      <c r="I15" s="161"/>
      <c r="J15" s="155"/>
      <c r="K15" s="166"/>
      <c r="L15" s="167"/>
      <c r="M15" s="155"/>
      <c r="N15" s="166"/>
      <c r="O15" s="16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67"/>
      <c r="AD15" s="16"/>
      <c r="AE15" s="16"/>
      <c r="AF15" s="67"/>
      <c r="AG15" s="16"/>
      <c r="AH15" s="17"/>
      <c r="AI15" s="16"/>
      <c r="AJ15" s="16"/>
      <c r="AK15" s="17"/>
      <c r="AL15" s="16"/>
      <c r="AM15" s="13"/>
    </row>
    <row r="16" spans="1:45" ht="153.75" customHeight="1" x14ac:dyDescent="0.2">
      <c r="A16" s="48">
        <v>1</v>
      </c>
      <c r="B16" s="19" t="s">
        <v>32</v>
      </c>
      <c r="C16" s="20" t="s">
        <v>80</v>
      </c>
      <c r="D16" s="81" t="s">
        <v>132</v>
      </c>
      <c r="E16" s="43">
        <v>100</v>
      </c>
      <c r="F16" s="44" t="s">
        <v>131</v>
      </c>
      <c r="G16" s="41"/>
      <c r="H16" s="43">
        <v>100</v>
      </c>
      <c r="I16" s="44" t="s">
        <v>131</v>
      </c>
      <c r="J16" s="41"/>
      <c r="K16" s="43">
        <v>100</v>
      </c>
      <c r="L16" s="44" t="s">
        <v>131</v>
      </c>
      <c r="M16" s="41">
        <f>SUM(M17,M20,M25,M31,M33,M36)</f>
        <v>3875574504</v>
      </c>
      <c r="N16" s="88">
        <v>25</v>
      </c>
      <c r="O16" s="44" t="str">
        <f>L16</f>
        <v>%</v>
      </c>
      <c r="P16" s="41">
        <f>SUM(P17,P20,P25,P31,P33,P36)</f>
        <v>726562697</v>
      </c>
      <c r="Q16" s="88">
        <v>25</v>
      </c>
      <c r="R16" s="44" t="str">
        <f>L16</f>
        <v>%</v>
      </c>
      <c r="S16" s="41">
        <f>SUM(S17,S20,S25,S31,S33,S36)</f>
        <v>1077630394</v>
      </c>
      <c r="T16" s="88">
        <v>25</v>
      </c>
      <c r="U16" s="44" t="str">
        <f>L16</f>
        <v>%</v>
      </c>
      <c r="V16" s="41">
        <f>SUM(V17,V20,V25,V31,V33,V36)</f>
        <v>694458670</v>
      </c>
      <c r="W16" s="88">
        <v>25</v>
      </c>
      <c r="X16" s="44" t="str">
        <f>O16</f>
        <v>%</v>
      </c>
      <c r="Y16" s="41">
        <f>SUM(Y17,Y20,Y25,Y31,Y33,Y36)</f>
        <v>799617832</v>
      </c>
      <c r="Z16" s="52">
        <f>SUM(N16,Q16,T16,W16)</f>
        <v>100</v>
      </c>
      <c r="AA16" s="77" t="str">
        <f>L16</f>
        <v>%</v>
      </c>
      <c r="AB16" s="52">
        <f>Z16/K16*100</f>
        <v>100</v>
      </c>
      <c r="AC16" s="51" t="s">
        <v>131</v>
      </c>
      <c r="AD16" s="70">
        <f>SUM(P16,S16,V16,Y16)</f>
        <v>3298269593</v>
      </c>
      <c r="AE16" s="52">
        <f>AD16/M16*100</f>
        <v>85.104017213340612</v>
      </c>
      <c r="AF16" s="51" t="s">
        <v>131</v>
      </c>
      <c r="AG16" s="52">
        <f t="shared" ref="AG16:AG63" si="0">SUM(H16,Z16)</f>
        <v>200</v>
      </c>
      <c r="AH16" s="44" t="str">
        <f>AA16</f>
        <v>%</v>
      </c>
      <c r="AI16" s="56">
        <f t="shared" ref="AI16:AI63" si="1">SUM(J16,AD16)</f>
        <v>3298269593</v>
      </c>
      <c r="AJ16" s="52"/>
      <c r="AK16" s="51" t="s">
        <v>131</v>
      </c>
      <c r="AL16" s="52"/>
      <c r="AM16" s="26" t="s">
        <v>75</v>
      </c>
      <c r="AP16" s="27">
        <f t="shared" ref="AP16:AP25" si="2">P16+S16+V16+Y16</f>
        <v>3298269593</v>
      </c>
    </row>
    <row r="17" spans="1:42" s="86" customFormat="1" ht="120" customHeight="1" x14ac:dyDescent="0.25">
      <c r="A17" s="48">
        <v>2</v>
      </c>
      <c r="B17" s="49" t="s">
        <v>33</v>
      </c>
      <c r="C17" s="82" t="s">
        <v>133</v>
      </c>
      <c r="D17" s="20" t="s">
        <v>134</v>
      </c>
      <c r="E17" s="43">
        <f>SUM(E18:E19)</f>
        <v>45</v>
      </c>
      <c r="F17" s="44" t="s">
        <v>54</v>
      </c>
      <c r="G17" s="41"/>
      <c r="H17" s="43">
        <f>SUM(H18:H19)</f>
        <v>15</v>
      </c>
      <c r="I17" s="44" t="s">
        <v>54</v>
      </c>
      <c r="J17" s="41"/>
      <c r="K17" s="43">
        <f>SUM(K18:K19)</f>
        <v>15</v>
      </c>
      <c r="L17" s="44" t="s">
        <v>54</v>
      </c>
      <c r="M17" s="41">
        <f>SUM(M18:M19)</f>
        <v>8900000</v>
      </c>
      <c r="N17" s="43">
        <f>SUM(N18:N19)</f>
        <v>1</v>
      </c>
      <c r="O17" s="44" t="str">
        <f t="shared" ref="O17:O63" si="3">L17</f>
        <v>Dok</v>
      </c>
      <c r="P17" s="41">
        <f>SUM(P18:P19)</f>
        <v>0</v>
      </c>
      <c r="Q17" s="43">
        <f>SUM(Q18:Q19)</f>
        <v>3</v>
      </c>
      <c r="R17" s="44" t="str">
        <f t="shared" ref="R17:R63" si="4">L17</f>
        <v>Dok</v>
      </c>
      <c r="S17" s="41">
        <f>SUM(S18:S19)</f>
        <v>1875000</v>
      </c>
      <c r="T17" s="43">
        <f>SUM(T18:T19)</f>
        <v>3</v>
      </c>
      <c r="U17" s="44" t="str">
        <f t="shared" ref="U17:U63" si="5">L17</f>
        <v>Dok</v>
      </c>
      <c r="V17" s="41">
        <f>SUM(V18:V19)</f>
        <v>0</v>
      </c>
      <c r="W17" s="43">
        <f>SUM(W18:W19)</f>
        <v>8</v>
      </c>
      <c r="X17" s="44" t="str">
        <f t="shared" ref="X17:X63" si="6">O17</f>
        <v>Dok</v>
      </c>
      <c r="Y17" s="41">
        <f>SUM(Y18:Y19)</f>
        <v>3725000</v>
      </c>
      <c r="Z17" s="54">
        <f t="shared" ref="Z17" si="7">SUM(N17,Q17,T17,W17)</f>
        <v>15</v>
      </c>
      <c r="AA17" s="44" t="str">
        <f t="shared" ref="AA17" si="8">L17</f>
        <v>Dok</v>
      </c>
      <c r="AB17" s="77">
        <f t="shared" ref="AB17:AB63" si="9">Z17/K17*100</f>
        <v>100</v>
      </c>
      <c r="AC17" s="44" t="s">
        <v>131</v>
      </c>
      <c r="AD17" s="83">
        <f t="shared" ref="AD17" si="10">SUM(P17,S17,V17,Y17)</f>
        <v>5600000</v>
      </c>
      <c r="AE17" s="84">
        <f t="shared" ref="AE17" si="11">AD17/M17*100</f>
        <v>62.921348314606739</v>
      </c>
      <c r="AF17" s="44" t="s">
        <v>131</v>
      </c>
      <c r="AG17" s="54">
        <f t="shared" si="0"/>
        <v>30</v>
      </c>
      <c r="AH17" s="54" t="str">
        <f t="shared" ref="AH17:AH63" si="12">AA17</f>
        <v>Dok</v>
      </c>
      <c r="AI17" s="56">
        <f t="shared" si="1"/>
        <v>5600000</v>
      </c>
      <c r="AJ17" s="52"/>
      <c r="AK17" s="44" t="s">
        <v>131</v>
      </c>
      <c r="AL17" s="52"/>
      <c r="AM17" s="85"/>
      <c r="AP17" s="87"/>
    </row>
    <row r="18" spans="1:42" ht="90" x14ac:dyDescent="0.2">
      <c r="A18" s="18"/>
      <c r="B18" s="19"/>
      <c r="C18" s="28" t="s">
        <v>81</v>
      </c>
      <c r="D18" s="28" t="s">
        <v>136</v>
      </c>
      <c r="E18" s="21">
        <f>5*3</f>
        <v>15</v>
      </c>
      <c r="F18" s="22" t="s">
        <v>54</v>
      </c>
      <c r="G18" s="25"/>
      <c r="H18" s="21">
        <v>5</v>
      </c>
      <c r="I18" s="22" t="s">
        <v>54</v>
      </c>
      <c r="J18" s="25"/>
      <c r="K18" s="21">
        <v>5</v>
      </c>
      <c r="L18" s="22" t="s">
        <v>54</v>
      </c>
      <c r="M18" s="25">
        <v>7400000</v>
      </c>
      <c r="N18" s="21">
        <v>0</v>
      </c>
      <c r="O18" s="22" t="str">
        <f t="shared" si="3"/>
        <v>Dok</v>
      </c>
      <c r="P18" s="25">
        <v>0</v>
      </c>
      <c r="Q18" s="21">
        <v>1</v>
      </c>
      <c r="R18" s="22" t="str">
        <f t="shared" si="4"/>
        <v>Dok</v>
      </c>
      <c r="S18" s="25">
        <v>1500000</v>
      </c>
      <c r="T18" s="21">
        <v>1</v>
      </c>
      <c r="U18" s="22" t="str">
        <f t="shared" si="5"/>
        <v>Dok</v>
      </c>
      <c r="V18" s="25">
        <v>0</v>
      </c>
      <c r="W18" s="21">
        <v>3</v>
      </c>
      <c r="X18" s="22" t="str">
        <f t="shared" si="6"/>
        <v>Dok</v>
      </c>
      <c r="Y18" s="25">
        <v>3375000</v>
      </c>
      <c r="Z18" s="55">
        <f t="shared" ref="Z18:Z63" si="13">SUM(N18,Q18,T18,W18)</f>
        <v>5</v>
      </c>
      <c r="AA18" s="78" t="str">
        <f t="shared" ref="AA18:AA63" si="14">L18</f>
        <v>Dok</v>
      </c>
      <c r="AB18" s="53">
        <f t="shared" si="9"/>
        <v>100</v>
      </c>
      <c r="AC18" s="34" t="s">
        <v>131</v>
      </c>
      <c r="AD18" s="79">
        <f t="shared" ref="AD18:AD63" si="15">SUM(P18,S18,V18,Y18)</f>
        <v>4875000</v>
      </c>
      <c r="AE18" s="53">
        <f t="shared" ref="AE18:AE63" si="16">AD18/M18*100</f>
        <v>65.878378378378372</v>
      </c>
      <c r="AF18" s="34" t="s">
        <v>131</v>
      </c>
      <c r="AG18" s="55">
        <f t="shared" si="0"/>
        <v>10</v>
      </c>
      <c r="AH18" s="55" t="str">
        <f t="shared" si="12"/>
        <v>Dok</v>
      </c>
      <c r="AI18" s="40">
        <f t="shared" si="1"/>
        <v>4875000</v>
      </c>
      <c r="AJ18" s="53"/>
      <c r="AK18" s="34" t="s">
        <v>131</v>
      </c>
      <c r="AL18" s="53"/>
      <c r="AM18" s="13"/>
      <c r="AP18" s="27"/>
    </row>
    <row r="19" spans="1:42" ht="83.25" customHeight="1" x14ac:dyDescent="0.2">
      <c r="A19" s="18"/>
      <c r="B19" s="19"/>
      <c r="C19" s="28" t="s">
        <v>82</v>
      </c>
      <c r="D19" s="28" t="s">
        <v>137</v>
      </c>
      <c r="E19" s="21">
        <f>10*3</f>
        <v>30</v>
      </c>
      <c r="F19" s="22" t="s">
        <v>54</v>
      </c>
      <c r="G19" s="25"/>
      <c r="H19" s="21">
        <v>10</v>
      </c>
      <c r="I19" s="22" t="s">
        <v>54</v>
      </c>
      <c r="J19" s="25"/>
      <c r="K19" s="21">
        <v>10</v>
      </c>
      <c r="L19" s="22" t="s">
        <v>54</v>
      </c>
      <c r="M19" s="25">
        <v>1500000</v>
      </c>
      <c r="N19" s="21">
        <v>1</v>
      </c>
      <c r="O19" s="22" t="str">
        <f t="shared" si="3"/>
        <v>Dok</v>
      </c>
      <c r="P19" s="25">
        <v>0</v>
      </c>
      <c r="Q19" s="21">
        <v>2</v>
      </c>
      <c r="R19" s="22" t="str">
        <f t="shared" si="4"/>
        <v>Dok</v>
      </c>
      <c r="S19" s="25">
        <v>375000</v>
      </c>
      <c r="T19" s="21">
        <v>2</v>
      </c>
      <c r="U19" s="22" t="str">
        <f t="shared" si="5"/>
        <v>Dok</v>
      </c>
      <c r="V19" s="25">
        <v>0</v>
      </c>
      <c r="W19" s="21">
        <v>5</v>
      </c>
      <c r="X19" s="22" t="str">
        <f t="shared" si="6"/>
        <v>Dok</v>
      </c>
      <c r="Y19" s="25">
        <v>350000</v>
      </c>
      <c r="Z19" s="55">
        <f t="shared" si="13"/>
        <v>10</v>
      </c>
      <c r="AA19" s="78" t="str">
        <f t="shared" si="14"/>
        <v>Dok</v>
      </c>
      <c r="AB19" s="53">
        <f t="shared" si="9"/>
        <v>100</v>
      </c>
      <c r="AC19" s="34" t="s">
        <v>131</v>
      </c>
      <c r="AD19" s="79">
        <f t="shared" si="15"/>
        <v>725000</v>
      </c>
      <c r="AE19" s="53">
        <f t="shared" si="16"/>
        <v>48.333333333333336</v>
      </c>
      <c r="AF19" s="34" t="s">
        <v>131</v>
      </c>
      <c r="AG19" s="55">
        <f t="shared" si="0"/>
        <v>20</v>
      </c>
      <c r="AH19" s="55" t="str">
        <f t="shared" si="12"/>
        <v>Dok</v>
      </c>
      <c r="AI19" s="40">
        <f t="shared" si="1"/>
        <v>725000</v>
      </c>
      <c r="AJ19" s="53"/>
      <c r="AK19" s="34" t="s">
        <v>131</v>
      </c>
      <c r="AL19" s="53"/>
      <c r="AM19" s="13"/>
      <c r="AP19" s="27"/>
    </row>
    <row r="20" spans="1:42" ht="114" customHeight="1" x14ac:dyDescent="0.2">
      <c r="A20" s="18"/>
      <c r="B20" s="19"/>
      <c r="C20" s="20" t="s">
        <v>83</v>
      </c>
      <c r="D20" s="20" t="s">
        <v>127</v>
      </c>
      <c r="E20" s="75">
        <f>SUM(E22:E24)</f>
        <v>42</v>
      </c>
      <c r="F20" s="74" t="s">
        <v>54</v>
      </c>
      <c r="G20" s="41"/>
      <c r="H20" s="75">
        <f>SUM(H22:H24)</f>
        <v>14</v>
      </c>
      <c r="I20" s="74" t="s">
        <v>54</v>
      </c>
      <c r="J20" s="41"/>
      <c r="K20" s="75">
        <f>SUM(K22:K24)</f>
        <v>14</v>
      </c>
      <c r="L20" s="74" t="s">
        <v>54</v>
      </c>
      <c r="M20" s="41">
        <f>SUM(M21:M24)</f>
        <v>3424638612</v>
      </c>
      <c r="N20" s="75">
        <f>SUM(N22:N24)</f>
        <v>3</v>
      </c>
      <c r="O20" s="74" t="str">
        <f t="shared" si="3"/>
        <v>Dok</v>
      </c>
      <c r="P20" s="41">
        <f>SUM(P21:P24)</f>
        <v>686886745</v>
      </c>
      <c r="Q20" s="75">
        <f>SUM(Q22:Q24)</f>
        <v>4</v>
      </c>
      <c r="R20" s="74" t="str">
        <f t="shared" si="4"/>
        <v>Dok</v>
      </c>
      <c r="S20" s="41">
        <f>SUM(S21:S24)</f>
        <v>1054511974</v>
      </c>
      <c r="T20" s="75">
        <f>SUM(T22:T24)</f>
        <v>3</v>
      </c>
      <c r="U20" s="74" t="str">
        <f t="shared" si="5"/>
        <v>Dok</v>
      </c>
      <c r="V20" s="41">
        <f>SUM(V21:V24)</f>
        <v>688458670</v>
      </c>
      <c r="W20" s="75">
        <f>SUM(W22:W24)</f>
        <v>4</v>
      </c>
      <c r="X20" s="74" t="str">
        <f t="shared" si="6"/>
        <v>Dok</v>
      </c>
      <c r="Y20" s="41">
        <f>SUM(Y21:Y24)</f>
        <v>592819604</v>
      </c>
      <c r="Z20" s="54">
        <f t="shared" si="13"/>
        <v>14</v>
      </c>
      <c r="AA20" s="77" t="str">
        <f t="shared" si="14"/>
        <v>Dok</v>
      </c>
      <c r="AB20" s="52">
        <f t="shared" si="9"/>
        <v>100</v>
      </c>
      <c r="AC20" s="51" t="s">
        <v>131</v>
      </c>
      <c r="AD20" s="70">
        <f t="shared" si="15"/>
        <v>3022676993</v>
      </c>
      <c r="AE20" s="52">
        <f t="shared" si="16"/>
        <v>88.262655872899444</v>
      </c>
      <c r="AF20" s="51" t="s">
        <v>131</v>
      </c>
      <c r="AG20" s="54">
        <f t="shared" si="0"/>
        <v>28</v>
      </c>
      <c r="AH20" s="54" t="str">
        <f t="shared" si="12"/>
        <v>Dok</v>
      </c>
      <c r="AI20" s="56">
        <f t="shared" si="1"/>
        <v>3022676993</v>
      </c>
      <c r="AJ20" s="52"/>
      <c r="AK20" s="51" t="s">
        <v>131</v>
      </c>
      <c r="AL20" s="52"/>
      <c r="AM20" s="13"/>
      <c r="AP20" s="27"/>
    </row>
    <row r="21" spans="1:42" ht="99" customHeight="1" x14ac:dyDescent="0.2">
      <c r="A21" s="18"/>
      <c r="B21" s="19"/>
      <c r="C21" s="28" t="s">
        <v>124</v>
      </c>
      <c r="D21" s="28" t="s">
        <v>87</v>
      </c>
      <c r="E21" s="42">
        <f>12*3</f>
        <v>36</v>
      </c>
      <c r="F21" s="22" t="s">
        <v>55</v>
      </c>
      <c r="G21" s="41"/>
      <c r="H21" s="42">
        <v>12</v>
      </c>
      <c r="I21" s="22" t="s">
        <v>55</v>
      </c>
      <c r="J21" s="41"/>
      <c r="K21" s="42">
        <v>12</v>
      </c>
      <c r="L21" s="22" t="s">
        <v>55</v>
      </c>
      <c r="M21" s="25">
        <v>3420958612</v>
      </c>
      <c r="N21" s="42">
        <v>3</v>
      </c>
      <c r="O21" s="22" t="str">
        <f t="shared" si="3"/>
        <v>Bln</v>
      </c>
      <c r="P21" s="25">
        <v>686886745</v>
      </c>
      <c r="Q21" s="42">
        <v>3</v>
      </c>
      <c r="R21" s="22" t="str">
        <f t="shared" si="4"/>
        <v>Bln</v>
      </c>
      <c r="S21" s="25">
        <v>1054511974</v>
      </c>
      <c r="T21" s="42">
        <v>3</v>
      </c>
      <c r="U21" s="22" t="str">
        <f t="shared" si="5"/>
        <v>Bln</v>
      </c>
      <c r="V21" s="25">
        <v>688458670</v>
      </c>
      <c r="W21" s="42">
        <v>3</v>
      </c>
      <c r="X21" s="22" t="str">
        <f t="shared" si="6"/>
        <v>Bln</v>
      </c>
      <c r="Y21" s="25">
        <v>590519604</v>
      </c>
      <c r="Z21" s="55">
        <f t="shared" si="13"/>
        <v>12</v>
      </c>
      <c r="AA21" s="78" t="str">
        <f t="shared" si="14"/>
        <v>Bln</v>
      </c>
      <c r="AB21" s="53">
        <f t="shared" si="9"/>
        <v>100</v>
      </c>
      <c r="AC21" s="34" t="s">
        <v>131</v>
      </c>
      <c r="AD21" s="79">
        <f t="shared" si="15"/>
        <v>3020376993</v>
      </c>
      <c r="AE21" s="53">
        <f t="shared" si="16"/>
        <v>88.290369325286662</v>
      </c>
      <c r="AF21" s="34" t="s">
        <v>131</v>
      </c>
      <c r="AG21" s="55">
        <f t="shared" si="0"/>
        <v>24</v>
      </c>
      <c r="AH21" s="55" t="str">
        <f t="shared" si="12"/>
        <v>Bln</v>
      </c>
      <c r="AI21" s="40">
        <f t="shared" si="1"/>
        <v>3020376993</v>
      </c>
      <c r="AJ21" s="53"/>
      <c r="AK21" s="34" t="s">
        <v>131</v>
      </c>
      <c r="AL21" s="52"/>
      <c r="AM21" s="13"/>
      <c r="AP21" s="27"/>
    </row>
    <row r="22" spans="1:42" ht="93.75" customHeight="1" x14ac:dyDescent="0.2">
      <c r="A22" s="18"/>
      <c r="B22" s="19"/>
      <c r="C22" s="28" t="s">
        <v>84</v>
      </c>
      <c r="D22" s="28" t="s">
        <v>87</v>
      </c>
      <c r="E22" s="42">
        <f>1*3</f>
        <v>3</v>
      </c>
      <c r="F22" s="22" t="s">
        <v>128</v>
      </c>
      <c r="G22" s="50"/>
      <c r="H22" s="42">
        <v>1</v>
      </c>
      <c r="I22" s="22" t="s">
        <v>128</v>
      </c>
      <c r="J22" s="24"/>
      <c r="K22" s="42">
        <v>1</v>
      </c>
      <c r="L22" s="22" t="s">
        <v>128</v>
      </c>
      <c r="M22" s="25">
        <v>1400000</v>
      </c>
      <c r="N22" s="42">
        <v>0</v>
      </c>
      <c r="O22" s="22" t="str">
        <f t="shared" si="3"/>
        <v>Lap</v>
      </c>
      <c r="P22" s="25">
        <v>0</v>
      </c>
      <c r="Q22" s="42">
        <v>0</v>
      </c>
      <c r="R22" s="22" t="str">
        <f t="shared" si="4"/>
        <v>Lap</v>
      </c>
      <c r="S22" s="25">
        <v>0</v>
      </c>
      <c r="T22" s="42">
        <v>0</v>
      </c>
      <c r="U22" s="22" t="str">
        <f t="shared" si="5"/>
        <v>Lap</v>
      </c>
      <c r="V22" s="25">
        <v>0</v>
      </c>
      <c r="W22" s="42">
        <v>1</v>
      </c>
      <c r="X22" s="22" t="str">
        <f t="shared" si="6"/>
        <v>Lap</v>
      </c>
      <c r="Y22" s="25">
        <v>1050000</v>
      </c>
      <c r="Z22" s="55">
        <f t="shared" si="13"/>
        <v>1</v>
      </c>
      <c r="AA22" s="78" t="str">
        <f t="shared" si="14"/>
        <v>Lap</v>
      </c>
      <c r="AB22" s="53">
        <f t="shared" si="9"/>
        <v>100</v>
      </c>
      <c r="AC22" s="34" t="s">
        <v>131</v>
      </c>
      <c r="AD22" s="79">
        <f t="shared" si="15"/>
        <v>1050000</v>
      </c>
      <c r="AE22" s="53">
        <f t="shared" si="16"/>
        <v>75</v>
      </c>
      <c r="AF22" s="34" t="s">
        <v>131</v>
      </c>
      <c r="AG22" s="55">
        <f t="shared" si="0"/>
        <v>2</v>
      </c>
      <c r="AH22" s="55" t="str">
        <f t="shared" si="12"/>
        <v>Lap</v>
      </c>
      <c r="AI22" s="40">
        <f t="shared" si="1"/>
        <v>1050000</v>
      </c>
      <c r="AJ22" s="53"/>
      <c r="AK22" s="34" t="s">
        <v>131</v>
      </c>
      <c r="AL22" s="53"/>
      <c r="AM22" s="29"/>
      <c r="AP22" s="27">
        <f t="shared" si="2"/>
        <v>1050000</v>
      </c>
    </row>
    <row r="23" spans="1:42" ht="114.75" customHeight="1" x14ac:dyDescent="0.2">
      <c r="A23" s="18"/>
      <c r="B23" s="19"/>
      <c r="C23" s="28" t="s">
        <v>85</v>
      </c>
      <c r="D23" s="28" t="s">
        <v>87</v>
      </c>
      <c r="E23" s="42">
        <f>12*3</f>
        <v>36</v>
      </c>
      <c r="F23" s="22" t="s">
        <v>128</v>
      </c>
      <c r="G23" s="50"/>
      <c r="H23" s="42">
        <v>12</v>
      </c>
      <c r="I23" s="22" t="s">
        <v>128</v>
      </c>
      <c r="J23" s="24"/>
      <c r="K23" s="42">
        <v>12</v>
      </c>
      <c r="L23" s="22" t="s">
        <v>128</v>
      </c>
      <c r="M23" s="25">
        <v>1140000</v>
      </c>
      <c r="N23" s="42">
        <v>3</v>
      </c>
      <c r="O23" s="22" t="str">
        <f t="shared" si="3"/>
        <v>Lap</v>
      </c>
      <c r="P23" s="25">
        <v>0</v>
      </c>
      <c r="Q23" s="42">
        <v>3</v>
      </c>
      <c r="R23" s="22" t="str">
        <f t="shared" si="4"/>
        <v>Lap</v>
      </c>
      <c r="S23" s="25">
        <v>0</v>
      </c>
      <c r="T23" s="42">
        <v>3</v>
      </c>
      <c r="U23" s="22" t="str">
        <f t="shared" si="5"/>
        <v>Lap</v>
      </c>
      <c r="V23" s="25">
        <v>0</v>
      </c>
      <c r="W23" s="42">
        <v>3</v>
      </c>
      <c r="X23" s="22" t="str">
        <f t="shared" si="6"/>
        <v>Lap</v>
      </c>
      <c r="Y23" s="25">
        <v>300000</v>
      </c>
      <c r="Z23" s="55">
        <f t="shared" si="13"/>
        <v>12</v>
      </c>
      <c r="AA23" s="78" t="str">
        <f t="shared" si="14"/>
        <v>Lap</v>
      </c>
      <c r="AB23" s="53">
        <f t="shared" si="9"/>
        <v>100</v>
      </c>
      <c r="AC23" s="34" t="s">
        <v>131</v>
      </c>
      <c r="AD23" s="79">
        <f t="shared" si="15"/>
        <v>300000</v>
      </c>
      <c r="AE23" s="53">
        <f t="shared" si="16"/>
        <v>26.315789473684209</v>
      </c>
      <c r="AF23" s="34" t="s">
        <v>131</v>
      </c>
      <c r="AG23" s="55">
        <f t="shared" si="0"/>
        <v>24</v>
      </c>
      <c r="AH23" s="55" t="str">
        <f t="shared" si="12"/>
        <v>Lap</v>
      </c>
      <c r="AI23" s="40">
        <f t="shared" si="1"/>
        <v>300000</v>
      </c>
      <c r="AJ23" s="53"/>
      <c r="AK23" s="34" t="s">
        <v>131</v>
      </c>
      <c r="AL23" s="53"/>
      <c r="AM23" s="13"/>
      <c r="AP23" s="27">
        <f t="shared" si="2"/>
        <v>300000</v>
      </c>
    </row>
    <row r="24" spans="1:42" ht="99.75" customHeight="1" x14ac:dyDescent="0.2">
      <c r="A24" s="18"/>
      <c r="B24" s="19"/>
      <c r="C24" s="28" t="s">
        <v>86</v>
      </c>
      <c r="D24" s="28" t="s">
        <v>87</v>
      </c>
      <c r="E24" s="42">
        <f>1*3</f>
        <v>3</v>
      </c>
      <c r="F24" s="22" t="s">
        <v>128</v>
      </c>
      <c r="G24" s="50"/>
      <c r="H24" s="42">
        <v>1</v>
      </c>
      <c r="I24" s="22" t="s">
        <v>128</v>
      </c>
      <c r="J24" s="24"/>
      <c r="K24" s="42">
        <v>1</v>
      </c>
      <c r="L24" s="22" t="s">
        <v>128</v>
      </c>
      <c r="M24" s="25">
        <v>1140000</v>
      </c>
      <c r="N24" s="42">
        <v>0</v>
      </c>
      <c r="O24" s="22" t="str">
        <f t="shared" si="3"/>
        <v>Lap</v>
      </c>
      <c r="P24" s="25">
        <v>0</v>
      </c>
      <c r="Q24" s="42">
        <v>1</v>
      </c>
      <c r="R24" s="22" t="str">
        <f t="shared" si="4"/>
        <v>Lap</v>
      </c>
      <c r="S24" s="25">
        <v>0</v>
      </c>
      <c r="T24" s="42">
        <v>0</v>
      </c>
      <c r="U24" s="22" t="str">
        <f t="shared" si="5"/>
        <v>Lap</v>
      </c>
      <c r="V24" s="25">
        <v>0</v>
      </c>
      <c r="W24" s="42">
        <v>0</v>
      </c>
      <c r="X24" s="22" t="str">
        <f t="shared" si="6"/>
        <v>Lap</v>
      </c>
      <c r="Y24" s="25">
        <v>950000</v>
      </c>
      <c r="Z24" s="55">
        <f t="shared" si="13"/>
        <v>1</v>
      </c>
      <c r="AA24" s="78" t="str">
        <f t="shared" si="14"/>
        <v>Lap</v>
      </c>
      <c r="AB24" s="53">
        <f t="shared" si="9"/>
        <v>100</v>
      </c>
      <c r="AC24" s="34" t="s">
        <v>131</v>
      </c>
      <c r="AD24" s="79">
        <f t="shared" si="15"/>
        <v>950000</v>
      </c>
      <c r="AE24" s="53">
        <f t="shared" si="16"/>
        <v>83.333333333333343</v>
      </c>
      <c r="AF24" s="34" t="s">
        <v>131</v>
      </c>
      <c r="AG24" s="55">
        <f t="shared" si="0"/>
        <v>2</v>
      </c>
      <c r="AH24" s="55" t="str">
        <f t="shared" si="12"/>
        <v>Lap</v>
      </c>
      <c r="AI24" s="40">
        <f t="shared" si="1"/>
        <v>950000</v>
      </c>
      <c r="AJ24" s="53"/>
      <c r="AK24" s="34" t="s">
        <v>131</v>
      </c>
      <c r="AL24" s="53"/>
      <c r="AM24" s="13"/>
      <c r="AP24" s="27">
        <f t="shared" si="2"/>
        <v>950000</v>
      </c>
    </row>
    <row r="25" spans="1:42" ht="111" customHeight="1" x14ac:dyDescent="0.2">
      <c r="A25" s="18"/>
      <c r="B25" s="19"/>
      <c r="C25" s="20" t="s">
        <v>88</v>
      </c>
      <c r="D25" s="20" t="s">
        <v>129</v>
      </c>
      <c r="E25" s="75">
        <f>1*3</f>
        <v>3</v>
      </c>
      <c r="F25" s="74" t="s">
        <v>54</v>
      </c>
      <c r="G25" s="50"/>
      <c r="H25" s="75">
        <v>1</v>
      </c>
      <c r="I25" s="74" t="s">
        <v>54</v>
      </c>
      <c r="J25" s="24"/>
      <c r="K25" s="75">
        <v>1</v>
      </c>
      <c r="L25" s="74" t="s">
        <v>54</v>
      </c>
      <c r="M25" s="76">
        <f>SUM(M26:M30)</f>
        <v>211800000</v>
      </c>
      <c r="N25" s="75">
        <v>0</v>
      </c>
      <c r="O25" s="74" t="str">
        <f t="shared" si="3"/>
        <v>Dok</v>
      </c>
      <c r="P25" s="76">
        <f>SUM(P26:P30)</f>
        <v>11655000</v>
      </c>
      <c r="Q25" s="75">
        <v>0</v>
      </c>
      <c r="R25" s="74" t="str">
        <f t="shared" si="4"/>
        <v>Dok</v>
      </c>
      <c r="S25" s="76">
        <f>SUM(S26:S30)</f>
        <v>1870000</v>
      </c>
      <c r="T25" s="75">
        <v>0</v>
      </c>
      <c r="U25" s="74" t="str">
        <f t="shared" si="5"/>
        <v>Dok</v>
      </c>
      <c r="V25" s="76">
        <f>SUM(V26:V30)</f>
        <v>0</v>
      </c>
      <c r="W25" s="75">
        <v>0</v>
      </c>
      <c r="X25" s="74" t="str">
        <f t="shared" si="6"/>
        <v>Dok</v>
      </c>
      <c r="Y25" s="76">
        <f>SUM(Y26:Y30)</f>
        <v>92085321</v>
      </c>
      <c r="Z25" s="54">
        <f t="shared" si="13"/>
        <v>0</v>
      </c>
      <c r="AA25" s="77" t="str">
        <f t="shared" si="14"/>
        <v>Dok</v>
      </c>
      <c r="AB25" s="52">
        <f t="shared" si="9"/>
        <v>0</v>
      </c>
      <c r="AC25" s="51" t="s">
        <v>131</v>
      </c>
      <c r="AD25" s="70">
        <f t="shared" si="15"/>
        <v>105610321</v>
      </c>
      <c r="AE25" s="52">
        <f t="shared" si="16"/>
        <v>49.863229933899902</v>
      </c>
      <c r="AF25" s="51" t="s">
        <v>131</v>
      </c>
      <c r="AG25" s="54">
        <f t="shared" si="0"/>
        <v>1</v>
      </c>
      <c r="AH25" s="54" t="str">
        <f t="shared" si="12"/>
        <v>Dok</v>
      </c>
      <c r="AI25" s="56">
        <f t="shared" si="1"/>
        <v>105610321</v>
      </c>
      <c r="AJ25" s="52"/>
      <c r="AK25" s="51" t="s">
        <v>131</v>
      </c>
      <c r="AL25" s="52"/>
      <c r="AM25" s="13"/>
      <c r="AP25" s="27">
        <f t="shared" si="2"/>
        <v>105610321</v>
      </c>
    </row>
    <row r="26" spans="1:42" ht="66.75" customHeight="1" x14ac:dyDescent="0.2">
      <c r="A26" s="18"/>
      <c r="B26" s="19"/>
      <c r="C26" s="28" t="s">
        <v>89</v>
      </c>
      <c r="D26" s="28" t="s">
        <v>58</v>
      </c>
      <c r="E26" s="42">
        <f t="shared" ref="E26:E30" si="17">12*3</f>
        <v>36</v>
      </c>
      <c r="F26" s="22" t="s">
        <v>55</v>
      </c>
      <c r="G26" s="50"/>
      <c r="H26" s="42">
        <v>12</v>
      </c>
      <c r="I26" s="22" t="s">
        <v>55</v>
      </c>
      <c r="J26" s="24"/>
      <c r="K26" s="42">
        <v>12</v>
      </c>
      <c r="L26" s="22" t="s">
        <v>55</v>
      </c>
      <c r="M26" s="25">
        <v>15000000</v>
      </c>
      <c r="N26" s="42">
        <v>3</v>
      </c>
      <c r="O26" s="22" t="str">
        <f t="shared" si="3"/>
        <v>Bln</v>
      </c>
      <c r="P26" s="25">
        <v>3500000</v>
      </c>
      <c r="Q26" s="42">
        <v>3</v>
      </c>
      <c r="R26" s="22" t="str">
        <f t="shared" si="4"/>
        <v>Bln</v>
      </c>
      <c r="S26" s="25">
        <v>250000</v>
      </c>
      <c r="T26" s="42">
        <v>3</v>
      </c>
      <c r="U26" s="22" t="str">
        <f t="shared" si="5"/>
        <v>Bln</v>
      </c>
      <c r="V26" s="25">
        <v>0</v>
      </c>
      <c r="W26" s="42">
        <v>3</v>
      </c>
      <c r="X26" s="22" t="str">
        <f t="shared" si="6"/>
        <v>Bln</v>
      </c>
      <c r="Y26" s="25">
        <v>11200000</v>
      </c>
      <c r="Z26" s="55">
        <f t="shared" si="13"/>
        <v>12</v>
      </c>
      <c r="AA26" s="78" t="str">
        <f t="shared" si="14"/>
        <v>Bln</v>
      </c>
      <c r="AB26" s="53">
        <f t="shared" si="9"/>
        <v>100</v>
      </c>
      <c r="AC26" s="34" t="s">
        <v>131</v>
      </c>
      <c r="AD26" s="79">
        <f t="shared" si="15"/>
        <v>14950000</v>
      </c>
      <c r="AE26" s="53">
        <f t="shared" si="16"/>
        <v>99.666666666666671</v>
      </c>
      <c r="AF26" s="34" t="s">
        <v>131</v>
      </c>
      <c r="AG26" s="55">
        <f t="shared" si="0"/>
        <v>24</v>
      </c>
      <c r="AH26" s="55" t="str">
        <f t="shared" si="12"/>
        <v>Bln</v>
      </c>
      <c r="AI26" s="40">
        <f t="shared" si="1"/>
        <v>14950000</v>
      </c>
      <c r="AJ26" s="53"/>
      <c r="AK26" s="34" t="s">
        <v>131</v>
      </c>
      <c r="AL26" s="53"/>
      <c r="AM26" s="13"/>
      <c r="AP26" s="27"/>
    </row>
    <row r="27" spans="1:42" ht="66" customHeight="1" x14ac:dyDescent="0.2">
      <c r="A27" s="18"/>
      <c r="B27" s="19"/>
      <c r="C27" s="28" t="s">
        <v>90</v>
      </c>
      <c r="D27" s="28" t="s">
        <v>58</v>
      </c>
      <c r="E27" s="42">
        <f t="shared" si="17"/>
        <v>36</v>
      </c>
      <c r="F27" s="22" t="s">
        <v>55</v>
      </c>
      <c r="G27" s="50"/>
      <c r="H27" s="42">
        <v>12</v>
      </c>
      <c r="I27" s="22" t="s">
        <v>55</v>
      </c>
      <c r="J27" s="24"/>
      <c r="K27" s="42">
        <v>12</v>
      </c>
      <c r="L27" s="22" t="s">
        <v>55</v>
      </c>
      <c r="M27" s="25">
        <v>28200000</v>
      </c>
      <c r="N27" s="42">
        <v>3</v>
      </c>
      <c r="O27" s="22" t="str">
        <f t="shared" si="3"/>
        <v>Bln</v>
      </c>
      <c r="P27" s="25">
        <v>0</v>
      </c>
      <c r="Q27" s="42">
        <v>3</v>
      </c>
      <c r="R27" s="22" t="str">
        <f t="shared" si="4"/>
        <v>Bln</v>
      </c>
      <c r="S27" s="25">
        <v>600000</v>
      </c>
      <c r="T27" s="42">
        <v>3</v>
      </c>
      <c r="U27" s="22" t="str">
        <f t="shared" si="5"/>
        <v>Bln</v>
      </c>
      <c r="V27" s="25">
        <v>0</v>
      </c>
      <c r="W27" s="42">
        <v>3</v>
      </c>
      <c r="X27" s="22" t="str">
        <f t="shared" si="6"/>
        <v>Bln</v>
      </c>
      <c r="Y27" s="25">
        <v>9100000</v>
      </c>
      <c r="Z27" s="55">
        <f t="shared" si="13"/>
        <v>12</v>
      </c>
      <c r="AA27" s="78" t="str">
        <f t="shared" si="14"/>
        <v>Bln</v>
      </c>
      <c r="AB27" s="53">
        <f t="shared" si="9"/>
        <v>100</v>
      </c>
      <c r="AC27" s="34" t="s">
        <v>131</v>
      </c>
      <c r="AD27" s="79">
        <f t="shared" si="15"/>
        <v>9700000</v>
      </c>
      <c r="AE27" s="53">
        <f t="shared" si="16"/>
        <v>34.397163120567377</v>
      </c>
      <c r="AF27" s="34" t="s">
        <v>131</v>
      </c>
      <c r="AG27" s="55">
        <f t="shared" si="0"/>
        <v>24</v>
      </c>
      <c r="AH27" s="55" t="str">
        <f t="shared" si="12"/>
        <v>Bln</v>
      </c>
      <c r="AI27" s="40">
        <f t="shared" si="1"/>
        <v>9700000</v>
      </c>
      <c r="AJ27" s="53"/>
      <c r="AK27" s="34" t="s">
        <v>131</v>
      </c>
      <c r="AL27" s="53"/>
      <c r="AM27" s="13"/>
      <c r="AP27" s="27"/>
    </row>
    <row r="28" spans="1:42" ht="71.25" customHeight="1" x14ac:dyDescent="0.2">
      <c r="A28" s="18"/>
      <c r="B28" s="19"/>
      <c r="C28" s="28" t="s">
        <v>91</v>
      </c>
      <c r="D28" s="28" t="s">
        <v>58</v>
      </c>
      <c r="E28" s="42">
        <f t="shared" si="17"/>
        <v>36</v>
      </c>
      <c r="F28" s="22" t="s">
        <v>55</v>
      </c>
      <c r="G28" s="50"/>
      <c r="H28" s="42">
        <v>12</v>
      </c>
      <c r="I28" s="22" t="s">
        <v>55</v>
      </c>
      <c r="J28" s="24"/>
      <c r="K28" s="42">
        <v>12</v>
      </c>
      <c r="L28" s="22" t="s">
        <v>55</v>
      </c>
      <c r="M28" s="25">
        <v>14000000</v>
      </c>
      <c r="N28" s="42">
        <v>3</v>
      </c>
      <c r="O28" s="22" t="str">
        <f t="shared" si="3"/>
        <v>Bln</v>
      </c>
      <c r="P28" s="41">
        <v>0</v>
      </c>
      <c r="Q28" s="42">
        <v>3</v>
      </c>
      <c r="R28" s="22" t="str">
        <f t="shared" si="4"/>
        <v>Bln</v>
      </c>
      <c r="S28" s="41">
        <v>0</v>
      </c>
      <c r="T28" s="42">
        <v>3</v>
      </c>
      <c r="U28" s="22" t="str">
        <f t="shared" si="5"/>
        <v>Bln</v>
      </c>
      <c r="V28" s="41">
        <v>0</v>
      </c>
      <c r="W28" s="42">
        <v>3</v>
      </c>
      <c r="X28" s="22" t="str">
        <f t="shared" si="6"/>
        <v>Bln</v>
      </c>
      <c r="Y28" s="25">
        <v>7350000</v>
      </c>
      <c r="Z28" s="55">
        <f t="shared" si="13"/>
        <v>12</v>
      </c>
      <c r="AA28" s="78" t="str">
        <f t="shared" si="14"/>
        <v>Bln</v>
      </c>
      <c r="AB28" s="53">
        <f t="shared" si="9"/>
        <v>100</v>
      </c>
      <c r="AC28" s="34" t="s">
        <v>131</v>
      </c>
      <c r="AD28" s="79">
        <f t="shared" si="15"/>
        <v>7350000</v>
      </c>
      <c r="AE28" s="53">
        <f t="shared" si="16"/>
        <v>52.5</v>
      </c>
      <c r="AF28" s="34" t="s">
        <v>131</v>
      </c>
      <c r="AG28" s="55">
        <f t="shared" si="0"/>
        <v>24</v>
      </c>
      <c r="AH28" s="55" t="str">
        <f t="shared" si="12"/>
        <v>Bln</v>
      </c>
      <c r="AI28" s="40">
        <f t="shared" si="1"/>
        <v>7350000</v>
      </c>
      <c r="AJ28" s="53"/>
      <c r="AK28" s="34" t="s">
        <v>131</v>
      </c>
      <c r="AL28" s="52"/>
      <c r="AM28" s="13"/>
      <c r="AP28" s="27"/>
    </row>
    <row r="29" spans="1:42" ht="78" customHeight="1" x14ac:dyDescent="0.2">
      <c r="A29" s="18"/>
      <c r="B29" s="19"/>
      <c r="C29" s="28" t="s">
        <v>92</v>
      </c>
      <c r="D29" s="28" t="s">
        <v>58</v>
      </c>
      <c r="E29" s="42">
        <f t="shared" si="17"/>
        <v>36</v>
      </c>
      <c r="F29" s="22" t="s">
        <v>55</v>
      </c>
      <c r="G29" s="50"/>
      <c r="H29" s="42">
        <v>12</v>
      </c>
      <c r="I29" s="22" t="s">
        <v>55</v>
      </c>
      <c r="J29" s="24"/>
      <c r="K29" s="42">
        <v>12</v>
      </c>
      <c r="L29" s="22" t="s">
        <v>55</v>
      </c>
      <c r="M29" s="25">
        <v>4600000</v>
      </c>
      <c r="N29" s="42">
        <v>3</v>
      </c>
      <c r="O29" s="22" t="str">
        <f t="shared" si="3"/>
        <v>Bln</v>
      </c>
      <c r="P29" s="25">
        <v>0</v>
      </c>
      <c r="Q29" s="42">
        <v>3</v>
      </c>
      <c r="R29" s="22" t="str">
        <f t="shared" si="4"/>
        <v>Bln</v>
      </c>
      <c r="S29" s="25">
        <v>0</v>
      </c>
      <c r="T29" s="42">
        <v>3</v>
      </c>
      <c r="U29" s="22" t="str">
        <f t="shared" si="5"/>
        <v>Bln</v>
      </c>
      <c r="V29" s="25">
        <v>0</v>
      </c>
      <c r="W29" s="42">
        <v>3</v>
      </c>
      <c r="X29" s="22" t="str">
        <f t="shared" si="6"/>
        <v>Bln</v>
      </c>
      <c r="Y29" s="25">
        <v>4300000</v>
      </c>
      <c r="Z29" s="55">
        <f t="shared" si="13"/>
        <v>12</v>
      </c>
      <c r="AA29" s="78" t="str">
        <f t="shared" si="14"/>
        <v>Bln</v>
      </c>
      <c r="AB29" s="53">
        <f t="shared" si="9"/>
        <v>100</v>
      </c>
      <c r="AC29" s="34" t="s">
        <v>131</v>
      </c>
      <c r="AD29" s="79">
        <f t="shared" si="15"/>
        <v>4300000</v>
      </c>
      <c r="AE29" s="53">
        <f t="shared" si="16"/>
        <v>93.478260869565219</v>
      </c>
      <c r="AF29" s="34" t="s">
        <v>131</v>
      </c>
      <c r="AG29" s="55">
        <f t="shared" si="0"/>
        <v>24</v>
      </c>
      <c r="AH29" s="55" t="str">
        <f t="shared" si="12"/>
        <v>Bln</v>
      </c>
      <c r="AI29" s="40">
        <f t="shared" si="1"/>
        <v>4300000</v>
      </c>
      <c r="AJ29" s="53"/>
      <c r="AK29" s="34" t="s">
        <v>131</v>
      </c>
      <c r="AL29" s="53"/>
      <c r="AM29" s="13"/>
      <c r="AP29" s="27"/>
    </row>
    <row r="30" spans="1:42" ht="67.5" customHeight="1" x14ac:dyDescent="0.2">
      <c r="A30" s="18"/>
      <c r="B30" s="19"/>
      <c r="C30" s="28" t="s">
        <v>93</v>
      </c>
      <c r="D30" s="28" t="s">
        <v>58</v>
      </c>
      <c r="E30" s="42">
        <f t="shared" si="17"/>
        <v>36</v>
      </c>
      <c r="F30" s="22" t="s">
        <v>55</v>
      </c>
      <c r="G30" s="50"/>
      <c r="H30" s="42">
        <v>12</v>
      </c>
      <c r="I30" s="22" t="s">
        <v>55</v>
      </c>
      <c r="J30" s="24"/>
      <c r="K30" s="42">
        <v>12</v>
      </c>
      <c r="L30" s="22" t="s">
        <v>55</v>
      </c>
      <c r="M30" s="25">
        <v>150000000</v>
      </c>
      <c r="N30" s="42">
        <v>3</v>
      </c>
      <c r="O30" s="22" t="str">
        <f t="shared" si="3"/>
        <v>Bln</v>
      </c>
      <c r="P30" s="25">
        <v>8155000</v>
      </c>
      <c r="Q30" s="42">
        <v>3</v>
      </c>
      <c r="R30" s="22" t="str">
        <f t="shared" si="4"/>
        <v>Bln</v>
      </c>
      <c r="S30" s="25">
        <v>1020000</v>
      </c>
      <c r="T30" s="42">
        <v>3</v>
      </c>
      <c r="U30" s="22" t="str">
        <f t="shared" si="5"/>
        <v>Bln</v>
      </c>
      <c r="V30" s="25">
        <v>0</v>
      </c>
      <c r="W30" s="42">
        <v>3</v>
      </c>
      <c r="X30" s="22" t="str">
        <f t="shared" si="6"/>
        <v>Bln</v>
      </c>
      <c r="Y30" s="25">
        <v>60135321</v>
      </c>
      <c r="Z30" s="55">
        <f t="shared" si="13"/>
        <v>12</v>
      </c>
      <c r="AA30" s="78" t="str">
        <f t="shared" si="14"/>
        <v>Bln</v>
      </c>
      <c r="AB30" s="53">
        <f t="shared" si="9"/>
        <v>100</v>
      </c>
      <c r="AC30" s="34" t="s">
        <v>131</v>
      </c>
      <c r="AD30" s="79">
        <f t="shared" si="15"/>
        <v>69310321</v>
      </c>
      <c r="AE30" s="53">
        <f t="shared" si="16"/>
        <v>46.206880666666663</v>
      </c>
      <c r="AF30" s="34" t="s">
        <v>131</v>
      </c>
      <c r="AG30" s="55">
        <f t="shared" si="0"/>
        <v>24</v>
      </c>
      <c r="AH30" s="55" t="str">
        <f t="shared" si="12"/>
        <v>Bln</v>
      </c>
      <c r="AI30" s="40">
        <f t="shared" si="1"/>
        <v>69310321</v>
      </c>
      <c r="AJ30" s="53"/>
      <c r="AK30" s="34" t="s">
        <v>131</v>
      </c>
      <c r="AL30" s="53"/>
      <c r="AM30" s="13"/>
      <c r="AP30" s="27"/>
    </row>
    <row r="31" spans="1:42" ht="123.75" customHeight="1" x14ac:dyDescent="0.2">
      <c r="A31" s="18"/>
      <c r="B31" s="19"/>
      <c r="C31" s="20" t="s">
        <v>94</v>
      </c>
      <c r="D31" s="20" t="s">
        <v>130</v>
      </c>
      <c r="E31" s="75">
        <v>100</v>
      </c>
      <c r="F31" s="74" t="s">
        <v>131</v>
      </c>
      <c r="G31" s="41"/>
      <c r="H31" s="75">
        <v>100</v>
      </c>
      <c r="I31" s="74" t="s">
        <v>131</v>
      </c>
      <c r="J31" s="41"/>
      <c r="K31" s="75">
        <v>100</v>
      </c>
      <c r="L31" s="74" t="s">
        <v>131</v>
      </c>
      <c r="M31" s="41">
        <f>SUM(M32)</f>
        <v>27535892</v>
      </c>
      <c r="N31" s="43">
        <v>25</v>
      </c>
      <c r="O31" s="74" t="str">
        <f t="shared" si="3"/>
        <v>%</v>
      </c>
      <c r="P31" s="41">
        <f>SUM(P32)</f>
        <v>0</v>
      </c>
      <c r="Q31" s="43">
        <v>25</v>
      </c>
      <c r="R31" s="74" t="str">
        <f t="shared" si="4"/>
        <v>%</v>
      </c>
      <c r="S31" s="41">
        <f>SUM(S32)</f>
        <v>0</v>
      </c>
      <c r="T31" s="43">
        <v>25</v>
      </c>
      <c r="U31" s="74" t="str">
        <f t="shared" si="5"/>
        <v>%</v>
      </c>
      <c r="V31" s="41">
        <f>SUM(V32)</f>
        <v>0</v>
      </c>
      <c r="W31" s="43">
        <v>25</v>
      </c>
      <c r="X31" s="74" t="str">
        <f t="shared" si="6"/>
        <v>%</v>
      </c>
      <c r="Y31" s="41">
        <f>SUM(Y32)</f>
        <v>26071000</v>
      </c>
      <c r="Z31" s="54">
        <f t="shared" si="13"/>
        <v>100</v>
      </c>
      <c r="AA31" s="77" t="str">
        <f t="shared" si="14"/>
        <v>%</v>
      </c>
      <c r="AB31" s="52">
        <f t="shared" si="9"/>
        <v>100</v>
      </c>
      <c r="AC31" s="51" t="s">
        <v>131</v>
      </c>
      <c r="AD31" s="70">
        <f t="shared" si="15"/>
        <v>26071000</v>
      </c>
      <c r="AE31" s="52">
        <f t="shared" si="16"/>
        <v>94.680063387813988</v>
      </c>
      <c r="AF31" s="51" t="s">
        <v>131</v>
      </c>
      <c r="AG31" s="54">
        <f t="shared" si="0"/>
        <v>200</v>
      </c>
      <c r="AH31" s="54" t="str">
        <f t="shared" si="12"/>
        <v>%</v>
      </c>
      <c r="AI31" s="56">
        <f t="shared" si="1"/>
        <v>26071000</v>
      </c>
      <c r="AJ31" s="52"/>
      <c r="AK31" s="51" t="s">
        <v>131</v>
      </c>
      <c r="AL31" s="52"/>
      <c r="AM31" s="13"/>
      <c r="AP31" s="27"/>
    </row>
    <row r="32" spans="1:42" ht="104.25" customHeight="1" x14ac:dyDescent="0.2">
      <c r="A32" s="18"/>
      <c r="B32" s="19"/>
      <c r="C32" s="28" t="s">
        <v>95</v>
      </c>
      <c r="D32" s="28" t="s">
        <v>96</v>
      </c>
      <c r="E32" s="42">
        <f>12*3</f>
        <v>36</v>
      </c>
      <c r="F32" s="22" t="s">
        <v>55</v>
      </c>
      <c r="G32" s="50"/>
      <c r="H32" s="42">
        <v>12</v>
      </c>
      <c r="I32" s="22" t="s">
        <v>55</v>
      </c>
      <c r="J32" s="24"/>
      <c r="K32" s="42">
        <v>12</v>
      </c>
      <c r="L32" s="22" t="s">
        <v>55</v>
      </c>
      <c r="M32" s="25">
        <v>27535892</v>
      </c>
      <c r="N32" s="42">
        <v>3</v>
      </c>
      <c r="O32" s="22" t="str">
        <f t="shared" si="3"/>
        <v>Bln</v>
      </c>
      <c r="P32" s="25">
        <v>0</v>
      </c>
      <c r="Q32" s="42">
        <v>3</v>
      </c>
      <c r="R32" s="22" t="str">
        <f t="shared" si="4"/>
        <v>Bln</v>
      </c>
      <c r="S32" s="25">
        <v>0</v>
      </c>
      <c r="T32" s="42">
        <v>3</v>
      </c>
      <c r="U32" s="22" t="str">
        <f t="shared" si="5"/>
        <v>Bln</v>
      </c>
      <c r="V32" s="25">
        <v>0</v>
      </c>
      <c r="W32" s="42">
        <v>3</v>
      </c>
      <c r="X32" s="22" t="str">
        <f t="shared" si="6"/>
        <v>Bln</v>
      </c>
      <c r="Y32" s="25">
        <v>26071000</v>
      </c>
      <c r="Z32" s="55">
        <f t="shared" si="13"/>
        <v>12</v>
      </c>
      <c r="AA32" s="78" t="str">
        <f t="shared" si="14"/>
        <v>Bln</v>
      </c>
      <c r="AB32" s="53">
        <f t="shared" si="9"/>
        <v>100</v>
      </c>
      <c r="AC32" s="34" t="s">
        <v>131</v>
      </c>
      <c r="AD32" s="79">
        <f t="shared" si="15"/>
        <v>26071000</v>
      </c>
      <c r="AE32" s="53">
        <f t="shared" si="16"/>
        <v>94.680063387813988</v>
      </c>
      <c r="AF32" s="34" t="s">
        <v>131</v>
      </c>
      <c r="AG32" s="55">
        <f t="shared" si="0"/>
        <v>24</v>
      </c>
      <c r="AH32" s="55" t="str">
        <f t="shared" si="12"/>
        <v>Bln</v>
      </c>
      <c r="AI32" s="40">
        <f t="shared" si="1"/>
        <v>26071000</v>
      </c>
      <c r="AJ32" s="53"/>
      <c r="AK32" s="34" t="s">
        <v>131</v>
      </c>
      <c r="AL32" s="53"/>
      <c r="AM32" s="13"/>
      <c r="AP32" s="27"/>
    </row>
    <row r="33" spans="1:42" ht="109.5" customHeight="1" x14ac:dyDescent="0.2">
      <c r="A33" s="18"/>
      <c r="B33" s="19"/>
      <c r="C33" s="20" t="s">
        <v>97</v>
      </c>
      <c r="D33" s="20" t="s">
        <v>130</v>
      </c>
      <c r="E33" s="75">
        <v>100</v>
      </c>
      <c r="F33" s="74" t="s">
        <v>131</v>
      </c>
      <c r="G33" s="41"/>
      <c r="H33" s="75">
        <v>100</v>
      </c>
      <c r="I33" s="74" t="s">
        <v>131</v>
      </c>
      <c r="J33" s="41"/>
      <c r="K33" s="75">
        <v>100</v>
      </c>
      <c r="L33" s="74" t="s">
        <v>131</v>
      </c>
      <c r="M33" s="41">
        <f>SUM(M34:M35)</f>
        <v>114950000</v>
      </c>
      <c r="N33" s="43">
        <v>25</v>
      </c>
      <c r="O33" s="74" t="str">
        <f t="shared" si="3"/>
        <v>%</v>
      </c>
      <c r="P33" s="41">
        <f>SUM(P34:P35)</f>
        <v>17041037</v>
      </c>
      <c r="Q33" s="43">
        <v>25</v>
      </c>
      <c r="R33" s="74" t="str">
        <f t="shared" si="4"/>
        <v>%</v>
      </c>
      <c r="S33" s="41">
        <f>SUM(S34:S35)</f>
        <v>15873420</v>
      </c>
      <c r="T33" s="43">
        <v>25</v>
      </c>
      <c r="U33" s="74" t="str">
        <f t="shared" si="5"/>
        <v>%</v>
      </c>
      <c r="V33" s="41">
        <f>SUM(V34:V35)</f>
        <v>6000000</v>
      </c>
      <c r="W33" s="43">
        <v>25</v>
      </c>
      <c r="X33" s="74" t="str">
        <f t="shared" si="6"/>
        <v>%</v>
      </c>
      <c r="Y33" s="41">
        <f>SUM(Y34:Y35)</f>
        <v>37371383</v>
      </c>
      <c r="Z33" s="54">
        <f t="shared" si="13"/>
        <v>100</v>
      </c>
      <c r="AA33" s="77" t="str">
        <f t="shared" si="14"/>
        <v>%</v>
      </c>
      <c r="AB33" s="52">
        <f t="shared" si="9"/>
        <v>100</v>
      </c>
      <c r="AC33" s="51" t="s">
        <v>131</v>
      </c>
      <c r="AD33" s="70">
        <f t="shared" si="15"/>
        <v>76285840</v>
      </c>
      <c r="AE33" s="52">
        <f t="shared" si="16"/>
        <v>66.364367116137444</v>
      </c>
      <c r="AF33" s="51" t="s">
        <v>131</v>
      </c>
      <c r="AG33" s="54">
        <f t="shared" si="0"/>
        <v>200</v>
      </c>
      <c r="AH33" s="54" t="str">
        <f t="shared" si="12"/>
        <v>%</v>
      </c>
      <c r="AI33" s="56">
        <f t="shared" si="1"/>
        <v>76285840</v>
      </c>
      <c r="AJ33" s="52"/>
      <c r="AK33" s="51" t="s">
        <v>131</v>
      </c>
      <c r="AL33" s="52"/>
      <c r="AM33" s="13"/>
      <c r="AP33" s="27"/>
    </row>
    <row r="34" spans="1:42" ht="60" x14ac:dyDescent="0.2">
      <c r="A34" s="18"/>
      <c r="B34" s="19"/>
      <c r="C34" s="28" t="s">
        <v>98</v>
      </c>
      <c r="D34" s="28" t="s">
        <v>58</v>
      </c>
      <c r="E34" s="42">
        <f t="shared" ref="E34:E35" si="18">12*3</f>
        <v>36</v>
      </c>
      <c r="F34" s="22" t="s">
        <v>55</v>
      </c>
      <c r="G34" s="50"/>
      <c r="H34" s="42">
        <v>12</v>
      </c>
      <c r="I34" s="22" t="s">
        <v>55</v>
      </c>
      <c r="J34" s="24"/>
      <c r="K34" s="42">
        <v>12</v>
      </c>
      <c r="L34" s="22" t="s">
        <v>55</v>
      </c>
      <c r="M34" s="25">
        <v>94000000</v>
      </c>
      <c r="N34" s="42">
        <v>3</v>
      </c>
      <c r="O34" s="22" t="str">
        <f t="shared" si="3"/>
        <v>Bln</v>
      </c>
      <c r="P34" s="25">
        <v>17041037</v>
      </c>
      <c r="Q34" s="42">
        <v>3</v>
      </c>
      <c r="R34" s="22" t="str">
        <f t="shared" si="4"/>
        <v>Bln</v>
      </c>
      <c r="S34" s="25">
        <v>15273420</v>
      </c>
      <c r="T34" s="42">
        <v>3</v>
      </c>
      <c r="U34" s="22" t="str">
        <f t="shared" si="5"/>
        <v>Bln</v>
      </c>
      <c r="V34" s="25">
        <v>6000000</v>
      </c>
      <c r="W34" s="42">
        <v>3</v>
      </c>
      <c r="X34" s="22" t="str">
        <f t="shared" si="6"/>
        <v>Bln</v>
      </c>
      <c r="Y34" s="25">
        <v>35171383</v>
      </c>
      <c r="Z34" s="55">
        <f t="shared" si="13"/>
        <v>12</v>
      </c>
      <c r="AA34" s="78" t="str">
        <f t="shared" si="14"/>
        <v>Bln</v>
      </c>
      <c r="AB34" s="53">
        <f t="shared" si="9"/>
        <v>100</v>
      </c>
      <c r="AC34" s="34" t="s">
        <v>131</v>
      </c>
      <c r="AD34" s="79">
        <f t="shared" si="15"/>
        <v>73485840</v>
      </c>
      <c r="AE34" s="53">
        <f t="shared" si="16"/>
        <v>78.176425531914902</v>
      </c>
      <c r="AF34" s="34" t="s">
        <v>131</v>
      </c>
      <c r="AG34" s="55">
        <f t="shared" si="0"/>
        <v>24</v>
      </c>
      <c r="AH34" s="55" t="str">
        <f t="shared" si="12"/>
        <v>Bln</v>
      </c>
      <c r="AI34" s="40">
        <f t="shared" si="1"/>
        <v>73485840</v>
      </c>
      <c r="AJ34" s="53"/>
      <c r="AK34" s="34" t="s">
        <v>131</v>
      </c>
      <c r="AL34" s="53"/>
      <c r="AM34" s="13"/>
      <c r="AP34" s="27"/>
    </row>
    <row r="35" spans="1:42" ht="60" x14ac:dyDescent="0.2">
      <c r="A35" s="18"/>
      <c r="B35" s="19"/>
      <c r="C35" s="28" t="s">
        <v>99</v>
      </c>
      <c r="D35" s="28" t="s">
        <v>58</v>
      </c>
      <c r="E35" s="42">
        <f t="shared" si="18"/>
        <v>36</v>
      </c>
      <c r="F35" s="22" t="s">
        <v>55</v>
      </c>
      <c r="G35" s="41"/>
      <c r="H35" s="42">
        <v>12</v>
      </c>
      <c r="I35" s="22" t="s">
        <v>55</v>
      </c>
      <c r="J35" s="41"/>
      <c r="K35" s="42">
        <v>12</v>
      </c>
      <c r="L35" s="22" t="s">
        <v>55</v>
      </c>
      <c r="M35" s="25">
        <v>20950000</v>
      </c>
      <c r="N35" s="42">
        <v>3</v>
      </c>
      <c r="O35" s="22" t="str">
        <f t="shared" si="3"/>
        <v>Bln</v>
      </c>
      <c r="P35" s="41">
        <v>0</v>
      </c>
      <c r="Q35" s="42">
        <v>3</v>
      </c>
      <c r="R35" s="22" t="str">
        <f t="shared" si="4"/>
        <v>Bln</v>
      </c>
      <c r="S35" s="25">
        <v>600000</v>
      </c>
      <c r="T35" s="42">
        <v>3</v>
      </c>
      <c r="U35" s="22" t="str">
        <f t="shared" si="5"/>
        <v>Bln</v>
      </c>
      <c r="V35" s="25">
        <v>0</v>
      </c>
      <c r="W35" s="42">
        <v>3</v>
      </c>
      <c r="X35" s="22" t="str">
        <f t="shared" si="6"/>
        <v>Bln</v>
      </c>
      <c r="Y35" s="25">
        <v>2200000</v>
      </c>
      <c r="Z35" s="55">
        <f t="shared" si="13"/>
        <v>12</v>
      </c>
      <c r="AA35" s="78" t="str">
        <f t="shared" si="14"/>
        <v>Bln</v>
      </c>
      <c r="AB35" s="53">
        <f t="shared" si="9"/>
        <v>100</v>
      </c>
      <c r="AC35" s="34" t="s">
        <v>131</v>
      </c>
      <c r="AD35" s="79">
        <f t="shared" si="15"/>
        <v>2800000</v>
      </c>
      <c r="AE35" s="53">
        <f t="shared" si="16"/>
        <v>13.365155131264917</v>
      </c>
      <c r="AF35" s="34" t="s">
        <v>131</v>
      </c>
      <c r="AG35" s="55">
        <f t="shared" si="0"/>
        <v>24</v>
      </c>
      <c r="AH35" s="55" t="str">
        <f t="shared" si="12"/>
        <v>Bln</v>
      </c>
      <c r="AI35" s="40">
        <f t="shared" si="1"/>
        <v>2800000</v>
      </c>
      <c r="AJ35" s="53"/>
      <c r="AK35" s="34" t="s">
        <v>131</v>
      </c>
      <c r="AL35" s="53"/>
      <c r="AM35" s="13"/>
      <c r="AP35" s="27"/>
    </row>
    <row r="36" spans="1:42" ht="125.25" customHeight="1" x14ac:dyDescent="0.2">
      <c r="A36" s="18"/>
      <c r="B36" s="19"/>
      <c r="C36" s="20" t="s">
        <v>100</v>
      </c>
      <c r="D36" s="20" t="s">
        <v>130</v>
      </c>
      <c r="E36" s="75">
        <v>100</v>
      </c>
      <c r="F36" s="74" t="s">
        <v>131</v>
      </c>
      <c r="G36" s="41"/>
      <c r="H36" s="75">
        <v>100</v>
      </c>
      <c r="I36" s="74" t="s">
        <v>131</v>
      </c>
      <c r="J36" s="41"/>
      <c r="K36" s="75">
        <v>100</v>
      </c>
      <c r="L36" s="74" t="s">
        <v>131</v>
      </c>
      <c r="M36" s="41">
        <f>SUM(M37:M38)</f>
        <v>87750000</v>
      </c>
      <c r="N36" s="43">
        <v>25</v>
      </c>
      <c r="O36" s="74" t="str">
        <f t="shared" si="3"/>
        <v>%</v>
      </c>
      <c r="P36" s="41">
        <f>SUM(P37:P38)</f>
        <v>10979915</v>
      </c>
      <c r="Q36" s="43">
        <v>25</v>
      </c>
      <c r="R36" s="74" t="str">
        <f t="shared" si="4"/>
        <v>%</v>
      </c>
      <c r="S36" s="41">
        <f>SUM(S37:S38)</f>
        <v>3500000</v>
      </c>
      <c r="T36" s="43">
        <v>25</v>
      </c>
      <c r="U36" s="74" t="str">
        <f t="shared" si="5"/>
        <v>%</v>
      </c>
      <c r="V36" s="41">
        <f>SUM(V37:V38)</f>
        <v>0</v>
      </c>
      <c r="W36" s="43">
        <v>25</v>
      </c>
      <c r="X36" s="74" t="str">
        <f t="shared" si="6"/>
        <v>%</v>
      </c>
      <c r="Y36" s="41">
        <f>SUM(Y37:Y38)</f>
        <v>47545524</v>
      </c>
      <c r="Z36" s="54">
        <f t="shared" si="13"/>
        <v>100</v>
      </c>
      <c r="AA36" s="77" t="str">
        <f t="shared" si="14"/>
        <v>%</v>
      </c>
      <c r="AB36" s="52">
        <f t="shared" si="9"/>
        <v>100</v>
      </c>
      <c r="AC36" s="51" t="s">
        <v>131</v>
      </c>
      <c r="AD36" s="70">
        <f t="shared" si="15"/>
        <v>62025439</v>
      </c>
      <c r="AE36" s="52">
        <f t="shared" si="16"/>
        <v>70.684260968660979</v>
      </c>
      <c r="AF36" s="51" t="s">
        <v>131</v>
      </c>
      <c r="AG36" s="54">
        <f t="shared" si="0"/>
        <v>200</v>
      </c>
      <c r="AH36" s="54" t="str">
        <f t="shared" si="12"/>
        <v>%</v>
      </c>
      <c r="AI36" s="56">
        <f t="shared" si="1"/>
        <v>62025439</v>
      </c>
      <c r="AJ36" s="52"/>
      <c r="AK36" s="51" t="s">
        <v>131</v>
      </c>
      <c r="AL36" s="52"/>
      <c r="AM36" s="13"/>
      <c r="AP36" s="27"/>
    </row>
    <row r="37" spans="1:42" ht="138.75" customHeight="1" x14ac:dyDescent="0.2">
      <c r="A37" s="18"/>
      <c r="B37" s="19"/>
      <c r="C37" s="28" t="s">
        <v>101</v>
      </c>
      <c r="D37" s="28" t="s">
        <v>103</v>
      </c>
      <c r="E37" s="42">
        <f t="shared" ref="E37:E38" si="19">12*3</f>
        <v>36</v>
      </c>
      <c r="F37" s="22" t="s">
        <v>55</v>
      </c>
      <c r="G37" s="41"/>
      <c r="H37" s="42">
        <v>12</v>
      </c>
      <c r="I37" s="22" t="s">
        <v>55</v>
      </c>
      <c r="J37" s="41"/>
      <c r="K37" s="42">
        <v>12</v>
      </c>
      <c r="L37" s="22" t="s">
        <v>55</v>
      </c>
      <c r="M37" s="25">
        <v>68000000</v>
      </c>
      <c r="N37" s="42">
        <v>3</v>
      </c>
      <c r="O37" s="22" t="str">
        <f t="shared" si="3"/>
        <v>Bln</v>
      </c>
      <c r="P37" s="25">
        <v>10979915</v>
      </c>
      <c r="Q37" s="42">
        <v>3</v>
      </c>
      <c r="R37" s="22" t="str">
        <f t="shared" si="4"/>
        <v>Bln</v>
      </c>
      <c r="S37" s="25">
        <v>0</v>
      </c>
      <c r="T37" s="42">
        <v>3</v>
      </c>
      <c r="U37" s="22" t="str">
        <f t="shared" si="5"/>
        <v>Bln</v>
      </c>
      <c r="V37" s="25">
        <v>0</v>
      </c>
      <c r="W37" s="42">
        <v>3</v>
      </c>
      <c r="X37" s="22" t="str">
        <f t="shared" si="6"/>
        <v>Bln</v>
      </c>
      <c r="Y37" s="25">
        <v>33443145</v>
      </c>
      <c r="Z37" s="53">
        <f t="shared" si="13"/>
        <v>12</v>
      </c>
      <c r="AA37" s="78" t="str">
        <f t="shared" si="14"/>
        <v>Bln</v>
      </c>
      <c r="AB37" s="53">
        <f t="shared" si="9"/>
        <v>100</v>
      </c>
      <c r="AC37" s="34" t="s">
        <v>131</v>
      </c>
      <c r="AD37" s="79">
        <f t="shared" si="15"/>
        <v>44423060</v>
      </c>
      <c r="AE37" s="53">
        <f t="shared" si="16"/>
        <v>65.328029411764703</v>
      </c>
      <c r="AF37" s="34" t="s">
        <v>131</v>
      </c>
      <c r="AG37" s="53">
        <f t="shared" si="0"/>
        <v>24</v>
      </c>
      <c r="AH37" s="55" t="str">
        <f t="shared" si="12"/>
        <v>Bln</v>
      </c>
      <c r="AI37" s="40">
        <f t="shared" si="1"/>
        <v>44423060</v>
      </c>
      <c r="AJ37" s="53"/>
      <c r="AK37" s="34" t="s">
        <v>131</v>
      </c>
      <c r="AL37" s="52"/>
      <c r="AM37" s="13"/>
      <c r="AP37" s="27"/>
    </row>
    <row r="38" spans="1:42" ht="90" x14ac:dyDescent="0.2">
      <c r="A38" s="18"/>
      <c r="B38" s="19"/>
      <c r="C38" s="28" t="s">
        <v>102</v>
      </c>
      <c r="D38" s="28" t="s">
        <v>96</v>
      </c>
      <c r="E38" s="42">
        <f t="shared" si="19"/>
        <v>36</v>
      </c>
      <c r="F38" s="22" t="s">
        <v>55</v>
      </c>
      <c r="G38" s="50"/>
      <c r="H38" s="42">
        <v>12</v>
      </c>
      <c r="I38" s="22" t="s">
        <v>55</v>
      </c>
      <c r="J38" s="24"/>
      <c r="K38" s="42">
        <v>12</v>
      </c>
      <c r="L38" s="22" t="s">
        <v>55</v>
      </c>
      <c r="M38" s="25">
        <v>19750000</v>
      </c>
      <c r="N38" s="42">
        <v>3</v>
      </c>
      <c r="O38" s="22" t="str">
        <f t="shared" si="3"/>
        <v>Bln</v>
      </c>
      <c r="P38" s="25">
        <v>0</v>
      </c>
      <c r="Q38" s="42">
        <v>3</v>
      </c>
      <c r="R38" s="22" t="str">
        <f t="shared" si="4"/>
        <v>Bln</v>
      </c>
      <c r="S38" s="25">
        <v>3500000</v>
      </c>
      <c r="T38" s="42">
        <v>3</v>
      </c>
      <c r="U38" s="22" t="str">
        <f t="shared" si="5"/>
        <v>Bln</v>
      </c>
      <c r="V38" s="25">
        <v>0</v>
      </c>
      <c r="W38" s="42">
        <v>3</v>
      </c>
      <c r="X38" s="22" t="str">
        <f t="shared" si="6"/>
        <v>Bln</v>
      </c>
      <c r="Y38" s="25">
        <v>14102379</v>
      </c>
      <c r="Z38" s="55">
        <f t="shared" si="13"/>
        <v>12</v>
      </c>
      <c r="AA38" s="78" t="str">
        <f t="shared" si="14"/>
        <v>Bln</v>
      </c>
      <c r="AB38" s="53">
        <f t="shared" si="9"/>
        <v>100</v>
      </c>
      <c r="AC38" s="34" t="s">
        <v>131</v>
      </c>
      <c r="AD38" s="79">
        <f t="shared" si="15"/>
        <v>17602379</v>
      </c>
      <c r="AE38" s="53">
        <f t="shared" si="16"/>
        <v>89.125969620253159</v>
      </c>
      <c r="AF38" s="34" t="s">
        <v>131</v>
      </c>
      <c r="AG38" s="55">
        <f t="shared" si="0"/>
        <v>24</v>
      </c>
      <c r="AH38" s="55" t="str">
        <f t="shared" si="12"/>
        <v>Bln</v>
      </c>
      <c r="AI38" s="40">
        <f t="shared" si="1"/>
        <v>17602379</v>
      </c>
      <c r="AJ38" s="53"/>
      <c r="AK38" s="34" t="s">
        <v>131</v>
      </c>
      <c r="AL38" s="53"/>
      <c r="AM38" s="13"/>
      <c r="AP38" s="27"/>
    </row>
    <row r="39" spans="1:42" ht="96" customHeight="1" x14ac:dyDescent="0.2">
      <c r="A39" s="18"/>
      <c r="B39" s="19"/>
      <c r="C39" s="20" t="s">
        <v>104</v>
      </c>
      <c r="D39" s="95" t="s">
        <v>160</v>
      </c>
      <c r="E39" s="45">
        <f>E43</f>
        <v>22.973698336017176</v>
      </c>
      <c r="F39" s="44" t="s">
        <v>131</v>
      </c>
      <c r="G39" s="41">
        <f>SUM(G40:G41)</f>
        <v>4234737956</v>
      </c>
      <c r="H39" s="45">
        <f>H43</f>
        <v>17.255594817432275</v>
      </c>
      <c r="I39" s="44" t="s">
        <v>131</v>
      </c>
      <c r="J39" s="41">
        <f>SUM(J40:J41)</f>
        <v>0</v>
      </c>
      <c r="K39" s="45">
        <f>K43</f>
        <v>19.391853126792885</v>
      </c>
      <c r="L39" s="44" t="s">
        <v>131</v>
      </c>
      <c r="M39" s="41">
        <f>SUM(M40)</f>
        <v>1028814716</v>
      </c>
      <c r="N39" s="45">
        <f>N43</f>
        <v>0</v>
      </c>
      <c r="O39" s="44" t="str">
        <f t="shared" si="3"/>
        <v>%</v>
      </c>
      <c r="P39" s="41">
        <f>SUM(P40)</f>
        <v>18000000</v>
      </c>
      <c r="Q39" s="45">
        <f>Q43</f>
        <v>0.57372346528973039</v>
      </c>
      <c r="R39" s="44" t="str">
        <f t="shared" si="4"/>
        <v>%</v>
      </c>
      <c r="S39" s="41">
        <f>SUM(S40)</f>
        <v>61500000</v>
      </c>
      <c r="T39" s="45">
        <f>T43</f>
        <v>2.2948938611589216</v>
      </c>
      <c r="U39" s="44" t="str">
        <f t="shared" si="5"/>
        <v>%</v>
      </c>
      <c r="V39" s="41">
        <f>SUM(V40)</f>
        <v>33090000</v>
      </c>
      <c r="W39" s="45">
        <f>W43</f>
        <v>0</v>
      </c>
      <c r="X39" s="44" t="str">
        <f t="shared" si="6"/>
        <v>%</v>
      </c>
      <c r="Y39" s="41">
        <f>SUM(Y40)</f>
        <v>461651932</v>
      </c>
      <c r="Z39" s="52">
        <f t="shared" si="13"/>
        <v>2.8686173264486521</v>
      </c>
      <c r="AA39" s="77" t="str">
        <f t="shared" si="14"/>
        <v>%</v>
      </c>
      <c r="AB39" s="52">
        <f>AG39/K39*100</f>
        <v>103.77663244610787</v>
      </c>
      <c r="AC39" s="51" t="s">
        <v>131</v>
      </c>
      <c r="AD39" s="70">
        <f t="shared" si="15"/>
        <v>574241932</v>
      </c>
      <c r="AE39" s="52">
        <f t="shared" si="16"/>
        <v>55.815874624406128</v>
      </c>
      <c r="AF39" s="51" t="s">
        <v>131</v>
      </c>
      <c r="AG39" s="52">
        <f t="shared" si="0"/>
        <v>20.124212143880928</v>
      </c>
      <c r="AH39" s="54" t="str">
        <f t="shared" si="12"/>
        <v>%</v>
      </c>
      <c r="AI39" s="56">
        <f t="shared" si="1"/>
        <v>574241932</v>
      </c>
      <c r="AJ39" s="52"/>
      <c r="AK39" s="51" t="s">
        <v>131</v>
      </c>
      <c r="AL39" s="52"/>
      <c r="AM39" s="13"/>
      <c r="AP39" s="27"/>
    </row>
    <row r="40" spans="1:42" ht="131.25" customHeight="1" x14ac:dyDescent="0.2">
      <c r="A40" s="18"/>
      <c r="B40" s="19"/>
      <c r="C40" s="20" t="s">
        <v>105</v>
      </c>
      <c r="D40" s="20" t="s">
        <v>157</v>
      </c>
      <c r="E40" s="43">
        <f>E41</f>
        <v>280</v>
      </c>
      <c r="F40" s="44" t="s">
        <v>56</v>
      </c>
      <c r="G40" s="41">
        <f>SUM(G41:G42)</f>
        <v>3191809056</v>
      </c>
      <c r="H40" s="88">
        <f>H41</f>
        <v>0</v>
      </c>
      <c r="I40" s="44" t="s">
        <v>56</v>
      </c>
      <c r="J40" s="41">
        <f>SUM(J41:J42)</f>
        <v>0</v>
      </c>
      <c r="K40" s="43">
        <f>K41</f>
        <v>20</v>
      </c>
      <c r="L40" s="44" t="s">
        <v>56</v>
      </c>
      <c r="M40" s="41">
        <f>SUM(M41:M42)</f>
        <v>1028814716</v>
      </c>
      <c r="N40" s="43">
        <v>0</v>
      </c>
      <c r="O40" s="80" t="str">
        <f t="shared" si="3"/>
        <v>Org</v>
      </c>
      <c r="P40" s="41">
        <f>SUM(P41:P42)</f>
        <v>18000000</v>
      </c>
      <c r="Q40" s="43">
        <v>0</v>
      </c>
      <c r="R40" s="80" t="str">
        <f t="shared" si="4"/>
        <v>Org</v>
      </c>
      <c r="S40" s="41">
        <f>SUM(S41:S42)</f>
        <v>61500000</v>
      </c>
      <c r="T40" s="43">
        <v>0</v>
      </c>
      <c r="U40" s="80" t="str">
        <f t="shared" si="5"/>
        <v>Org</v>
      </c>
      <c r="V40" s="41">
        <f>SUM(V41:V42)</f>
        <v>33090000</v>
      </c>
      <c r="W40" s="43">
        <v>0</v>
      </c>
      <c r="X40" s="80" t="str">
        <f t="shared" si="6"/>
        <v>Org</v>
      </c>
      <c r="Y40" s="41">
        <f>SUM(Y41:Y42)</f>
        <v>461651932</v>
      </c>
      <c r="Z40" s="52">
        <f t="shared" si="13"/>
        <v>0</v>
      </c>
      <c r="AA40" s="89" t="str">
        <f t="shared" si="14"/>
        <v>Org</v>
      </c>
      <c r="AB40" s="52">
        <f t="shared" si="9"/>
        <v>0</v>
      </c>
      <c r="AC40" s="51" t="s">
        <v>131</v>
      </c>
      <c r="AD40" s="70">
        <f t="shared" si="15"/>
        <v>574241932</v>
      </c>
      <c r="AE40" s="52">
        <f t="shared" si="16"/>
        <v>55.815874624406128</v>
      </c>
      <c r="AF40" s="51" t="s">
        <v>131</v>
      </c>
      <c r="AG40" s="52">
        <f t="shared" si="0"/>
        <v>0</v>
      </c>
      <c r="AH40" s="54" t="str">
        <f t="shared" si="12"/>
        <v>Org</v>
      </c>
      <c r="AI40" s="56">
        <f t="shared" si="1"/>
        <v>574241932</v>
      </c>
      <c r="AJ40" s="52"/>
      <c r="AK40" s="51" t="s">
        <v>131</v>
      </c>
      <c r="AL40" s="52"/>
      <c r="AM40" s="13"/>
      <c r="AP40" s="27"/>
    </row>
    <row r="41" spans="1:42" ht="90" x14ac:dyDescent="0.2">
      <c r="A41" s="18"/>
      <c r="B41" s="19"/>
      <c r="C41" s="28" t="s">
        <v>106</v>
      </c>
      <c r="D41" s="28" t="s">
        <v>159</v>
      </c>
      <c r="E41" s="21">
        <f>20+130+130</f>
        <v>280</v>
      </c>
      <c r="F41" s="47" t="s">
        <v>56</v>
      </c>
      <c r="G41" s="50">
        <f>383333000+276262900+383333000</f>
        <v>1042928900</v>
      </c>
      <c r="H41" s="42">
        <v>0</v>
      </c>
      <c r="I41" s="47" t="s">
        <v>56</v>
      </c>
      <c r="J41" s="24">
        <v>0</v>
      </c>
      <c r="K41" s="21">
        <v>20</v>
      </c>
      <c r="L41" s="47" t="s">
        <v>56</v>
      </c>
      <c r="M41" s="25">
        <v>383333000</v>
      </c>
      <c r="N41" s="21">
        <v>0</v>
      </c>
      <c r="O41" s="47" t="str">
        <f t="shared" si="3"/>
        <v>Org</v>
      </c>
      <c r="P41" s="25">
        <v>6000000</v>
      </c>
      <c r="Q41" s="21">
        <v>0</v>
      </c>
      <c r="R41" s="47" t="str">
        <f t="shared" si="4"/>
        <v>Org</v>
      </c>
      <c r="S41" s="25">
        <v>28500000</v>
      </c>
      <c r="T41" s="21">
        <v>0</v>
      </c>
      <c r="U41" s="47" t="str">
        <f t="shared" si="5"/>
        <v>Org</v>
      </c>
      <c r="V41" s="25">
        <v>9000000</v>
      </c>
      <c r="W41" s="21">
        <v>0</v>
      </c>
      <c r="X41" s="47" t="str">
        <f t="shared" si="6"/>
        <v>Org</v>
      </c>
      <c r="Y41" s="25">
        <v>145479332</v>
      </c>
      <c r="Z41" s="55">
        <f t="shared" si="13"/>
        <v>0</v>
      </c>
      <c r="AA41" s="78" t="str">
        <f t="shared" si="14"/>
        <v>Org</v>
      </c>
      <c r="AB41" s="53">
        <f t="shared" si="9"/>
        <v>0</v>
      </c>
      <c r="AC41" s="34" t="s">
        <v>131</v>
      </c>
      <c r="AD41" s="79">
        <f t="shared" si="15"/>
        <v>188979332</v>
      </c>
      <c r="AE41" s="53">
        <f t="shared" si="16"/>
        <v>49.298999042607861</v>
      </c>
      <c r="AF41" s="34" t="s">
        <v>131</v>
      </c>
      <c r="AG41" s="55">
        <f t="shared" si="0"/>
        <v>0</v>
      </c>
      <c r="AH41" s="55" t="str">
        <f t="shared" si="12"/>
        <v>Org</v>
      </c>
      <c r="AI41" s="40">
        <f t="shared" si="1"/>
        <v>188979332</v>
      </c>
      <c r="AJ41" s="53"/>
      <c r="AK41" s="34" t="s">
        <v>131</v>
      </c>
      <c r="AL41" s="53"/>
      <c r="AM41" s="13"/>
      <c r="AP41" s="27"/>
    </row>
    <row r="42" spans="1:42" ht="90" x14ac:dyDescent="0.2">
      <c r="A42" s="18"/>
      <c r="B42" s="19"/>
      <c r="C42" s="28" t="s">
        <v>107</v>
      </c>
      <c r="D42" s="28" t="s">
        <v>158</v>
      </c>
      <c r="E42" s="21">
        <f>5*3</f>
        <v>15</v>
      </c>
      <c r="F42" s="47" t="s">
        <v>135</v>
      </c>
      <c r="G42" s="50">
        <f>645481716+751699220+751699220</f>
        <v>2148880156</v>
      </c>
      <c r="H42" s="42">
        <v>1</v>
      </c>
      <c r="I42" s="47" t="s">
        <v>135</v>
      </c>
      <c r="J42" s="24">
        <v>0</v>
      </c>
      <c r="K42" s="21">
        <v>5</v>
      </c>
      <c r="L42" s="47" t="s">
        <v>135</v>
      </c>
      <c r="M42" s="25">
        <v>645481716</v>
      </c>
      <c r="N42" s="21">
        <v>0</v>
      </c>
      <c r="O42" s="47" t="str">
        <f t="shared" si="3"/>
        <v>Pameran</v>
      </c>
      <c r="P42" s="25">
        <v>12000000</v>
      </c>
      <c r="Q42" s="21">
        <v>0</v>
      </c>
      <c r="R42" s="47" t="str">
        <f t="shared" si="4"/>
        <v>Pameran</v>
      </c>
      <c r="S42" s="25">
        <v>33000000</v>
      </c>
      <c r="T42" s="21">
        <v>0</v>
      </c>
      <c r="U42" s="47" t="str">
        <f t="shared" si="5"/>
        <v>Pameran</v>
      </c>
      <c r="V42" s="25">
        <v>24090000</v>
      </c>
      <c r="W42" s="21">
        <v>0</v>
      </c>
      <c r="X42" s="47" t="str">
        <f t="shared" si="6"/>
        <v>Pameran</v>
      </c>
      <c r="Y42" s="25">
        <v>316172600</v>
      </c>
      <c r="Z42" s="55">
        <f t="shared" si="13"/>
        <v>0</v>
      </c>
      <c r="AA42" s="96" t="str">
        <f t="shared" si="14"/>
        <v>Pameran</v>
      </c>
      <c r="AB42" s="53">
        <f t="shared" si="9"/>
        <v>0</v>
      </c>
      <c r="AC42" s="34" t="s">
        <v>131</v>
      </c>
      <c r="AD42" s="79">
        <f t="shared" si="15"/>
        <v>385262600</v>
      </c>
      <c r="AE42" s="53">
        <f t="shared" si="16"/>
        <v>59.686059333708528</v>
      </c>
      <c r="AF42" s="34" t="s">
        <v>131</v>
      </c>
      <c r="AG42" s="55">
        <f t="shared" si="0"/>
        <v>1</v>
      </c>
      <c r="AH42" s="42" t="str">
        <f t="shared" si="12"/>
        <v>Pameran</v>
      </c>
      <c r="AI42" s="40">
        <f t="shared" si="1"/>
        <v>385262600</v>
      </c>
      <c r="AJ42" s="53"/>
      <c r="AK42" s="34" t="s">
        <v>131</v>
      </c>
      <c r="AL42" s="53"/>
      <c r="AM42" s="13"/>
      <c r="AP42" s="27"/>
    </row>
    <row r="43" spans="1:42" ht="94.5" x14ac:dyDescent="0.2">
      <c r="A43" s="18"/>
      <c r="B43" s="19"/>
      <c r="C43" s="20" t="s">
        <v>112</v>
      </c>
      <c r="D43" s="20" t="s">
        <v>160</v>
      </c>
      <c r="E43" s="45">
        <f>856/3726*100</f>
        <v>22.973698336017176</v>
      </c>
      <c r="F43" s="44" t="s">
        <v>131</v>
      </c>
      <c r="G43" s="41">
        <f>SUM(G44:G45)</f>
        <v>542871850</v>
      </c>
      <c r="H43" s="45">
        <f>586/3396*100</f>
        <v>17.255594817432275</v>
      </c>
      <c r="I43" s="44" t="s">
        <v>131</v>
      </c>
      <c r="J43" s="41">
        <f>SUM(J44:J45)</f>
        <v>0</v>
      </c>
      <c r="K43" s="45">
        <f>(586+90)/3486*100</f>
        <v>19.391853126792885</v>
      </c>
      <c r="L43" s="44" t="s">
        <v>131</v>
      </c>
      <c r="M43" s="41">
        <f>SUM(M44)</f>
        <v>119480000</v>
      </c>
      <c r="N43" s="43">
        <v>0</v>
      </c>
      <c r="O43" s="80" t="str">
        <f>L43</f>
        <v>%</v>
      </c>
      <c r="P43" s="41">
        <f>SUM(P44)</f>
        <v>0</v>
      </c>
      <c r="Q43" s="45">
        <f>Q44/3486*100</f>
        <v>0.57372346528973039</v>
      </c>
      <c r="R43" s="80" t="str">
        <f>L43</f>
        <v>%</v>
      </c>
      <c r="S43" s="41">
        <f>SUM(S44)</f>
        <v>11342000</v>
      </c>
      <c r="T43" s="45">
        <f>T44/3486*100</f>
        <v>2.2948938611589216</v>
      </c>
      <c r="U43" s="80" t="str">
        <f>L43</f>
        <v>%</v>
      </c>
      <c r="V43" s="41">
        <f>SUM(V44)</f>
        <v>0</v>
      </c>
      <c r="W43" s="45">
        <f>W44/3486*100</f>
        <v>0</v>
      </c>
      <c r="X43" s="80" t="str">
        <f>O43</f>
        <v>%</v>
      </c>
      <c r="Y43" s="41">
        <f>SUM(Y44)</f>
        <v>63650000</v>
      </c>
      <c r="Z43" s="52">
        <f>SUM(N43,Q43,T43,W43)</f>
        <v>2.8686173264486521</v>
      </c>
      <c r="AA43" s="77" t="str">
        <f>L43</f>
        <v>%</v>
      </c>
      <c r="AB43" s="52">
        <f>AG43/K43*100</f>
        <v>103.77663244610787</v>
      </c>
      <c r="AC43" s="51" t="s">
        <v>131</v>
      </c>
      <c r="AD43" s="70">
        <f>SUM(P43,S43,V43,Y43)</f>
        <v>74992000</v>
      </c>
      <c r="AE43" s="52">
        <f>AD43/M43*100</f>
        <v>62.765316370940738</v>
      </c>
      <c r="AF43" s="51" t="s">
        <v>131</v>
      </c>
      <c r="AG43" s="52">
        <f>SUM(H43,Z43)</f>
        <v>20.124212143880928</v>
      </c>
      <c r="AH43" s="88" t="str">
        <f>AA43</f>
        <v>%</v>
      </c>
      <c r="AI43" s="56">
        <f>SUM(J43,AD43)</f>
        <v>74992000</v>
      </c>
      <c r="AJ43" s="52"/>
      <c r="AK43" s="51" t="s">
        <v>131</v>
      </c>
      <c r="AL43" s="52"/>
      <c r="AM43" s="13"/>
      <c r="AP43" s="27"/>
    </row>
    <row r="44" spans="1:42" ht="331.5" customHeight="1" x14ac:dyDescent="0.2">
      <c r="A44" s="18"/>
      <c r="B44" s="19"/>
      <c r="C44" s="20" t="s">
        <v>113</v>
      </c>
      <c r="D44" s="102" t="s">
        <v>161</v>
      </c>
      <c r="E44" s="43">
        <f>E45</f>
        <v>270</v>
      </c>
      <c r="F44" s="44" t="s">
        <v>163</v>
      </c>
      <c r="G44" s="41">
        <f>SUM(G45)</f>
        <v>271435925</v>
      </c>
      <c r="H44" s="43">
        <f>H45</f>
        <v>50</v>
      </c>
      <c r="I44" s="44" t="s">
        <v>163</v>
      </c>
      <c r="J44" s="41">
        <f>SUM(J45)</f>
        <v>0</v>
      </c>
      <c r="K44" s="43">
        <f>K45</f>
        <v>90</v>
      </c>
      <c r="L44" s="44" t="s">
        <v>163</v>
      </c>
      <c r="M44" s="41">
        <f>SUM(M45)</f>
        <v>119480000</v>
      </c>
      <c r="N44" s="43">
        <f>N45</f>
        <v>0</v>
      </c>
      <c r="O44" s="44" t="str">
        <f>L44</f>
        <v>IKM</v>
      </c>
      <c r="P44" s="41">
        <f>SUM(P45)</f>
        <v>0</v>
      </c>
      <c r="Q44" s="43">
        <f>Q45</f>
        <v>20</v>
      </c>
      <c r="R44" s="44" t="str">
        <f>L44</f>
        <v>IKM</v>
      </c>
      <c r="S44" s="41">
        <f>SUM(S45)</f>
        <v>11342000</v>
      </c>
      <c r="T44" s="43">
        <f>T45</f>
        <v>80</v>
      </c>
      <c r="U44" s="44" t="str">
        <f>L44</f>
        <v>IKM</v>
      </c>
      <c r="V44" s="41">
        <f>SUM(V45)</f>
        <v>0</v>
      </c>
      <c r="W44" s="43">
        <f>W45</f>
        <v>0</v>
      </c>
      <c r="X44" s="44" t="str">
        <f>O44</f>
        <v>IKM</v>
      </c>
      <c r="Y44" s="41">
        <f>SUM(Y45)</f>
        <v>63650000</v>
      </c>
      <c r="Z44" s="54">
        <f>SUM(N44,Q44,T44,W44)</f>
        <v>100</v>
      </c>
      <c r="AA44" s="77" t="str">
        <f>L44</f>
        <v>IKM</v>
      </c>
      <c r="AB44" s="52">
        <f t="shared" si="9"/>
        <v>111.11111111111111</v>
      </c>
      <c r="AC44" s="51" t="s">
        <v>131</v>
      </c>
      <c r="AD44" s="70">
        <f>SUM(P44,S44,V44,Y44)</f>
        <v>74992000</v>
      </c>
      <c r="AE44" s="52">
        <f>AD44/M44*100</f>
        <v>62.765316370940738</v>
      </c>
      <c r="AF44" s="51" t="s">
        <v>131</v>
      </c>
      <c r="AG44" s="52">
        <f>SUM(H44,Z44)</f>
        <v>150</v>
      </c>
      <c r="AH44" s="54" t="str">
        <f>AA44</f>
        <v>IKM</v>
      </c>
      <c r="AI44" s="56">
        <f>SUM(J44,AD44)</f>
        <v>74992000</v>
      </c>
      <c r="AJ44" s="52"/>
      <c r="AK44" s="51" t="s">
        <v>131</v>
      </c>
      <c r="AL44" s="52"/>
      <c r="AM44" s="13"/>
      <c r="AP44" s="27"/>
    </row>
    <row r="45" spans="1:42" ht="255" x14ac:dyDescent="0.2">
      <c r="A45" s="18"/>
      <c r="B45" s="19"/>
      <c r="C45" s="28" t="s">
        <v>164</v>
      </c>
      <c r="D45" s="28" t="s">
        <v>162</v>
      </c>
      <c r="E45" s="21">
        <f>90*3</f>
        <v>270</v>
      </c>
      <c r="F45" s="22" t="s">
        <v>163</v>
      </c>
      <c r="G45" s="50">
        <f>119480000+32475925+119480000</f>
        <v>271435925</v>
      </c>
      <c r="H45" s="21">
        <v>50</v>
      </c>
      <c r="I45" s="22" t="s">
        <v>163</v>
      </c>
      <c r="J45" s="24">
        <v>0</v>
      </c>
      <c r="K45" s="21">
        <v>90</v>
      </c>
      <c r="L45" s="22" t="s">
        <v>163</v>
      </c>
      <c r="M45" s="25">
        <v>119480000</v>
      </c>
      <c r="N45" s="21">
        <v>0</v>
      </c>
      <c r="O45" s="22" t="str">
        <f>L45</f>
        <v>IKM</v>
      </c>
      <c r="P45" s="25">
        <v>0</v>
      </c>
      <c r="Q45" s="21">
        <v>20</v>
      </c>
      <c r="R45" s="22" t="str">
        <f>L45</f>
        <v>IKM</v>
      </c>
      <c r="S45" s="25">
        <v>11342000</v>
      </c>
      <c r="T45" s="21">
        <v>80</v>
      </c>
      <c r="U45" s="22" t="str">
        <f>L45</f>
        <v>IKM</v>
      </c>
      <c r="V45" s="25">
        <v>0</v>
      </c>
      <c r="W45" s="21">
        <v>0</v>
      </c>
      <c r="X45" s="22" t="str">
        <f>O45</f>
        <v>IKM</v>
      </c>
      <c r="Y45" s="25">
        <v>63650000</v>
      </c>
      <c r="Z45" s="55">
        <f>SUM(N45,Q45,T45,W45)</f>
        <v>100</v>
      </c>
      <c r="AA45" s="78" t="str">
        <f>L45</f>
        <v>IKM</v>
      </c>
      <c r="AB45" s="53">
        <f t="shared" si="9"/>
        <v>111.11111111111111</v>
      </c>
      <c r="AC45" s="34" t="s">
        <v>131</v>
      </c>
      <c r="AD45" s="79">
        <f>SUM(P45,S45,V45,Y45)</f>
        <v>74992000</v>
      </c>
      <c r="AE45" s="53">
        <f>AD45/M45*100</f>
        <v>62.765316370940738</v>
      </c>
      <c r="AF45" s="34" t="s">
        <v>131</v>
      </c>
      <c r="AG45" s="53">
        <f>SUM(H45,Z45)</f>
        <v>150</v>
      </c>
      <c r="AH45" s="55" t="str">
        <f>AA45</f>
        <v>IKM</v>
      </c>
      <c r="AI45" s="40">
        <f>SUM(J45,AD45)</f>
        <v>74992000</v>
      </c>
      <c r="AJ45" s="53"/>
      <c r="AK45" s="34" t="s">
        <v>131</v>
      </c>
      <c r="AL45" s="52"/>
      <c r="AM45" s="13"/>
      <c r="AP45" s="27"/>
    </row>
    <row r="46" spans="1:42" ht="149.25" customHeight="1" x14ac:dyDescent="0.2">
      <c r="A46" s="18"/>
      <c r="B46" s="19"/>
      <c r="C46" s="20" t="s">
        <v>114</v>
      </c>
      <c r="D46" s="20" t="s">
        <v>165</v>
      </c>
      <c r="E46" s="103">
        <v>3726</v>
      </c>
      <c r="F46" s="44" t="s">
        <v>166</v>
      </c>
      <c r="G46" s="23"/>
      <c r="H46" s="88">
        <v>0</v>
      </c>
      <c r="I46" s="44" t="s">
        <v>166</v>
      </c>
      <c r="J46" s="24"/>
      <c r="K46" s="103">
        <v>3486</v>
      </c>
      <c r="L46" s="44" t="s">
        <v>166</v>
      </c>
      <c r="M46" s="91">
        <f>M47</f>
        <v>25000000</v>
      </c>
      <c r="N46" s="43">
        <v>0</v>
      </c>
      <c r="O46" s="44" t="str">
        <f>L46</f>
        <v>Data</v>
      </c>
      <c r="P46" s="105">
        <f>P47</f>
        <v>0</v>
      </c>
      <c r="Q46" s="43">
        <v>0</v>
      </c>
      <c r="R46" s="44" t="str">
        <f>L46</f>
        <v>Data</v>
      </c>
      <c r="S46" s="105">
        <f>S47</f>
        <v>0</v>
      </c>
      <c r="T46" s="103">
        <v>3486</v>
      </c>
      <c r="U46" s="44" t="str">
        <f>L46</f>
        <v>Data</v>
      </c>
      <c r="V46" s="105">
        <f>V47</f>
        <v>0</v>
      </c>
      <c r="W46" s="103">
        <v>0</v>
      </c>
      <c r="X46" s="44" t="str">
        <f>O46</f>
        <v>Data</v>
      </c>
      <c r="Y46" s="105">
        <f>Y47</f>
        <v>22570000</v>
      </c>
      <c r="Z46" s="54">
        <f>SUM(N46,Q46,T46,W46)</f>
        <v>3486</v>
      </c>
      <c r="AA46" s="77" t="str">
        <f>L46</f>
        <v>Data</v>
      </c>
      <c r="AB46" s="52">
        <f t="shared" si="9"/>
        <v>100</v>
      </c>
      <c r="AC46" s="51" t="s">
        <v>131</v>
      </c>
      <c r="AD46" s="70">
        <f>SUM(P46,S46,V46,Y46)</f>
        <v>22570000</v>
      </c>
      <c r="AE46" s="52">
        <f>AD46/M46*100</f>
        <v>90.28</v>
      </c>
      <c r="AF46" s="51" t="s">
        <v>131</v>
      </c>
      <c r="AG46" s="52">
        <f>SUM(H46,Z46)</f>
        <v>3486</v>
      </c>
      <c r="AH46" s="54" t="str">
        <f>AA46</f>
        <v>Data</v>
      </c>
      <c r="AI46" s="56">
        <f>SUM(J46,AD46)</f>
        <v>22570000</v>
      </c>
      <c r="AJ46" s="52"/>
      <c r="AK46" s="51" t="s">
        <v>131</v>
      </c>
      <c r="AL46" s="52"/>
      <c r="AM46" s="13"/>
      <c r="AP46" s="27"/>
    </row>
    <row r="47" spans="1:42" ht="180" x14ac:dyDescent="0.2">
      <c r="A47" s="18"/>
      <c r="B47" s="19"/>
      <c r="C47" s="28" t="s">
        <v>115</v>
      </c>
      <c r="D47" s="28" t="s">
        <v>167</v>
      </c>
      <c r="E47" s="46">
        <f>50*3</f>
        <v>150</v>
      </c>
      <c r="F47" s="47" t="s">
        <v>56</v>
      </c>
      <c r="G47" s="92">
        <f>25000000*3</f>
        <v>75000000</v>
      </c>
      <c r="H47" s="42">
        <v>0</v>
      </c>
      <c r="I47" s="47" t="s">
        <v>56</v>
      </c>
      <c r="J47" s="24"/>
      <c r="K47" s="46">
        <v>50</v>
      </c>
      <c r="L47" s="47" t="s">
        <v>56</v>
      </c>
      <c r="M47" s="92">
        <v>25000000</v>
      </c>
      <c r="N47" s="21">
        <v>0</v>
      </c>
      <c r="O47" s="47" t="str">
        <f>L47</f>
        <v>Org</v>
      </c>
      <c r="P47" s="25">
        <v>0</v>
      </c>
      <c r="Q47" s="21">
        <v>0</v>
      </c>
      <c r="R47" s="47" t="str">
        <f>L47</f>
        <v>Org</v>
      </c>
      <c r="S47" s="25">
        <v>0</v>
      </c>
      <c r="T47" s="21">
        <v>0</v>
      </c>
      <c r="U47" s="47" t="str">
        <f>L47</f>
        <v>Org</v>
      </c>
      <c r="V47" s="25">
        <v>0</v>
      </c>
      <c r="W47" s="21">
        <v>0</v>
      </c>
      <c r="X47" s="47" t="str">
        <f>O47</f>
        <v>Org</v>
      </c>
      <c r="Y47" s="25">
        <v>22570000</v>
      </c>
      <c r="Z47" s="55">
        <f>SUM(N47,Q47,T47,W47)</f>
        <v>0</v>
      </c>
      <c r="AA47" s="78" t="str">
        <f>L47</f>
        <v>Org</v>
      </c>
      <c r="AB47" s="53">
        <f t="shared" si="9"/>
        <v>0</v>
      </c>
      <c r="AC47" s="34" t="s">
        <v>131</v>
      </c>
      <c r="AD47" s="79">
        <f>SUM(P47,S47,V47,Y47)</f>
        <v>22570000</v>
      </c>
      <c r="AE47" s="53">
        <f>AD47/M47*100</f>
        <v>90.28</v>
      </c>
      <c r="AF47" s="34" t="s">
        <v>131</v>
      </c>
      <c r="AG47" s="55">
        <f>SUM(H47,Z47)</f>
        <v>0</v>
      </c>
      <c r="AH47" s="42" t="str">
        <f>AA47</f>
        <v>Org</v>
      </c>
      <c r="AI47" s="40">
        <f>SUM(J47,AD47)</f>
        <v>22570000</v>
      </c>
      <c r="AJ47" s="53"/>
      <c r="AK47" s="34" t="s">
        <v>131</v>
      </c>
      <c r="AL47" s="53"/>
      <c r="AM47" s="13"/>
      <c r="AP47" s="27"/>
    </row>
    <row r="48" spans="1:42" ht="63" x14ac:dyDescent="0.2">
      <c r="A48" s="48">
        <v>14</v>
      </c>
      <c r="B48" s="49" t="s">
        <v>57</v>
      </c>
      <c r="C48" s="20" t="s">
        <v>125</v>
      </c>
      <c r="D48" s="95" t="s">
        <v>146</v>
      </c>
      <c r="E48" s="45">
        <f>E51</f>
        <v>41.428571428571431</v>
      </c>
      <c r="F48" s="80" t="s">
        <v>131</v>
      </c>
      <c r="G48" s="41">
        <f>SUM(G49)</f>
        <v>106684780</v>
      </c>
      <c r="H48" s="45">
        <f>H51</f>
        <v>30.640913081650574</v>
      </c>
      <c r="I48" s="80" t="s">
        <v>131</v>
      </c>
      <c r="J48" s="41">
        <f>SUM(J49)</f>
        <v>0</v>
      </c>
      <c r="K48" s="45">
        <f>K51</f>
        <v>37.401229148375769</v>
      </c>
      <c r="L48" s="80" t="s">
        <v>131</v>
      </c>
      <c r="M48" s="41">
        <f>SUM(M49)</f>
        <v>29530500</v>
      </c>
      <c r="N48" s="45">
        <f>N51</f>
        <v>0</v>
      </c>
      <c r="O48" s="80" t="str">
        <f t="shared" si="3"/>
        <v>%</v>
      </c>
      <c r="P48" s="41">
        <f>SUM(P49)</f>
        <v>14386500</v>
      </c>
      <c r="Q48" s="45">
        <f>Q51</f>
        <v>1.755926251097454</v>
      </c>
      <c r="R48" s="80" t="str">
        <f t="shared" si="4"/>
        <v>%</v>
      </c>
      <c r="S48" s="41">
        <f>SUM(S49)</f>
        <v>6000000</v>
      </c>
      <c r="T48" s="45">
        <f>T51</f>
        <v>0</v>
      </c>
      <c r="U48" s="80" t="str">
        <f t="shared" si="5"/>
        <v>%</v>
      </c>
      <c r="V48" s="41">
        <f>SUM(V49)</f>
        <v>3000000</v>
      </c>
      <c r="W48" s="45">
        <f>W51</f>
        <v>0</v>
      </c>
      <c r="X48" s="80" t="str">
        <f t="shared" ref="X48:X63" si="20">O48</f>
        <v>%</v>
      </c>
      <c r="Y48" s="41">
        <f>SUM(Y49)</f>
        <v>4500000</v>
      </c>
      <c r="Z48" s="52">
        <f t="shared" si="13"/>
        <v>1.755926251097454</v>
      </c>
      <c r="AA48" s="77" t="str">
        <f t="shared" si="14"/>
        <v>%</v>
      </c>
      <c r="AB48" s="52">
        <f>AG48/K48*100</f>
        <v>86.619718309859167</v>
      </c>
      <c r="AC48" s="51" t="s">
        <v>131</v>
      </c>
      <c r="AD48" s="70">
        <f t="shared" si="15"/>
        <v>27886500</v>
      </c>
      <c r="AE48" s="52">
        <f t="shared" si="16"/>
        <v>94.43287448570122</v>
      </c>
      <c r="AF48" s="51" t="s">
        <v>131</v>
      </c>
      <c r="AG48" s="52">
        <f t="shared" si="0"/>
        <v>32.39683933274803</v>
      </c>
      <c r="AH48" s="88" t="str">
        <f t="shared" si="12"/>
        <v>%</v>
      </c>
      <c r="AI48" s="56">
        <f t="shared" si="1"/>
        <v>27886500</v>
      </c>
      <c r="AJ48" s="52"/>
      <c r="AK48" s="51" t="s">
        <v>131</v>
      </c>
      <c r="AL48" s="52"/>
      <c r="AM48" s="13"/>
      <c r="AP48" s="27"/>
    </row>
    <row r="49" spans="1:42" ht="78.75" x14ac:dyDescent="0.2">
      <c r="A49" s="18"/>
      <c r="B49" s="19"/>
      <c r="C49" s="20" t="s">
        <v>118</v>
      </c>
      <c r="D49" s="95" t="s">
        <v>148</v>
      </c>
      <c r="E49" s="88">
        <f>E50</f>
        <v>60</v>
      </c>
      <c r="F49" s="80" t="s">
        <v>56</v>
      </c>
      <c r="G49" s="41">
        <f>SUM(G50)</f>
        <v>106684780</v>
      </c>
      <c r="H49" s="88">
        <f>H50</f>
        <v>0</v>
      </c>
      <c r="I49" s="44" t="s">
        <v>56</v>
      </c>
      <c r="J49" s="41">
        <f>SUM(J50)</f>
        <v>0</v>
      </c>
      <c r="K49" s="88">
        <f>K50</f>
        <v>20</v>
      </c>
      <c r="L49" s="80" t="s">
        <v>56</v>
      </c>
      <c r="M49" s="41">
        <f>SUM(M50)</f>
        <v>29530500</v>
      </c>
      <c r="N49" s="43">
        <v>0</v>
      </c>
      <c r="O49" s="80" t="str">
        <f t="shared" si="3"/>
        <v>Org</v>
      </c>
      <c r="P49" s="41">
        <f>SUM(P50)</f>
        <v>14386500</v>
      </c>
      <c r="Q49" s="43">
        <v>0</v>
      </c>
      <c r="R49" s="80" t="str">
        <f t="shared" si="4"/>
        <v>Org</v>
      </c>
      <c r="S49" s="41">
        <f>SUM(S50)</f>
        <v>6000000</v>
      </c>
      <c r="T49" s="43">
        <v>0</v>
      </c>
      <c r="U49" s="80" t="str">
        <f t="shared" si="5"/>
        <v>Org</v>
      </c>
      <c r="V49" s="41">
        <f>SUM(V50)</f>
        <v>3000000</v>
      </c>
      <c r="W49" s="43">
        <v>0</v>
      </c>
      <c r="X49" s="80" t="str">
        <f t="shared" si="20"/>
        <v>Org</v>
      </c>
      <c r="Y49" s="41">
        <f>SUM(Y50)</f>
        <v>4500000</v>
      </c>
      <c r="Z49" s="54">
        <f t="shared" si="13"/>
        <v>0</v>
      </c>
      <c r="AA49" s="77" t="str">
        <f t="shared" si="14"/>
        <v>Org</v>
      </c>
      <c r="AB49" s="52">
        <f t="shared" si="9"/>
        <v>0</v>
      </c>
      <c r="AC49" s="51" t="s">
        <v>131</v>
      </c>
      <c r="AD49" s="70">
        <f t="shared" si="15"/>
        <v>27886500</v>
      </c>
      <c r="AE49" s="52">
        <f t="shared" si="16"/>
        <v>94.43287448570122</v>
      </c>
      <c r="AF49" s="51" t="s">
        <v>131</v>
      </c>
      <c r="AG49" s="54">
        <f t="shared" si="0"/>
        <v>0</v>
      </c>
      <c r="AH49" s="88" t="str">
        <f t="shared" si="12"/>
        <v>Org</v>
      </c>
      <c r="AI49" s="56">
        <f t="shared" si="1"/>
        <v>27886500</v>
      </c>
      <c r="AJ49" s="52"/>
      <c r="AK49" s="51" t="s">
        <v>131</v>
      </c>
      <c r="AL49" s="52"/>
      <c r="AM49" s="13"/>
      <c r="AP49" s="27"/>
    </row>
    <row r="50" spans="1:42" ht="75" x14ac:dyDescent="0.2">
      <c r="A50" s="18"/>
      <c r="B50" s="19"/>
      <c r="C50" s="28" t="s">
        <v>126</v>
      </c>
      <c r="D50" s="28" t="s">
        <v>147</v>
      </c>
      <c r="E50" s="21">
        <f>20*3</f>
        <v>60</v>
      </c>
      <c r="F50" s="22" t="s">
        <v>56</v>
      </c>
      <c r="G50" s="25">
        <f>29530500+38577140+38577140</f>
        <v>106684780</v>
      </c>
      <c r="H50" s="42">
        <v>0</v>
      </c>
      <c r="I50" s="22" t="s">
        <v>56</v>
      </c>
      <c r="J50" s="24">
        <v>0</v>
      </c>
      <c r="K50" s="21">
        <v>20</v>
      </c>
      <c r="L50" s="47" t="s">
        <v>56</v>
      </c>
      <c r="M50" s="25">
        <v>29530500</v>
      </c>
      <c r="N50" s="21">
        <v>0</v>
      </c>
      <c r="O50" s="47" t="str">
        <f t="shared" si="3"/>
        <v>Org</v>
      </c>
      <c r="P50" s="25">
        <v>14386500</v>
      </c>
      <c r="Q50" s="21">
        <v>0</v>
      </c>
      <c r="R50" s="47" t="str">
        <f t="shared" si="4"/>
        <v>Org</v>
      </c>
      <c r="S50" s="25">
        <v>6000000</v>
      </c>
      <c r="T50" s="21">
        <v>0</v>
      </c>
      <c r="U50" s="47" t="str">
        <f t="shared" si="5"/>
        <v>Org</v>
      </c>
      <c r="V50" s="25">
        <v>3000000</v>
      </c>
      <c r="W50" s="21">
        <v>0</v>
      </c>
      <c r="X50" s="47" t="str">
        <f t="shared" si="20"/>
        <v>Org</v>
      </c>
      <c r="Y50" s="25">
        <v>4500000</v>
      </c>
      <c r="Z50" s="55">
        <f t="shared" si="13"/>
        <v>0</v>
      </c>
      <c r="AA50" s="78" t="str">
        <f t="shared" si="14"/>
        <v>Org</v>
      </c>
      <c r="AB50" s="53">
        <f t="shared" si="9"/>
        <v>0</v>
      </c>
      <c r="AC50" s="34" t="s">
        <v>131</v>
      </c>
      <c r="AD50" s="79">
        <f t="shared" si="15"/>
        <v>27886500</v>
      </c>
      <c r="AE50" s="53">
        <f t="shared" si="16"/>
        <v>94.43287448570122</v>
      </c>
      <c r="AF50" s="34" t="s">
        <v>131</v>
      </c>
      <c r="AG50" s="55">
        <f t="shared" si="0"/>
        <v>0</v>
      </c>
      <c r="AH50" s="42" t="str">
        <f t="shared" si="12"/>
        <v>Org</v>
      </c>
      <c r="AI50" s="40">
        <f t="shared" si="1"/>
        <v>27886500</v>
      </c>
      <c r="AJ50" s="53"/>
      <c r="AK50" s="34" t="s">
        <v>131</v>
      </c>
      <c r="AL50" s="53"/>
      <c r="AM50" s="13"/>
      <c r="AP50" s="27"/>
    </row>
    <row r="51" spans="1:42" ht="78.75" x14ac:dyDescent="0.2">
      <c r="A51" s="18"/>
      <c r="B51" s="19"/>
      <c r="C51" s="20" t="s">
        <v>108</v>
      </c>
      <c r="D51" s="95" t="s">
        <v>146</v>
      </c>
      <c r="E51" s="45">
        <f>E52</f>
        <v>41.428571428571431</v>
      </c>
      <c r="F51" s="80" t="s">
        <v>131</v>
      </c>
      <c r="G51" s="41">
        <f>SUM(G52)</f>
        <v>1065711650</v>
      </c>
      <c r="H51" s="45">
        <f>H52</f>
        <v>30.640913081650574</v>
      </c>
      <c r="I51" s="80" t="s">
        <v>131</v>
      </c>
      <c r="J51" s="41">
        <f>SUM(J52)</f>
        <v>0</v>
      </c>
      <c r="K51" s="45">
        <f>K52</f>
        <v>37.401229148375769</v>
      </c>
      <c r="L51" s="80" t="s">
        <v>131</v>
      </c>
      <c r="M51" s="41">
        <f>SUM(M52)</f>
        <v>344890950</v>
      </c>
      <c r="N51" s="45">
        <f>N52</f>
        <v>0</v>
      </c>
      <c r="O51" s="80" t="str">
        <f t="shared" si="3"/>
        <v>%</v>
      </c>
      <c r="P51" s="41">
        <f>SUM(P52)</f>
        <v>0</v>
      </c>
      <c r="Q51" s="45">
        <f>Q52</f>
        <v>1.755926251097454</v>
      </c>
      <c r="R51" s="80" t="str">
        <f t="shared" si="4"/>
        <v>%</v>
      </c>
      <c r="S51" s="41">
        <f>SUM(S52)</f>
        <v>104798500</v>
      </c>
      <c r="T51" s="45">
        <f>T52</f>
        <v>0</v>
      </c>
      <c r="U51" s="80" t="str">
        <f t="shared" si="5"/>
        <v>%</v>
      </c>
      <c r="V51" s="41">
        <f>SUM(V52)</f>
        <v>0</v>
      </c>
      <c r="W51" s="45">
        <f>W52</f>
        <v>0</v>
      </c>
      <c r="X51" s="80" t="str">
        <f t="shared" si="20"/>
        <v>%</v>
      </c>
      <c r="Y51" s="41">
        <f>SUM(Y52)</f>
        <v>211756700</v>
      </c>
      <c r="Z51" s="52">
        <f t="shared" si="13"/>
        <v>1.755926251097454</v>
      </c>
      <c r="AA51" s="77" t="str">
        <f t="shared" si="14"/>
        <v>%</v>
      </c>
      <c r="AB51" s="52">
        <f>AG51/K51*100</f>
        <v>86.619718309859167</v>
      </c>
      <c r="AC51" s="51" t="s">
        <v>131</v>
      </c>
      <c r="AD51" s="70">
        <f t="shared" si="15"/>
        <v>316555200</v>
      </c>
      <c r="AE51" s="52">
        <f t="shared" si="16"/>
        <v>91.78414220494912</v>
      </c>
      <c r="AF51" s="51" t="s">
        <v>131</v>
      </c>
      <c r="AG51" s="52">
        <f t="shared" si="0"/>
        <v>32.39683933274803</v>
      </c>
      <c r="AH51" s="88" t="str">
        <f t="shared" si="12"/>
        <v>%</v>
      </c>
      <c r="AI51" s="56">
        <f t="shared" si="1"/>
        <v>316555200</v>
      </c>
      <c r="AJ51" s="52"/>
      <c r="AK51" s="51" t="s">
        <v>131</v>
      </c>
      <c r="AL51" s="52"/>
      <c r="AM51" s="13"/>
      <c r="AP51" s="27"/>
    </row>
    <row r="52" spans="1:42" ht="135.75" customHeight="1" x14ac:dyDescent="0.2">
      <c r="A52" s="18"/>
      <c r="B52" s="19"/>
      <c r="C52" s="20" t="s">
        <v>109</v>
      </c>
      <c r="D52" s="20" t="s">
        <v>145</v>
      </c>
      <c r="E52" s="45">
        <f>(350+85)/1050*100</f>
        <v>41.428571428571431</v>
      </c>
      <c r="F52" s="80" t="s">
        <v>131</v>
      </c>
      <c r="G52" s="41">
        <f>SUM(G53:G54)</f>
        <v>1065711650</v>
      </c>
      <c r="H52" s="45">
        <f>(333+16)/1139*100</f>
        <v>30.640913081650574</v>
      </c>
      <c r="I52" s="80" t="s">
        <v>131</v>
      </c>
      <c r="J52" s="41">
        <f>SUM(J53:J54)</f>
        <v>0</v>
      </c>
      <c r="K52" s="45">
        <f>(350+76)/1139*100</f>
        <v>37.401229148375769</v>
      </c>
      <c r="L52" s="80" t="s">
        <v>131</v>
      </c>
      <c r="M52" s="41">
        <f>SUM(M53:M54)</f>
        <v>344890950</v>
      </c>
      <c r="N52" s="45">
        <v>0</v>
      </c>
      <c r="O52" s="80" t="str">
        <f t="shared" si="3"/>
        <v>%</v>
      </c>
      <c r="P52" s="41">
        <f>SUM(P53:P54)</f>
        <v>0</v>
      </c>
      <c r="Q52" s="45">
        <f>(Q53+Q54)/1139*100</f>
        <v>1.755926251097454</v>
      </c>
      <c r="R52" s="80" t="str">
        <f t="shared" si="4"/>
        <v>%</v>
      </c>
      <c r="S52" s="41">
        <f>SUM(S53:S54)</f>
        <v>104798500</v>
      </c>
      <c r="T52" s="45">
        <v>0</v>
      </c>
      <c r="U52" s="80" t="str">
        <f t="shared" si="5"/>
        <v>%</v>
      </c>
      <c r="V52" s="41">
        <f>SUM(V53:V54)</f>
        <v>0</v>
      </c>
      <c r="W52" s="45">
        <v>0</v>
      </c>
      <c r="X52" s="80" t="str">
        <f t="shared" si="20"/>
        <v>%</v>
      </c>
      <c r="Y52" s="41">
        <f>SUM(Y53:Y54)</f>
        <v>211756700</v>
      </c>
      <c r="Z52" s="52">
        <f t="shared" si="13"/>
        <v>1.755926251097454</v>
      </c>
      <c r="AA52" s="77" t="str">
        <f t="shared" si="14"/>
        <v>%</v>
      </c>
      <c r="AB52" s="52">
        <f>AG52/K52*100</f>
        <v>86.619718309859167</v>
      </c>
      <c r="AC52" s="51" t="s">
        <v>131</v>
      </c>
      <c r="AD52" s="70">
        <f t="shared" si="15"/>
        <v>316555200</v>
      </c>
      <c r="AE52" s="52">
        <f t="shared" si="16"/>
        <v>91.78414220494912</v>
      </c>
      <c r="AF52" s="51" t="s">
        <v>131</v>
      </c>
      <c r="AG52" s="52">
        <f t="shared" si="0"/>
        <v>32.39683933274803</v>
      </c>
      <c r="AH52" s="88" t="str">
        <f t="shared" si="12"/>
        <v>%</v>
      </c>
      <c r="AI52" s="56">
        <f t="shared" si="1"/>
        <v>316555200</v>
      </c>
      <c r="AJ52" s="52"/>
      <c r="AK52" s="51" t="s">
        <v>131</v>
      </c>
      <c r="AL52" s="52"/>
      <c r="AM52" s="13"/>
      <c r="AP52" s="27"/>
    </row>
    <row r="53" spans="1:42" ht="150" x14ac:dyDescent="0.2">
      <c r="A53" s="18"/>
      <c r="B53" s="19"/>
      <c r="C53" s="28" t="s">
        <v>110</v>
      </c>
      <c r="D53" s="28" t="s">
        <v>144</v>
      </c>
      <c r="E53" s="21">
        <f>66+56+40</f>
        <v>162</v>
      </c>
      <c r="F53" s="47" t="s">
        <v>56</v>
      </c>
      <c r="G53" s="25">
        <f>308480350*3</f>
        <v>925441050</v>
      </c>
      <c r="H53" s="42">
        <v>0</v>
      </c>
      <c r="I53" s="47" t="s">
        <v>56</v>
      </c>
      <c r="J53" s="24">
        <v>0</v>
      </c>
      <c r="K53" s="21">
        <v>66</v>
      </c>
      <c r="L53" s="47" t="s">
        <v>56</v>
      </c>
      <c r="M53" s="25">
        <v>308480350</v>
      </c>
      <c r="N53" s="21">
        <v>0</v>
      </c>
      <c r="O53" s="47" t="str">
        <f t="shared" si="3"/>
        <v>Org</v>
      </c>
      <c r="P53" s="25">
        <v>0</v>
      </c>
      <c r="Q53" s="21">
        <v>20</v>
      </c>
      <c r="R53" s="47" t="str">
        <f t="shared" si="4"/>
        <v>Org</v>
      </c>
      <c r="S53" s="25">
        <v>104798500</v>
      </c>
      <c r="T53" s="21">
        <v>0</v>
      </c>
      <c r="U53" s="47" t="str">
        <f t="shared" si="5"/>
        <v>Org</v>
      </c>
      <c r="V53" s="25">
        <v>0</v>
      </c>
      <c r="W53" s="21">
        <v>0</v>
      </c>
      <c r="X53" s="47" t="str">
        <f t="shared" si="20"/>
        <v>Org</v>
      </c>
      <c r="Y53" s="25">
        <v>175826100</v>
      </c>
      <c r="Z53" s="55">
        <f t="shared" si="13"/>
        <v>20</v>
      </c>
      <c r="AA53" s="78" t="str">
        <f t="shared" si="14"/>
        <v>Org</v>
      </c>
      <c r="AB53" s="53">
        <f t="shared" si="9"/>
        <v>30.303030303030305</v>
      </c>
      <c r="AC53" s="34" t="s">
        <v>131</v>
      </c>
      <c r="AD53" s="79">
        <f t="shared" si="15"/>
        <v>280624600</v>
      </c>
      <c r="AE53" s="53">
        <f t="shared" si="16"/>
        <v>90.970008300366629</v>
      </c>
      <c r="AF53" s="34" t="s">
        <v>131</v>
      </c>
      <c r="AG53" s="55">
        <f t="shared" si="0"/>
        <v>20</v>
      </c>
      <c r="AH53" s="42" t="str">
        <f t="shared" si="12"/>
        <v>Org</v>
      </c>
      <c r="AI53" s="40">
        <f t="shared" si="1"/>
        <v>280624600</v>
      </c>
      <c r="AJ53" s="53"/>
      <c r="AK53" s="34" t="s">
        <v>131</v>
      </c>
      <c r="AL53" s="53"/>
      <c r="AM53" s="13"/>
      <c r="AP53" s="27"/>
    </row>
    <row r="54" spans="1:42" ht="176.25" customHeight="1" x14ac:dyDescent="0.2">
      <c r="A54" s="18"/>
      <c r="B54" s="19"/>
      <c r="C54" s="28" t="s">
        <v>111</v>
      </c>
      <c r="D54" s="28" t="s">
        <v>143</v>
      </c>
      <c r="E54" s="21">
        <f>20*3</f>
        <v>60</v>
      </c>
      <c r="F54" s="47" t="s">
        <v>56</v>
      </c>
      <c r="G54" s="25">
        <f>36410600+51930000+51930000</f>
        <v>140270600</v>
      </c>
      <c r="H54" s="42">
        <v>0</v>
      </c>
      <c r="I54" s="47" t="s">
        <v>56</v>
      </c>
      <c r="J54" s="24">
        <v>0</v>
      </c>
      <c r="K54" s="21">
        <v>20</v>
      </c>
      <c r="L54" s="47" t="s">
        <v>56</v>
      </c>
      <c r="M54" s="25">
        <v>36410600</v>
      </c>
      <c r="N54" s="21">
        <v>0</v>
      </c>
      <c r="O54" s="47" t="str">
        <f t="shared" si="3"/>
        <v>Org</v>
      </c>
      <c r="P54" s="25">
        <v>0</v>
      </c>
      <c r="Q54" s="21">
        <v>0</v>
      </c>
      <c r="R54" s="47" t="str">
        <f t="shared" si="4"/>
        <v>Org</v>
      </c>
      <c r="S54" s="25">
        <v>0</v>
      </c>
      <c r="T54" s="21">
        <v>0</v>
      </c>
      <c r="U54" s="47" t="str">
        <f t="shared" si="5"/>
        <v>Org</v>
      </c>
      <c r="V54" s="25">
        <v>0</v>
      </c>
      <c r="W54" s="21">
        <v>0</v>
      </c>
      <c r="X54" s="47" t="str">
        <f t="shared" si="20"/>
        <v>Org</v>
      </c>
      <c r="Y54" s="25">
        <v>35930600</v>
      </c>
      <c r="Z54" s="55">
        <f t="shared" si="13"/>
        <v>0</v>
      </c>
      <c r="AA54" s="78" t="str">
        <f t="shared" si="14"/>
        <v>Org</v>
      </c>
      <c r="AB54" s="53">
        <f t="shared" si="9"/>
        <v>0</v>
      </c>
      <c r="AC54" s="34" t="s">
        <v>131</v>
      </c>
      <c r="AD54" s="79">
        <f t="shared" si="15"/>
        <v>35930600</v>
      </c>
      <c r="AE54" s="53">
        <f t="shared" si="16"/>
        <v>98.681702581116497</v>
      </c>
      <c r="AF54" s="34" t="s">
        <v>131</v>
      </c>
      <c r="AG54" s="55">
        <f t="shared" si="0"/>
        <v>0</v>
      </c>
      <c r="AH54" s="42" t="str">
        <f t="shared" si="12"/>
        <v>Org</v>
      </c>
      <c r="AI54" s="40">
        <f t="shared" si="1"/>
        <v>35930600</v>
      </c>
      <c r="AJ54" s="53"/>
      <c r="AK54" s="34" t="s">
        <v>131</v>
      </c>
      <c r="AL54" s="53"/>
      <c r="AM54" s="13"/>
      <c r="AP54" s="27"/>
    </row>
    <row r="55" spans="1:42" ht="110.25" x14ac:dyDescent="0.2">
      <c r="A55" s="18"/>
      <c r="B55" s="19"/>
      <c r="C55" s="20" t="s">
        <v>140</v>
      </c>
      <c r="D55" s="20" t="s">
        <v>142</v>
      </c>
      <c r="E55" s="43">
        <f>E56</f>
        <v>100</v>
      </c>
      <c r="F55" s="80" t="s">
        <v>131</v>
      </c>
      <c r="G55" s="97">
        <f>SUM(G56)</f>
        <v>198840000</v>
      </c>
      <c r="H55" s="43">
        <f>H56</f>
        <v>100</v>
      </c>
      <c r="I55" s="80" t="s">
        <v>131</v>
      </c>
      <c r="J55" s="99">
        <f>SUM(J56)</f>
        <v>0</v>
      </c>
      <c r="K55" s="43">
        <f>K56</f>
        <v>100</v>
      </c>
      <c r="L55" s="80" t="s">
        <v>131</v>
      </c>
      <c r="M55" s="72">
        <f>SUM(M56)</f>
        <v>66280000</v>
      </c>
      <c r="N55" s="43">
        <v>0</v>
      </c>
      <c r="O55" s="80" t="str">
        <f>L55</f>
        <v>%</v>
      </c>
      <c r="P55" s="104">
        <f>SUM(P56)</f>
        <v>0</v>
      </c>
      <c r="Q55" s="43">
        <v>0</v>
      </c>
      <c r="R55" s="80" t="str">
        <f>L55</f>
        <v>%</v>
      </c>
      <c r="S55" s="104">
        <f>SUM(S56)</f>
        <v>0</v>
      </c>
      <c r="T55" s="43">
        <v>0</v>
      </c>
      <c r="U55" s="80" t="str">
        <f>L55</f>
        <v>%</v>
      </c>
      <c r="V55" s="104">
        <f>SUM(V56)</f>
        <v>0</v>
      </c>
      <c r="W55" s="43">
        <v>0</v>
      </c>
      <c r="X55" s="80" t="str">
        <f>O55</f>
        <v>%</v>
      </c>
      <c r="Y55" s="104">
        <f>SUM(Y56)</f>
        <v>0</v>
      </c>
      <c r="Z55" s="54">
        <f>SUM(N55,Q55,T55,W55)</f>
        <v>0</v>
      </c>
      <c r="AA55" s="77" t="str">
        <f>L55</f>
        <v>%</v>
      </c>
      <c r="AB55" s="52">
        <f t="shared" si="9"/>
        <v>0</v>
      </c>
      <c r="AC55" s="51" t="s">
        <v>131</v>
      </c>
      <c r="AD55" s="70">
        <f>SUM(P55,S55,V55,Y55)</f>
        <v>0</v>
      </c>
      <c r="AE55" s="52">
        <f>AD55/M55*100</f>
        <v>0</v>
      </c>
      <c r="AF55" s="51" t="s">
        <v>131</v>
      </c>
      <c r="AG55" s="54">
        <f>SUM(H55,Z55)</f>
        <v>100</v>
      </c>
      <c r="AH55" s="88" t="str">
        <f>AA55</f>
        <v>%</v>
      </c>
      <c r="AI55" s="56">
        <f>SUM(J55,AD55)</f>
        <v>0</v>
      </c>
      <c r="AJ55" s="52"/>
      <c r="AK55" s="51" t="s">
        <v>131</v>
      </c>
      <c r="AL55" s="52"/>
      <c r="AM55" s="13"/>
      <c r="AP55" s="27"/>
    </row>
    <row r="56" spans="1:42" ht="173.25" x14ac:dyDescent="0.2">
      <c r="A56" s="18"/>
      <c r="B56" s="19"/>
      <c r="C56" s="20" t="s">
        <v>121</v>
      </c>
      <c r="D56" s="20" t="s">
        <v>141</v>
      </c>
      <c r="E56" s="88">
        <f>6/6*100</f>
        <v>100</v>
      </c>
      <c r="F56" s="80" t="s">
        <v>131</v>
      </c>
      <c r="G56" s="97">
        <f>SUM(G57)</f>
        <v>198840000</v>
      </c>
      <c r="H56" s="88">
        <f>3/3*100</f>
        <v>100</v>
      </c>
      <c r="I56" s="80" t="s">
        <v>131</v>
      </c>
      <c r="J56" s="99">
        <f>SUM(J57)</f>
        <v>0</v>
      </c>
      <c r="K56" s="43">
        <f>K57/K57*100</f>
        <v>100</v>
      </c>
      <c r="L56" s="80" t="s">
        <v>131</v>
      </c>
      <c r="M56" s="72">
        <f>SUM(M57)</f>
        <v>66280000</v>
      </c>
      <c r="N56" s="43">
        <v>0</v>
      </c>
      <c r="O56" s="80" t="str">
        <f>L56</f>
        <v>%</v>
      </c>
      <c r="P56" s="104">
        <f>SUM(P57)</f>
        <v>0</v>
      </c>
      <c r="Q56" s="43">
        <v>0</v>
      </c>
      <c r="R56" s="80" t="str">
        <f>L56</f>
        <v>%</v>
      </c>
      <c r="S56" s="104">
        <f>SUM(S57)</f>
        <v>0</v>
      </c>
      <c r="T56" s="43">
        <v>0</v>
      </c>
      <c r="U56" s="80" t="str">
        <f>L56</f>
        <v>%</v>
      </c>
      <c r="V56" s="104">
        <f>SUM(V57)</f>
        <v>0</v>
      </c>
      <c r="W56" s="43">
        <v>0</v>
      </c>
      <c r="X56" s="80" t="str">
        <f>O56</f>
        <v>%</v>
      </c>
      <c r="Y56" s="104">
        <f>SUM(Y57)</f>
        <v>0</v>
      </c>
      <c r="Z56" s="54">
        <f>SUM(N56,Q56,T56,W56)</f>
        <v>0</v>
      </c>
      <c r="AA56" s="77" t="str">
        <f>L56</f>
        <v>%</v>
      </c>
      <c r="AB56" s="52">
        <f t="shared" si="9"/>
        <v>0</v>
      </c>
      <c r="AC56" s="51" t="s">
        <v>131</v>
      </c>
      <c r="AD56" s="70">
        <f>SUM(P56,S56,V56,Y56)</f>
        <v>0</v>
      </c>
      <c r="AE56" s="52">
        <f>AD56/M56*100</f>
        <v>0</v>
      </c>
      <c r="AF56" s="51" t="s">
        <v>131</v>
      </c>
      <c r="AG56" s="54">
        <f>SUM(H56,Z56)</f>
        <v>100</v>
      </c>
      <c r="AH56" s="88" t="str">
        <f>AA56</f>
        <v>%</v>
      </c>
      <c r="AI56" s="56">
        <f>SUM(J56,AD56)</f>
        <v>0</v>
      </c>
      <c r="AJ56" s="52"/>
      <c r="AK56" s="51" t="s">
        <v>131</v>
      </c>
      <c r="AL56" s="52"/>
      <c r="AM56" s="13"/>
      <c r="AP56" s="27"/>
    </row>
    <row r="57" spans="1:42" ht="180" x14ac:dyDescent="0.2">
      <c r="A57" s="90"/>
      <c r="B57" s="82"/>
      <c r="C57" s="28" t="s">
        <v>122</v>
      </c>
      <c r="D57" s="28" t="s">
        <v>139</v>
      </c>
      <c r="E57" s="42">
        <f>7+6+6</f>
        <v>19</v>
      </c>
      <c r="F57" s="47" t="s">
        <v>138</v>
      </c>
      <c r="G57" s="25">
        <f>66280000*3</f>
        <v>198840000</v>
      </c>
      <c r="H57" s="42">
        <v>3</v>
      </c>
      <c r="I57" s="47" t="s">
        <v>138</v>
      </c>
      <c r="J57" s="41"/>
      <c r="K57" s="42">
        <v>7</v>
      </c>
      <c r="L57" s="47" t="s">
        <v>138</v>
      </c>
      <c r="M57" s="73">
        <v>66280000</v>
      </c>
      <c r="N57" s="21">
        <v>0</v>
      </c>
      <c r="O57" s="47" t="str">
        <f>L57</f>
        <v>Kasus</v>
      </c>
      <c r="P57" s="41">
        <v>0</v>
      </c>
      <c r="Q57" s="21">
        <v>0</v>
      </c>
      <c r="R57" s="47" t="str">
        <f>L57</f>
        <v>Kasus</v>
      </c>
      <c r="S57" s="41">
        <v>0</v>
      </c>
      <c r="T57" s="21">
        <v>0</v>
      </c>
      <c r="U57" s="47" t="str">
        <f>L57</f>
        <v>Kasus</v>
      </c>
      <c r="V57" s="41">
        <v>0</v>
      </c>
      <c r="W57" s="21">
        <v>0</v>
      </c>
      <c r="X57" s="47" t="str">
        <f>O57</f>
        <v>Kasus</v>
      </c>
      <c r="Y57" s="41">
        <v>0</v>
      </c>
      <c r="Z57" s="55">
        <f>SUM(N57,Q57,T57,W57)</f>
        <v>0</v>
      </c>
      <c r="AA57" s="96" t="str">
        <f>L57</f>
        <v>Kasus</v>
      </c>
      <c r="AB57" s="53">
        <f t="shared" si="9"/>
        <v>0</v>
      </c>
      <c r="AC57" s="34" t="s">
        <v>131</v>
      </c>
      <c r="AD57" s="79">
        <f>SUM(P57,S57,V57,Y57)</f>
        <v>0</v>
      </c>
      <c r="AE57" s="53">
        <f>AD57/M57*100</f>
        <v>0</v>
      </c>
      <c r="AF57" s="34" t="s">
        <v>131</v>
      </c>
      <c r="AG57" s="53">
        <f>SUM(H57,Z57)</f>
        <v>3</v>
      </c>
      <c r="AH57" s="55" t="str">
        <f>AA57</f>
        <v>Kasus</v>
      </c>
      <c r="AI57" s="40">
        <f>SUM(J57,AD57)</f>
        <v>0</v>
      </c>
      <c r="AJ57" s="53"/>
      <c r="AK57" s="34" t="s">
        <v>131</v>
      </c>
      <c r="AL57" s="52"/>
      <c r="AM57" s="13"/>
      <c r="AP57" s="27"/>
    </row>
    <row r="58" spans="1:42" ht="141.75" x14ac:dyDescent="0.2">
      <c r="A58" s="18"/>
      <c r="B58" s="19"/>
      <c r="C58" s="20" t="s">
        <v>123</v>
      </c>
      <c r="D58" s="20" t="s">
        <v>156</v>
      </c>
      <c r="E58" s="45">
        <f>E59/162*100</f>
        <v>82.098765432098759</v>
      </c>
      <c r="F58" s="80" t="s">
        <v>131</v>
      </c>
      <c r="G58" s="101">
        <f>SUM(G59)</f>
        <v>410291200</v>
      </c>
      <c r="H58" s="45">
        <f>H59/162*100</f>
        <v>78.395061728395063</v>
      </c>
      <c r="I58" s="80" t="s">
        <v>131</v>
      </c>
      <c r="J58" s="101">
        <f>SUM(J59)</f>
        <v>0</v>
      </c>
      <c r="K58" s="45">
        <f>K59/162*100</f>
        <v>79.629629629629633</v>
      </c>
      <c r="L58" s="80" t="s">
        <v>131</v>
      </c>
      <c r="M58" s="93">
        <f>SUM(M59)</f>
        <v>175262200</v>
      </c>
      <c r="N58" s="43">
        <v>0</v>
      </c>
      <c r="O58" s="80" t="str">
        <f t="shared" si="3"/>
        <v>%</v>
      </c>
      <c r="P58" s="93">
        <f>SUM(P59)</f>
        <v>59342500</v>
      </c>
      <c r="Q58" s="43">
        <v>0</v>
      </c>
      <c r="R58" s="80" t="str">
        <f t="shared" si="4"/>
        <v>%</v>
      </c>
      <c r="S58" s="93">
        <f>SUM(S59)</f>
        <v>10850000</v>
      </c>
      <c r="T58" s="43">
        <v>0</v>
      </c>
      <c r="U58" s="80" t="str">
        <f t="shared" si="5"/>
        <v>%</v>
      </c>
      <c r="V58" s="93">
        <f>SUM(V59)</f>
        <v>6000000</v>
      </c>
      <c r="W58" s="43">
        <v>0</v>
      </c>
      <c r="X58" s="80" t="str">
        <f t="shared" ref="X58:X63" si="21">O58</f>
        <v>%</v>
      </c>
      <c r="Y58" s="93">
        <f>SUM(Y59)</f>
        <v>49000000</v>
      </c>
      <c r="Z58" s="54">
        <f t="shared" si="13"/>
        <v>0</v>
      </c>
      <c r="AA58" s="77" t="str">
        <f t="shared" si="14"/>
        <v>%</v>
      </c>
      <c r="AB58" s="52">
        <f>AG58/K58*100</f>
        <v>98.449612403100772</v>
      </c>
      <c r="AC58" s="51" t="s">
        <v>131</v>
      </c>
      <c r="AD58" s="70">
        <f t="shared" si="15"/>
        <v>125192500</v>
      </c>
      <c r="AE58" s="52">
        <f t="shared" si="16"/>
        <v>71.431546562807029</v>
      </c>
      <c r="AF58" s="51" t="s">
        <v>131</v>
      </c>
      <c r="AG58" s="52">
        <f t="shared" si="0"/>
        <v>78.395061728395063</v>
      </c>
      <c r="AH58" s="88" t="str">
        <f t="shared" si="12"/>
        <v>%</v>
      </c>
      <c r="AI58" s="56">
        <f t="shared" si="1"/>
        <v>125192500</v>
      </c>
      <c r="AJ58" s="52"/>
      <c r="AK58" s="51" t="s">
        <v>131</v>
      </c>
      <c r="AL58" s="52"/>
      <c r="AM58" s="13"/>
      <c r="AP58" s="27"/>
    </row>
    <row r="59" spans="1:42" ht="126" x14ac:dyDescent="0.2">
      <c r="A59" s="18"/>
      <c r="B59" s="19"/>
      <c r="C59" s="20" t="s">
        <v>116</v>
      </c>
      <c r="D59" s="20" t="s">
        <v>155</v>
      </c>
      <c r="E59" s="88">
        <f>E60</f>
        <v>133</v>
      </c>
      <c r="F59" s="80" t="s">
        <v>154</v>
      </c>
      <c r="G59" s="100">
        <f>SUM(G60)</f>
        <v>410291200</v>
      </c>
      <c r="H59" s="88">
        <f>H60</f>
        <v>127</v>
      </c>
      <c r="I59" s="80" t="s">
        <v>154</v>
      </c>
      <c r="J59" s="100">
        <f>SUM(J60)</f>
        <v>0</v>
      </c>
      <c r="K59" s="88">
        <f>K60</f>
        <v>129</v>
      </c>
      <c r="L59" s="80" t="s">
        <v>154</v>
      </c>
      <c r="M59" s="94">
        <f>SUM(M60)</f>
        <v>175262200</v>
      </c>
      <c r="N59" s="43">
        <f>N60</f>
        <v>31</v>
      </c>
      <c r="O59" s="80" t="str">
        <f t="shared" si="3"/>
        <v>Koperasi</v>
      </c>
      <c r="P59" s="94">
        <f>SUM(P60)</f>
        <v>59342500</v>
      </c>
      <c r="Q59" s="43">
        <f>Q60</f>
        <v>31</v>
      </c>
      <c r="R59" s="80" t="str">
        <f t="shared" si="4"/>
        <v>Koperasi</v>
      </c>
      <c r="S59" s="94">
        <f>SUM(S60)</f>
        <v>10850000</v>
      </c>
      <c r="T59" s="43">
        <f>T60</f>
        <v>31</v>
      </c>
      <c r="U59" s="80" t="str">
        <f t="shared" si="5"/>
        <v>Koperasi</v>
      </c>
      <c r="V59" s="71">
        <f>SUM(V60)</f>
        <v>6000000</v>
      </c>
      <c r="W59" s="43">
        <f>W60</f>
        <v>0</v>
      </c>
      <c r="X59" s="80" t="str">
        <f t="shared" si="21"/>
        <v>Koperasi</v>
      </c>
      <c r="Y59" s="71">
        <f>SUM(Y60)</f>
        <v>49000000</v>
      </c>
      <c r="Z59" s="54">
        <f t="shared" si="13"/>
        <v>93</v>
      </c>
      <c r="AA59" s="89" t="str">
        <f t="shared" si="14"/>
        <v>Koperasi</v>
      </c>
      <c r="AB59" s="52">
        <f t="shared" si="9"/>
        <v>72.093023255813947</v>
      </c>
      <c r="AC59" s="51" t="s">
        <v>131</v>
      </c>
      <c r="AD59" s="70">
        <f t="shared" si="15"/>
        <v>125192500</v>
      </c>
      <c r="AE59" s="52">
        <f t="shared" si="16"/>
        <v>71.431546562807029</v>
      </c>
      <c r="AF59" s="51" t="s">
        <v>131</v>
      </c>
      <c r="AG59" s="54">
        <f t="shared" si="0"/>
        <v>220</v>
      </c>
      <c r="AH59" s="88" t="str">
        <f t="shared" si="12"/>
        <v>Koperasi</v>
      </c>
      <c r="AI59" s="56">
        <f t="shared" si="1"/>
        <v>125192500</v>
      </c>
      <c r="AJ59" s="52"/>
      <c r="AK59" s="51" t="s">
        <v>131</v>
      </c>
      <c r="AL59" s="52"/>
      <c r="AM59" s="13"/>
      <c r="AP59" s="27"/>
    </row>
    <row r="60" spans="1:42" ht="105" x14ac:dyDescent="0.2">
      <c r="A60" s="18"/>
      <c r="B60" s="19"/>
      <c r="C60" s="28" t="s">
        <v>117</v>
      </c>
      <c r="D60" s="28" t="s">
        <v>153</v>
      </c>
      <c r="E60" s="46">
        <v>133</v>
      </c>
      <c r="F60" s="47" t="s">
        <v>154</v>
      </c>
      <c r="G60" s="92">
        <f>175262200+235029000</f>
        <v>410291200</v>
      </c>
      <c r="H60" s="46">
        <v>127</v>
      </c>
      <c r="I60" s="47" t="s">
        <v>154</v>
      </c>
      <c r="J60" s="24">
        <v>0</v>
      </c>
      <c r="K60" s="46">
        <v>129</v>
      </c>
      <c r="L60" s="47" t="s">
        <v>154</v>
      </c>
      <c r="M60" s="92">
        <v>175262200</v>
      </c>
      <c r="N60" s="21">
        <v>31</v>
      </c>
      <c r="O60" s="47" t="str">
        <f t="shared" si="3"/>
        <v>Koperasi</v>
      </c>
      <c r="P60" s="25">
        <v>59342500</v>
      </c>
      <c r="Q60" s="21">
        <v>31</v>
      </c>
      <c r="R60" s="47" t="str">
        <f t="shared" si="4"/>
        <v>Koperasi</v>
      </c>
      <c r="S60" s="25">
        <v>10850000</v>
      </c>
      <c r="T60" s="21">
        <v>31</v>
      </c>
      <c r="U60" s="47" t="str">
        <f t="shared" si="5"/>
        <v>Koperasi</v>
      </c>
      <c r="V60" s="25">
        <v>6000000</v>
      </c>
      <c r="W60" s="21">
        <v>0</v>
      </c>
      <c r="X60" s="47" t="str">
        <f t="shared" si="21"/>
        <v>Koperasi</v>
      </c>
      <c r="Y60" s="25">
        <v>49000000</v>
      </c>
      <c r="Z60" s="55">
        <f t="shared" si="13"/>
        <v>93</v>
      </c>
      <c r="AA60" s="96" t="str">
        <f t="shared" si="14"/>
        <v>Koperasi</v>
      </c>
      <c r="AB60" s="53">
        <f t="shared" si="9"/>
        <v>72.093023255813947</v>
      </c>
      <c r="AC60" s="34" t="s">
        <v>131</v>
      </c>
      <c r="AD60" s="79">
        <f t="shared" si="15"/>
        <v>125192500</v>
      </c>
      <c r="AE60" s="53">
        <f t="shared" si="16"/>
        <v>71.431546562807029</v>
      </c>
      <c r="AF60" s="34" t="s">
        <v>131</v>
      </c>
      <c r="AG60" s="55">
        <f t="shared" si="0"/>
        <v>220</v>
      </c>
      <c r="AH60" s="55" t="str">
        <f t="shared" si="12"/>
        <v>Koperasi</v>
      </c>
      <c r="AI60" s="40">
        <f t="shared" si="1"/>
        <v>125192500</v>
      </c>
      <c r="AJ60" s="53"/>
      <c r="AK60" s="34" t="s">
        <v>131</v>
      </c>
      <c r="AL60" s="53"/>
      <c r="AM60" s="13"/>
      <c r="AP60" s="27"/>
    </row>
    <row r="61" spans="1:42" ht="114.75" customHeight="1" x14ac:dyDescent="0.2">
      <c r="A61" s="18"/>
      <c r="B61" s="19"/>
      <c r="C61" s="20" t="s">
        <v>150</v>
      </c>
      <c r="D61" s="20" t="s">
        <v>151</v>
      </c>
      <c r="E61" s="43">
        <f>531/2200*100</f>
        <v>24.136363636363637</v>
      </c>
      <c r="F61" s="44" t="s">
        <v>131</v>
      </c>
      <c r="G61" s="97">
        <f>SUM(G62)</f>
        <v>350000000</v>
      </c>
      <c r="H61" s="45">
        <f>340/2060*100</f>
        <v>16.50485436893204</v>
      </c>
      <c r="I61" s="44" t="s">
        <v>131</v>
      </c>
      <c r="J61" s="99">
        <f>SUM(J62)</f>
        <v>0</v>
      </c>
      <c r="K61" s="45">
        <f>431/2090*100</f>
        <v>20.62200956937799</v>
      </c>
      <c r="L61" s="44" t="s">
        <v>131</v>
      </c>
      <c r="M61" s="72">
        <f>SUM(M62)</f>
        <v>100000000</v>
      </c>
      <c r="N61" s="43">
        <v>0</v>
      </c>
      <c r="O61" s="80" t="str">
        <f t="shared" ref="O61" si="22">L61</f>
        <v>%</v>
      </c>
      <c r="P61" s="97">
        <f>SUM(P62)</f>
        <v>0</v>
      </c>
      <c r="Q61" s="43">
        <v>0</v>
      </c>
      <c r="R61" s="80" t="str">
        <f t="shared" ref="R61" si="23">L61</f>
        <v>%</v>
      </c>
      <c r="S61" s="97">
        <f>SUM(S62)</f>
        <v>0</v>
      </c>
      <c r="T61" s="45">
        <f>62/2090*100</f>
        <v>2.9665071770334928</v>
      </c>
      <c r="U61" s="80" t="str">
        <f t="shared" ref="U61" si="24">L61</f>
        <v>%</v>
      </c>
      <c r="V61" s="97">
        <f>SUM(V62)</f>
        <v>0</v>
      </c>
      <c r="W61" s="45">
        <v>0</v>
      </c>
      <c r="X61" s="80" t="str">
        <f t="shared" si="21"/>
        <v>%</v>
      </c>
      <c r="Y61" s="97">
        <f>SUM(Y62)</f>
        <v>85919000</v>
      </c>
      <c r="Z61" s="52">
        <f t="shared" ref="Z61" si="25">SUM(N61,Q61,T61,W61)</f>
        <v>2.9665071770334928</v>
      </c>
      <c r="AA61" s="77" t="str">
        <f t="shared" ref="AA61" si="26">L61</f>
        <v>%</v>
      </c>
      <c r="AB61" s="52">
        <f>AG61/K61*100</f>
        <v>94.420291487396668</v>
      </c>
      <c r="AC61" s="51" t="s">
        <v>131</v>
      </c>
      <c r="AD61" s="70">
        <f t="shared" ref="AD61" si="27">SUM(P61,S61,V61,Y61)</f>
        <v>85919000</v>
      </c>
      <c r="AE61" s="52">
        <f t="shared" ref="AE61" si="28">AD61/M61*100</f>
        <v>85.918999999999997</v>
      </c>
      <c r="AF61" s="51" t="s">
        <v>131</v>
      </c>
      <c r="AG61" s="52">
        <f t="shared" ref="AG61" si="29">SUM(H61,Z61)</f>
        <v>19.471361545965532</v>
      </c>
      <c r="AH61" s="88" t="str">
        <f t="shared" ref="AH61" si="30">AA61</f>
        <v>%</v>
      </c>
      <c r="AI61" s="56">
        <f t="shared" ref="AI61" si="31">SUM(J61,AD61)</f>
        <v>85919000</v>
      </c>
      <c r="AJ61" s="52"/>
      <c r="AK61" s="51" t="s">
        <v>131</v>
      </c>
      <c r="AL61" s="52"/>
      <c r="AM61" s="13"/>
      <c r="AP61" s="27"/>
    </row>
    <row r="62" spans="1:42" ht="126" x14ac:dyDescent="0.2">
      <c r="A62" s="18"/>
      <c r="B62" s="19"/>
      <c r="C62" s="20" t="s">
        <v>119</v>
      </c>
      <c r="D62" s="20" t="s">
        <v>149</v>
      </c>
      <c r="E62" s="43">
        <v>390</v>
      </c>
      <c r="F62" s="80" t="s">
        <v>152</v>
      </c>
      <c r="G62" s="97">
        <f>SUM(G63)</f>
        <v>350000000</v>
      </c>
      <c r="H62" s="88">
        <f>150+H63</f>
        <v>210</v>
      </c>
      <c r="I62" s="44" t="s">
        <v>152</v>
      </c>
      <c r="J62" s="98">
        <f>SUM(J63)</f>
        <v>0</v>
      </c>
      <c r="K62" s="88">
        <f>H62+60</f>
        <v>270</v>
      </c>
      <c r="L62" s="80" t="s">
        <v>152</v>
      </c>
      <c r="M62" s="97">
        <f>SUM(M63)</f>
        <v>100000000</v>
      </c>
      <c r="N62" s="88">
        <f>N63</f>
        <v>0</v>
      </c>
      <c r="O62" s="80" t="str">
        <f t="shared" si="3"/>
        <v>UMKM</v>
      </c>
      <c r="P62" s="97">
        <f>SUM(P63)</f>
        <v>0</v>
      </c>
      <c r="Q62" s="88">
        <f>Q63</f>
        <v>0</v>
      </c>
      <c r="R62" s="80" t="str">
        <f t="shared" si="4"/>
        <v>UMKM</v>
      </c>
      <c r="S62" s="97">
        <f>SUM(S63)</f>
        <v>0</v>
      </c>
      <c r="T62" s="88">
        <f>T63</f>
        <v>30</v>
      </c>
      <c r="U62" s="80" t="str">
        <f t="shared" si="5"/>
        <v>UMKM</v>
      </c>
      <c r="V62" s="97">
        <f>SUM(V63)</f>
        <v>0</v>
      </c>
      <c r="W62" s="88">
        <f>W63</f>
        <v>0</v>
      </c>
      <c r="X62" s="80" t="str">
        <f t="shared" si="21"/>
        <v>UMKM</v>
      </c>
      <c r="Y62" s="97">
        <f>SUM(Y63)</f>
        <v>85919000</v>
      </c>
      <c r="Z62" s="54">
        <f t="shared" si="13"/>
        <v>30</v>
      </c>
      <c r="AA62" s="89" t="str">
        <f t="shared" si="14"/>
        <v>UMKM</v>
      </c>
      <c r="AB62" s="52">
        <f>AG62/K62*100</f>
        <v>88.888888888888886</v>
      </c>
      <c r="AC62" s="51" t="s">
        <v>131</v>
      </c>
      <c r="AD62" s="70">
        <f t="shared" si="15"/>
        <v>85919000</v>
      </c>
      <c r="AE62" s="52">
        <f t="shared" si="16"/>
        <v>85.918999999999997</v>
      </c>
      <c r="AF62" s="51" t="s">
        <v>131</v>
      </c>
      <c r="AG62" s="54">
        <f t="shared" si="0"/>
        <v>240</v>
      </c>
      <c r="AH62" s="88" t="str">
        <f t="shared" si="12"/>
        <v>UMKM</v>
      </c>
      <c r="AI62" s="56">
        <f t="shared" si="1"/>
        <v>85919000</v>
      </c>
      <c r="AJ62" s="52"/>
      <c r="AK62" s="51" t="s">
        <v>131</v>
      </c>
      <c r="AL62" s="52"/>
      <c r="AM62" s="13"/>
      <c r="AP62" s="27"/>
    </row>
    <row r="63" spans="1:42" ht="165" x14ac:dyDescent="0.2">
      <c r="A63" s="18"/>
      <c r="B63" s="19"/>
      <c r="C63" s="28" t="s">
        <v>120</v>
      </c>
      <c r="D63" s="28" t="s">
        <v>149</v>
      </c>
      <c r="E63" s="21">
        <f>30*3</f>
        <v>90</v>
      </c>
      <c r="F63" s="47" t="s">
        <v>152</v>
      </c>
      <c r="G63" s="25">
        <f>100000000+125000000+125000000</f>
        <v>350000000</v>
      </c>
      <c r="H63" s="42">
        <v>60</v>
      </c>
      <c r="I63" s="47" t="s">
        <v>152</v>
      </c>
      <c r="J63" s="24">
        <v>0</v>
      </c>
      <c r="K63" s="42">
        <v>30</v>
      </c>
      <c r="L63" s="47" t="s">
        <v>152</v>
      </c>
      <c r="M63" s="73">
        <v>100000000</v>
      </c>
      <c r="N63" s="21">
        <v>0</v>
      </c>
      <c r="O63" s="47" t="str">
        <f t="shared" si="3"/>
        <v>UMKM</v>
      </c>
      <c r="P63" s="25">
        <v>0</v>
      </c>
      <c r="Q63" s="21">
        <v>0</v>
      </c>
      <c r="R63" s="47" t="str">
        <f t="shared" si="4"/>
        <v>UMKM</v>
      </c>
      <c r="S63" s="25">
        <v>0</v>
      </c>
      <c r="T63" s="21">
        <v>30</v>
      </c>
      <c r="U63" s="47" t="str">
        <f t="shared" si="5"/>
        <v>UMKM</v>
      </c>
      <c r="V63" s="25">
        <v>0</v>
      </c>
      <c r="W63" s="21">
        <v>0</v>
      </c>
      <c r="X63" s="47" t="str">
        <f t="shared" si="21"/>
        <v>UMKM</v>
      </c>
      <c r="Y63" s="25">
        <v>85919000</v>
      </c>
      <c r="Z63" s="55">
        <f t="shared" si="13"/>
        <v>30</v>
      </c>
      <c r="AA63" s="96" t="str">
        <f t="shared" si="14"/>
        <v>UMKM</v>
      </c>
      <c r="AB63" s="55">
        <f t="shared" si="9"/>
        <v>100</v>
      </c>
      <c r="AC63" s="34" t="s">
        <v>131</v>
      </c>
      <c r="AD63" s="79">
        <f t="shared" si="15"/>
        <v>85919000</v>
      </c>
      <c r="AE63" s="53">
        <f t="shared" si="16"/>
        <v>85.918999999999997</v>
      </c>
      <c r="AF63" s="34" t="s">
        <v>131</v>
      </c>
      <c r="AG63" s="55">
        <f t="shared" si="0"/>
        <v>90</v>
      </c>
      <c r="AH63" s="42" t="str">
        <f t="shared" si="12"/>
        <v>UMKM</v>
      </c>
      <c r="AI63" s="40">
        <f t="shared" si="1"/>
        <v>85919000</v>
      </c>
      <c r="AJ63" s="53"/>
      <c r="AK63" s="34" t="s">
        <v>131</v>
      </c>
      <c r="AL63" s="53"/>
      <c r="AM63" s="13"/>
      <c r="AP63" s="27"/>
    </row>
    <row r="64" spans="1:42" ht="15" x14ac:dyDescent="0.2">
      <c r="A64" s="168" t="s">
        <v>34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70"/>
      <c r="AB64" s="69">
        <f>AVERAGE(AB16:AB63)</f>
        <v>73.872552325792924</v>
      </c>
      <c r="AC64" s="59"/>
      <c r="AD64" s="57"/>
      <c r="AE64" s="69">
        <f>AVERAGE(AE16,AE39,AE48,AE51,AE43,AE58)</f>
        <v>76.888961910357466</v>
      </c>
      <c r="AF64" s="59"/>
      <c r="AG64" s="58"/>
      <c r="AH64" s="59"/>
      <c r="AI64" s="58"/>
      <c r="AJ64" s="58"/>
      <c r="AK64" s="59"/>
      <c r="AL64" s="60"/>
      <c r="AM64" s="13"/>
    </row>
    <row r="65" spans="1:39" ht="15" x14ac:dyDescent="0.2">
      <c r="A65" s="168" t="s">
        <v>35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70"/>
      <c r="AB65" s="30" t="str">
        <f>IF(AB64&gt;=91,"Sangat Tinggi",IF(AB64&gt;=76,"Tinggi",IF(AB64&gt;=66,"Sedang",IF(AB64&gt;=51,"Rendah",IF(AB64&lt;=50,"Sangat Rendah")))))</f>
        <v>Sedang</v>
      </c>
      <c r="AC65" s="59"/>
      <c r="AD65" s="61"/>
      <c r="AE65" s="30" t="str">
        <f>IF(AE64&gt;=91,"Sangat Tinggi",IF(AE64&gt;=76,"Tinggi",IF(AE64&gt;=66,"Sedang",IF(AE64&gt;=51,"Rendah",IF(AE64&lt;=50,"Sangat Rendah")))))</f>
        <v>Tinggi</v>
      </c>
      <c r="AF65" s="59"/>
      <c r="AG65" s="62"/>
      <c r="AH65" s="59"/>
      <c r="AI65" s="63"/>
      <c r="AJ65" s="62"/>
      <c r="AK65" s="59"/>
      <c r="AL65" s="64"/>
      <c r="AM65" s="13"/>
    </row>
    <row r="66" spans="1:39" ht="15" x14ac:dyDescent="0.2">
      <c r="A66" s="146" t="s">
        <v>68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3"/>
    </row>
    <row r="67" spans="1:39" ht="15" x14ac:dyDescent="0.2">
      <c r="A67" s="146" t="s">
        <v>69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3"/>
    </row>
    <row r="68" spans="1:39" ht="15" x14ac:dyDescent="0.2">
      <c r="A68" s="146" t="s">
        <v>70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3"/>
    </row>
    <row r="69" spans="1:39" ht="15" x14ac:dyDescent="0.2">
      <c r="A69" s="146" t="s">
        <v>71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31"/>
    </row>
    <row r="70" spans="1:39" ht="15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2"/>
      <c r="AC70" s="33"/>
      <c r="AD70" s="32"/>
      <c r="AE70" s="32"/>
      <c r="AF70" s="33"/>
      <c r="AG70" s="32"/>
      <c r="AH70" s="33"/>
      <c r="AI70" s="32"/>
      <c r="AJ70" s="32"/>
      <c r="AK70" s="33"/>
      <c r="AL70" s="32"/>
    </row>
    <row r="71" spans="1:39" ht="15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171" t="s">
        <v>62</v>
      </c>
      <c r="AA71" s="171"/>
      <c r="AB71" s="171"/>
      <c r="AC71" s="171"/>
      <c r="AD71" s="171"/>
      <c r="AE71" s="171"/>
      <c r="AF71" s="33"/>
      <c r="AG71" s="32"/>
      <c r="AH71" s="171" t="s">
        <v>63</v>
      </c>
      <c r="AI71" s="171"/>
      <c r="AJ71" s="171"/>
      <c r="AK71" s="171"/>
      <c r="AL71" s="171"/>
      <c r="AM71" s="171"/>
    </row>
    <row r="72" spans="1:39" ht="15.75" x14ac:dyDescent="0.25">
      <c r="A72" s="38"/>
      <c r="B72" s="39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171" t="s">
        <v>169</v>
      </c>
      <c r="AA72" s="171"/>
      <c r="AB72" s="171"/>
      <c r="AC72" s="171"/>
      <c r="AD72" s="171"/>
      <c r="AE72" s="171"/>
      <c r="AF72" s="33"/>
      <c r="AG72" s="32"/>
      <c r="AH72" s="171" t="s">
        <v>169</v>
      </c>
      <c r="AI72" s="171"/>
      <c r="AJ72" s="171"/>
      <c r="AK72" s="171"/>
      <c r="AL72" s="171"/>
      <c r="AM72" s="171"/>
    </row>
    <row r="73" spans="1:39" ht="15" x14ac:dyDescent="0.2">
      <c r="Z73" s="171" t="s">
        <v>76</v>
      </c>
      <c r="AA73" s="171"/>
      <c r="AB73" s="171"/>
      <c r="AC73" s="171"/>
      <c r="AD73" s="171"/>
      <c r="AE73" s="171"/>
      <c r="AH73" s="171" t="s">
        <v>64</v>
      </c>
      <c r="AI73" s="171"/>
      <c r="AJ73" s="171"/>
      <c r="AK73" s="171"/>
      <c r="AL73" s="171"/>
      <c r="AM73" s="171"/>
    </row>
    <row r="74" spans="1:39" ht="15" x14ac:dyDescent="0.2">
      <c r="Z74" s="171" t="s">
        <v>65</v>
      </c>
      <c r="AA74" s="171"/>
      <c r="AB74" s="171"/>
      <c r="AC74" s="171"/>
      <c r="AD74" s="171"/>
      <c r="AE74" s="171"/>
      <c r="AH74" s="171" t="s">
        <v>65</v>
      </c>
      <c r="AI74" s="171"/>
      <c r="AJ74" s="171"/>
      <c r="AK74" s="171"/>
      <c r="AL74" s="171"/>
      <c r="AM74" s="171"/>
    </row>
    <row r="75" spans="1:39" ht="25.5" x14ac:dyDescent="0.2">
      <c r="A75" s="35" t="s">
        <v>36</v>
      </c>
      <c r="B75" s="35" t="s">
        <v>37</v>
      </c>
      <c r="C75" s="35" t="s">
        <v>38</v>
      </c>
      <c r="Z75" s="32"/>
      <c r="AA75" s="33"/>
      <c r="AB75" s="32"/>
      <c r="AC75" s="33"/>
      <c r="AD75" s="32"/>
      <c r="AH75" s="32"/>
      <c r="AI75" s="33"/>
      <c r="AJ75" s="32"/>
      <c r="AK75" s="33"/>
      <c r="AL75" s="32"/>
    </row>
    <row r="76" spans="1:39" ht="25.5" x14ac:dyDescent="0.25">
      <c r="A76" s="36" t="s">
        <v>39</v>
      </c>
      <c r="B76" s="36" t="s">
        <v>40</v>
      </c>
      <c r="C76" s="36" t="s">
        <v>41</v>
      </c>
      <c r="Z76" s="172" t="s">
        <v>72</v>
      </c>
      <c r="AA76" s="172"/>
      <c r="AB76" s="172"/>
      <c r="AC76" s="172"/>
      <c r="AD76" s="172"/>
      <c r="AE76" s="172"/>
      <c r="AH76" s="172" t="s">
        <v>66</v>
      </c>
      <c r="AI76" s="172"/>
      <c r="AJ76" s="172"/>
      <c r="AK76" s="172"/>
      <c r="AL76" s="172"/>
      <c r="AM76" s="172"/>
    </row>
    <row r="77" spans="1:39" ht="25.5" x14ac:dyDescent="0.2">
      <c r="A77" s="36" t="s">
        <v>42</v>
      </c>
      <c r="B77" s="36" t="s">
        <v>43</v>
      </c>
      <c r="C77" s="36" t="s">
        <v>44</v>
      </c>
      <c r="Z77" s="173" t="s">
        <v>73</v>
      </c>
      <c r="AA77" s="173"/>
      <c r="AB77" s="173"/>
      <c r="AC77" s="173"/>
      <c r="AD77" s="173"/>
      <c r="AE77" s="173"/>
      <c r="AH77" s="173" t="s">
        <v>67</v>
      </c>
      <c r="AI77" s="173"/>
      <c r="AJ77" s="173"/>
      <c r="AK77" s="173"/>
      <c r="AL77" s="173"/>
      <c r="AM77" s="173"/>
    </row>
    <row r="78" spans="1:39" ht="25.5" x14ac:dyDescent="0.2">
      <c r="A78" s="36" t="s">
        <v>45</v>
      </c>
      <c r="B78" s="36" t="s">
        <v>46</v>
      </c>
      <c r="C78" s="36" t="s">
        <v>47</v>
      </c>
    </row>
    <row r="79" spans="1:39" ht="25.5" x14ac:dyDescent="0.2">
      <c r="A79" s="36" t="s">
        <v>48</v>
      </c>
      <c r="B79" s="36" t="s">
        <v>49</v>
      </c>
      <c r="C79" s="36" t="s">
        <v>50</v>
      </c>
    </row>
    <row r="80" spans="1:39" ht="25.5" x14ac:dyDescent="0.2">
      <c r="A80" s="36" t="s">
        <v>51</v>
      </c>
      <c r="B80" s="37" t="s">
        <v>52</v>
      </c>
      <c r="C80" s="36" t="s">
        <v>53</v>
      </c>
    </row>
  </sheetData>
  <mergeCells count="93">
    <mergeCell ref="Z74:AE74"/>
    <mergeCell ref="AH74:AM74"/>
    <mergeCell ref="Z76:AE76"/>
    <mergeCell ref="AH76:AM76"/>
    <mergeCell ref="Z77:AE77"/>
    <mergeCell ref="AH77:AM77"/>
    <mergeCell ref="Z71:AE71"/>
    <mergeCell ref="AH71:AM71"/>
    <mergeCell ref="Z72:AE72"/>
    <mergeCell ref="AH72:AM72"/>
    <mergeCell ref="Z73:AE73"/>
    <mergeCell ref="AH73:AM73"/>
    <mergeCell ref="A67:AL67"/>
    <mergeCell ref="A68:AL68"/>
    <mergeCell ref="A69:AL69"/>
    <mergeCell ref="J13:J15"/>
    <mergeCell ref="K13:L15"/>
    <mergeCell ref="M13:M15"/>
    <mergeCell ref="N13:O15"/>
    <mergeCell ref="A64:AA64"/>
    <mergeCell ref="A65:AA65"/>
    <mergeCell ref="A10:A12"/>
    <mergeCell ref="B10:B12"/>
    <mergeCell ref="C10:C12"/>
    <mergeCell ref="D10:D12"/>
    <mergeCell ref="A66:AL66"/>
    <mergeCell ref="A13:A15"/>
    <mergeCell ref="B13:B15"/>
    <mergeCell ref="C13:C15"/>
    <mergeCell ref="D13:D15"/>
    <mergeCell ref="E13:F15"/>
    <mergeCell ref="G13:G15"/>
    <mergeCell ref="H13:I15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E11:F12"/>
    <mergeCell ref="G11:G12"/>
    <mergeCell ref="H11:I12"/>
    <mergeCell ref="J11:J12"/>
    <mergeCell ref="K11:L12"/>
    <mergeCell ref="W10:Y10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256" scale="32" orientation="landscape" horizontalDpi="4294967293" r:id="rId1"/>
  <rowBreaks count="1" manualBreakCount="1">
    <brk id="43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Disnakerkop,UKP</vt:lpstr>
      <vt:lpstr>'Disnakerkop,UKP'!Print_Area</vt:lpstr>
      <vt:lpstr>'Disnakerkop,UKP'!Print_Titles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2020-10-14T02:26:44Z</cp:lastPrinted>
  <dcterms:created xsi:type="dcterms:W3CDTF">2020-03-18T05:59:44Z</dcterms:created>
  <dcterms:modified xsi:type="dcterms:W3CDTF">2021-12-28T00:28:57Z</dcterms:modified>
</cp:coreProperties>
</file>